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autoCompressPictures="0" defaultThemeVersion="124226"/>
  <mc:AlternateContent xmlns:mc="http://schemas.openxmlformats.org/markup-compatibility/2006">
    <mc:Choice Requires="x15">
      <x15ac:absPath xmlns:x15ac="http://schemas.microsoft.com/office/spreadsheetml/2010/11/ac" url="C:\Users\jmyers\Desktop\"/>
    </mc:Choice>
  </mc:AlternateContent>
  <xr:revisionPtr revIDLastSave="0" documentId="8_{E089D443-8195-418A-9BB5-56A432421E71}" xr6:coauthVersionLast="47" xr6:coauthVersionMax="47" xr10:uidLastSave="{00000000-0000-0000-0000-000000000000}"/>
  <bookViews>
    <workbookView visibility="hidden" xWindow="-110" yWindow="-110" windowWidth="38620" windowHeight="21100" tabRatio="924" firstSheet="23" activeTab="22" xr2:uid="{00000000-000D-0000-FFFF-FFFF00000000}"/>
    <workbookView xWindow="-110" yWindow="-110" windowWidth="38620" windowHeight="21100" tabRatio="943" firstSheet="24" activeTab="23" xr2:uid="{38F1747D-F8E0-49A6-9F2E-DEB1A8EF6826}"/>
    <workbookView xWindow="-110" yWindow="-110" windowWidth="38620" windowHeight="21100" tabRatio="842" firstSheet="3" activeTab="3" xr2:uid="{B78D96A1-E5B1-41D9-B27D-1E4A170E3F02}"/>
  </bookViews>
  <sheets>
    <sheet name="Template" sheetId="66" state="hidden" r:id="rId1"/>
    <sheet name="Kids (8.2 oz)" sheetId="1" state="hidden" r:id="rId2"/>
    <sheet name="Kids (7 oz)" sheetId="68" state="hidden" r:id="rId3"/>
    <sheet name="Kids " sheetId="75" r:id="rId4"/>
    <sheet name="Small" sheetId="38" state="hidden" r:id="rId5"/>
    <sheet name="Large" sheetId="39" r:id="rId6"/>
    <sheet name="Ice Quart" sheetId="41" r:id="rId7"/>
    <sheet name="Ice Flight" sheetId="40" state="hidden" r:id="rId8"/>
    <sheet name="Gelati Small" sheetId="33" state="hidden" r:id="rId9"/>
    <sheet name="Gelati Large" sheetId="34" state="hidden" r:id="rId10"/>
    <sheet name="Take Home Gelati" sheetId="61" state="hidden" r:id="rId11"/>
    <sheet name="Blendini Regular" sheetId="28" state="hidden" r:id="rId12"/>
    <sheet name="Large Gelati" sheetId="112" r:id="rId13"/>
    <sheet name="5 Layer Gelati" sheetId="121" r:id="rId14"/>
    <sheet name="Milkshake Standarized" sheetId="65" state="hidden" r:id="rId15"/>
    <sheet name="Small Ice Blender" sheetId="105" state="hidden" r:id="rId16"/>
    <sheet name="Small Gelati" sheetId="111" r:id="rId17"/>
    <sheet name="Large Ice Blender" sheetId="106" r:id="rId18"/>
    <sheet name="Small Ice Blender " sheetId="129" r:id="rId19"/>
    <sheet name="Small Misto" sheetId="107" r:id="rId20"/>
    <sheet name="LG Misto" sheetId="108" r:id="rId21"/>
    <sheet name=" Concrete" sheetId="50" r:id="rId22"/>
    <sheet name="Blendini " sheetId="76" r:id="rId23"/>
    <sheet name="Pints" sheetId="51" r:id="rId24"/>
    <sheet name="Small Milkshake" sheetId="90" r:id="rId25"/>
    <sheet name="Large Milkshake" sheetId="91" r:id="rId26"/>
    <sheet name="Mini Milkshake" sheetId="62" state="hidden" r:id="rId27"/>
    <sheet name="Frozen Drink Small" sheetId="46" state="hidden" r:id="rId28"/>
    <sheet name="All Custard Custom Cake - Slice" sheetId="53" state="hidden" r:id="rId29"/>
    <sheet name="All Custard Custom Cake" sheetId="56" state="hidden" r:id="rId30"/>
    <sheet name="Gelati Custom Cake - Slice" sheetId="54" state="hidden" r:id="rId31"/>
    <sheet name="Gelati Custom Cake" sheetId="57" state="hidden" r:id="rId32"/>
    <sheet name="Blendini Custom Cake - Slice" sheetId="55" state="hidden" r:id="rId33"/>
    <sheet name="Blendini Custom Cake " sheetId="58" state="hidden" r:id="rId34"/>
    <sheet name="Sheet4" sheetId="109" state="hidden" r:id="rId35"/>
    <sheet name="Banana Split Sundae" sheetId="47" state="hidden" r:id="rId36"/>
    <sheet name="Frozen Coffees" sheetId="116" r:id="rId37"/>
    <sheet name="LG Frozen Coffee" sheetId="117" state="hidden" r:id="rId38"/>
    <sheet name="Small Ice" sheetId="110" r:id="rId39"/>
    <sheet name="Frozen Matchas" sheetId="122" r:id="rId40"/>
    <sheet name="LG Frozen Matcha" sheetId="123" state="hidden" r:id="rId41"/>
    <sheet name="Custard Cookie Sandwiches" sheetId="43" r:id="rId42"/>
    <sheet name="Jumbo Cookie" sheetId="77" state="hidden" r:id="rId43"/>
    <sheet name="Sidekick Sundae " sheetId="89" state="hidden" r:id="rId44"/>
    <sheet name="Pup Cup" sheetId="118" state="hidden" r:id="rId45"/>
    <sheet name="Soft Serve Custard" sheetId="88" r:id="rId46"/>
    <sheet name="Large Concrete" sheetId="115" state="hidden" r:id="rId47"/>
    <sheet name="Custard_Topping_Sundae" sheetId="32" state="hidden" r:id="rId48"/>
    <sheet name="Sheet1" sheetId="72" state="hidden" r:id="rId49"/>
    <sheet name="Sheet3" sheetId="74" state="hidden" r:id="rId50"/>
    <sheet name="Sheet2" sheetId="73" state="hidden" r:id="rId51"/>
    <sheet name="OTHER" sheetId="26" state="hidden" r:id="rId52"/>
    <sheet name="Custard per Ounce " sheetId="59" state="hidden" r:id="rId53"/>
    <sheet name="Boost Frozen Drink" sheetId="63" state="hidden" r:id="rId54"/>
  </sheets>
  <definedNames>
    <definedName name="_xlnm._FilterDatabase" localSheetId="21" hidden="1">' Concrete'!$A$4:$AH$55</definedName>
    <definedName name="_xlnm._FilterDatabase" localSheetId="13" hidden="1">'5 Layer Gelati'!$A$4:$AV$117</definedName>
    <definedName name="_xlnm._FilterDatabase" localSheetId="22" hidden="1">'Blendini '!$A$4:$AI$141</definedName>
    <definedName name="_xlnm._FilterDatabase" localSheetId="6" hidden="1">'Ice Quart'!$A$3:$AL$94</definedName>
    <definedName name="_xlnm._FilterDatabase" localSheetId="3" hidden="1">'Kids '!$A$3:$AR$3</definedName>
    <definedName name="_xlnm._FilterDatabase" localSheetId="1" hidden="1">'Kids (8.2 oz)'!$C$3:$V$104</definedName>
    <definedName name="_xlnm._FilterDatabase" localSheetId="5" hidden="1">Large!$A$3:$AP$94</definedName>
    <definedName name="_xlnm._FilterDatabase" localSheetId="12" hidden="1">'Large Gelati'!$A$4:$AH$117</definedName>
    <definedName name="_xlnm._FilterDatabase" localSheetId="17" hidden="1">'Large Ice Blender'!$A$3:$JO$92</definedName>
    <definedName name="_xlnm._FilterDatabase" localSheetId="25" hidden="1">'Large Milkshake'!$B$3:$BK$3</definedName>
    <definedName name="_xlnm._FilterDatabase" localSheetId="20" hidden="1">'LG Misto'!$A$4:$AH$98</definedName>
    <definedName name="_xlnm._FilterDatabase" localSheetId="23" hidden="1">Pints!$A$2:$AG$2</definedName>
    <definedName name="_xlnm._FilterDatabase" localSheetId="16" hidden="1">'Small Gelati'!$A$4:$AL$116</definedName>
    <definedName name="_xlnm._FilterDatabase" localSheetId="38" hidden="1">'Small Ice'!$A$3:$DK$93</definedName>
    <definedName name="_xlnm._FilterDatabase" localSheetId="18" hidden="1">'Small Ice Blender '!$A$3:$AP$93</definedName>
    <definedName name="_xlnm._FilterDatabase" localSheetId="24" hidden="1">'Small Milkshake'!$B$3:$AH$3</definedName>
    <definedName name="_xlnm._FilterDatabase" localSheetId="19" hidden="1">'Small Misto'!$A$4:$AP$94</definedName>
    <definedName name="_xlnm._FilterDatabase" localSheetId="45" hidden="1">'Soft Serve Custard'!$A$3:$AS$70</definedName>
    <definedName name="_xlnm.Print_Titles" localSheetId="13">'5 Layer Gelati'!$1:$41</definedName>
    <definedName name="_xlnm.Print_Titles" localSheetId="29">'All Custard Custom Cake'!#REF!</definedName>
    <definedName name="_xlnm.Print_Titles" localSheetId="28">'All Custard Custom Cake - Slice'!#REF!</definedName>
    <definedName name="_xlnm.Print_Titles" localSheetId="22">'Blendini '!$1:$3</definedName>
    <definedName name="_xlnm.Print_Titles" localSheetId="11">'Blendini Regular'!$1:$4</definedName>
    <definedName name="_xlnm.Print_Titles" localSheetId="36">'Frozen Coffees'!$1:$4</definedName>
    <definedName name="_xlnm.Print_Titles" localSheetId="27">'Frozen Drink Small'!$1:$3</definedName>
    <definedName name="_xlnm.Print_Titles" localSheetId="39">'Frozen Matchas'!$1:$4</definedName>
    <definedName name="_xlnm.Print_Titles" localSheetId="9">'Gelati Large'!$1:$4</definedName>
    <definedName name="_xlnm.Print_Titles" localSheetId="8">'Gelati Small'!$1:$4</definedName>
    <definedName name="_xlnm.Print_Titles" localSheetId="7">'Ice Flight'!$1:$4</definedName>
    <definedName name="_xlnm.Print_Titles" localSheetId="6">'Ice Quart'!$1:$80</definedName>
    <definedName name="_xlnm.Print_Titles" localSheetId="3">'Kids '!$1:$85</definedName>
    <definedName name="_xlnm.Print_Titles" localSheetId="1">'Kids (8.2 oz)'!$1:$3</definedName>
    <definedName name="_xlnm.Print_Titles" localSheetId="5">Large!$1:$77</definedName>
    <definedName name="_xlnm.Print_Titles" localSheetId="12">'Large Gelati'!$1:$76</definedName>
    <definedName name="_xlnm.Print_Titles" localSheetId="17">'Large Ice Blender'!$1:$84</definedName>
    <definedName name="_xlnm.Print_Titles" localSheetId="37">'LG Frozen Coffee'!$1:$4</definedName>
    <definedName name="_xlnm.Print_Titles" localSheetId="40">'LG Frozen Matcha'!$1:$4</definedName>
    <definedName name="_xlnm.Print_Titles" localSheetId="20">'LG Misto'!$1:$55</definedName>
    <definedName name="_xlnm.Print_Titles" localSheetId="43">'Sidekick Sundae '!$1:$3</definedName>
    <definedName name="_xlnm.Print_Titles" localSheetId="4">Small!$1:$3</definedName>
    <definedName name="_xlnm.Print_Titles" localSheetId="16">'Small Gelati'!$1:$3</definedName>
    <definedName name="_xlnm.Print_Titles" localSheetId="38">'Small Ice'!$1:$88</definedName>
    <definedName name="_xlnm.Print_Titles" localSheetId="15">'Small Ice Blender'!$1:$28</definedName>
    <definedName name="_xlnm.Print_Titles" localSheetId="18">'Small Ice Blender '!$1:$90</definedName>
    <definedName name="_xlnm.Print_Titles" localSheetId="19">'Small Misto'!$1:$91</definedName>
    <definedName name="_xlnm.Print_Titles" localSheetId="45">'Soft Serve Custard'!$1:$3</definedName>
    <definedName name="_xlnm.Print_Titles" localSheetId="0">Template!$1:$4</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9" i="75" l="1"/>
  <c r="F70" i="75"/>
  <c r="F71" i="75"/>
  <c r="F72" i="75"/>
  <c r="F73" i="75"/>
  <c r="F74" i="75"/>
  <c r="F75" i="75"/>
  <c r="F76" i="75"/>
  <c r="F77" i="75"/>
  <c r="F78" i="75"/>
  <c r="F79" i="75"/>
  <c r="F80" i="75"/>
  <c r="F81" i="75"/>
  <c r="F82" i="75"/>
  <c r="F83" i="75"/>
  <c r="F84" i="75"/>
  <c r="F85" i="75"/>
  <c r="F86" i="75"/>
  <c r="F87" i="75"/>
  <c r="F88" i="75"/>
  <c r="F89" i="75"/>
  <c r="F90" i="75"/>
  <c r="F91" i="75"/>
  <c r="F92" i="75"/>
  <c r="F55" i="75"/>
  <c r="F56" i="75"/>
  <c r="F57" i="75"/>
  <c r="F58" i="75"/>
  <c r="F59" i="75"/>
  <c r="F60" i="75"/>
  <c r="F61" i="75"/>
  <c r="F62" i="75"/>
  <c r="F63" i="75"/>
  <c r="F64" i="75"/>
  <c r="F65" i="75"/>
  <c r="F66" i="75"/>
  <c r="F67" i="75"/>
  <c r="F68" i="75"/>
  <c r="F17" i="75"/>
  <c r="F18" i="75"/>
  <c r="F19" i="75"/>
  <c r="F20" i="75"/>
  <c r="F21" i="75"/>
  <c r="F22" i="75"/>
  <c r="F23" i="75"/>
  <c r="F24" i="75"/>
  <c r="F25" i="75"/>
  <c r="F26" i="75"/>
  <c r="F27" i="75"/>
  <c r="F28" i="75"/>
  <c r="F29" i="75"/>
  <c r="F30" i="75"/>
  <c r="F31" i="75"/>
  <c r="F32" i="75"/>
  <c r="F33" i="75"/>
  <c r="F34" i="75"/>
  <c r="F35" i="75"/>
  <c r="F36" i="75"/>
  <c r="F37" i="75"/>
  <c r="F38" i="75"/>
  <c r="F39" i="75"/>
  <c r="F40" i="75"/>
  <c r="F41" i="75"/>
  <c r="F42" i="75"/>
  <c r="F43" i="75"/>
  <c r="F44" i="75"/>
  <c r="F45" i="75"/>
  <c r="F46" i="75"/>
  <c r="F47" i="75"/>
  <c r="F48" i="75"/>
  <c r="F49" i="75"/>
  <c r="F50" i="75"/>
  <c r="F51" i="75"/>
  <c r="F52" i="75"/>
  <c r="F53" i="75"/>
  <c r="F54" i="75"/>
  <c r="F5" i="75"/>
  <c r="F6" i="75"/>
  <c r="F7" i="75"/>
  <c r="F8" i="75"/>
  <c r="F9" i="75"/>
  <c r="F10" i="75"/>
  <c r="F11" i="75"/>
  <c r="F12" i="75"/>
  <c r="F13" i="75"/>
  <c r="F14" i="75"/>
  <c r="F15" i="75"/>
  <c r="F16" i="75"/>
  <c r="F4" i="75"/>
  <c r="H31" i="75"/>
  <c r="H32" i="75"/>
  <c r="H33" i="75"/>
  <c r="H34" i="75"/>
  <c r="H35" i="75"/>
  <c r="H36" i="75"/>
  <c r="H37" i="75"/>
  <c r="H38" i="75"/>
  <c r="H39" i="75"/>
  <c r="H40" i="75"/>
  <c r="H41" i="75"/>
  <c r="H42" i="75"/>
  <c r="H43" i="75"/>
  <c r="H44" i="75"/>
  <c r="H45" i="75"/>
  <c r="H46" i="75"/>
  <c r="H47" i="75"/>
  <c r="H48" i="75"/>
  <c r="H49" i="75"/>
  <c r="H50" i="75"/>
  <c r="H51" i="75"/>
  <c r="H52" i="75"/>
  <c r="H53" i="75"/>
  <c r="H54" i="75"/>
  <c r="H55" i="75"/>
  <c r="H56" i="75"/>
  <c r="H57" i="75"/>
  <c r="H58" i="75"/>
  <c r="H59" i="75"/>
  <c r="H60" i="75"/>
  <c r="H61" i="75"/>
  <c r="H62" i="75"/>
  <c r="H63" i="75"/>
  <c r="H64" i="75"/>
  <c r="H65" i="75"/>
  <c r="H66" i="75"/>
  <c r="H67" i="75"/>
  <c r="H68" i="75"/>
  <c r="H69" i="75"/>
  <c r="H70" i="75"/>
  <c r="AP5" i="75"/>
  <c r="AP6" i="75"/>
  <c r="AP7" i="75"/>
  <c r="AP8" i="75"/>
  <c r="AP9" i="75"/>
  <c r="AP10" i="75"/>
  <c r="AP11" i="75"/>
  <c r="AP12" i="75"/>
  <c r="AP13" i="75"/>
  <c r="AP14" i="75"/>
  <c r="AP15" i="75"/>
  <c r="AP16" i="75"/>
  <c r="AP17" i="75"/>
  <c r="AP18" i="75"/>
  <c r="AP19" i="75"/>
  <c r="AP20" i="75"/>
  <c r="AP21" i="75"/>
  <c r="AP22" i="75"/>
  <c r="AP23" i="75"/>
  <c r="AP24" i="75"/>
  <c r="AP25" i="75"/>
  <c r="AP26" i="75"/>
  <c r="AP27" i="75"/>
  <c r="AP28" i="75"/>
  <c r="AP29" i="75"/>
  <c r="AP30" i="75"/>
  <c r="AP31" i="75"/>
  <c r="AP32" i="75"/>
  <c r="AP33" i="75"/>
  <c r="AP34" i="75"/>
  <c r="AP35" i="75"/>
  <c r="AP36" i="75"/>
  <c r="AP37" i="75"/>
  <c r="AP38" i="75"/>
  <c r="AP39" i="75"/>
  <c r="AP40" i="75"/>
  <c r="AP41" i="75"/>
  <c r="AP42" i="75"/>
  <c r="AP43" i="75"/>
  <c r="AP44" i="75"/>
  <c r="AP45" i="75"/>
  <c r="AP46" i="75"/>
  <c r="AP47" i="75"/>
  <c r="AP48" i="75"/>
  <c r="AP49" i="75"/>
  <c r="AP50" i="75"/>
  <c r="AP51" i="75"/>
  <c r="AP52" i="75"/>
  <c r="AP53" i="75"/>
  <c r="AP54" i="75"/>
  <c r="AP55" i="75"/>
  <c r="AP56" i="75"/>
  <c r="AP57" i="75"/>
  <c r="AP58" i="75"/>
  <c r="AP59" i="75"/>
  <c r="AP60" i="75"/>
  <c r="AP61" i="75"/>
  <c r="AP62" i="75"/>
  <c r="AP63" i="75"/>
  <c r="AP64" i="75"/>
  <c r="AP65" i="75"/>
  <c r="AP66" i="75"/>
  <c r="AP67" i="75"/>
  <c r="AP68" i="75"/>
  <c r="AP69" i="75"/>
  <c r="AP70" i="75"/>
  <c r="AP71" i="75"/>
  <c r="AP72" i="75"/>
  <c r="AP73" i="75"/>
  <c r="AP74" i="75"/>
  <c r="AP75" i="75"/>
  <c r="AP76" i="75"/>
  <c r="AP77" i="75"/>
  <c r="AP78" i="75"/>
  <c r="AP79" i="75"/>
  <c r="AP80" i="75"/>
  <c r="AP81" i="75"/>
  <c r="AP82" i="75"/>
  <c r="AP83" i="75"/>
  <c r="AP84" i="75"/>
  <c r="AP85" i="75"/>
  <c r="AP86" i="75"/>
  <c r="AP87" i="75"/>
  <c r="AP88" i="75"/>
  <c r="AP89" i="75"/>
  <c r="AP90" i="75"/>
  <c r="AP91" i="75"/>
  <c r="AP92" i="75"/>
  <c r="AP4" i="75"/>
  <c r="AN5" i="75"/>
  <c r="AN6" i="75"/>
  <c r="AN7" i="75"/>
  <c r="AN8" i="75"/>
  <c r="AN9" i="75"/>
  <c r="AN10" i="75"/>
  <c r="AN11" i="75"/>
  <c r="AN12" i="75"/>
  <c r="AN13" i="75"/>
  <c r="AN14" i="75"/>
  <c r="AN15" i="75"/>
  <c r="AN16" i="75"/>
  <c r="AN17" i="75"/>
  <c r="AN18" i="75"/>
  <c r="AN19" i="75"/>
  <c r="AN20" i="75"/>
  <c r="AN21" i="75"/>
  <c r="AN22" i="75"/>
  <c r="AN23" i="75"/>
  <c r="AN24" i="75"/>
  <c r="AN25" i="75"/>
  <c r="AN26" i="75"/>
  <c r="AN27" i="75"/>
  <c r="AN28" i="75"/>
  <c r="AN29" i="75"/>
  <c r="AN30" i="75"/>
  <c r="AN31" i="75"/>
  <c r="AN32" i="75"/>
  <c r="AN33" i="75"/>
  <c r="AN34" i="75"/>
  <c r="AN35" i="75"/>
  <c r="AN36" i="75"/>
  <c r="AN37" i="75"/>
  <c r="AN38" i="75"/>
  <c r="AN39" i="75"/>
  <c r="AN40" i="75"/>
  <c r="AN41" i="75"/>
  <c r="AN42" i="75"/>
  <c r="AN43" i="75"/>
  <c r="AN44" i="75"/>
  <c r="AN45" i="75"/>
  <c r="AN46" i="75"/>
  <c r="AN47" i="75"/>
  <c r="AN48" i="75"/>
  <c r="AN49" i="75"/>
  <c r="AN50" i="75"/>
  <c r="AN51" i="75"/>
  <c r="AN52" i="75"/>
  <c r="AN53" i="75"/>
  <c r="AN54" i="75"/>
  <c r="AN55" i="75"/>
  <c r="AN56" i="75"/>
  <c r="AN57" i="75"/>
  <c r="AN58" i="75"/>
  <c r="AN59" i="75"/>
  <c r="AN60" i="75"/>
  <c r="AN61" i="75"/>
  <c r="AN62" i="75"/>
  <c r="AN63" i="75"/>
  <c r="AN64" i="75"/>
  <c r="AN65" i="75"/>
  <c r="AN66" i="75"/>
  <c r="AN67" i="75"/>
  <c r="AN68" i="75"/>
  <c r="AN69" i="75"/>
  <c r="AN70" i="75"/>
  <c r="AN71" i="75"/>
  <c r="AN72" i="75"/>
  <c r="AN73" i="75"/>
  <c r="AN74" i="75"/>
  <c r="AN75" i="75"/>
  <c r="AN76" i="75"/>
  <c r="AN77" i="75"/>
  <c r="AN78" i="75"/>
  <c r="AN79" i="75"/>
  <c r="AN80" i="75"/>
  <c r="AN81" i="75"/>
  <c r="AN82" i="75"/>
  <c r="AN83" i="75"/>
  <c r="AN84" i="75"/>
  <c r="AN85" i="75"/>
  <c r="AN86" i="75"/>
  <c r="AN87" i="75"/>
  <c r="AN88" i="75"/>
  <c r="AN89" i="75"/>
  <c r="AN90" i="75"/>
  <c r="AN91" i="75"/>
  <c r="AN92" i="75"/>
  <c r="AN4" i="75"/>
  <c r="AL5" i="75"/>
  <c r="AL6" i="75"/>
  <c r="AL7" i="75"/>
  <c r="AL8" i="75"/>
  <c r="AL9" i="75"/>
  <c r="AL10" i="75"/>
  <c r="AL11" i="75"/>
  <c r="AL12" i="75"/>
  <c r="AL13" i="75"/>
  <c r="AL14" i="75"/>
  <c r="AL15" i="75"/>
  <c r="AL16" i="75"/>
  <c r="AL17" i="75"/>
  <c r="AL18" i="75"/>
  <c r="AL19" i="75"/>
  <c r="AL20" i="75"/>
  <c r="AL21" i="75"/>
  <c r="AL22" i="75"/>
  <c r="AL23" i="75"/>
  <c r="AL24" i="75"/>
  <c r="AL25" i="75"/>
  <c r="AL26" i="75"/>
  <c r="AL27" i="75"/>
  <c r="AL28" i="75"/>
  <c r="AL29" i="75"/>
  <c r="AL30" i="75"/>
  <c r="AL31" i="75"/>
  <c r="AL32" i="75"/>
  <c r="AL33" i="75"/>
  <c r="AL34" i="75"/>
  <c r="AL35" i="75"/>
  <c r="AL36" i="75"/>
  <c r="AL37" i="75"/>
  <c r="AL38" i="75"/>
  <c r="AL39" i="75"/>
  <c r="AL40" i="75"/>
  <c r="AL41" i="75"/>
  <c r="AL42" i="75"/>
  <c r="AL43" i="75"/>
  <c r="AL44" i="75"/>
  <c r="AL45" i="75"/>
  <c r="AL46" i="75"/>
  <c r="AL47" i="75"/>
  <c r="AL48" i="75"/>
  <c r="AL49" i="75"/>
  <c r="AL50" i="75"/>
  <c r="AL51" i="75"/>
  <c r="AL52" i="75"/>
  <c r="AL53" i="75"/>
  <c r="AL54" i="75"/>
  <c r="AL55" i="75"/>
  <c r="AL56" i="75"/>
  <c r="AL57" i="75"/>
  <c r="AL58" i="75"/>
  <c r="AL59" i="75"/>
  <c r="AL60" i="75"/>
  <c r="AL61" i="75"/>
  <c r="AL62" i="75"/>
  <c r="AL63" i="75"/>
  <c r="AL64" i="75"/>
  <c r="AL65" i="75"/>
  <c r="AL66" i="75"/>
  <c r="AL67" i="75"/>
  <c r="AL68" i="75"/>
  <c r="AL69" i="75"/>
  <c r="AL70" i="75"/>
  <c r="AL71" i="75"/>
  <c r="AL72" i="75"/>
  <c r="AL73" i="75"/>
  <c r="AL74" i="75"/>
  <c r="AL75" i="75"/>
  <c r="AL76" i="75"/>
  <c r="AL77" i="75"/>
  <c r="AL78" i="75"/>
  <c r="AL79" i="75"/>
  <c r="AL80" i="75"/>
  <c r="AL81" i="75"/>
  <c r="AL82" i="75"/>
  <c r="AL83" i="75"/>
  <c r="AL84" i="75"/>
  <c r="AL85" i="75"/>
  <c r="AL86" i="75"/>
  <c r="AL87" i="75"/>
  <c r="AL88" i="75"/>
  <c r="AL89" i="75"/>
  <c r="AL90" i="75"/>
  <c r="AL91" i="75"/>
  <c r="AL92" i="75"/>
  <c r="AL4" i="75"/>
  <c r="AJ5" i="75"/>
  <c r="AJ6" i="75"/>
  <c r="AJ7" i="75"/>
  <c r="AJ8" i="75"/>
  <c r="AJ9" i="75"/>
  <c r="AJ10" i="75"/>
  <c r="AJ11" i="75"/>
  <c r="AJ12" i="75"/>
  <c r="AJ13" i="75"/>
  <c r="AJ14" i="75"/>
  <c r="AJ15" i="75"/>
  <c r="AJ16" i="75"/>
  <c r="AJ17" i="75"/>
  <c r="AJ18" i="75"/>
  <c r="AJ19" i="75"/>
  <c r="AJ20" i="75"/>
  <c r="AJ21" i="75"/>
  <c r="AJ22" i="75"/>
  <c r="AJ23" i="75"/>
  <c r="AJ24" i="75"/>
  <c r="AJ25" i="75"/>
  <c r="AJ26" i="75"/>
  <c r="AJ27" i="75"/>
  <c r="AJ28" i="75"/>
  <c r="AJ29" i="75"/>
  <c r="AJ30" i="75"/>
  <c r="AJ31" i="75"/>
  <c r="AJ32" i="75"/>
  <c r="AJ33" i="75"/>
  <c r="AJ34" i="75"/>
  <c r="AJ35" i="75"/>
  <c r="AJ36" i="75"/>
  <c r="AJ37" i="75"/>
  <c r="AJ38" i="75"/>
  <c r="AJ39" i="75"/>
  <c r="AJ40" i="75"/>
  <c r="AJ41" i="75"/>
  <c r="AJ42" i="75"/>
  <c r="AJ43" i="75"/>
  <c r="AJ44" i="75"/>
  <c r="AJ45" i="75"/>
  <c r="AJ46" i="75"/>
  <c r="AJ47" i="75"/>
  <c r="AJ48" i="75"/>
  <c r="AJ49" i="75"/>
  <c r="AJ50" i="75"/>
  <c r="AJ51" i="75"/>
  <c r="AJ52" i="75"/>
  <c r="AJ53" i="75"/>
  <c r="AJ54" i="75"/>
  <c r="AJ55" i="75"/>
  <c r="AJ56" i="75"/>
  <c r="AJ57" i="75"/>
  <c r="AJ58" i="75"/>
  <c r="AJ59" i="75"/>
  <c r="AJ60" i="75"/>
  <c r="AJ61" i="75"/>
  <c r="AJ62" i="75"/>
  <c r="AJ63" i="75"/>
  <c r="AJ64" i="75"/>
  <c r="AJ65" i="75"/>
  <c r="AJ66" i="75"/>
  <c r="AJ67" i="75"/>
  <c r="AJ68" i="75"/>
  <c r="AJ69" i="75"/>
  <c r="AJ70" i="75"/>
  <c r="AJ71" i="75"/>
  <c r="AJ72" i="75"/>
  <c r="AJ73" i="75"/>
  <c r="AJ74" i="75"/>
  <c r="AJ75" i="75"/>
  <c r="AJ76" i="75"/>
  <c r="AJ77" i="75"/>
  <c r="AJ78" i="75"/>
  <c r="AJ79" i="75"/>
  <c r="AJ80" i="75"/>
  <c r="AJ81" i="75"/>
  <c r="AJ82" i="75"/>
  <c r="AJ83" i="75"/>
  <c r="AJ84" i="75"/>
  <c r="AJ85" i="75"/>
  <c r="AJ86" i="75"/>
  <c r="AJ87" i="75"/>
  <c r="AJ88" i="75"/>
  <c r="AJ89" i="75"/>
  <c r="AJ90" i="75"/>
  <c r="AJ91" i="75"/>
  <c r="AJ92" i="75"/>
  <c r="AJ4" i="75"/>
  <c r="AH5" i="75"/>
  <c r="AH6" i="75"/>
  <c r="AH7" i="75"/>
  <c r="AH8" i="75"/>
  <c r="AH9" i="75"/>
  <c r="AH10" i="75"/>
  <c r="AH11" i="75"/>
  <c r="AH12" i="75"/>
  <c r="AH13" i="75"/>
  <c r="AH14" i="75"/>
  <c r="AH15" i="75"/>
  <c r="AH16" i="75"/>
  <c r="AH17" i="75"/>
  <c r="AH18" i="75"/>
  <c r="AH19" i="75"/>
  <c r="AH20" i="75"/>
  <c r="AH21" i="75"/>
  <c r="AH22" i="75"/>
  <c r="AH23" i="75"/>
  <c r="AH24" i="75"/>
  <c r="AH25" i="75"/>
  <c r="AH26" i="75"/>
  <c r="AH27" i="75"/>
  <c r="AH28" i="75"/>
  <c r="AH29" i="75"/>
  <c r="AH30" i="75"/>
  <c r="AH31" i="75"/>
  <c r="AH32" i="75"/>
  <c r="AH33" i="75"/>
  <c r="AH34" i="75"/>
  <c r="AH35" i="75"/>
  <c r="AH36" i="75"/>
  <c r="AH37" i="75"/>
  <c r="AH38" i="75"/>
  <c r="AH39" i="75"/>
  <c r="AH40" i="75"/>
  <c r="AH41" i="75"/>
  <c r="AH42" i="75"/>
  <c r="AH43" i="75"/>
  <c r="AH44" i="75"/>
  <c r="AH45" i="75"/>
  <c r="AH46" i="75"/>
  <c r="AH47" i="75"/>
  <c r="AH48" i="75"/>
  <c r="AH49" i="75"/>
  <c r="AH50" i="75"/>
  <c r="AH51" i="75"/>
  <c r="AH52" i="75"/>
  <c r="AH53" i="75"/>
  <c r="AH54" i="75"/>
  <c r="AH55" i="75"/>
  <c r="AH56" i="75"/>
  <c r="AH57" i="75"/>
  <c r="AH58" i="75"/>
  <c r="AH59" i="75"/>
  <c r="AH60" i="75"/>
  <c r="AH61" i="75"/>
  <c r="AH62" i="75"/>
  <c r="AH63" i="75"/>
  <c r="AH64" i="75"/>
  <c r="AH65" i="75"/>
  <c r="AH66" i="75"/>
  <c r="AH67" i="75"/>
  <c r="AH68" i="75"/>
  <c r="AH69" i="75"/>
  <c r="AH70" i="75"/>
  <c r="AH71" i="75"/>
  <c r="AH72" i="75"/>
  <c r="AH73" i="75"/>
  <c r="AH74" i="75"/>
  <c r="AH75" i="75"/>
  <c r="AH76" i="75"/>
  <c r="AH77" i="75"/>
  <c r="AH78" i="75"/>
  <c r="AH79" i="75"/>
  <c r="AH80" i="75"/>
  <c r="AH81" i="75"/>
  <c r="AH82" i="75"/>
  <c r="AH83" i="75"/>
  <c r="AH84" i="75"/>
  <c r="AH85" i="75"/>
  <c r="AH86" i="75"/>
  <c r="AH87" i="75"/>
  <c r="AH88" i="75"/>
  <c r="AH89" i="75"/>
  <c r="AH90" i="75"/>
  <c r="AH91" i="75"/>
  <c r="AH92" i="75"/>
  <c r="AH4" i="75"/>
  <c r="AD5" i="75"/>
  <c r="AD6" i="75"/>
  <c r="AD7" i="75"/>
  <c r="AD8" i="75"/>
  <c r="AD9" i="75"/>
  <c r="AD10" i="75"/>
  <c r="AD11" i="75"/>
  <c r="AD12" i="75"/>
  <c r="AD13" i="75"/>
  <c r="AD14" i="75"/>
  <c r="AD15" i="75"/>
  <c r="AD16" i="75"/>
  <c r="AD17" i="75"/>
  <c r="AD18" i="75"/>
  <c r="AD19" i="75"/>
  <c r="AD20" i="75"/>
  <c r="AD21" i="75"/>
  <c r="AD22" i="75"/>
  <c r="AD23" i="75"/>
  <c r="AD24" i="75"/>
  <c r="AD25" i="75"/>
  <c r="AD26" i="75"/>
  <c r="AD27" i="75"/>
  <c r="AD28" i="75"/>
  <c r="AD29" i="75"/>
  <c r="AD30" i="75"/>
  <c r="AD31" i="75"/>
  <c r="AD32" i="75"/>
  <c r="AD33" i="75"/>
  <c r="AD34" i="75"/>
  <c r="AD35" i="75"/>
  <c r="AD36" i="75"/>
  <c r="AD37" i="75"/>
  <c r="AD38" i="75"/>
  <c r="AD39" i="75"/>
  <c r="AD40" i="75"/>
  <c r="AD41" i="75"/>
  <c r="AD42" i="75"/>
  <c r="AD43" i="75"/>
  <c r="AD44" i="75"/>
  <c r="AD45" i="75"/>
  <c r="AD46" i="75"/>
  <c r="AD47" i="75"/>
  <c r="AD48" i="75"/>
  <c r="AD49" i="75"/>
  <c r="AD50" i="75"/>
  <c r="AD51" i="75"/>
  <c r="AD52" i="75"/>
  <c r="AD53" i="75"/>
  <c r="AD54" i="75"/>
  <c r="AD55" i="75"/>
  <c r="AD56" i="75"/>
  <c r="AD57" i="75"/>
  <c r="AD58" i="75"/>
  <c r="AD59" i="75"/>
  <c r="AD60" i="75"/>
  <c r="AD61" i="75"/>
  <c r="AD62" i="75"/>
  <c r="AD63" i="75"/>
  <c r="AD64" i="75"/>
  <c r="AD65" i="75"/>
  <c r="AD66" i="75"/>
  <c r="AD67" i="75"/>
  <c r="AD68" i="75"/>
  <c r="AD69" i="75"/>
  <c r="AD70" i="75"/>
  <c r="AD71" i="75"/>
  <c r="AD72" i="75"/>
  <c r="AD73" i="75"/>
  <c r="AD74" i="75"/>
  <c r="AD75" i="75"/>
  <c r="AD76" i="75"/>
  <c r="AD77" i="75"/>
  <c r="AD78" i="75"/>
  <c r="AD79" i="75"/>
  <c r="AD80" i="75"/>
  <c r="AD81" i="75"/>
  <c r="AD82" i="75"/>
  <c r="AD83" i="75"/>
  <c r="AD84" i="75"/>
  <c r="AD85" i="75"/>
  <c r="AD86" i="75"/>
  <c r="AD87" i="75"/>
  <c r="AD88" i="75"/>
  <c r="AD89" i="75"/>
  <c r="AD90" i="75"/>
  <c r="AD91" i="75"/>
  <c r="AD92" i="75"/>
  <c r="AD4" i="75"/>
  <c r="AF5" i="75"/>
  <c r="AF6" i="75"/>
  <c r="AF7" i="75"/>
  <c r="AF8" i="75"/>
  <c r="AF9" i="75"/>
  <c r="AF10" i="75"/>
  <c r="AF11" i="75"/>
  <c r="AF12" i="75"/>
  <c r="AF13" i="75"/>
  <c r="AF14" i="75"/>
  <c r="AF15" i="75"/>
  <c r="AF16" i="75"/>
  <c r="AF17" i="75"/>
  <c r="AF18" i="75"/>
  <c r="AF19" i="75"/>
  <c r="AF20" i="75"/>
  <c r="AF21" i="75"/>
  <c r="AF22" i="75"/>
  <c r="AF23" i="75"/>
  <c r="AF24" i="75"/>
  <c r="AF25" i="75"/>
  <c r="AF26" i="75"/>
  <c r="AF27" i="75"/>
  <c r="AF28" i="75"/>
  <c r="AF29" i="75"/>
  <c r="AF30" i="75"/>
  <c r="AF31" i="75"/>
  <c r="AF32" i="75"/>
  <c r="AF33" i="75"/>
  <c r="AF34" i="75"/>
  <c r="AF35" i="75"/>
  <c r="AF36" i="75"/>
  <c r="AF37" i="75"/>
  <c r="AF38" i="75"/>
  <c r="AF39" i="75"/>
  <c r="AF40" i="75"/>
  <c r="AF41" i="75"/>
  <c r="AF42" i="75"/>
  <c r="AF43" i="75"/>
  <c r="AF44" i="75"/>
  <c r="AF45" i="75"/>
  <c r="AF46" i="75"/>
  <c r="AF47" i="75"/>
  <c r="AF48" i="75"/>
  <c r="AF49" i="75"/>
  <c r="AF50" i="75"/>
  <c r="AF51" i="75"/>
  <c r="AF52" i="75"/>
  <c r="AF53" i="75"/>
  <c r="AF54" i="75"/>
  <c r="AF55" i="75"/>
  <c r="AF56" i="75"/>
  <c r="AF57" i="75"/>
  <c r="AF58" i="75"/>
  <c r="AF59" i="75"/>
  <c r="AF60" i="75"/>
  <c r="AF61" i="75"/>
  <c r="AF62" i="75"/>
  <c r="AF63" i="75"/>
  <c r="AF64" i="75"/>
  <c r="AF65" i="75"/>
  <c r="AF66" i="75"/>
  <c r="AF67" i="75"/>
  <c r="AF68" i="75"/>
  <c r="AF69" i="75"/>
  <c r="AF70" i="75"/>
  <c r="AF71" i="75"/>
  <c r="AF72" i="75"/>
  <c r="AF73" i="75"/>
  <c r="AF74" i="75"/>
  <c r="AF75" i="75"/>
  <c r="AF76" i="75"/>
  <c r="AF77" i="75"/>
  <c r="AF78" i="75"/>
  <c r="AF79" i="75"/>
  <c r="AF80" i="75"/>
  <c r="AF81" i="75"/>
  <c r="AF82" i="75"/>
  <c r="AF83" i="75"/>
  <c r="AF84" i="75"/>
  <c r="AF85" i="75"/>
  <c r="AF86" i="75"/>
  <c r="AF87" i="75"/>
  <c r="AF88" i="75"/>
  <c r="AF89" i="75"/>
  <c r="AF90" i="75"/>
  <c r="AF91" i="75"/>
  <c r="AF92" i="75"/>
  <c r="AF4" i="75"/>
  <c r="P112" i="129"/>
  <c r="P111" i="129"/>
  <c r="AH106" i="129"/>
  <c r="AG106" i="129"/>
  <c r="AF106" i="129"/>
  <c r="AE106" i="129"/>
  <c r="AD106" i="129"/>
  <c r="AC106" i="129"/>
  <c r="AB106" i="129"/>
  <c r="AA106" i="129"/>
  <c r="Y106" i="129"/>
  <c r="W106" i="129"/>
  <c r="U106" i="129"/>
  <c r="S106" i="129"/>
  <c r="Q106" i="129"/>
  <c r="O106" i="129"/>
  <c r="M106" i="129"/>
  <c r="K106" i="129"/>
  <c r="I106" i="129"/>
  <c r="G106" i="129"/>
  <c r="E106" i="129"/>
  <c r="C106" i="129"/>
  <c r="AH105" i="129"/>
  <c r="AG105" i="129"/>
  <c r="AF105" i="129"/>
  <c r="AE105" i="129"/>
  <c r="AD105" i="129"/>
  <c r="AC105" i="129"/>
  <c r="AB105" i="129"/>
  <c r="AA105" i="129"/>
  <c r="Y105" i="129"/>
  <c r="W105" i="129"/>
  <c r="U105" i="129"/>
  <c r="S105" i="129"/>
  <c r="Q105" i="129"/>
  <c r="O105" i="129"/>
  <c r="M105" i="129"/>
  <c r="K105" i="129"/>
  <c r="I105" i="129"/>
  <c r="G105" i="129"/>
  <c r="E105" i="129"/>
  <c r="C105" i="129"/>
  <c r="AH104" i="129"/>
  <c r="AG104" i="129"/>
  <c r="AF104" i="129"/>
  <c r="AE104" i="129"/>
  <c r="AD104" i="129"/>
  <c r="AC104" i="129"/>
  <c r="AB104" i="129"/>
  <c r="AA104" i="129"/>
  <c r="Y104" i="129"/>
  <c r="W104" i="129"/>
  <c r="U104" i="129"/>
  <c r="S104" i="129"/>
  <c r="Q104" i="129"/>
  <c r="O104" i="129"/>
  <c r="M104" i="129"/>
  <c r="K104" i="129"/>
  <c r="I104" i="129"/>
  <c r="G104" i="129"/>
  <c r="E104" i="129"/>
  <c r="C104" i="129"/>
  <c r="AH103" i="129"/>
  <c r="AG103" i="129"/>
  <c r="AF103" i="129"/>
  <c r="AE103" i="129"/>
  <c r="AD103" i="129"/>
  <c r="AC103" i="129"/>
  <c r="AB103" i="129"/>
  <c r="AA103" i="129"/>
  <c r="Y103" i="129"/>
  <c r="W103" i="129"/>
  <c r="U103" i="129"/>
  <c r="S103" i="129"/>
  <c r="Q103" i="129"/>
  <c r="O103" i="129"/>
  <c r="M103" i="129"/>
  <c r="K103" i="129"/>
  <c r="I103" i="129"/>
  <c r="G103" i="129"/>
  <c r="E103" i="129"/>
  <c r="C103" i="129"/>
  <c r="AH102" i="129"/>
  <c r="AG102" i="129"/>
  <c r="AF102" i="129"/>
  <c r="AE102" i="129"/>
  <c r="AD102" i="129"/>
  <c r="AC102" i="129"/>
  <c r="AB102" i="129"/>
  <c r="AA102" i="129"/>
  <c r="Y102" i="129"/>
  <c r="W102" i="129"/>
  <c r="U102" i="129"/>
  <c r="S102" i="129"/>
  <c r="Q102" i="129"/>
  <c r="O102" i="129"/>
  <c r="M102" i="129"/>
  <c r="K102" i="129"/>
  <c r="I102" i="129"/>
  <c r="G102" i="129"/>
  <c r="E102" i="129"/>
  <c r="C102" i="129"/>
  <c r="AH101" i="129"/>
  <c r="AG101" i="129"/>
  <c r="AF101" i="129"/>
  <c r="AE101" i="129"/>
  <c r="AD101" i="129"/>
  <c r="AC101" i="129"/>
  <c r="AB101" i="129"/>
  <c r="AA101" i="129"/>
  <c r="Y101" i="129"/>
  <c r="W101" i="129"/>
  <c r="U101" i="129"/>
  <c r="S101" i="129"/>
  <c r="Q101" i="129"/>
  <c r="O101" i="129"/>
  <c r="M101" i="129"/>
  <c r="K101" i="129"/>
  <c r="I101" i="129"/>
  <c r="G101" i="129"/>
  <c r="E101" i="129"/>
  <c r="C101" i="129"/>
  <c r="AH100" i="129"/>
  <c r="AG100" i="129"/>
  <c r="AF100" i="129"/>
  <c r="AE100" i="129"/>
  <c r="AD100" i="129"/>
  <c r="AC100" i="129"/>
  <c r="AB100" i="129"/>
  <c r="AA100" i="129"/>
  <c r="Y100" i="129"/>
  <c r="W100" i="129"/>
  <c r="U100" i="129"/>
  <c r="S100" i="129"/>
  <c r="Q100" i="129"/>
  <c r="O100" i="129"/>
  <c r="M100" i="129"/>
  <c r="K100" i="129"/>
  <c r="I100" i="129"/>
  <c r="G100" i="129"/>
  <c r="E100" i="129"/>
  <c r="C100" i="129"/>
  <c r="AH99" i="129"/>
  <c r="AG99" i="129"/>
  <c r="AF99" i="129"/>
  <c r="AE99" i="129"/>
  <c r="AD99" i="129"/>
  <c r="AC99" i="129"/>
  <c r="AB99" i="129"/>
  <c r="AA99" i="129"/>
  <c r="Y99" i="129"/>
  <c r="W99" i="129"/>
  <c r="U99" i="129"/>
  <c r="S99" i="129"/>
  <c r="Q99" i="129"/>
  <c r="O99" i="129"/>
  <c r="M99" i="129"/>
  <c r="K99" i="129"/>
  <c r="I99" i="129"/>
  <c r="G99" i="129"/>
  <c r="E99" i="129"/>
  <c r="C99" i="129"/>
  <c r="Z93" i="129"/>
  <c r="X93" i="129"/>
  <c r="V93" i="129"/>
  <c r="T93" i="129"/>
  <c r="R93" i="129"/>
  <c r="P93" i="129"/>
  <c r="N93" i="129"/>
  <c r="L93" i="129"/>
  <c r="J93" i="129"/>
  <c r="H93" i="129"/>
  <c r="F93" i="129"/>
  <c r="D93" i="129"/>
  <c r="Z92" i="129"/>
  <c r="X92" i="129"/>
  <c r="W113" i="129" s="1"/>
  <c r="V92" i="129"/>
  <c r="T92" i="129"/>
  <c r="R92" i="129"/>
  <c r="R113" i="129" s="1"/>
  <c r="P92" i="129"/>
  <c r="N92" i="129"/>
  <c r="N113" i="129" s="1"/>
  <c r="L92" i="129"/>
  <c r="L113" i="129" s="1"/>
  <c r="J92" i="129"/>
  <c r="H92" i="129"/>
  <c r="G113" i="129" s="1"/>
  <c r="F92" i="129"/>
  <c r="D92" i="129"/>
  <c r="Z91" i="129"/>
  <c r="X91" i="129"/>
  <c r="V91" i="129"/>
  <c r="T91" i="129"/>
  <c r="R91" i="129"/>
  <c r="P91" i="129"/>
  <c r="N91" i="129"/>
  <c r="L91" i="129"/>
  <c r="J91" i="129"/>
  <c r="H91" i="129"/>
  <c r="F91" i="129"/>
  <c r="D91" i="129"/>
  <c r="Z90" i="129"/>
  <c r="X90" i="129"/>
  <c r="V90" i="129"/>
  <c r="T90" i="129"/>
  <c r="R90" i="129"/>
  <c r="P90" i="129"/>
  <c r="N90" i="129"/>
  <c r="L90" i="129"/>
  <c r="J90" i="129"/>
  <c r="H90" i="129"/>
  <c r="F90" i="129"/>
  <c r="D90" i="129"/>
  <c r="Z89" i="129"/>
  <c r="X89" i="129"/>
  <c r="V89" i="129"/>
  <c r="T89" i="129"/>
  <c r="R89" i="129"/>
  <c r="P89" i="129"/>
  <c r="N89" i="129"/>
  <c r="L89" i="129"/>
  <c r="J89" i="129"/>
  <c r="H89" i="129"/>
  <c r="F89" i="129"/>
  <c r="D89" i="129"/>
  <c r="Z88" i="129"/>
  <c r="X88" i="129"/>
  <c r="V88" i="129"/>
  <c r="T88" i="129"/>
  <c r="R88" i="129"/>
  <c r="P88" i="129"/>
  <c r="N88" i="129"/>
  <c r="L88" i="129"/>
  <c r="J88" i="129"/>
  <c r="H88" i="129"/>
  <c r="F88" i="129"/>
  <c r="D88" i="129"/>
  <c r="Z87" i="129"/>
  <c r="X87" i="129"/>
  <c r="V87" i="129"/>
  <c r="T87" i="129"/>
  <c r="R87" i="129"/>
  <c r="P87" i="129"/>
  <c r="N87" i="129"/>
  <c r="L87" i="129"/>
  <c r="J87" i="129"/>
  <c r="H87" i="129"/>
  <c r="F87" i="129"/>
  <c r="D87" i="129"/>
  <c r="Z86" i="129"/>
  <c r="X86" i="129"/>
  <c r="W112" i="129" s="1"/>
  <c r="W117" i="129" s="1"/>
  <c r="V86" i="129"/>
  <c r="T86" i="129"/>
  <c r="R86" i="129"/>
  <c r="R112" i="129" s="1"/>
  <c r="P86" i="129"/>
  <c r="N86" i="129"/>
  <c r="N112" i="129" s="1"/>
  <c r="N117" i="129" s="1"/>
  <c r="L86" i="129"/>
  <c r="L112" i="129" s="1"/>
  <c r="L117" i="129" s="1"/>
  <c r="J86" i="129"/>
  <c r="H86" i="129"/>
  <c r="G112" i="129" s="1"/>
  <c r="G117" i="129" s="1"/>
  <c r="F86" i="129"/>
  <c r="D86" i="129"/>
  <c r="Z85" i="129"/>
  <c r="X85" i="129"/>
  <c r="V85" i="129"/>
  <c r="T85" i="129"/>
  <c r="R85" i="129"/>
  <c r="P85" i="129"/>
  <c r="N85" i="129"/>
  <c r="L85" i="129"/>
  <c r="J85" i="129"/>
  <c r="H85" i="129"/>
  <c r="F85" i="129"/>
  <c r="D85" i="129"/>
  <c r="Z84" i="129"/>
  <c r="X84" i="129"/>
  <c r="V84" i="129"/>
  <c r="T84" i="129"/>
  <c r="R84" i="129"/>
  <c r="P84" i="129"/>
  <c r="N84" i="129"/>
  <c r="L84" i="129"/>
  <c r="J84" i="129"/>
  <c r="H84" i="129"/>
  <c r="F84" i="129"/>
  <c r="D84" i="129"/>
  <c r="Z83" i="129"/>
  <c r="X83" i="129"/>
  <c r="V83" i="129"/>
  <c r="T83" i="129"/>
  <c r="R83" i="129"/>
  <c r="P83" i="129"/>
  <c r="N83" i="129"/>
  <c r="L83" i="129"/>
  <c r="J83" i="129"/>
  <c r="H83" i="129"/>
  <c r="F83" i="129"/>
  <c r="D83" i="129"/>
  <c r="Z82" i="129"/>
  <c r="X82" i="129"/>
  <c r="V82" i="129"/>
  <c r="T82" i="129"/>
  <c r="R82" i="129"/>
  <c r="P82" i="129"/>
  <c r="N82" i="129"/>
  <c r="L82" i="129"/>
  <c r="J82" i="129"/>
  <c r="H82" i="129"/>
  <c r="F82" i="129"/>
  <c r="D82" i="129"/>
  <c r="Z81" i="129"/>
  <c r="X81" i="129"/>
  <c r="V81" i="129"/>
  <c r="T81" i="129"/>
  <c r="R81" i="129"/>
  <c r="P81" i="129"/>
  <c r="N81" i="129"/>
  <c r="L81" i="129"/>
  <c r="J81" i="129"/>
  <c r="H81" i="129"/>
  <c r="F81" i="129"/>
  <c r="D81" i="129"/>
  <c r="Z80" i="129"/>
  <c r="X80" i="129"/>
  <c r="V80" i="129"/>
  <c r="T80" i="129"/>
  <c r="R80" i="129"/>
  <c r="P80" i="129"/>
  <c r="N80" i="129"/>
  <c r="L80" i="129"/>
  <c r="J80" i="129"/>
  <c r="H80" i="129"/>
  <c r="F80" i="129"/>
  <c r="D80" i="129"/>
  <c r="Z79" i="129"/>
  <c r="X79" i="129"/>
  <c r="V79" i="129"/>
  <c r="T79" i="129"/>
  <c r="R79" i="129"/>
  <c r="P79" i="129"/>
  <c r="N79" i="129"/>
  <c r="L79" i="129"/>
  <c r="J79" i="129"/>
  <c r="H79" i="129"/>
  <c r="F79" i="129"/>
  <c r="D79" i="129"/>
  <c r="Z78" i="129"/>
  <c r="X78" i="129"/>
  <c r="V78" i="129"/>
  <c r="T78" i="129"/>
  <c r="R78" i="129"/>
  <c r="P78" i="129"/>
  <c r="N78" i="129"/>
  <c r="L78" i="129"/>
  <c r="J78" i="129"/>
  <c r="H78" i="129"/>
  <c r="F78" i="129"/>
  <c r="D78" i="129"/>
  <c r="Z77" i="129"/>
  <c r="X77" i="129"/>
  <c r="V77" i="129"/>
  <c r="T77" i="129"/>
  <c r="R77" i="129"/>
  <c r="P77" i="129"/>
  <c r="N77" i="129"/>
  <c r="L77" i="129"/>
  <c r="J77" i="129"/>
  <c r="H77" i="129"/>
  <c r="F77" i="129"/>
  <c r="D77" i="129"/>
  <c r="Z76" i="129"/>
  <c r="X76" i="129"/>
  <c r="V76" i="129"/>
  <c r="T76" i="129"/>
  <c r="R76" i="129"/>
  <c r="P76" i="129"/>
  <c r="N76" i="129"/>
  <c r="L76" i="129"/>
  <c r="J76" i="129"/>
  <c r="H76" i="129"/>
  <c r="F76" i="129"/>
  <c r="D76" i="129"/>
  <c r="Z75" i="129"/>
  <c r="X75" i="129"/>
  <c r="V75" i="129"/>
  <c r="T75" i="129"/>
  <c r="R75" i="129"/>
  <c r="P75" i="129"/>
  <c r="N75" i="129"/>
  <c r="L75" i="129"/>
  <c r="J75" i="129"/>
  <c r="H75" i="129"/>
  <c r="F75" i="129"/>
  <c r="D75" i="129"/>
  <c r="Z74" i="129"/>
  <c r="X74" i="129"/>
  <c r="V74" i="129"/>
  <c r="T74" i="129"/>
  <c r="R74" i="129"/>
  <c r="P74" i="129"/>
  <c r="N74" i="129"/>
  <c r="L74" i="129"/>
  <c r="J74" i="129"/>
  <c r="H74" i="129"/>
  <c r="F74" i="129"/>
  <c r="D74" i="129"/>
  <c r="Z73" i="129"/>
  <c r="X73" i="129"/>
  <c r="V73" i="129"/>
  <c r="T73" i="129"/>
  <c r="R73" i="129"/>
  <c r="P73" i="129"/>
  <c r="N73" i="129"/>
  <c r="L73" i="129"/>
  <c r="J73" i="129"/>
  <c r="H73" i="129"/>
  <c r="F73" i="129"/>
  <c r="D73" i="129"/>
  <c r="Z72" i="129"/>
  <c r="X72" i="129"/>
  <c r="V72" i="129"/>
  <c r="T72" i="129"/>
  <c r="R72" i="129"/>
  <c r="P72" i="129"/>
  <c r="N72" i="129"/>
  <c r="L72" i="129"/>
  <c r="J72" i="129"/>
  <c r="H72" i="129"/>
  <c r="F72" i="129"/>
  <c r="D72" i="129"/>
  <c r="Z71" i="129"/>
  <c r="Z111" i="129" s="1"/>
  <c r="X71" i="129"/>
  <c r="X111" i="129" s="1"/>
  <c r="V71" i="129"/>
  <c r="V111" i="129" s="1"/>
  <c r="T71" i="129"/>
  <c r="T111" i="129" s="1"/>
  <c r="R71" i="129"/>
  <c r="P71" i="129"/>
  <c r="O111" i="129" s="1"/>
  <c r="N71" i="129"/>
  <c r="L71" i="129"/>
  <c r="J71" i="129"/>
  <c r="J111" i="129" s="1"/>
  <c r="H71" i="129"/>
  <c r="F71" i="129"/>
  <c r="F111" i="129" s="1"/>
  <c r="D71" i="129"/>
  <c r="D111" i="129" s="1"/>
  <c r="Z70" i="129"/>
  <c r="X70" i="129"/>
  <c r="V70" i="129"/>
  <c r="T70" i="129"/>
  <c r="R70" i="129"/>
  <c r="P70" i="129"/>
  <c r="N70" i="129"/>
  <c r="L70" i="129"/>
  <c r="J70" i="129"/>
  <c r="H70" i="129"/>
  <c r="F70" i="129"/>
  <c r="D70" i="129"/>
  <c r="Z69" i="129"/>
  <c r="X69" i="129"/>
  <c r="V69" i="129"/>
  <c r="T69" i="129"/>
  <c r="R69" i="129"/>
  <c r="P69" i="129"/>
  <c r="N69" i="129"/>
  <c r="L69" i="129"/>
  <c r="J69" i="129"/>
  <c r="H69" i="129"/>
  <c r="F69" i="129"/>
  <c r="D69" i="129"/>
  <c r="Z68" i="129"/>
  <c r="X68" i="129"/>
  <c r="V68" i="129"/>
  <c r="T68" i="129"/>
  <c r="R68" i="129"/>
  <c r="P68" i="129"/>
  <c r="N68" i="129"/>
  <c r="L68" i="129"/>
  <c r="J68" i="129"/>
  <c r="H68" i="129"/>
  <c r="F68" i="129"/>
  <c r="D68" i="129"/>
  <c r="Z67" i="129"/>
  <c r="X67" i="129"/>
  <c r="V67" i="129"/>
  <c r="T67" i="129"/>
  <c r="R67" i="129"/>
  <c r="P67" i="129"/>
  <c r="N67" i="129"/>
  <c r="L67" i="129"/>
  <c r="J67" i="129"/>
  <c r="H67" i="129"/>
  <c r="F67" i="129"/>
  <c r="D67" i="129"/>
  <c r="Z66" i="129"/>
  <c r="X66" i="129"/>
  <c r="V66" i="129"/>
  <c r="T66" i="129"/>
  <c r="R66" i="129"/>
  <c r="P66" i="129"/>
  <c r="N66" i="129"/>
  <c r="L66" i="129"/>
  <c r="J66" i="129"/>
  <c r="H66" i="129"/>
  <c r="F66" i="129"/>
  <c r="D66" i="129"/>
  <c r="Z65" i="129"/>
  <c r="X65" i="129"/>
  <c r="V65" i="129"/>
  <c r="T65" i="129"/>
  <c r="R65" i="129"/>
  <c r="P65" i="129"/>
  <c r="N65" i="129"/>
  <c r="L65" i="129"/>
  <c r="J65" i="129"/>
  <c r="H65" i="129"/>
  <c r="F65" i="129"/>
  <c r="D65" i="129"/>
  <c r="Z64" i="129"/>
  <c r="X64" i="129"/>
  <c r="V64" i="129"/>
  <c r="T64" i="129"/>
  <c r="R64" i="129"/>
  <c r="P64" i="129"/>
  <c r="N64" i="129"/>
  <c r="L64" i="129"/>
  <c r="J64" i="129"/>
  <c r="H64" i="129"/>
  <c r="F64" i="129"/>
  <c r="D64" i="129"/>
  <c r="Z63" i="129"/>
  <c r="X63" i="129"/>
  <c r="V63" i="129"/>
  <c r="T63" i="129"/>
  <c r="R63" i="129"/>
  <c r="P63" i="129"/>
  <c r="N63" i="129"/>
  <c r="L63" i="129"/>
  <c r="J63" i="129"/>
  <c r="H63" i="129"/>
  <c r="F63" i="129"/>
  <c r="D63" i="129"/>
  <c r="Z62" i="129"/>
  <c r="X62" i="129"/>
  <c r="V62" i="129"/>
  <c r="T62" i="129"/>
  <c r="R62" i="129"/>
  <c r="P62" i="129"/>
  <c r="N62" i="129"/>
  <c r="L62" i="129"/>
  <c r="J62" i="129"/>
  <c r="H62" i="129"/>
  <c r="F62" i="129"/>
  <c r="D62" i="129"/>
  <c r="Z61" i="129"/>
  <c r="X61" i="129"/>
  <c r="V61" i="129"/>
  <c r="T61" i="129"/>
  <c r="R61" i="129"/>
  <c r="P61" i="129"/>
  <c r="N61" i="129"/>
  <c r="L61" i="129"/>
  <c r="J61" i="129"/>
  <c r="H61" i="129"/>
  <c r="F61" i="129"/>
  <c r="D61" i="129"/>
  <c r="Z60" i="129"/>
  <c r="X60" i="129"/>
  <c r="V60" i="129"/>
  <c r="T60" i="129"/>
  <c r="R60" i="129"/>
  <c r="P60" i="129"/>
  <c r="N60" i="129"/>
  <c r="L60" i="129"/>
  <c r="J60" i="129"/>
  <c r="H60" i="129"/>
  <c r="F60" i="129"/>
  <c r="D60" i="129"/>
  <c r="Z59" i="129"/>
  <c r="X59" i="129"/>
  <c r="V59" i="129"/>
  <c r="T59" i="129"/>
  <c r="R59" i="129"/>
  <c r="P59" i="129"/>
  <c r="N59" i="129"/>
  <c r="L59" i="129"/>
  <c r="J59" i="129"/>
  <c r="H59" i="129"/>
  <c r="F59" i="129"/>
  <c r="D59" i="129"/>
  <c r="Z58" i="129"/>
  <c r="X58" i="129"/>
  <c r="V58" i="129"/>
  <c r="T58" i="129"/>
  <c r="R58" i="129"/>
  <c r="P58" i="129"/>
  <c r="N58" i="129"/>
  <c r="L58" i="129"/>
  <c r="J58" i="129"/>
  <c r="H58" i="129"/>
  <c r="F58" i="129"/>
  <c r="D58" i="129"/>
  <c r="Z57" i="129"/>
  <c r="X57" i="129"/>
  <c r="V57" i="129"/>
  <c r="T57" i="129"/>
  <c r="R57" i="129"/>
  <c r="P57" i="129"/>
  <c r="N57" i="129"/>
  <c r="L57" i="129"/>
  <c r="J57" i="129"/>
  <c r="H57" i="129"/>
  <c r="F57" i="129"/>
  <c r="D57" i="129"/>
  <c r="Z56" i="129"/>
  <c r="X56" i="129"/>
  <c r="V56" i="129"/>
  <c r="T56" i="129"/>
  <c r="R56" i="129"/>
  <c r="P56" i="129"/>
  <c r="N56" i="129"/>
  <c r="L56" i="129"/>
  <c r="J56" i="129"/>
  <c r="H56" i="129"/>
  <c r="F56" i="129"/>
  <c r="D56" i="129"/>
  <c r="Z55" i="129"/>
  <c r="X55" i="129"/>
  <c r="V55" i="129"/>
  <c r="T55" i="129"/>
  <c r="R55" i="129"/>
  <c r="P55" i="129"/>
  <c r="N55" i="129"/>
  <c r="L55" i="129"/>
  <c r="J55" i="129"/>
  <c r="H55" i="129"/>
  <c r="F55" i="129"/>
  <c r="D55" i="129"/>
  <c r="Z54" i="129"/>
  <c r="X54" i="129"/>
  <c r="V54" i="129"/>
  <c r="T54" i="129"/>
  <c r="R54" i="129"/>
  <c r="P54" i="129"/>
  <c r="N54" i="129"/>
  <c r="L54" i="129"/>
  <c r="J54" i="129"/>
  <c r="H54" i="129"/>
  <c r="F54" i="129"/>
  <c r="D54" i="129"/>
  <c r="Z53" i="129"/>
  <c r="X53" i="129"/>
  <c r="V53" i="129"/>
  <c r="T53" i="129"/>
  <c r="R53" i="129"/>
  <c r="P53" i="129"/>
  <c r="N53" i="129"/>
  <c r="L53" i="129"/>
  <c r="J53" i="129"/>
  <c r="H53" i="129"/>
  <c r="F53" i="129"/>
  <c r="D53" i="129"/>
  <c r="Z52" i="129"/>
  <c r="X52" i="129"/>
  <c r="V52" i="129"/>
  <c r="T52" i="129"/>
  <c r="R52" i="129"/>
  <c r="P52" i="129"/>
  <c r="N52" i="129"/>
  <c r="L52" i="129"/>
  <c r="J52" i="129"/>
  <c r="H52" i="129"/>
  <c r="F52" i="129"/>
  <c r="D52" i="129"/>
  <c r="Z51" i="129"/>
  <c r="X51" i="129"/>
  <c r="V51" i="129"/>
  <c r="T51" i="129"/>
  <c r="R51" i="129"/>
  <c r="P51" i="129"/>
  <c r="N51" i="129"/>
  <c r="L51" i="129"/>
  <c r="J51" i="129"/>
  <c r="H51" i="129"/>
  <c r="F51" i="129"/>
  <c r="D51" i="129"/>
  <c r="Z50" i="129"/>
  <c r="X50" i="129"/>
  <c r="V50" i="129"/>
  <c r="T50" i="129"/>
  <c r="R50" i="129"/>
  <c r="P50" i="129"/>
  <c r="N50" i="129"/>
  <c r="L50" i="129"/>
  <c r="J50" i="129"/>
  <c r="H50" i="129"/>
  <c r="F50" i="129"/>
  <c r="D50" i="129"/>
  <c r="Z49" i="129"/>
  <c r="X49" i="129"/>
  <c r="V49" i="129"/>
  <c r="T49" i="129"/>
  <c r="R49" i="129"/>
  <c r="P49" i="129"/>
  <c r="N49" i="129"/>
  <c r="L49" i="129"/>
  <c r="J49" i="129"/>
  <c r="H49" i="129"/>
  <c r="F49" i="129"/>
  <c r="D49" i="129"/>
  <c r="Z48" i="129"/>
  <c r="X48" i="129"/>
  <c r="V48" i="129"/>
  <c r="T48" i="129"/>
  <c r="R48" i="129"/>
  <c r="P48" i="129"/>
  <c r="N48" i="129"/>
  <c r="L48" i="129"/>
  <c r="J48" i="129"/>
  <c r="H48" i="129"/>
  <c r="F48" i="129"/>
  <c r="D48" i="129"/>
  <c r="Z47" i="129"/>
  <c r="X47" i="129"/>
  <c r="V47" i="129"/>
  <c r="T47" i="129"/>
  <c r="R47" i="129"/>
  <c r="P47" i="129"/>
  <c r="N47" i="129"/>
  <c r="L47" i="129"/>
  <c r="J47" i="129"/>
  <c r="H47" i="129"/>
  <c r="F47" i="129"/>
  <c r="D47" i="129"/>
  <c r="Z46" i="129"/>
  <c r="X46" i="129"/>
  <c r="V46" i="129"/>
  <c r="T46" i="129"/>
  <c r="R46" i="129"/>
  <c r="P46" i="129"/>
  <c r="N46" i="129"/>
  <c r="L46" i="129"/>
  <c r="J46" i="129"/>
  <c r="H46" i="129"/>
  <c r="F46" i="129"/>
  <c r="D46" i="129"/>
  <c r="Z45" i="129"/>
  <c r="X45" i="129"/>
  <c r="V45" i="129"/>
  <c r="T45" i="129"/>
  <c r="R45" i="129"/>
  <c r="P45" i="129"/>
  <c r="N45" i="129"/>
  <c r="L45" i="129"/>
  <c r="J45" i="129"/>
  <c r="H45" i="129"/>
  <c r="F45" i="129"/>
  <c r="D45" i="129"/>
  <c r="Z44" i="129"/>
  <c r="X44" i="129"/>
  <c r="V44" i="129"/>
  <c r="T44" i="129"/>
  <c r="R44" i="129"/>
  <c r="P44" i="129"/>
  <c r="N44" i="129"/>
  <c r="L44" i="129"/>
  <c r="J44" i="129"/>
  <c r="H44" i="129"/>
  <c r="F44" i="129"/>
  <c r="D44" i="129"/>
  <c r="Z43" i="129"/>
  <c r="X43" i="129"/>
  <c r="V43" i="129"/>
  <c r="T43" i="129"/>
  <c r="R43" i="129"/>
  <c r="P43" i="129"/>
  <c r="N43" i="129"/>
  <c r="L43" i="129"/>
  <c r="J43" i="129"/>
  <c r="H43" i="129"/>
  <c r="F43" i="129"/>
  <c r="D43" i="129"/>
  <c r="Z42" i="129"/>
  <c r="X42" i="129"/>
  <c r="V42" i="129"/>
  <c r="T42" i="129"/>
  <c r="R42" i="129"/>
  <c r="P42" i="129"/>
  <c r="N42" i="129"/>
  <c r="L42" i="129"/>
  <c r="J42" i="129"/>
  <c r="H42" i="129"/>
  <c r="F42" i="129"/>
  <c r="D42" i="129"/>
  <c r="Z41" i="129"/>
  <c r="X41" i="129"/>
  <c r="V41" i="129"/>
  <c r="T41" i="129"/>
  <c r="R41" i="129"/>
  <c r="P41" i="129"/>
  <c r="N41" i="129"/>
  <c r="L41" i="129"/>
  <c r="J41" i="129"/>
  <c r="H41" i="129"/>
  <c r="F41" i="129"/>
  <c r="D41" i="129"/>
  <c r="Z40" i="129"/>
  <c r="X40" i="129"/>
  <c r="V40" i="129"/>
  <c r="T40" i="129"/>
  <c r="R40" i="129"/>
  <c r="P40" i="129"/>
  <c r="N40" i="129"/>
  <c r="L40" i="129"/>
  <c r="J40" i="129"/>
  <c r="H40" i="129"/>
  <c r="F40" i="129"/>
  <c r="D40" i="129"/>
  <c r="Z39" i="129"/>
  <c r="X39" i="129"/>
  <c r="V39" i="129"/>
  <c r="T39" i="129"/>
  <c r="R39" i="129"/>
  <c r="P39" i="129"/>
  <c r="N39" i="129"/>
  <c r="L39" i="129"/>
  <c r="J39" i="129"/>
  <c r="H39" i="129"/>
  <c r="F39" i="129"/>
  <c r="D39" i="129"/>
  <c r="Z38" i="129"/>
  <c r="X38" i="129"/>
  <c r="V38" i="129"/>
  <c r="T38" i="129"/>
  <c r="R38" i="129"/>
  <c r="P38" i="129"/>
  <c r="N38" i="129"/>
  <c r="L38" i="129"/>
  <c r="J38" i="129"/>
  <c r="H38" i="129"/>
  <c r="F38" i="129"/>
  <c r="D38" i="129"/>
  <c r="Z37" i="129"/>
  <c r="X37" i="129"/>
  <c r="V37" i="129"/>
  <c r="T37" i="129"/>
  <c r="R37" i="129"/>
  <c r="P37" i="129"/>
  <c r="N37" i="129"/>
  <c r="L37" i="129"/>
  <c r="J37" i="129"/>
  <c r="H37" i="129"/>
  <c r="F37" i="129"/>
  <c r="D37" i="129"/>
  <c r="Z36" i="129"/>
  <c r="X36" i="129"/>
  <c r="V36" i="129"/>
  <c r="T36" i="129"/>
  <c r="R36" i="129"/>
  <c r="P36" i="129"/>
  <c r="N36" i="129"/>
  <c r="L36" i="129"/>
  <c r="J36" i="129"/>
  <c r="H36" i="129"/>
  <c r="F36" i="129"/>
  <c r="D36" i="129"/>
  <c r="Z35" i="129"/>
  <c r="X35" i="129"/>
  <c r="V35" i="129"/>
  <c r="T35" i="129"/>
  <c r="R35" i="129"/>
  <c r="P35" i="129"/>
  <c r="N35" i="129"/>
  <c r="L35" i="129"/>
  <c r="J35" i="129"/>
  <c r="H35" i="129"/>
  <c r="F35" i="129"/>
  <c r="D35" i="129"/>
  <c r="Z34" i="129"/>
  <c r="X34" i="129"/>
  <c r="V34" i="129"/>
  <c r="T34" i="129"/>
  <c r="R34" i="129"/>
  <c r="P34" i="129"/>
  <c r="N34" i="129"/>
  <c r="L34" i="129"/>
  <c r="J34" i="129"/>
  <c r="H34" i="129"/>
  <c r="F34" i="129"/>
  <c r="D34" i="129"/>
  <c r="Z33" i="129"/>
  <c r="X33" i="129"/>
  <c r="V33" i="129"/>
  <c r="T33" i="129"/>
  <c r="R33" i="129"/>
  <c r="P33" i="129"/>
  <c r="N33" i="129"/>
  <c r="L33" i="129"/>
  <c r="J33" i="129"/>
  <c r="H33" i="129"/>
  <c r="F33" i="129"/>
  <c r="D33" i="129"/>
  <c r="Z32" i="129"/>
  <c r="X32" i="129"/>
  <c r="V32" i="129"/>
  <c r="T32" i="129"/>
  <c r="R32" i="129"/>
  <c r="P32" i="129"/>
  <c r="N32" i="129"/>
  <c r="L32" i="129"/>
  <c r="J32" i="129"/>
  <c r="H32" i="129"/>
  <c r="F32" i="129"/>
  <c r="D32" i="129"/>
  <c r="Z31" i="129"/>
  <c r="X31" i="129"/>
  <c r="V31" i="129"/>
  <c r="T31" i="129"/>
  <c r="R31" i="129"/>
  <c r="P31" i="129"/>
  <c r="N31" i="129"/>
  <c r="L31" i="129"/>
  <c r="J31" i="129"/>
  <c r="H31" i="129"/>
  <c r="F31" i="129"/>
  <c r="D31" i="129"/>
  <c r="Z30" i="129"/>
  <c r="X30" i="129"/>
  <c r="V30" i="129"/>
  <c r="T30" i="129"/>
  <c r="R30" i="129"/>
  <c r="P30" i="129"/>
  <c r="N30" i="129"/>
  <c r="L30" i="129"/>
  <c r="J30" i="129"/>
  <c r="H30" i="129"/>
  <c r="F30" i="129"/>
  <c r="D30" i="129"/>
  <c r="Z29" i="129"/>
  <c r="X29" i="129"/>
  <c r="V29" i="129"/>
  <c r="T29" i="129"/>
  <c r="R29" i="129"/>
  <c r="P29" i="129"/>
  <c r="N29" i="129"/>
  <c r="L29" i="129"/>
  <c r="J29" i="129"/>
  <c r="H29" i="129"/>
  <c r="F29" i="129"/>
  <c r="D29" i="129"/>
  <c r="Z28" i="129"/>
  <c r="X28" i="129"/>
  <c r="V28" i="129"/>
  <c r="T28" i="129"/>
  <c r="R28" i="129"/>
  <c r="P28" i="129"/>
  <c r="N28" i="129"/>
  <c r="L28" i="129"/>
  <c r="J28" i="129"/>
  <c r="H28" i="129"/>
  <c r="F28" i="129"/>
  <c r="D28" i="129"/>
  <c r="Z27" i="129"/>
  <c r="X27" i="129"/>
  <c r="V27" i="129"/>
  <c r="T27" i="129"/>
  <c r="R27" i="129"/>
  <c r="P27" i="129"/>
  <c r="N27" i="129"/>
  <c r="L27" i="129"/>
  <c r="J27" i="129"/>
  <c r="H27" i="129"/>
  <c r="F27" i="129"/>
  <c r="D27" i="129"/>
  <c r="Z26" i="129"/>
  <c r="X26" i="129"/>
  <c r="V26" i="129"/>
  <c r="T26" i="129"/>
  <c r="R26" i="129"/>
  <c r="P26" i="129"/>
  <c r="N26" i="129"/>
  <c r="L26" i="129"/>
  <c r="J26" i="129"/>
  <c r="H26" i="129"/>
  <c r="F26" i="129"/>
  <c r="D26" i="129"/>
  <c r="Z25" i="129"/>
  <c r="X25" i="129"/>
  <c r="V25" i="129"/>
  <c r="T25" i="129"/>
  <c r="R25" i="129"/>
  <c r="P25" i="129"/>
  <c r="N25" i="129"/>
  <c r="L25" i="129"/>
  <c r="J25" i="129"/>
  <c r="H25" i="129"/>
  <c r="F25" i="129"/>
  <c r="D25" i="129"/>
  <c r="Z24" i="129"/>
  <c r="X24" i="129"/>
  <c r="V24" i="129"/>
  <c r="T24" i="129"/>
  <c r="R24" i="129"/>
  <c r="P24" i="129"/>
  <c r="N24" i="129"/>
  <c r="L24" i="129"/>
  <c r="J24" i="129"/>
  <c r="H24" i="129"/>
  <c r="F24" i="129"/>
  <c r="D24" i="129"/>
  <c r="Z23" i="129"/>
  <c r="X23" i="129"/>
  <c r="V23" i="129"/>
  <c r="T23" i="129"/>
  <c r="R23" i="129"/>
  <c r="P23" i="129"/>
  <c r="N23" i="129"/>
  <c r="L23" i="129"/>
  <c r="J23" i="129"/>
  <c r="H23" i="129"/>
  <c r="F23" i="129"/>
  <c r="D23" i="129"/>
  <c r="Z22" i="129"/>
  <c r="X22" i="129"/>
  <c r="V22" i="129"/>
  <c r="T22" i="129"/>
  <c r="R22" i="129"/>
  <c r="P22" i="129"/>
  <c r="N22" i="129"/>
  <c r="L22" i="129"/>
  <c r="J22" i="129"/>
  <c r="H22" i="129"/>
  <c r="F22" i="129"/>
  <c r="D22" i="129"/>
  <c r="Z21" i="129"/>
  <c r="X21" i="129"/>
  <c r="V21" i="129"/>
  <c r="T21" i="129"/>
  <c r="R21" i="129"/>
  <c r="P21" i="129"/>
  <c r="N21" i="129"/>
  <c r="L21" i="129"/>
  <c r="J21" i="129"/>
  <c r="H21" i="129"/>
  <c r="F21" i="129"/>
  <c r="D21" i="129"/>
  <c r="Z20" i="129"/>
  <c r="X20" i="129"/>
  <c r="V20" i="129"/>
  <c r="T20" i="129"/>
  <c r="R20" i="129"/>
  <c r="P20" i="129"/>
  <c r="N20" i="129"/>
  <c r="L20" i="129"/>
  <c r="J20" i="129"/>
  <c r="H20" i="129"/>
  <c r="F20" i="129"/>
  <c r="D20" i="129"/>
  <c r="Z19" i="129"/>
  <c r="X19" i="129"/>
  <c r="V19" i="129"/>
  <c r="T19" i="129"/>
  <c r="R19" i="129"/>
  <c r="P19" i="129"/>
  <c r="N19" i="129"/>
  <c r="L19" i="129"/>
  <c r="J19" i="129"/>
  <c r="H19" i="129"/>
  <c r="F19" i="129"/>
  <c r="D19" i="129"/>
  <c r="Z18" i="129"/>
  <c r="X18" i="129"/>
  <c r="V18" i="129"/>
  <c r="T18" i="129"/>
  <c r="R18" i="129"/>
  <c r="P18" i="129"/>
  <c r="N18" i="129"/>
  <c r="L18" i="129"/>
  <c r="J18" i="129"/>
  <c r="H18" i="129"/>
  <c r="F18" i="129"/>
  <c r="D18" i="129"/>
  <c r="Z17" i="129"/>
  <c r="X17" i="129"/>
  <c r="V17" i="129"/>
  <c r="T17" i="129"/>
  <c r="R17" i="129"/>
  <c r="P17" i="129"/>
  <c r="N17" i="129"/>
  <c r="L17" i="129"/>
  <c r="J17" i="129"/>
  <c r="H17" i="129"/>
  <c r="F17" i="129"/>
  <c r="D17" i="129"/>
  <c r="Z16" i="129"/>
  <c r="X16" i="129"/>
  <c r="V16" i="129"/>
  <c r="T16" i="129"/>
  <c r="R16" i="129"/>
  <c r="P16" i="129"/>
  <c r="N16" i="129"/>
  <c r="L16" i="129"/>
  <c r="J16" i="129"/>
  <c r="H16" i="129"/>
  <c r="F16" i="129"/>
  <c r="D16" i="129"/>
  <c r="Z15" i="129"/>
  <c r="X15" i="129"/>
  <c r="V15" i="129"/>
  <c r="T15" i="129"/>
  <c r="R15" i="129"/>
  <c r="P15" i="129"/>
  <c r="N15" i="129"/>
  <c r="L15" i="129"/>
  <c r="J15" i="129"/>
  <c r="H15" i="129"/>
  <c r="F15" i="129"/>
  <c r="D15" i="129"/>
  <c r="Z14" i="129"/>
  <c r="X14" i="129"/>
  <c r="V14" i="129"/>
  <c r="T14" i="129"/>
  <c r="R14" i="129"/>
  <c r="P14" i="129"/>
  <c r="N14" i="129"/>
  <c r="L14" i="129"/>
  <c r="J14" i="129"/>
  <c r="H14" i="129"/>
  <c r="F14" i="129"/>
  <c r="D14" i="129"/>
  <c r="Z13" i="129"/>
  <c r="X13" i="129"/>
  <c r="V13" i="129"/>
  <c r="T13" i="129"/>
  <c r="R13" i="129"/>
  <c r="P13" i="129"/>
  <c r="N13" i="129"/>
  <c r="L13" i="129"/>
  <c r="J13" i="129"/>
  <c r="H13" i="129"/>
  <c r="F13" i="129"/>
  <c r="D13" i="129"/>
  <c r="Z12" i="129"/>
  <c r="X12" i="129"/>
  <c r="V12" i="129"/>
  <c r="T12" i="129"/>
  <c r="R12" i="129"/>
  <c r="P12" i="129"/>
  <c r="N12" i="129"/>
  <c r="L12" i="129"/>
  <c r="J12" i="129"/>
  <c r="H12" i="129"/>
  <c r="F12" i="129"/>
  <c r="D12" i="129"/>
  <c r="Z11" i="129"/>
  <c r="X11" i="129"/>
  <c r="V11" i="129"/>
  <c r="T11" i="129"/>
  <c r="R11" i="129"/>
  <c r="P11" i="129"/>
  <c r="N11" i="129"/>
  <c r="L11" i="129"/>
  <c r="J11" i="129"/>
  <c r="H11" i="129"/>
  <c r="F11" i="129"/>
  <c r="D11" i="129"/>
  <c r="Z10" i="129"/>
  <c r="X10" i="129"/>
  <c r="V10" i="129"/>
  <c r="T10" i="129"/>
  <c r="R10" i="129"/>
  <c r="P10" i="129"/>
  <c r="N10" i="129"/>
  <c r="L10" i="129"/>
  <c r="J10" i="129"/>
  <c r="H10" i="129"/>
  <c r="F10" i="129"/>
  <c r="D10" i="129"/>
  <c r="Z9" i="129"/>
  <c r="X9" i="129"/>
  <c r="V9" i="129"/>
  <c r="T9" i="129"/>
  <c r="R9" i="129"/>
  <c r="P9" i="129"/>
  <c r="N9" i="129"/>
  <c r="L9" i="129"/>
  <c r="J9" i="129"/>
  <c r="H9" i="129"/>
  <c r="F9" i="129"/>
  <c r="D9" i="129"/>
  <c r="Z8" i="129"/>
  <c r="X8" i="129"/>
  <c r="V8" i="129"/>
  <c r="T8" i="129"/>
  <c r="R8" i="129"/>
  <c r="P8" i="129"/>
  <c r="N8" i="129"/>
  <c r="L8" i="129"/>
  <c r="J8" i="129"/>
  <c r="H8" i="129"/>
  <c r="F8" i="129"/>
  <c r="D8" i="129"/>
  <c r="Z7" i="129"/>
  <c r="X7" i="129"/>
  <c r="V7" i="129"/>
  <c r="T7" i="129"/>
  <c r="R7" i="129"/>
  <c r="P7" i="129"/>
  <c r="N7" i="129"/>
  <c r="L7" i="129"/>
  <c r="J7" i="129"/>
  <c r="H7" i="129"/>
  <c r="F7" i="129"/>
  <c r="D7" i="129"/>
  <c r="Z6" i="129"/>
  <c r="X6" i="129"/>
  <c r="V6" i="129"/>
  <c r="T6" i="129"/>
  <c r="R6" i="129"/>
  <c r="P6" i="129"/>
  <c r="N6" i="129"/>
  <c r="L6" i="129"/>
  <c r="J6" i="129"/>
  <c r="H6" i="129"/>
  <c r="F6" i="129"/>
  <c r="D6" i="129"/>
  <c r="Z5" i="129"/>
  <c r="X5" i="129"/>
  <c r="V5" i="129"/>
  <c r="T5" i="129"/>
  <c r="R5" i="129"/>
  <c r="P5" i="129"/>
  <c r="N5" i="129"/>
  <c r="L5" i="129"/>
  <c r="J5" i="129"/>
  <c r="H5" i="129"/>
  <c r="F5" i="129"/>
  <c r="D5" i="129"/>
  <c r="Z4" i="129"/>
  <c r="X4" i="129"/>
  <c r="W110" i="129" s="1"/>
  <c r="W115" i="129" s="1"/>
  <c r="V4" i="129"/>
  <c r="V110" i="129" s="1"/>
  <c r="T4" i="129"/>
  <c r="R4" i="129"/>
  <c r="R110" i="129" s="1"/>
  <c r="R115" i="129" s="1"/>
  <c r="P4" i="129"/>
  <c r="N4" i="129"/>
  <c r="L4" i="129"/>
  <c r="L110" i="129" s="1"/>
  <c r="L115" i="129" s="1"/>
  <c r="J4" i="129"/>
  <c r="H4" i="129"/>
  <c r="G110" i="129" s="1"/>
  <c r="G115" i="129" s="1"/>
  <c r="F4" i="129"/>
  <c r="F110" i="129" s="1"/>
  <c r="D4" i="129"/>
  <c r="AB5" i="75"/>
  <c r="AB6" i="75"/>
  <c r="AB7" i="75"/>
  <c r="AB8" i="75"/>
  <c r="AB9" i="75"/>
  <c r="AB10" i="75"/>
  <c r="AB11" i="75"/>
  <c r="AB12" i="75"/>
  <c r="AB13" i="75"/>
  <c r="AB14" i="75"/>
  <c r="AB15" i="75"/>
  <c r="AB16" i="75"/>
  <c r="AB17" i="75"/>
  <c r="AB18" i="75"/>
  <c r="AB19" i="75"/>
  <c r="AB20" i="75"/>
  <c r="AB21" i="75"/>
  <c r="AB22" i="75"/>
  <c r="AB23" i="75"/>
  <c r="AB24" i="75"/>
  <c r="AB25" i="75"/>
  <c r="AB26" i="75"/>
  <c r="AB27" i="75"/>
  <c r="AB28" i="75"/>
  <c r="AB29" i="75"/>
  <c r="AB30" i="75"/>
  <c r="AB31" i="75"/>
  <c r="AB32" i="75"/>
  <c r="AB33" i="75"/>
  <c r="AB34" i="75"/>
  <c r="AB35" i="75"/>
  <c r="AB36" i="75"/>
  <c r="AB37" i="75"/>
  <c r="AB38" i="75"/>
  <c r="AB39" i="75"/>
  <c r="AB40" i="75"/>
  <c r="AB41" i="75"/>
  <c r="AB42" i="75"/>
  <c r="AB43" i="75"/>
  <c r="AB44" i="75"/>
  <c r="AB45" i="75"/>
  <c r="AB46" i="75"/>
  <c r="AB47" i="75"/>
  <c r="AB48" i="75"/>
  <c r="AB49" i="75"/>
  <c r="AB50" i="75"/>
  <c r="AB51" i="75"/>
  <c r="AB52" i="75"/>
  <c r="AB53" i="75"/>
  <c r="AB54" i="75"/>
  <c r="AB55" i="75"/>
  <c r="AB56" i="75"/>
  <c r="AB57" i="75"/>
  <c r="AB58" i="75"/>
  <c r="AB59" i="75"/>
  <c r="AB60" i="75"/>
  <c r="AB61" i="75"/>
  <c r="AB62" i="75"/>
  <c r="AB63" i="75"/>
  <c r="AB64" i="75"/>
  <c r="AB65" i="75"/>
  <c r="AB66" i="75"/>
  <c r="AB67" i="75"/>
  <c r="AB68" i="75"/>
  <c r="AB69" i="75"/>
  <c r="AB70" i="75"/>
  <c r="AB71" i="75"/>
  <c r="AB72" i="75"/>
  <c r="AB73" i="75"/>
  <c r="AB74" i="75"/>
  <c r="AB75" i="75"/>
  <c r="AB76" i="75"/>
  <c r="AB77" i="75"/>
  <c r="AB78" i="75"/>
  <c r="AB79" i="75"/>
  <c r="AB80" i="75"/>
  <c r="AB81" i="75"/>
  <c r="AB82" i="75"/>
  <c r="AB83" i="75"/>
  <c r="AB84" i="75"/>
  <c r="AB85" i="75"/>
  <c r="AB86" i="75"/>
  <c r="AB87" i="75"/>
  <c r="AB88" i="75"/>
  <c r="AB89" i="75"/>
  <c r="AB90" i="75"/>
  <c r="AB91" i="75"/>
  <c r="AB92" i="75"/>
  <c r="AB4" i="75"/>
  <c r="V14" i="106"/>
  <c r="R4" i="106"/>
  <c r="Z81" i="88"/>
  <c r="X81" i="88"/>
  <c r="V81" i="88"/>
  <c r="T81" i="88"/>
  <c r="R81" i="88"/>
  <c r="P81" i="88"/>
  <c r="N81" i="88"/>
  <c r="J81" i="88"/>
  <c r="H81" i="88"/>
  <c r="F81" i="88"/>
  <c r="P116" i="129" l="1"/>
  <c r="N110" i="129"/>
  <c r="N115" i="129" s="1"/>
  <c r="O110" i="129"/>
  <c r="G111" i="129"/>
  <c r="W111" i="129"/>
  <c r="O112" i="129"/>
  <c r="O113" i="129"/>
  <c r="O116" i="129" s="1"/>
  <c r="H112" i="129"/>
  <c r="D110" i="129"/>
  <c r="S110" i="129"/>
  <c r="S115" i="129" s="1"/>
  <c r="K110" i="129"/>
  <c r="K111" i="129"/>
  <c r="C111" i="129"/>
  <c r="S111" i="129"/>
  <c r="S116" i="129" s="1"/>
  <c r="C112" i="129"/>
  <c r="S112" i="129"/>
  <c r="S117" i="129" s="1"/>
  <c r="K112" i="129"/>
  <c r="C113" i="129"/>
  <c r="S113" i="129"/>
  <c r="K113" i="129"/>
  <c r="H110" i="129"/>
  <c r="H115" i="129" s="1"/>
  <c r="X112" i="129"/>
  <c r="X117" i="129" s="1"/>
  <c r="N111" i="129"/>
  <c r="F112" i="129"/>
  <c r="F117" i="129" s="1"/>
  <c r="V112" i="129"/>
  <c r="F113" i="129"/>
  <c r="F116" i="129" s="1"/>
  <c r="V113" i="129"/>
  <c r="V115" i="129" s="1"/>
  <c r="P110" i="129"/>
  <c r="P115" i="129" s="1"/>
  <c r="H113" i="129"/>
  <c r="X110" i="129"/>
  <c r="P113" i="129"/>
  <c r="P117" i="129" s="1"/>
  <c r="J110" i="129"/>
  <c r="Z110" i="129"/>
  <c r="Z115" i="129" s="1"/>
  <c r="R111" i="129"/>
  <c r="J112" i="129"/>
  <c r="Z112" i="129"/>
  <c r="Z117" i="129" s="1"/>
  <c r="J113" i="129"/>
  <c r="J116" i="129" s="1"/>
  <c r="Z113" i="129"/>
  <c r="Z116" i="129" s="1"/>
  <c r="H111" i="129"/>
  <c r="H116" i="129" s="1"/>
  <c r="X113" i="129"/>
  <c r="X116" i="129" s="1"/>
  <c r="D116" i="129"/>
  <c r="G116" i="129"/>
  <c r="W116" i="129"/>
  <c r="D115" i="129"/>
  <c r="T116" i="129"/>
  <c r="R117" i="129"/>
  <c r="N116" i="129"/>
  <c r="R116" i="129"/>
  <c r="C110" i="129"/>
  <c r="C115" i="129" s="1"/>
  <c r="T110" i="129"/>
  <c r="L111" i="129"/>
  <c r="L116" i="129" s="1"/>
  <c r="D112" i="129"/>
  <c r="D117" i="129" s="1"/>
  <c r="T112" i="129"/>
  <c r="T117" i="129" s="1"/>
  <c r="D113" i="129"/>
  <c r="T113" i="129"/>
  <c r="E110" i="129"/>
  <c r="M110" i="129"/>
  <c r="M115" i="129" s="1"/>
  <c r="U110" i="129"/>
  <c r="E111" i="129"/>
  <c r="M111" i="129"/>
  <c r="M116" i="129" s="1"/>
  <c r="U111" i="129"/>
  <c r="U116" i="129" s="1"/>
  <c r="E112" i="129"/>
  <c r="M112" i="129"/>
  <c r="M117" i="129" s="1"/>
  <c r="U112" i="129"/>
  <c r="U117" i="129" s="1"/>
  <c r="E113" i="129"/>
  <c r="M113" i="129"/>
  <c r="U113" i="129"/>
  <c r="I110" i="129"/>
  <c r="Q110" i="129"/>
  <c r="Q115" i="129" s="1"/>
  <c r="Y110" i="129"/>
  <c r="I111" i="129"/>
  <c r="Q111" i="129"/>
  <c r="Q116" i="129" s="1"/>
  <c r="Y111" i="129"/>
  <c r="Y116" i="129" s="1"/>
  <c r="I112" i="129"/>
  <c r="Q112" i="129"/>
  <c r="Q117" i="129" s="1"/>
  <c r="Y112" i="129"/>
  <c r="Y117" i="129" s="1"/>
  <c r="I113" i="129"/>
  <c r="Q113" i="129"/>
  <c r="Y113" i="129"/>
  <c r="J115" i="129" l="1"/>
  <c r="C116" i="129"/>
  <c r="O117" i="129"/>
  <c r="K116" i="129"/>
  <c r="X115" i="129"/>
  <c r="V117" i="129"/>
  <c r="K115" i="129"/>
  <c r="O115" i="129"/>
  <c r="F115" i="129"/>
  <c r="K117" i="129"/>
  <c r="V116" i="129"/>
  <c r="J117" i="129"/>
  <c r="C117" i="129"/>
  <c r="H117" i="129"/>
  <c r="E115" i="129"/>
  <c r="I116" i="129"/>
  <c r="Y115" i="129"/>
  <c r="E117" i="129"/>
  <c r="I115" i="129"/>
  <c r="E116" i="129"/>
  <c r="I117" i="129"/>
  <c r="U115" i="129"/>
  <c r="T115" i="129"/>
  <c r="Z22" i="43" l="1"/>
  <c r="Y22" i="43"/>
  <c r="X22" i="43"/>
  <c r="W22" i="43"/>
  <c r="V22" i="43"/>
  <c r="U22" i="43"/>
  <c r="T22" i="43"/>
  <c r="S22" i="43"/>
  <c r="R22" i="43"/>
  <c r="Q22" i="43"/>
  <c r="P22" i="43"/>
  <c r="O22" i="43"/>
  <c r="N22" i="43"/>
  <c r="M22" i="43"/>
  <c r="L22" i="43"/>
  <c r="K22" i="43"/>
  <c r="J22" i="43"/>
  <c r="I22" i="43"/>
  <c r="H22" i="43"/>
  <c r="G22" i="43"/>
  <c r="F22" i="43"/>
  <c r="E22" i="43"/>
  <c r="D22" i="43"/>
  <c r="C22" i="43"/>
  <c r="Z8" i="43"/>
  <c r="Z7" i="43"/>
  <c r="Z6" i="43"/>
  <c r="Z5" i="43"/>
  <c r="X8" i="43"/>
  <c r="X7" i="43"/>
  <c r="X6" i="43"/>
  <c r="X5" i="43"/>
  <c r="V8" i="43"/>
  <c r="V7" i="43"/>
  <c r="V6" i="43"/>
  <c r="V5" i="43"/>
  <c r="T8" i="43"/>
  <c r="T7" i="43"/>
  <c r="T6" i="43"/>
  <c r="T5" i="43"/>
  <c r="R6" i="43"/>
  <c r="R7" i="43"/>
  <c r="R8" i="43"/>
  <c r="R5" i="43"/>
  <c r="P6" i="43"/>
  <c r="P7" i="43"/>
  <c r="P8" i="43"/>
  <c r="P5" i="43"/>
  <c r="N6" i="43"/>
  <c r="N7" i="43"/>
  <c r="N8" i="43"/>
  <c r="N5" i="43"/>
  <c r="L6" i="43"/>
  <c r="L7" i="43"/>
  <c r="L8" i="43"/>
  <c r="J6" i="43"/>
  <c r="J7" i="43"/>
  <c r="J8" i="43"/>
  <c r="L5" i="43"/>
  <c r="J5" i="43"/>
  <c r="H6" i="43"/>
  <c r="H7" i="43"/>
  <c r="H8" i="43"/>
  <c r="H5" i="43"/>
  <c r="F6" i="43"/>
  <c r="F7" i="43"/>
  <c r="F8" i="43"/>
  <c r="F5" i="43"/>
  <c r="Z27" i="116"/>
  <c r="Y27" i="116"/>
  <c r="X27" i="116"/>
  <c r="W27" i="116"/>
  <c r="V27" i="116"/>
  <c r="U27" i="116"/>
  <c r="T27" i="116"/>
  <c r="S27" i="116"/>
  <c r="R27" i="116"/>
  <c r="Q27" i="116"/>
  <c r="P27" i="116"/>
  <c r="O27" i="116"/>
  <c r="N27" i="116"/>
  <c r="M27" i="116"/>
  <c r="L27" i="116"/>
  <c r="K27" i="116"/>
  <c r="J27" i="116"/>
  <c r="I27" i="116"/>
  <c r="H27" i="116"/>
  <c r="G27" i="116"/>
  <c r="F27" i="116"/>
  <c r="E27" i="116"/>
  <c r="D27" i="116"/>
  <c r="C27" i="116"/>
  <c r="Z18" i="116"/>
  <c r="Z15" i="116"/>
  <c r="X18" i="116"/>
  <c r="X15" i="116"/>
  <c r="V18" i="116"/>
  <c r="V15" i="116"/>
  <c r="T18" i="116"/>
  <c r="T15" i="116"/>
  <c r="Z8" i="116"/>
  <c r="Z7" i="116"/>
  <c r="Z6" i="116"/>
  <c r="Z5" i="116"/>
  <c r="Z25" i="116" s="1"/>
  <c r="X8" i="116"/>
  <c r="X7" i="116"/>
  <c r="X6" i="116"/>
  <c r="X5" i="116"/>
  <c r="V8" i="116"/>
  <c r="V7" i="116"/>
  <c r="V6" i="116"/>
  <c r="V5" i="116"/>
  <c r="V25" i="116" s="1"/>
  <c r="T8" i="116"/>
  <c r="T25" i="116" s="1"/>
  <c r="T7" i="116"/>
  <c r="T6" i="116"/>
  <c r="T5" i="116"/>
  <c r="S25" i="116" s="1"/>
  <c r="R18" i="116"/>
  <c r="R15" i="116"/>
  <c r="R6" i="116"/>
  <c r="R7" i="116"/>
  <c r="R8" i="116"/>
  <c r="R5" i="116"/>
  <c r="R25" i="116" s="1"/>
  <c r="P18" i="116"/>
  <c r="P15" i="116"/>
  <c r="P6" i="116"/>
  <c r="P7" i="116"/>
  <c r="P8" i="116"/>
  <c r="P5" i="116"/>
  <c r="P25" i="116" s="1"/>
  <c r="N18" i="116"/>
  <c r="N15" i="116"/>
  <c r="N6" i="116"/>
  <c r="N7" i="116"/>
  <c r="N8" i="116"/>
  <c r="N5" i="116"/>
  <c r="N25" i="116" s="1"/>
  <c r="L18" i="116"/>
  <c r="L15" i="116"/>
  <c r="J18" i="116"/>
  <c r="J15" i="116"/>
  <c r="L8" i="116"/>
  <c r="L7" i="116"/>
  <c r="L6" i="116"/>
  <c r="L5" i="116"/>
  <c r="K25" i="116" s="1"/>
  <c r="J8" i="116"/>
  <c r="J7" i="116"/>
  <c r="J6" i="116"/>
  <c r="J5" i="116"/>
  <c r="J25" i="116" s="1"/>
  <c r="H18" i="116"/>
  <c r="H15" i="116"/>
  <c r="H6" i="116"/>
  <c r="H7" i="116"/>
  <c r="H8" i="116"/>
  <c r="H5" i="116"/>
  <c r="H25" i="116" s="1"/>
  <c r="F18" i="116"/>
  <c r="F15" i="116"/>
  <c r="F6" i="116"/>
  <c r="F7" i="116"/>
  <c r="F8" i="116"/>
  <c r="F5" i="116"/>
  <c r="F25" i="116" s="1"/>
  <c r="Z48" i="122"/>
  <c r="Y48" i="122"/>
  <c r="X48" i="122"/>
  <c r="X50" i="122" s="1"/>
  <c r="W48" i="122"/>
  <c r="W50" i="122" s="1"/>
  <c r="V48" i="122"/>
  <c r="V50" i="122" s="1"/>
  <c r="U48" i="122"/>
  <c r="T48" i="122"/>
  <c r="T50" i="122" s="1"/>
  <c r="S48" i="122"/>
  <c r="R48" i="122"/>
  <c r="Q48" i="122"/>
  <c r="P48" i="122"/>
  <c r="P50" i="122" s="1"/>
  <c r="O48" i="122"/>
  <c r="N48" i="122"/>
  <c r="M48" i="122"/>
  <c r="L48" i="122"/>
  <c r="K48" i="122"/>
  <c r="K50" i="122" s="1"/>
  <c r="J48" i="122"/>
  <c r="I48" i="122"/>
  <c r="H48" i="122"/>
  <c r="G48" i="122"/>
  <c r="G50" i="122" s="1"/>
  <c r="F48" i="122"/>
  <c r="F50" i="122" s="1"/>
  <c r="E48" i="122"/>
  <c r="D48" i="122"/>
  <c r="D50" i="122" s="1"/>
  <c r="C48" i="122"/>
  <c r="C50" i="122" s="1"/>
  <c r="Z42" i="122"/>
  <c r="Z46" i="122" s="1"/>
  <c r="X42" i="122"/>
  <c r="V42" i="122"/>
  <c r="T42" i="122"/>
  <c r="T46" i="122" s="1"/>
  <c r="R42" i="122"/>
  <c r="R46" i="122" s="1"/>
  <c r="P42" i="122"/>
  <c r="N42" i="122"/>
  <c r="N46" i="122" s="1"/>
  <c r="L42" i="122"/>
  <c r="J42" i="122"/>
  <c r="J46" i="122" s="1"/>
  <c r="H42" i="122"/>
  <c r="F42" i="122"/>
  <c r="D42" i="122"/>
  <c r="Y42" i="122"/>
  <c r="W42" i="122"/>
  <c r="U42" i="122"/>
  <c r="U46" i="122" s="1"/>
  <c r="S42" i="122"/>
  <c r="Q42" i="122"/>
  <c r="Q46" i="122" s="1"/>
  <c r="O42" i="122"/>
  <c r="M42" i="122"/>
  <c r="K42" i="122"/>
  <c r="K46" i="122" s="1"/>
  <c r="I42" i="122"/>
  <c r="I46" i="122" s="1"/>
  <c r="G42" i="122"/>
  <c r="G46" i="122" s="1"/>
  <c r="E42" i="122"/>
  <c r="C42" i="122"/>
  <c r="C46" i="122" s="1"/>
  <c r="Z36" i="122"/>
  <c r="Z35" i="122"/>
  <c r="Z34" i="122"/>
  <c r="Z33" i="122"/>
  <c r="X36" i="122"/>
  <c r="X35" i="122"/>
  <c r="X34" i="122"/>
  <c r="X33" i="122"/>
  <c r="V36" i="122"/>
  <c r="V35" i="122"/>
  <c r="V34" i="122"/>
  <c r="V33" i="122"/>
  <c r="T36" i="122"/>
  <c r="T35" i="122"/>
  <c r="T34" i="122"/>
  <c r="T33" i="122"/>
  <c r="R34" i="122"/>
  <c r="R35" i="122"/>
  <c r="R36" i="122"/>
  <c r="R33" i="122"/>
  <c r="Z11" i="122"/>
  <c r="Z10" i="122"/>
  <c r="Z9" i="122"/>
  <c r="Z8" i="122"/>
  <c r="Z7" i="122"/>
  <c r="Z6" i="122"/>
  <c r="Z5" i="122"/>
  <c r="X11" i="122"/>
  <c r="X10" i="122"/>
  <c r="X9" i="122"/>
  <c r="X8" i="122"/>
  <c r="X7" i="122"/>
  <c r="X6" i="122"/>
  <c r="X5" i="122"/>
  <c r="V11" i="122"/>
  <c r="V10" i="122"/>
  <c r="V9" i="122"/>
  <c r="V8" i="122"/>
  <c r="V7" i="122"/>
  <c r="V6" i="122"/>
  <c r="V5" i="122"/>
  <c r="T11" i="122"/>
  <c r="T10" i="122"/>
  <c r="T9" i="122"/>
  <c r="T8" i="122"/>
  <c r="T7" i="122"/>
  <c r="T6" i="122"/>
  <c r="T5" i="122"/>
  <c r="R6" i="122"/>
  <c r="R7" i="122"/>
  <c r="R8" i="122"/>
  <c r="R9" i="122"/>
  <c r="R10" i="122"/>
  <c r="R11" i="122"/>
  <c r="R5" i="122"/>
  <c r="P34" i="122"/>
  <c r="P35" i="122"/>
  <c r="P36" i="122"/>
  <c r="P33" i="122"/>
  <c r="P6" i="122"/>
  <c r="P7" i="122"/>
  <c r="P8" i="122"/>
  <c r="P9" i="122"/>
  <c r="P10" i="122"/>
  <c r="P11" i="122"/>
  <c r="P5" i="122"/>
  <c r="N34" i="122"/>
  <c r="N35" i="122"/>
  <c r="N36" i="122"/>
  <c r="N33" i="122"/>
  <c r="N6" i="122"/>
  <c r="N7" i="122"/>
  <c r="N8" i="122"/>
  <c r="N9" i="122"/>
  <c r="N10" i="122"/>
  <c r="N11" i="122"/>
  <c r="N5" i="122"/>
  <c r="L36" i="122"/>
  <c r="L35" i="122"/>
  <c r="L34" i="122"/>
  <c r="L33" i="122"/>
  <c r="J36" i="122"/>
  <c r="J35" i="122"/>
  <c r="J34" i="122"/>
  <c r="J33" i="122"/>
  <c r="L11" i="122"/>
  <c r="L10" i="122"/>
  <c r="L9" i="122"/>
  <c r="L8" i="122"/>
  <c r="L7" i="122"/>
  <c r="L6" i="122"/>
  <c r="L5" i="122"/>
  <c r="J11" i="122"/>
  <c r="J10" i="122"/>
  <c r="J9" i="122"/>
  <c r="J8" i="122"/>
  <c r="J7" i="122"/>
  <c r="J6" i="122"/>
  <c r="J5" i="122"/>
  <c r="H34" i="122"/>
  <c r="H35" i="122"/>
  <c r="H36" i="122"/>
  <c r="H33" i="122"/>
  <c r="H6" i="122"/>
  <c r="H7" i="122"/>
  <c r="H8" i="122"/>
  <c r="H9" i="122"/>
  <c r="H10" i="122"/>
  <c r="H11" i="122"/>
  <c r="H5" i="122"/>
  <c r="F34" i="122"/>
  <c r="F35" i="122"/>
  <c r="F36" i="122"/>
  <c r="F33" i="122"/>
  <c r="F6" i="122"/>
  <c r="F7" i="122"/>
  <c r="F8" i="122"/>
  <c r="F9" i="122"/>
  <c r="F10" i="122"/>
  <c r="F11" i="122"/>
  <c r="F12" i="122"/>
  <c r="F5" i="122"/>
  <c r="Z50" i="122"/>
  <c r="Y50" i="122"/>
  <c r="U50" i="122"/>
  <c r="S50" i="122"/>
  <c r="R50" i="122"/>
  <c r="Q50" i="122"/>
  <c r="O50" i="122"/>
  <c r="N50" i="122"/>
  <c r="M50" i="122"/>
  <c r="L50" i="122"/>
  <c r="J50" i="122"/>
  <c r="I50" i="122"/>
  <c r="H50" i="122"/>
  <c r="E50" i="122"/>
  <c r="S46" i="122"/>
  <c r="M46" i="122"/>
  <c r="L46" i="122"/>
  <c r="E46" i="122"/>
  <c r="D46" i="122"/>
  <c r="Y46" i="122"/>
  <c r="X46" i="122"/>
  <c r="W46" i="122"/>
  <c r="V46" i="122"/>
  <c r="P46" i="122"/>
  <c r="O46" i="122"/>
  <c r="H46" i="122"/>
  <c r="F46" i="122"/>
  <c r="Z5" i="106"/>
  <c r="Z6" i="106"/>
  <c r="Z7" i="106"/>
  <c r="Z8" i="106"/>
  <c r="Z9" i="106"/>
  <c r="Z10" i="106"/>
  <c r="Z11" i="106"/>
  <c r="Z12" i="106"/>
  <c r="Z13" i="106"/>
  <c r="Z14" i="106"/>
  <c r="Z15" i="106"/>
  <c r="Z16" i="106"/>
  <c r="Z17" i="106"/>
  <c r="Z18" i="106"/>
  <c r="Z19" i="106"/>
  <c r="Z20" i="106"/>
  <c r="Z21" i="106"/>
  <c r="Z22" i="106"/>
  <c r="Z23" i="106"/>
  <c r="Z24" i="106"/>
  <c r="Z25" i="106"/>
  <c r="Z26" i="106"/>
  <c r="Z27" i="106"/>
  <c r="Z28" i="106"/>
  <c r="Z29" i="106"/>
  <c r="Z30" i="106"/>
  <c r="Z31" i="106"/>
  <c r="Z32" i="106"/>
  <c r="Z33" i="106"/>
  <c r="Z34" i="106"/>
  <c r="Z35" i="106"/>
  <c r="Z36" i="106"/>
  <c r="Z37" i="106"/>
  <c r="Z38" i="106"/>
  <c r="Z39" i="106"/>
  <c r="Z40" i="106"/>
  <c r="Z41" i="106"/>
  <c r="Z42" i="106"/>
  <c r="Z43" i="106"/>
  <c r="Z44" i="106"/>
  <c r="Z45" i="106"/>
  <c r="Z46" i="106"/>
  <c r="Z47" i="106"/>
  <c r="Z48" i="106"/>
  <c r="Z49" i="106"/>
  <c r="Z50" i="106"/>
  <c r="Z51" i="106"/>
  <c r="Z52" i="106"/>
  <c r="Z53" i="106"/>
  <c r="Z54" i="106"/>
  <c r="Z55" i="106"/>
  <c r="Z56" i="106"/>
  <c r="Z57" i="106"/>
  <c r="Z58" i="106"/>
  <c r="Z59" i="106"/>
  <c r="Z60" i="106"/>
  <c r="Z61" i="106"/>
  <c r="Z62" i="106"/>
  <c r="Z63" i="106"/>
  <c r="Z64" i="106"/>
  <c r="Z65" i="106"/>
  <c r="Z66" i="106"/>
  <c r="Z67" i="106"/>
  <c r="Z68" i="106"/>
  <c r="Z69" i="106"/>
  <c r="Z70" i="106"/>
  <c r="Z71" i="106"/>
  <c r="Z72" i="106"/>
  <c r="Z73" i="106"/>
  <c r="Z74" i="106"/>
  <c r="Z75" i="106"/>
  <c r="Z76" i="106"/>
  <c r="Z77" i="106"/>
  <c r="Z78" i="106"/>
  <c r="Z79" i="106"/>
  <c r="Z80" i="106"/>
  <c r="Z81" i="106"/>
  <c r="Z82" i="106"/>
  <c r="Z83" i="106"/>
  <c r="Z84" i="106"/>
  <c r="Z85" i="106"/>
  <c r="Z86" i="106"/>
  <c r="Z87" i="106"/>
  <c r="Z88" i="106"/>
  <c r="Z89" i="106"/>
  <c r="Z90" i="106"/>
  <c r="Z91" i="106"/>
  <c r="Z92" i="106"/>
  <c r="X5" i="106"/>
  <c r="X6" i="106"/>
  <c r="X7" i="106"/>
  <c r="X8" i="106"/>
  <c r="X9" i="106"/>
  <c r="X10" i="106"/>
  <c r="X11" i="106"/>
  <c r="X12" i="106"/>
  <c r="X13" i="106"/>
  <c r="X14" i="106"/>
  <c r="X15" i="106"/>
  <c r="X16" i="106"/>
  <c r="X17" i="106"/>
  <c r="X18" i="106"/>
  <c r="X19" i="106"/>
  <c r="X20" i="106"/>
  <c r="X21" i="106"/>
  <c r="X22" i="106"/>
  <c r="X23" i="106"/>
  <c r="X24" i="106"/>
  <c r="X25" i="106"/>
  <c r="X26" i="106"/>
  <c r="X27" i="106"/>
  <c r="X28" i="106"/>
  <c r="X29" i="106"/>
  <c r="X30" i="106"/>
  <c r="X31" i="106"/>
  <c r="X32" i="106"/>
  <c r="X33" i="106"/>
  <c r="X34" i="106"/>
  <c r="X35" i="106"/>
  <c r="X36" i="106"/>
  <c r="X37" i="106"/>
  <c r="X38" i="106"/>
  <c r="X39" i="106"/>
  <c r="X40" i="106"/>
  <c r="X41" i="106"/>
  <c r="X42" i="106"/>
  <c r="X43" i="106"/>
  <c r="X44" i="106"/>
  <c r="X45" i="106"/>
  <c r="X46" i="106"/>
  <c r="X47" i="106"/>
  <c r="X48" i="106"/>
  <c r="X49" i="106"/>
  <c r="X50" i="106"/>
  <c r="X51" i="106"/>
  <c r="X52" i="106"/>
  <c r="X53" i="106"/>
  <c r="X54" i="106"/>
  <c r="X55" i="106"/>
  <c r="X56" i="106"/>
  <c r="X57" i="106"/>
  <c r="X58" i="106"/>
  <c r="X59" i="106"/>
  <c r="X60" i="106"/>
  <c r="X61" i="106"/>
  <c r="X62" i="106"/>
  <c r="X63" i="106"/>
  <c r="X64" i="106"/>
  <c r="X65" i="106"/>
  <c r="X66" i="106"/>
  <c r="X67" i="106"/>
  <c r="X68" i="106"/>
  <c r="X69" i="106"/>
  <c r="X70" i="106"/>
  <c r="X71" i="106"/>
  <c r="X72" i="106"/>
  <c r="X73" i="106"/>
  <c r="X74" i="106"/>
  <c r="X75" i="106"/>
  <c r="X76" i="106"/>
  <c r="X77" i="106"/>
  <c r="X78" i="106"/>
  <c r="X79" i="106"/>
  <c r="X80" i="106"/>
  <c r="X81" i="106"/>
  <c r="X82" i="106"/>
  <c r="X83" i="106"/>
  <c r="X84" i="106"/>
  <c r="X85" i="106"/>
  <c r="X86" i="106"/>
  <c r="X87" i="106"/>
  <c r="X88" i="106"/>
  <c r="X89" i="106"/>
  <c r="X90" i="106"/>
  <c r="X91" i="106"/>
  <c r="X92" i="106"/>
  <c r="V5" i="106"/>
  <c r="V6" i="106"/>
  <c r="V7" i="106"/>
  <c r="V8" i="106"/>
  <c r="V9" i="106"/>
  <c r="V10" i="106"/>
  <c r="V11" i="106"/>
  <c r="V12" i="106"/>
  <c r="V13" i="106"/>
  <c r="V15" i="106"/>
  <c r="V16" i="106"/>
  <c r="V17" i="106"/>
  <c r="V18" i="106"/>
  <c r="V19" i="106"/>
  <c r="V20" i="106"/>
  <c r="V21" i="106"/>
  <c r="V22" i="106"/>
  <c r="V23" i="106"/>
  <c r="V24" i="106"/>
  <c r="V25" i="106"/>
  <c r="V26" i="106"/>
  <c r="V27" i="106"/>
  <c r="V28" i="106"/>
  <c r="V29" i="106"/>
  <c r="V30" i="106"/>
  <c r="V31" i="106"/>
  <c r="V32" i="106"/>
  <c r="V33" i="106"/>
  <c r="V34" i="106"/>
  <c r="V35" i="106"/>
  <c r="V36" i="106"/>
  <c r="V37" i="106"/>
  <c r="V38" i="106"/>
  <c r="V39" i="106"/>
  <c r="V40" i="106"/>
  <c r="V41" i="106"/>
  <c r="V42" i="106"/>
  <c r="V43" i="106"/>
  <c r="V44" i="106"/>
  <c r="V45" i="106"/>
  <c r="V46" i="106"/>
  <c r="V47" i="106"/>
  <c r="V48" i="106"/>
  <c r="V49" i="106"/>
  <c r="V50" i="106"/>
  <c r="V51" i="106"/>
  <c r="V52" i="106"/>
  <c r="V53" i="106"/>
  <c r="V54" i="106"/>
  <c r="V55" i="106"/>
  <c r="V56" i="106"/>
  <c r="V57" i="106"/>
  <c r="V58" i="106"/>
  <c r="V59" i="106"/>
  <c r="V60" i="106"/>
  <c r="V61" i="106"/>
  <c r="V62" i="106"/>
  <c r="V63" i="106"/>
  <c r="V64" i="106"/>
  <c r="V65" i="106"/>
  <c r="V66" i="106"/>
  <c r="V67" i="106"/>
  <c r="V68" i="106"/>
  <c r="V69" i="106"/>
  <c r="V70" i="106"/>
  <c r="V71" i="106"/>
  <c r="V72" i="106"/>
  <c r="V73" i="106"/>
  <c r="V74" i="106"/>
  <c r="V75" i="106"/>
  <c r="V76" i="106"/>
  <c r="V77" i="106"/>
  <c r="V78" i="106"/>
  <c r="V79" i="106"/>
  <c r="V80" i="106"/>
  <c r="V81" i="106"/>
  <c r="V82" i="106"/>
  <c r="V83" i="106"/>
  <c r="V84" i="106"/>
  <c r="V85" i="106"/>
  <c r="V86" i="106"/>
  <c r="V87" i="106"/>
  <c r="V88" i="106"/>
  <c r="V89" i="106"/>
  <c r="V90" i="106"/>
  <c r="V91" i="106"/>
  <c r="V92" i="106"/>
  <c r="T5" i="106"/>
  <c r="T6" i="106"/>
  <c r="T7" i="106"/>
  <c r="T8" i="106"/>
  <c r="T9" i="106"/>
  <c r="T10" i="106"/>
  <c r="T11" i="106"/>
  <c r="T12" i="106"/>
  <c r="T13" i="106"/>
  <c r="T14" i="106"/>
  <c r="T15" i="106"/>
  <c r="T16" i="106"/>
  <c r="T17" i="106"/>
  <c r="T18" i="106"/>
  <c r="T19" i="106"/>
  <c r="T20" i="106"/>
  <c r="T21" i="106"/>
  <c r="T22" i="106"/>
  <c r="T23" i="106"/>
  <c r="T24" i="106"/>
  <c r="T25" i="106"/>
  <c r="T26" i="106"/>
  <c r="T27" i="106"/>
  <c r="T28" i="106"/>
  <c r="T29" i="106"/>
  <c r="T30" i="106"/>
  <c r="T31" i="106"/>
  <c r="T32" i="106"/>
  <c r="T33" i="106"/>
  <c r="T34" i="106"/>
  <c r="T35" i="106"/>
  <c r="T36" i="106"/>
  <c r="T37" i="106"/>
  <c r="T38" i="106"/>
  <c r="T39" i="106"/>
  <c r="T40" i="106"/>
  <c r="T41" i="106"/>
  <c r="T42" i="106"/>
  <c r="T43" i="106"/>
  <c r="T44" i="106"/>
  <c r="T45" i="106"/>
  <c r="T46" i="106"/>
  <c r="T47" i="106"/>
  <c r="T48" i="106"/>
  <c r="T49" i="106"/>
  <c r="T50" i="106"/>
  <c r="T51" i="106"/>
  <c r="T52" i="106"/>
  <c r="T53" i="106"/>
  <c r="T54" i="106"/>
  <c r="T55" i="106"/>
  <c r="T56" i="106"/>
  <c r="T57" i="106"/>
  <c r="T58" i="106"/>
  <c r="T59" i="106"/>
  <c r="T60" i="106"/>
  <c r="T61" i="106"/>
  <c r="T62" i="106"/>
  <c r="T63" i="106"/>
  <c r="T64" i="106"/>
  <c r="T65" i="106"/>
  <c r="T66" i="106"/>
  <c r="T67" i="106"/>
  <c r="T68" i="106"/>
  <c r="T69" i="106"/>
  <c r="T70" i="106"/>
  <c r="T71" i="106"/>
  <c r="T72" i="106"/>
  <c r="T73" i="106"/>
  <c r="T74" i="106"/>
  <c r="T75" i="106"/>
  <c r="T76" i="106"/>
  <c r="T77" i="106"/>
  <c r="T78" i="106"/>
  <c r="T79" i="106"/>
  <c r="T80" i="106"/>
  <c r="T81" i="106"/>
  <c r="T82" i="106"/>
  <c r="T83" i="106"/>
  <c r="T84" i="106"/>
  <c r="T85" i="106"/>
  <c r="T86" i="106"/>
  <c r="T87" i="106"/>
  <c r="T88" i="106"/>
  <c r="T89" i="106"/>
  <c r="T90" i="106"/>
  <c r="T91" i="106"/>
  <c r="T92" i="106"/>
  <c r="R5" i="106"/>
  <c r="R6" i="106"/>
  <c r="R7" i="106"/>
  <c r="R8" i="106"/>
  <c r="R9" i="106"/>
  <c r="R10" i="106"/>
  <c r="R11" i="106"/>
  <c r="R12" i="106"/>
  <c r="R13" i="106"/>
  <c r="R14" i="106"/>
  <c r="R15" i="106"/>
  <c r="R16" i="106"/>
  <c r="R17" i="106"/>
  <c r="R18" i="106"/>
  <c r="R19" i="106"/>
  <c r="R20" i="106"/>
  <c r="R21" i="106"/>
  <c r="R22" i="106"/>
  <c r="R23" i="106"/>
  <c r="R24" i="106"/>
  <c r="R25" i="106"/>
  <c r="R26" i="106"/>
  <c r="R27" i="106"/>
  <c r="R28" i="106"/>
  <c r="R29" i="106"/>
  <c r="R30" i="106"/>
  <c r="R31" i="106"/>
  <c r="R32" i="106"/>
  <c r="R33" i="106"/>
  <c r="R34" i="106"/>
  <c r="R35" i="106"/>
  <c r="R36" i="106"/>
  <c r="R37" i="106"/>
  <c r="R38" i="106"/>
  <c r="R39" i="106"/>
  <c r="R40" i="106"/>
  <c r="R41" i="106"/>
  <c r="R42" i="106"/>
  <c r="R43" i="106"/>
  <c r="R44" i="106"/>
  <c r="R45" i="106"/>
  <c r="R46" i="106"/>
  <c r="R47" i="106"/>
  <c r="R48" i="106"/>
  <c r="R49" i="106"/>
  <c r="R50" i="106"/>
  <c r="R51" i="106"/>
  <c r="R52" i="106"/>
  <c r="R53" i="106"/>
  <c r="R54" i="106"/>
  <c r="R55" i="106"/>
  <c r="R56" i="106"/>
  <c r="R57" i="106"/>
  <c r="R58" i="106"/>
  <c r="R59" i="106"/>
  <c r="R60" i="106"/>
  <c r="R61" i="106"/>
  <c r="R62" i="106"/>
  <c r="R63" i="106"/>
  <c r="R64" i="106"/>
  <c r="R65" i="106"/>
  <c r="R66" i="106"/>
  <c r="R67" i="106"/>
  <c r="R68" i="106"/>
  <c r="R69" i="106"/>
  <c r="R70" i="106"/>
  <c r="R71" i="106"/>
  <c r="R72" i="106"/>
  <c r="R73" i="106"/>
  <c r="R74" i="106"/>
  <c r="R75" i="106"/>
  <c r="R76" i="106"/>
  <c r="R77" i="106"/>
  <c r="R78" i="106"/>
  <c r="R79" i="106"/>
  <c r="R80" i="106"/>
  <c r="R81" i="106"/>
  <c r="R82" i="106"/>
  <c r="R83" i="106"/>
  <c r="R84" i="106"/>
  <c r="R85" i="106"/>
  <c r="R86" i="106"/>
  <c r="R87" i="106"/>
  <c r="R88" i="106"/>
  <c r="R89" i="106"/>
  <c r="R90" i="106"/>
  <c r="R91" i="106"/>
  <c r="R92" i="106"/>
  <c r="P5" i="106"/>
  <c r="P6" i="106"/>
  <c r="P7" i="106"/>
  <c r="P8" i="106"/>
  <c r="P9" i="106"/>
  <c r="P10" i="106"/>
  <c r="P11" i="106"/>
  <c r="P12" i="106"/>
  <c r="P13" i="106"/>
  <c r="P14" i="106"/>
  <c r="P15" i="106"/>
  <c r="P16" i="106"/>
  <c r="P17" i="106"/>
  <c r="P18" i="106"/>
  <c r="P19" i="106"/>
  <c r="P20" i="106"/>
  <c r="P21" i="106"/>
  <c r="P22" i="106"/>
  <c r="P23" i="106"/>
  <c r="P24" i="106"/>
  <c r="P25" i="106"/>
  <c r="P26" i="106"/>
  <c r="P27" i="106"/>
  <c r="P28" i="106"/>
  <c r="P29" i="106"/>
  <c r="P30" i="106"/>
  <c r="P31" i="106"/>
  <c r="P32" i="106"/>
  <c r="P33" i="106"/>
  <c r="P34" i="106"/>
  <c r="P35" i="106"/>
  <c r="P36" i="106"/>
  <c r="P37" i="106"/>
  <c r="P38" i="106"/>
  <c r="P39" i="106"/>
  <c r="P40" i="106"/>
  <c r="P41" i="106"/>
  <c r="P42" i="106"/>
  <c r="P43" i="106"/>
  <c r="P44" i="106"/>
  <c r="P45" i="106"/>
  <c r="P46" i="106"/>
  <c r="P47" i="106"/>
  <c r="P48" i="106"/>
  <c r="P49" i="106"/>
  <c r="P50" i="106"/>
  <c r="P51" i="106"/>
  <c r="P52" i="106"/>
  <c r="P53" i="106"/>
  <c r="P54" i="106"/>
  <c r="P55" i="106"/>
  <c r="P56" i="106"/>
  <c r="P57" i="106"/>
  <c r="P58" i="106"/>
  <c r="P59" i="106"/>
  <c r="P60" i="106"/>
  <c r="P61" i="106"/>
  <c r="P62" i="106"/>
  <c r="P63" i="106"/>
  <c r="P64" i="106"/>
  <c r="P65" i="106"/>
  <c r="P66" i="106"/>
  <c r="P67" i="106"/>
  <c r="P68" i="106"/>
  <c r="P69" i="106"/>
  <c r="P70" i="106"/>
  <c r="P71" i="106"/>
  <c r="P72" i="106"/>
  <c r="P73" i="106"/>
  <c r="P74" i="106"/>
  <c r="P75" i="106"/>
  <c r="P76" i="106"/>
  <c r="P77" i="106"/>
  <c r="P78" i="106"/>
  <c r="P79" i="106"/>
  <c r="P80" i="106"/>
  <c r="P81" i="106"/>
  <c r="P82" i="106"/>
  <c r="P83" i="106"/>
  <c r="P84" i="106"/>
  <c r="P85" i="106"/>
  <c r="P86" i="106"/>
  <c r="P87" i="106"/>
  <c r="P88" i="106"/>
  <c r="P89" i="106"/>
  <c r="P90" i="106"/>
  <c r="P91" i="106"/>
  <c r="P92" i="106"/>
  <c r="N5" i="106"/>
  <c r="N6" i="106"/>
  <c r="N7" i="106"/>
  <c r="N8" i="106"/>
  <c r="N9" i="106"/>
  <c r="N10" i="106"/>
  <c r="N11" i="106"/>
  <c r="N12" i="106"/>
  <c r="N13" i="106"/>
  <c r="N14" i="106"/>
  <c r="N15" i="106"/>
  <c r="N16" i="106"/>
  <c r="N17" i="106"/>
  <c r="N18" i="106"/>
  <c r="N19" i="106"/>
  <c r="N20" i="106"/>
  <c r="N21" i="106"/>
  <c r="N22" i="106"/>
  <c r="N23" i="106"/>
  <c r="N24" i="106"/>
  <c r="N25" i="106"/>
  <c r="N26" i="106"/>
  <c r="N27" i="106"/>
  <c r="N28" i="106"/>
  <c r="N29" i="106"/>
  <c r="N30" i="106"/>
  <c r="N31" i="106"/>
  <c r="N32" i="106"/>
  <c r="N33" i="106"/>
  <c r="N34" i="106"/>
  <c r="N35" i="106"/>
  <c r="N36" i="106"/>
  <c r="N37" i="106"/>
  <c r="N38" i="106"/>
  <c r="N39" i="106"/>
  <c r="N40" i="106"/>
  <c r="N41" i="106"/>
  <c r="N42" i="106"/>
  <c r="N43" i="106"/>
  <c r="N44" i="106"/>
  <c r="N45" i="106"/>
  <c r="N46" i="106"/>
  <c r="N47" i="106"/>
  <c r="N48" i="106"/>
  <c r="N49" i="106"/>
  <c r="N50" i="106"/>
  <c r="N51" i="106"/>
  <c r="N52" i="106"/>
  <c r="N53" i="106"/>
  <c r="N54" i="106"/>
  <c r="N55" i="106"/>
  <c r="N56" i="106"/>
  <c r="N57" i="106"/>
  <c r="N58" i="106"/>
  <c r="N59" i="106"/>
  <c r="N60" i="106"/>
  <c r="N61" i="106"/>
  <c r="N62" i="106"/>
  <c r="N63" i="106"/>
  <c r="N64" i="106"/>
  <c r="N65" i="106"/>
  <c r="N66" i="106"/>
  <c r="N67" i="106"/>
  <c r="N68" i="106"/>
  <c r="N69" i="106"/>
  <c r="N70" i="106"/>
  <c r="N71" i="106"/>
  <c r="N72" i="106"/>
  <c r="N73" i="106"/>
  <c r="N74" i="106"/>
  <c r="N75" i="106"/>
  <c r="N76" i="106"/>
  <c r="N77" i="106"/>
  <c r="N78" i="106"/>
  <c r="N79" i="106"/>
  <c r="N80" i="106"/>
  <c r="N81" i="106"/>
  <c r="N82" i="106"/>
  <c r="N83" i="106"/>
  <c r="N84" i="106"/>
  <c r="N85" i="106"/>
  <c r="N86" i="106"/>
  <c r="N87" i="106"/>
  <c r="N88" i="106"/>
  <c r="N89" i="106"/>
  <c r="N90" i="106"/>
  <c r="N91" i="106"/>
  <c r="N92" i="106"/>
  <c r="L5" i="106"/>
  <c r="L6" i="106"/>
  <c r="L7" i="106"/>
  <c r="L8" i="106"/>
  <c r="L9" i="106"/>
  <c r="L10" i="106"/>
  <c r="L11" i="106"/>
  <c r="L12" i="106"/>
  <c r="L13" i="106"/>
  <c r="L14" i="106"/>
  <c r="L15" i="106"/>
  <c r="L16" i="106"/>
  <c r="L17" i="106"/>
  <c r="L18" i="106"/>
  <c r="L19" i="106"/>
  <c r="L20" i="106"/>
  <c r="L21" i="106"/>
  <c r="L22" i="106"/>
  <c r="L23" i="106"/>
  <c r="L24" i="106"/>
  <c r="L25" i="106"/>
  <c r="L26" i="106"/>
  <c r="L27" i="106"/>
  <c r="L28" i="106"/>
  <c r="L29" i="106"/>
  <c r="L30" i="106"/>
  <c r="L31" i="106"/>
  <c r="L32" i="106"/>
  <c r="L33" i="106"/>
  <c r="L34" i="106"/>
  <c r="L35" i="106"/>
  <c r="L36" i="106"/>
  <c r="L37" i="106"/>
  <c r="L38" i="106"/>
  <c r="L39" i="106"/>
  <c r="L40" i="106"/>
  <c r="L41" i="106"/>
  <c r="L42" i="106"/>
  <c r="L43" i="106"/>
  <c r="L44" i="106"/>
  <c r="L45" i="106"/>
  <c r="L46" i="106"/>
  <c r="L47" i="106"/>
  <c r="L48" i="106"/>
  <c r="L49" i="106"/>
  <c r="L50" i="106"/>
  <c r="L51" i="106"/>
  <c r="L52" i="106"/>
  <c r="L53" i="106"/>
  <c r="L54" i="106"/>
  <c r="L55" i="106"/>
  <c r="L56" i="106"/>
  <c r="L57" i="106"/>
  <c r="L58" i="106"/>
  <c r="L59" i="106"/>
  <c r="L60" i="106"/>
  <c r="L61" i="106"/>
  <c r="L62" i="106"/>
  <c r="L63" i="106"/>
  <c r="L64" i="106"/>
  <c r="L65" i="106"/>
  <c r="L66" i="106"/>
  <c r="L67" i="106"/>
  <c r="L68" i="106"/>
  <c r="L69" i="106"/>
  <c r="L70" i="106"/>
  <c r="L71" i="106"/>
  <c r="L72" i="106"/>
  <c r="L73" i="106"/>
  <c r="L74" i="106"/>
  <c r="L75" i="106"/>
  <c r="L76" i="106"/>
  <c r="L77" i="106"/>
  <c r="L78" i="106"/>
  <c r="L79" i="106"/>
  <c r="L80" i="106"/>
  <c r="L81" i="106"/>
  <c r="L82" i="106"/>
  <c r="L83" i="106"/>
  <c r="L84" i="106"/>
  <c r="L85" i="106"/>
  <c r="L86" i="106"/>
  <c r="L87" i="106"/>
  <c r="L88" i="106"/>
  <c r="L89" i="106"/>
  <c r="L90" i="106"/>
  <c r="L91" i="106"/>
  <c r="L92" i="106"/>
  <c r="J5" i="106"/>
  <c r="J6" i="106"/>
  <c r="J7" i="106"/>
  <c r="J8" i="106"/>
  <c r="J9" i="106"/>
  <c r="J10" i="106"/>
  <c r="J11" i="106"/>
  <c r="J12" i="106"/>
  <c r="J13" i="106"/>
  <c r="J14" i="106"/>
  <c r="J15" i="106"/>
  <c r="J16" i="106"/>
  <c r="J17" i="106"/>
  <c r="J18" i="106"/>
  <c r="J19" i="106"/>
  <c r="J20" i="106"/>
  <c r="J21" i="106"/>
  <c r="J22" i="106"/>
  <c r="J23" i="106"/>
  <c r="J24" i="106"/>
  <c r="J25" i="106"/>
  <c r="J26" i="106"/>
  <c r="J27" i="106"/>
  <c r="J28" i="106"/>
  <c r="J29" i="106"/>
  <c r="J30" i="106"/>
  <c r="J31" i="106"/>
  <c r="J32" i="106"/>
  <c r="J33" i="106"/>
  <c r="J34" i="106"/>
  <c r="J35" i="106"/>
  <c r="J36" i="106"/>
  <c r="J37" i="106"/>
  <c r="J38" i="106"/>
  <c r="J39" i="106"/>
  <c r="J40" i="106"/>
  <c r="J41" i="106"/>
  <c r="J42" i="106"/>
  <c r="J43" i="106"/>
  <c r="J44" i="106"/>
  <c r="J45" i="106"/>
  <c r="J46" i="106"/>
  <c r="J47" i="106"/>
  <c r="J48" i="106"/>
  <c r="J49" i="106"/>
  <c r="J50" i="106"/>
  <c r="J51" i="106"/>
  <c r="J52" i="106"/>
  <c r="J53" i="106"/>
  <c r="J54" i="106"/>
  <c r="J55" i="106"/>
  <c r="J56" i="106"/>
  <c r="J57" i="106"/>
  <c r="J58" i="106"/>
  <c r="J59" i="106"/>
  <c r="J60" i="106"/>
  <c r="J61" i="106"/>
  <c r="J62" i="106"/>
  <c r="J63" i="106"/>
  <c r="J64" i="106"/>
  <c r="J65" i="106"/>
  <c r="J66" i="106"/>
  <c r="J67" i="106"/>
  <c r="J68" i="106"/>
  <c r="J69" i="106"/>
  <c r="J70" i="106"/>
  <c r="J71" i="106"/>
  <c r="J72" i="106"/>
  <c r="J73" i="106"/>
  <c r="J74" i="106"/>
  <c r="J75" i="106"/>
  <c r="J76" i="106"/>
  <c r="J77" i="106"/>
  <c r="J78" i="106"/>
  <c r="J79" i="106"/>
  <c r="J80" i="106"/>
  <c r="J81" i="106"/>
  <c r="J82" i="106"/>
  <c r="J83" i="106"/>
  <c r="J84" i="106"/>
  <c r="J85" i="106"/>
  <c r="J86" i="106"/>
  <c r="J87" i="106"/>
  <c r="J88" i="106"/>
  <c r="J89" i="106"/>
  <c r="J90" i="106"/>
  <c r="J91" i="106"/>
  <c r="J92" i="106"/>
  <c r="H5" i="106"/>
  <c r="H6" i="106"/>
  <c r="H7" i="106"/>
  <c r="H8" i="106"/>
  <c r="H9" i="106"/>
  <c r="H10" i="106"/>
  <c r="H11" i="106"/>
  <c r="H12" i="106"/>
  <c r="H13" i="106"/>
  <c r="H14" i="106"/>
  <c r="H15" i="106"/>
  <c r="H16" i="106"/>
  <c r="H17" i="106"/>
  <c r="H18" i="106"/>
  <c r="H19" i="106"/>
  <c r="H20" i="106"/>
  <c r="H21" i="106"/>
  <c r="H22" i="106"/>
  <c r="H23" i="106"/>
  <c r="H24" i="106"/>
  <c r="H25" i="106"/>
  <c r="H26" i="106"/>
  <c r="H27" i="106"/>
  <c r="H28" i="106"/>
  <c r="H29" i="106"/>
  <c r="H30" i="106"/>
  <c r="H31" i="106"/>
  <c r="H32" i="106"/>
  <c r="H33" i="106"/>
  <c r="H34" i="106"/>
  <c r="H35" i="106"/>
  <c r="H36" i="106"/>
  <c r="H37" i="106"/>
  <c r="H38" i="106"/>
  <c r="H39" i="106"/>
  <c r="H40" i="106"/>
  <c r="H41" i="106"/>
  <c r="H42" i="106"/>
  <c r="H43" i="106"/>
  <c r="H44" i="106"/>
  <c r="H45" i="106"/>
  <c r="H46" i="106"/>
  <c r="H47" i="106"/>
  <c r="H48" i="106"/>
  <c r="H49" i="106"/>
  <c r="H50" i="106"/>
  <c r="H51" i="106"/>
  <c r="H52" i="106"/>
  <c r="H53" i="106"/>
  <c r="H54" i="106"/>
  <c r="H55" i="106"/>
  <c r="H56" i="106"/>
  <c r="H57" i="106"/>
  <c r="H58" i="106"/>
  <c r="H59" i="106"/>
  <c r="H60" i="106"/>
  <c r="H61" i="106"/>
  <c r="H62" i="106"/>
  <c r="H63" i="106"/>
  <c r="H64" i="106"/>
  <c r="H65" i="106"/>
  <c r="H66" i="106"/>
  <c r="H67" i="106"/>
  <c r="H68" i="106"/>
  <c r="H69" i="106"/>
  <c r="H70" i="106"/>
  <c r="H71" i="106"/>
  <c r="H72" i="106"/>
  <c r="H73" i="106"/>
  <c r="H74" i="106"/>
  <c r="H75" i="106"/>
  <c r="H76" i="106"/>
  <c r="H77" i="106"/>
  <c r="H78" i="106"/>
  <c r="H79" i="106"/>
  <c r="H80" i="106"/>
  <c r="H81" i="106"/>
  <c r="H82" i="106"/>
  <c r="H83" i="106"/>
  <c r="H84" i="106"/>
  <c r="H85" i="106"/>
  <c r="H86" i="106"/>
  <c r="H87" i="106"/>
  <c r="H88" i="106"/>
  <c r="H89" i="106"/>
  <c r="H90" i="106"/>
  <c r="H91" i="106"/>
  <c r="H92" i="106"/>
  <c r="F5" i="106"/>
  <c r="F6" i="106"/>
  <c r="F7" i="106"/>
  <c r="F8" i="106"/>
  <c r="F9" i="106"/>
  <c r="F10" i="106"/>
  <c r="F11" i="106"/>
  <c r="F12" i="106"/>
  <c r="F13" i="106"/>
  <c r="F14" i="106"/>
  <c r="F15" i="106"/>
  <c r="F16" i="106"/>
  <c r="F17" i="106"/>
  <c r="F18" i="106"/>
  <c r="F19" i="106"/>
  <c r="F20" i="106"/>
  <c r="F21" i="106"/>
  <c r="F22" i="106"/>
  <c r="F23" i="106"/>
  <c r="F24" i="106"/>
  <c r="F25" i="106"/>
  <c r="F26" i="106"/>
  <c r="F27" i="106"/>
  <c r="F28" i="106"/>
  <c r="F29" i="106"/>
  <c r="F30" i="106"/>
  <c r="F31" i="106"/>
  <c r="F32" i="106"/>
  <c r="F33" i="106"/>
  <c r="F34" i="106"/>
  <c r="F35" i="106"/>
  <c r="F36" i="106"/>
  <c r="F37" i="106"/>
  <c r="F38" i="106"/>
  <c r="F39" i="106"/>
  <c r="F40" i="106"/>
  <c r="F41" i="106"/>
  <c r="F42" i="106"/>
  <c r="F43" i="106"/>
  <c r="F44" i="106"/>
  <c r="F45" i="106"/>
  <c r="F46" i="106"/>
  <c r="F47" i="106"/>
  <c r="F48" i="106"/>
  <c r="F49" i="106"/>
  <c r="F50" i="106"/>
  <c r="F51" i="106"/>
  <c r="F52" i="106"/>
  <c r="F53" i="106"/>
  <c r="F54" i="106"/>
  <c r="F55" i="106"/>
  <c r="F56" i="106"/>
  <c r="F57" i="106"/>
  <c r="F58" i="106"/>
  <c r="F59" i="106"/>
  <c r="F60" i="106"/>
  <c r="F61" i="106"/>
  <c r="F62" i="106"/>
  <c r="F63" i="106"/>
  <c r="F64" i="106"/>
  <c r="F65" i="106"/>
  <c r="F66" i="106"/>
  <c r="F67" i="106"/>
  <c r="F68" i="106"/>
  <c r="F69" i="106"/>
  <c r="F70" i="106"/>
  <c r="F71" i="106"/>
  <c r="F72" i="106"/>
  <c r="F73" i="106"/>
  <c r="F74" i="106"/>
  <c r="F75" i="106"/>
  <c r="F76" i="106"/>
  <c r="F77" i="106"/>
  <c r="F78" i="106"/>
  <c r="F79" i="106"/>
  <c r="F80" i="106"/>
  <c r="F81" i="106"/>
  <c r="F82" i="106"/>
  <c r="F83" i="106"/>
  <c r="F84" i="106"/>
  <c r="F85" i="106"/>
  <c r="F86" i="106"/>
  <c r="F87" i="106"/>
  <c r="F88" i="106"/>
  <c r="F89" i="106"/>
  <c r="F90" i="106"/>
  <c r="F91" i="106"/>
  <c r="F92" i="106"/>
  <c r="D5" i="106"/>
  <c r="D6" i="106"/>
  <c r="D7" i="106"/>
  <c r="D8" i="106"/>
  <c r="D9" i="106"/>
  <c r="D10" i="106"/>
  <c r="D11" i="106"/>
  <c r="D12" i="106"/>
  <c r="D13" i="106"/>
  <c r="D14" i="106"/>
  <c r="D15" i="106"/>
  <c r="D16" i="106"/>
  <c r="D17" i="106"/>
  <c r="D18" i="106"/>
  <c r="D19" i="106"/>
  <c r="D20" i="106"/>
  <c r="D21" i="106"/>
  <c r="D22" i="106"/>
  <c r="D23" i="106"/>
  <c r="D24" i="106"/>
  <c r="D25" i="106"/>
  <c r="D26" i="106"/>
  <c r="D27" i="106"/>
  <c r="D28" i="106"/>
  <c r="D29" i="106"/>
  <c r="D30" i="106"/>
  <c r="D31" i="106"/>
  <c r="D32" i="106"/>
  <c r="D33" i="106"/>
  <c r="D34" i="106"/>
  <c r="D35" i="106"/>
  <c r="D36" i="106"/>
  <c r="D37" i="106"/>
  <c r="D38" i="106"/>
  <c r="D39" i="106"/>
  <c r="D40" i="106"/>
  <c r="D41" i="106"/>
  <c r="D42" i="106"/>
  <c r="D43" i="106"/>
  <c r="D44" i="106"/>
  <c r="D45" i="106"/>
  <c r="D46" i="106"/>
  <c r="D47" i="106"/>
  <c r="D48" i="106"/>
  <c r="D49" i="106"/>
  <c r="D50" i="106"/>
  <c r="D51" i="106"/>
  <c r="D52" i="106"/>
  <c r="D53" i="106"/>
  <c r="D54" i="106"/>
  <c r="D55" i="106"/>
  <c r="D56" i="106"/>
  <c r="D57" i="106"/>
  <c r="D58" i="106"/>
  <c r="D59" i="106"/>
  <c r="D60" i="106"/>
  <c r="D61" i="106"/>
  <c r="D62" i="106"/>
  <c r="D63" i="106"/>
  <c r="D64" i="106"/>
  <c r="D65" i="106"/>
  <c r="D66" i="106"/>
  <c r="D67" i="106"/>
  <c r="D68" i="106"/>
  <c r="D69" i="106"/>
  <c r="D70" i="106"/>
  <c r="D71" i="106"/>
  <c r="D72" i="106"/>
  <c r="D73" i="106"/>
  <c r="D74" i="106"/>
  <c r="D75" i="106"/>
  <c r="D76" i="106"/>
  <c r="D77" i="106"/>
  <c r="D78" i="106"/>
  <c r="D79" i="106"/>
  <c r="D80" i="106"/>
  <c r="D81" i="106"/>
  <c r="D82" i="106"/>
  <c r="D83" i="106"/>
  <c r="D84" i="106"/>
  <c r="D85" i="106"/>
  <c r="D86" i="106"/>
  <c r="D87" i="106"/>
  <c r="D88" i="106"/>
  <c r="D89" i="106"/>
  <c r="D90" i="106"/>
  <c r="D91" i="106"/>
  <c r="D92" i="106"/>
  <c r="Z4" i="106"/>
  <c r="X4" i="106"/>
  <c r="V4" i="106"/>
  <c r="T4" i="106"/>
  <c r="P4" i="106"/>
  <c r="N4" i="106"/>
  <c r="L4" i="106"/>
  <c r="J4" i="106"/>
  <c r="H4" i="106"/>
  <c r="F4" i="106"/>
  <c r="Z6" i="108"/>
  <c r="Z7" i="108"/>
  <c r="Z8" i="108"/>
  <c r="Z9" i="108"/>
  <c r="Z10" i="108"/>
  <c r="Z11" i="108"/>
  <c r="Z12" i="108"/>
  <c r="Z13" i="108"/>
  <c r="Z14" i="108"/>
  <c r="Z15" i="108"/>
  <c r="Z16" i="108"/>
  <c r="Z17" i="108"/>
  <c r="Z18" i="108"/>
  <c r="Z19" i="108"/>
  <c r="Z20" i="108"/>
  <c r="Z21" i="108"/>
  <c r="Z22" i="108"/>
  <c r="Z23" i="108"/>
  <c r="Z24" i="108"/>
  <c r="Z25" i="108"/>
  <c r="Z26" i="108"/>
  <c r="Z27" i="108"/>
  <c r="Z28" i="108"/>
  <c r="Z29" i="108"/>
  <c r="Z30" i="108"/>
  <c r="Z31" i="108"/>
  <c r="Z32" i="108"/>
  <c r="Z33" i="108"/>
  <c r="Z34" i="108"/>
  <c r="Z35" i="108"/>
  <c r="Z36" i="108"/>
  <c r="Z37" i="108"/>
  <c r="Z38" i="108"/>
  <c r="Z39" i="108"/>
  <c r="Z40" i="108"/>
  <c r="Z41" i="108"/>
  <c r="Z42" i="108"/>
  <c r="Z43" i="108"/>
  <c r="Z44" i="108"/>
  <c r="Z45" i="108"/>
  <c r="Z46" i="108"/>
  <c r="Z47" i="108"/>
  <c r="Z48" i="108"/>
  <c r="Z49" i="108"/>
  <c r="Z50" i="108"/>
  <c r="Z51" i="108"/>
  <c r="Z52" i="108"/>
  <c r="Z53" i="108"/>
  <c r="Z54" i="108"/>
  <c r="Z55" i="108"/>
  <c r="Z56" i="108"/>
  <c r="Z57" i="108"/>
  <c r="Z58" i="108"/>
  <c r="Z59" i="108"/>
  <c r="Z60" i="108"/>
  <c r="Z61" i="108"/>
  <c r="Z62" i="108"/>
  <c r="Z63" i="108"/>
  <c r="Z64" i="108"/>
  <c r="Z65" i="108"/>
  <c r="Z66" i="108"/>
  <c r="Z67" i="108"/>
  <c r="Z68" i="108"/>
  <c r="Z69" i="108"/>
  <c r="Z70" i="108"/>
  <c r="Z71" i="108"/>
  <c r="Z72" i="108"/>
  <c r="Z73" i="108"/>
  <c r="Z74" i="108"/>
  <c r="Z75" i="108"/>
  <c r="Z76" i="108"/>
  <c r="Z77" i="108"/>
  <c r="Z78" i="108"/>
  <c r="Z79" i="108"/>
  <c r="Z80" i="108"/>
  <c r="Z81" i="108"/>
  <c r="Z82" i="108"/>
  <c r="Z83" i="108"/>
  <c r="Z84" i="108"/>
  <c r="Z85" i="108"/>
  <c r="Z86" i="108"/>
  <c r="Z87" i="108"/>
  <c r="Z88" i="108"/>
  <c r="Z89" i="108"/>
  <c r="Z90" i="108"/>
  <c r="Z91" i="108"/>
  <c r="Z92" i="108"/>
  <c r="Z93" i="108"/>
  <c r="Z94" i="108"/>
  <c r="Z95" i="108"/>
  <c r="X6" i="108"/>
  <c r="X7" i="108"/>
  <c r="X8" i="108"/>
  <c r="X9" i="108"/>
  <c r="X10" i="108"/>
  <c r="X11" i="108"/>
  <c r="X12" i="108"/>
  <c r="X13" i="108"/>
  <c r="X14" i="108"/>
  <c r="X15" i="108"/>
  <c r="X16" i="108"/>
  <c r="X17" i="108"/>
  <c r="X18" i="108"/>
  <c r="X19" i="108"/>
  <c r="X20" i="108"/>
  <c r="X21" i="108"/>
  <c r="X22" i="108"/>
  <c r="X23" i="108"/>
  <c r="X24" i="108"/>
  <c r="X25" i="108"/>
  <c r="X26" i="108"/>
  <c r="X27" i="108"/>
  <c r="X28" i="108"/>
  <c r="X29" i="108"/>
  <c r="X30" i="108"/>
  <c r="X31" i="108"/>
  <c r="X32" i="108"/>
  <c r="X33" i="108"/>
  <c r="X34" i="108"/>
  <c r="X35" i="108"/>
  <c r="X36" i="108"/>
  <c r="X37" i="108"/>
  <c r="X38" i="108"/>
  <c r="X39" i="108"/>
  <c r="X40" i="108"/>
  <c r="X41" i="108"/>
  <c r="X42" i="108"/>
  <c r="X43" i="108"/>
  <c r="X44" i="108"/>
  <c r="X45" i="108"/>
  <c r="X46" i="108"/>
  <c r="X47" i="108"/>
  <c r="X48" i="108"/>
  <c r="X49" i="108"/>
  <c r="X50" i="108"/>
  <c r="X51" i="108"/>
  <c r="X52" i="108"/>
  <c r="X53" i="108"/>
  <c r="X54" i="108"/>
  <c r="X55" i="108"/>
  <c r="X56" i="108"/>
  <c r="X57" i="108"/>
  <c r="X58" i="108"/>
  <c r="X59" i="108"/>
  <c r="X60" i="108"/>
  <c r="X61" i="108"/>
  <c r="X62" i="108"/>
  <c r="X63" i="108"/>
  <c r="X64" i="108"/>
  <c r="X65" i="108"/>
  <c r="X66" i="108"/>
  <c r="X67" i="108"/>
  <c r="X68" i="108"/>
  <c r="X69" i="108"/>
  <c r="X70" i="108"/>
  <c r="X71" i="108"/>
  <c r="X72" i="108"/>
  <c r="X73" i="108"/>
  <c r="X74" i="108"/>
  <c r="X75" i="108"/>
  <c r="X76" i="108"/>
  <c r="X77" i="108"/>
  <c r="X78" i="108"/>
  <c r="X79" i="108"/>
  <c r="X80" i="108"/>
  <c r="X81" i="108"/>
  <c r="X82" i="108"/>
  <c r="X83" i="108"/>
  <c r="X84" i="108"/>
  <c r="X85" i="108"/>
  <c r="X86" i="108"/>
  <c r="X87" i="108"/>
  <c r="X88" i="108"/>
  <c r="X89" i="108"/>
  <c r="X90" i="108"/>
  <c r="X91" i="108"/>
  <c r="X92" i="108"/>
  <c r="X93" i="108"/>
  <c r="X94" i="108"/>
  <c r="X95" i="108"/>
  <c r="Z5" i="108"/>
  <c r="X5" i="108"/>
  <c r="V6" i="108"/>
  <c r="V7" i="108"/>
  <c r="V8" i="108"/>
  <c r="V9" i="108"/>
  <c r="V10" i="108"/>
  <c r="V11" i="108"/>
  <c r="V12" i="108"/>
  <c r="V13" i="108"/>
  <c r="V14" i="108"/>
  <c r="V15" i="108"/>
  <c r="V16" i="108"/>
  <c r="V17" i="108"/>
  <c r="V18" i="108"/>
  <c r="V19" i="108"/>
  <c r="V20" i="108"/>
  <c r="V21" i="108"/>
  <c r="V22" i="108"/>
  <c r="V23" i="108"/>
  <c r="V24" i="108"/>
  <c r="V25" i="108"/>
  <c r="V26" i="108"/>
  <c r="V27" i="108"/>
  <c r="V28" i="108"/>
  <c r="V29" i="108"/>
  <c r="V30" i="108"/>
  <c r="V31" i="108"/>
  <c r="V32" i="108"/>
  <c r="V33" i="108"/>
  <c r="V34" i="108"/>
  <c r="V35" i="108"/>
  <c r="V36" i="108"/>
  <c r="V37" i="108"/>
  <c r="V38" i="108"/>
  <c r="V39" i="108"/>
  <c r="V40" i="108"/>
  <c r="V41" i="108"/>
  <c r="V42" i="108"/>
  <c r="V43" i="108"/>
  <c r="V44" i="108"/>
  <c r="V45" i="108"/>
  <c r="V46" i="108"/>
  <c r="V47" i="108"/>
  <c r="V48" i="108"/>
  <c r="V49" i="108"/>
  <c r="V50" i="108"/>
  <c r="V51" i="108"/>
  <c r="V52" i="108"/>
  <c r="V53" i="108"/>
  <c r="V54" i="108"/>
  <c r="V55" i="108"/>
  <c r="V56" i="108"/>
  <c r="V57" i="108"/>
  <c r="V58" i="108"/>
  <c r="V59" i="108"/>
  <c r="V60" i="108"/>
  <c r="V61" i="108"/>
  <c r="V62" i="108"/>
  <c r="V63" i="108"/>
  <c r="V64" i="108"/>
  <c r="V65" i="108"/>
  <c r="V66" i="108"/>
  <c r="V67" i="108"/>
  <c r="V68" i="108"/>
  <c r="V69" i="108"/>
  <c r="V70" i="108"/>
  <c r="V71" i="108"/>
  <c r="V72" i="108"/>
  <c r="V73" i="108"/>
  <c r="V74" i="108"/>
  <c r="V75" i="108"/>
  <c r="V76" i="108"/>
  <c r="V77" i="108"/>
  <c r="V78" i="108"/>
  <c r="V79" i="108"/>
  <c r="V80" i="108"/>
  <c r="V81" i="108"/>
  <c r="V82" i="108"/>
  <c r="V83" i="108"/>
  <c r="V84" i="108"/>
  <c r="V85" i="108"/>
  <c r="V86" i="108"/>
  <c r="V87" i="108"/>
  <c r="V88" i="108"/>
  <c r="V89" i="108"/>
  <c r="V90" i="108"/>
  <c r="V91" i="108"/>
  <c r="V92" i="108"/>
  <c r="V93" i="108"/>
  <c r="V94" i="108"/>
  <c r="V95" i="108"/>
  <c r="V5" i="108"/>
  <c r="T6" i="108"/>
  <c r="T7" i="108"/>
  <c r="T8" i="108"/>
  <c r="T9" i="108"/>
  <c r="T10" i="108"/>
  <c r="T11" i="108"/>
  <c r="T12" i="108"/>
  <c r="T13" i="108"/>
  <c r="T14" i="108"/>
  <c r="T15" i="108"/>
  <c r="T16" i="108"/>
  <c r="T17" i="108"/>
  <c r="T18" i="108"/>
  <c r="T19" i="108"/>
  <c r="T20" i="108"/>
  <c r="T21" i="108"/>
  <c r="T22" i="108"/>
  <c r="T23" i="108"/>
  <c r="T24" i="108"/>
  <c r="T25" i="108"/>
  <c r="T26" i="108"/>
  <c r="T27" i="108"/>
  <c r="T28" i="108"/>
  <c r="T29" i="108"/>
  <c r="T30" i="108"/>
  <c r="T31" i="108"/>
  <c r="T32" i="108"/>
  <c r="T33" i="108"/>
  <c r="T34" i="108"/>
  <c r="T35" i="108"/>
  <c r="T36" i="108"/>
  <c r="T37" i="108"/>
  <c r="T38" i="108"/>
  <c r="T39" i="108"/>
  <c r="T40" i="108"/>
  <c r="T41" i="108"/>
  <c r="T42" i="108"/>
  <c r="T43" i="108"/>
  <c r="T44" i="108"/>
  <c r="T45" i="108"/>
  <c r="T46" i="108"/>
  <c r="T47" i="108"/>
  <c r="T48" i="108"/>
  <c r="T49" i="108"/>
  <c r="T50" i="108"/>
  <c r="T51" i="108"/>
  <c r="T52" i="108"/>
  <c r="T53" i="108"/>
  <c r="T54" i="108"/>
  <c r="T55" i="108"/>
  <c r="T56" i="108"/>
  <c r="T57" i="108"/>
  <c r="T58" i="108"/>
  <c r="T59" i="108"/>
  <c r="T60" i="108"/>
  <c r="T61" i="108"/>
  <c r="T62" i="108"/>
  <c r="T63" i="108"/>
  <c r="T64" i="108"/>
  <c r="T65" i="108"/>
  <c r="T66" i="108"/>
  <c r="T67" i="108"/>
  <c r="T68" i="108"/>
  <c r="T69" i="108"/>
  <c r="T70" i="108"/>
  <c r="T71" i="108"/>
  <c r="T72" i="108"/>
  <c r="T73" i="108"/>
  <c r="T74" i="108"/>
  <c r="T75" i="108"/>
  <c r="T76" i="108"/>
  <c r="T77" i="108"/>
  <c r="T78" i="108"/>
  <c r="T79" i="108"/>
  <c r="T80" i="108"/>
  <c r="T81" i="108"/>
  <c r="T82" i="108"/>
  <c r="T83" i="108"/>
  <c r="T84" i="108"/>
  <c r="T85" i="108"/>
  <c r="T86" i="108"/>
  <c r="T87" i="108"/>
  <c r="T88" i="108"/>
  <c r="T89" i="108"/>
  <c r="T90" i="108"/>
  <c r="T91" i="108"/>
  <c r="T92" i="108"/>
  <c r="T93" i="108"/>
  <c r="T94" i="108"/>
  <c r="T95" i="108"/>
  <c r="T5" i="108"/>
  <c r="R6" i="108"/>
  <c r="R7" i="108"/>
  <c r="R8" i="108"/>
  <c r="R9" i="108"/>
  <c r="R10" i="108"/>
  <c r="R11" i="108"/>
  <c r="R12" i="108"/>
  <c r="R13" i="108"/>
  <c r="R14" i="108"/>
  <c r="R15" i="108"/>
  <c r="R16" i="108"/>
  <c r="R17" i="108"/>
  <c r="R18" i="108"/>
  <c r="R19" i="108"/>
  <c r="R20" i="108"/>
  <c r="R21" i="108"/>
  <c r="R22" i="108"/>
  <c r="R23" i="108"/>
  <c r="R24" i="108"/>
  <c r="R25" i="108"/>
  <c r="R26" i="108"/>
  <c r="R27" i="108"/>
  <c r="R28" i="108"/>
  <c r="R29" i="108"/>
  <c r="R30" i="108"/>
  <c r="R31" i="108"/>
  <c r="R32" i="108"/>
  <c r="R33" i="108"/>
  <c r="R34" i="108"/>
  <c r="R35" i="108"/>
  <c r="R36" i="108"/>
  <c r="R37" i="108"/>
  <c r="R38" i="108"/>
  <c r="R39" i="108"/>
  <c r="R40" i="108"/>
  <c r="R41" i="108"/>
  <c r="R42" i="108"/>
  <c r="R43" i="108"/>
  <c r="R44" i="108"/>
  <c r="R45" i="108"/>
  <c r="R46" i="108"/>
  <c r="R47" i="108"/>
  <c r="R48" i="108"/>
  <c r="R49" i="108"/>
  <c r="R50" i="108"/>
  <c r="R51" i="108"/>
  <c r="R52" i="108"/>
  <c r="R53" i="108"/>
  <c r="R54" i="108"/>
  <c r="R55" i="108"/>
  <c r="R56" i="108"/>
  <c r="R57" i="108"/>
  <c r="R58" i="108"/>
  <c r="R59" i="108"/>
  <c r="R60" i="108"/>
  <c r="R61" i="108"/>
  <c r="R62" i="108"/>
  <c r="R63" i="108"/>
  <c r="R64" i="108"/>
  <c r="R65" i="108"/>
  <c r="R66" i="108"/>
  <c r="R67" i="108"/>
  <c r="R68" i="108"/>
  <c r="R69" i="108"/>
  <c r="R70" i="108"/>
  <c r="R71" i="108"/>
  <c r="R72" i="108"/>
  <c r="R73" i="108"/>
  <c r="R74" i="108"/>
  <c r="R75" i="108"/>
  <c r="R76" i="108"/>
  <c r="R77" i="108"/>
  <c r="R78" i="108"/>
  <c r="R79" i="108"/>
  <c r="R80" i="108"/>
  <c r="R81" i="108"/>
  <c r="R82" i="108"/>
  <c r="R83" i="108"/>
  <c r="R84" i="108"/>
  <c r="R85" i="108"/>
  <c r="R86" i="108"/>
  <c r="R87" i="108"/>
  <c r="R88" i="108"/>
  <c r="R89" i="108"/>
  <c r="R90" i="108"/>
  <c r="R91" i="108"/>
  <c r="R92" i="108"/>
  <c r="R93" i="108"/>
  <c r="R94" i="108"/>
  <c r="R95" i="108"/>
  <c r="R5" i="108"/>
  <c r="P6" i="108"/>
  <c r="P7" i="108"/>
  <c r="P8" i="108"/>
  <c r="P9" i="108"/>
  <c r="P10" i="108"/>
  <c r="P11" i="108"/>
  <c r="P12" i="108"/>
  <c r="P13" i="108"/>
  <c r="P14" i="108"/>
  <c r="P15" i="108"/>
  <c r="P16" i="108"/>
  <c r="P17" i="108"/>
  <c r="P18" i="108"/>
  <c r="P19" i="108"/>
  <c r="P20" i="108"/>
  <c r="P21" i="108"/>
  <c r="P22" i="108"/>
  <c r="P23" i="108"/>
  <c r="P24" i="108"/>
  <c r="P25" i="108"/>
  <c r="P26" i="108"/>
  <c r="P27" i="108"/>
  <c r="P28" i="108"/>
  <c r="P29" i="108"/>
  <c r="P30" i="108"/>
  <c r="P31" i="108"/>
  <c r="P32" i="108"/>
  <c r="P33" i="108"/>
  <c r="P34" i="108"/>
  <c r="P35" i="108"/>
  <c r="P36" i="108"/>
  <c r="P37" i="108"/>
  <c r="P38" i="108"/>
  <c r="P39" i="108"/>
  <c r="P40" i="108"/>
  <c r="P41" i="108"/>
  <c r="P42" i="108"/>
  <c r="P43" i="108"/>
  <c r="P44" i="108"/>
  <c r="P45" i="108"/>
  <c r="P46" i="108"/>
  <c r="P47" i="108"/>
  <c r="P48" i="108"/>
  <c r="P49" i="108"/>
  <c r="P50" i="108"/>
  <c r="P51" i="108"/>
  <c r="P52" i="108"/>
  <c r="P53" i="108"/>
  <c r="P54" i="108"/>
  <c r="P55" i="108"/>
  <c r="P56" i="108"/>
  <c r="P57" i="108"/>
  <c r="P58" i="108"/>
  <c r="P59" i="108"/>
  <c r="P60" i="108"/>
  <c r="P61" i="108"/>
  <c r="P62" i="108"/>
  <c r="P63" i="108"/>
  <c r="P64" i="108"/>
  <c r="P65" i="108"/>
  <c r="P66" i="108"/>
  <c r="P67" i="108"/>
  <c r="P68" i="108"/>
  <c r="P69" i="108"/>
  <c r="P70" i="108"/>
  <c r="P71" i="108"/>
  <c r="P72" i="108"/>
  <c r="P73" i="108"/>
  <c r="P74" i="108"/>
  <c r="P75" i="108"/>
  <c r="P76" i="108"/>
  <c r="P77" i="108"/>
  <c r="P78" i="108"/>
  <c r="P79" i="108"/>
  <c r="P80" i="108"/>
  <c r="P81" i="108"/>
  <c r="P82" i="108"/>
  <c r="P83" i="108"/>
  <c r="P84" i="108"/>
  <c r="P85" i="108"/>
  <c r="P86" i="108"/>
  <c r="P87" i="108"/>
  <c r="P88" i="108"/>
  <c r="P89" i="108"/>
  <c r="P90" i="108"/>
  <c r="P91" i="108"/>
  <c r="P92" i="108"/>
  <c r="P93" i="108"/>
  <c r="P94" i="108"/>
  <c r="P95" i="108"/>
  <c r="P5" i="108"/>
  <c r="N6" i="108"/>
  <c r="N7" i="108"/>
  <c r="N8" i="108"/>
  <c r="N9" i="108"/>
  <c r="N10" i="108"/>
  <c r="N11" i="108"/>
  <c r="N12" i="108"/>
  <c r="N13" i="108"/>
  <c r="N14" i="108"/>
  <c r="N15" i="108"/>
  <c r="N16" i="108"/>
  <c r="N17" i="108"/>
  <c r="N18" i="108"/>
  <c r="N19" i="108"/>
  <c r="N20" i="108"/>
  <c r="N21" i="108"/>
  <c r="N22" i="108"/>
  <c r="N23" i="108"/>
  <c r="N24" i="108"/>
  <c r="N25" i="108"/>
  <c r="N26" i="108"/>
  <c r="N27" i="108"/>
  <c r="N28" i="108"/>
  <c r="N29" i="108"/>
  <c r="N30" i="108"/>
  <c r="N31" i="108"/>
  <c r="N32" i="108"/>
  <c r="N33" i="108"/>
  <c r="N34" i="108"/>
  <c r="N35" i="108"/>
  <c r="N36" i="108"/>
  <c r="N37" i="108"/>
  <c r="N38" i="108"/>
  <c r="N39" i="108"/>
  <c r="N40" i="108"/>
  <c r="N41" i="108"/>
  <c r="N42" i="108"/>
  <c r="N43" i="108"/>
  <c r="N44" i="108"/>
  <c r="N45" i="108"/>
  <c r="N46" i="108"/>
  <c r="N47" i="108"/>
  <c r="N48" i="108"/>
  <c r="N49" i="108"/>
  <c r="N50" i="108"/>
  <c r="N51" i="108"/>
  <c r="N52" i="108"/>
  <c r="N53" i="108"/>
  <c r="N54" i="108"/>
  <c r="N55" i="108"/>
  <c r="N56" i="108"/>
  <c r="N57" i="108"/>
  <c r="N58" i="108"/>
  <c r="N59" i="108"/>
  <c r="N60" i="108"/>
  <c r="N61" i="108"/>
  <c r="N62" i="108"/>
  <c r="N63" i="108"/>
  <c r="N64" i="108"/>
  <c r="N65" i="108"/>
  <c r="N66" i="108"/>
  <c r="N67" i="108"/>
  <c r="N68" i="108"/>
  <c r="N69" i="108"/>
  <c r="N70" i="108"/>
  <c r="N71" i="108"/>
  <c r="N72" i="108"/>
  <c r="N73" i="108"/>
  <c r="N74" i="108"/>
  <c r="N75" i="108"/>
  <c r="N76" i="108"/>
  <c r="N77" i="108"/>
  <c r="N78" i="108"/>
  <c r="N79" i="108"/>
  <c r="N80" i="108"/>
  <c r="N81" i="108"/>
  <c r="N82" i="108"/>
  <c r="N83" i="108"/>
  <c r="N84" i="108"/>
  <c r="N85" i="108"/>
  <c r="N86" i="108"/>
  <c r="N87" i="108"/>
  <c r="N88" i="108"/>
  <c r="N89" i="108"/>
  <c r="N90" i="108"/>
  <c r="N91" i="108"/>
  <c r="N92" i="108"/>
  <c r="N93" i="108"/>
  <c r="N94" i="108"/>
  <c r="N95" i="108"/>
  <c r="N5" i="108"/>
  <c r="L6" i="108"/>
  <c r="L7" i="108"/>
  <c r="L8" i="108"/>
  <c r="L9" i="108"/>
  <c r="L10" i="108"/>
  <c r="L11" i="108"/>
  <c r="L12" i="108"/>
  <c r="L13" i="108"/>
  <c r="L14" i="108"/>
  <c r="L15" i="108"/>
  <c r="L16" i="108"/>
  <c r="L17" i="108"/>
  <c r="L18" i="108"/>
  <c r="L19" i="108"/>
  <c r="L20" i="108"/>
  <c r="L21" i="108"/>
  <c r="L22" i="108"/>
  <c r="L23" i="108"/>
  <c r="L24" i="108"/>
  <c r="L25" i="108"/>
  <c r="L26" i="108"/>
  <c r="L27" i="108"/>
  <c r="L28" i="108"/>
  <c r="L29" i="108"/>
  <c r="L30" i="108"/>
  <c r="L31" i="108"/>
  <c r="L32" i="108"/>
  <c r="L33" i="108"/>
  <c r="L34" i="108"/>
  <c r="L35" i="108"/>
  <c r="L36" i="108"/>
  <c r="L37" i="108"/>
  <c r="L38" i="108"/>
  <c r="L39" i="108"/>
  <c r="L40" i="108"/>
  <c r="L41" i="108"/>
  <c r="L42" i="108"/>
  <c r="L43" i="108"/>
  <c r="L44" i="108"/>
  <c r="L45" i="108"/>
  <c r="L46" i="108"/>
  <c r="L47" i="108"/>
  <c r="L48" i="108"/>
  <c r="L49" i="108"/>
  <c r="L50" i="108"/>
  <c r="L51" i="108"/>
  <c r="L52" i="108"/>
  <c r="L53" i="108"/>
  <c r="L54" i="108"/>
  <c r="L55" i="108"/>
  <c r="L56" i="108"/>
  <c r="L57" i="108"/>
  <c r="L58" i="108"/>
  <c r="L59" i="108"/>
  <c r="L60" i="108"/>
  <c r="L61" i="108"/>
  <c r="L62" i="108"/>
  <c r="L63" i="108"/>
  <c r="L64" i="108"/>
  <c r="L65" i="108"/>
  <c r="L66" i="108"/>
  <c r="L67" i="108"/>
  <c r="L68" i="108"/>
  <c r="L69" i="108"/>
  <c r="L70" i="108"/>
  <c r="L71" i="108"/>
  <c r="L72" i="108"/>
  <c r="L73" i="108"/>
  <c r="L74" i="108"/>
  <c r="L75" i="108"/>
  <c r="L76" i="108"/>
  <c r="L77" i="108"/>
  <c r="L78" i="108"/>
  <c r="L79" i="108"/>
  <c r="L80" i="108"/>
  <c r="L81" i="108"/>
  <c r="L82" i="108"/>
  <c r="L83" i="108"/>
  <c r="L84" i="108"/>
  <c r="L85" i="108"/>
  <c r="L86" i="108"/>
  <c r="L87" i="108"/>
  <c r="L88" i="108"/>
  <c r="L89" i="108"/>
  <c r="L90" i="108"/>
  <c r="L91" i="108"/>
  <c r="L92" i="108"/>
  <c r="L93" i="108"/>
  <c r="L94" i="108"/>
  <c r="L95" i="108"/>
  <c r="L5" i="108"/>
  <c r="J6" i="108"/>
  <c r="J7" i="108"/>
  <c r="J8" i="108"/>
  <c r="J9" i="108"/>
  <c r="J10" i="108"/>
  <c r="J11" i="108"/>
  <c r="J12" i="108"/>
  <c r="J13" i="108"/>
  <c r="J14" i="108"/>
  <c r="J15" i="108"/>
  <c r="J16" i="108"/>
  <c r="J17" i="108"/>
  <c r="J18" i="108"/>
  <c r="J19" i="108"/>
  <c r="J20" i="108"/>
  <c r="J21" i="108"/>
  <c r="J22" i="108"/>
  <c r="J23" i="108"/>
  <c r="J24" i="108"/>
  <c r="J25" i="108"/>
  <c r="J26" i="108"/>
  <c r="J27" i="108"/>
  <c r="J28" i="108"/>
  <c r="J29" i="108"/>
  <c r="J30" i="108"/>
  <c r="J31" i="108"/>
  <c r="J32" i="108"/>
  <c r="J33" i="108"/>
  <c r="J34" i="108"/>
  <c r="J35" i="108"/>
  <c r="J36" i="108"/>
  <c r="J37" i="108"/>
  <c r="J38" i="108"/>
  <c r="J39" i="108"/>
  <c r="J40" i="108"/>
  <c r="J41" i="108"/>
  <c r="J42" i="108"/>
  <c r="J43" i="108"/>
  <c r="J44" i="108"/>
  <c r="J45" i="108"/>
  <c r="J46" i="108"/>
  <c r="J47" i="108"/>
  <c r="J48" i="108"/>
  <c r="J49" i="108"/>
  <c r="J50" i="108"/>
  <c r="J51" i="108"/>
  <c r="J52" i="108"/>
  <c r="J53" i="108"/>
  <c r="J54" i="108"/>
  <c r="J55" i="108"/>
  <c r="J56" i="108"/>
  <c r="J57" i="108"/>
  <c r="J58" i="108"/>
  <c r="J59" i="108"/>
  <c r="J60" i="108"/>
  <c r="J61" i="108"/>
  <c r="J62" i="108"/>
  <c r="J63" i="108"/>
  <c r="J64" i="108"/>
  <c r="J65" i="108"/>
  <c r="J66" i="108"/>
  <c r="J67" i="108"/>
  <c r="J68" i="108"/>
  <c r="J69" i="108"/>
  <c r="J70" i="108"/>
  <c r="J71" i="108"/>
  <c r="J72" i="108"/>
  <c r="J73" i="108"/>
  <c r="J74" i="108"/>
  <c r="J75" i="108"/>
  <c r="J76" i="108"/>
  <c r="J77" i="108"/>
  <c r="J78" i="108"/>
  <c r="J79" i="108"/>
  <c r="J80" i="108"/>
  <c r="J81" i="108"/>
  <c r="J82" i="108"/>
  <c r="J83" i="108"/>
  <c r="J84" i="108"/>
  <c r="J85" i="108"/>
  <c r="J86" i="108"/>
  <c r="J87" i="108"/>
  <c r="J88" i="108"/>
  <c r="J89" i="108"/>
  <c r="J90" i="108"/>
  <c r="J91" i="108"/>
  <c r="J92" i="108"/>
  <c r="J93" i="108"/>
  <c r="J94" i="108"/>
  <c r="J95" i="108"/>
  <c r="J5" i="108"/>
  <c r="H6" i="108"/>
  <c r="H7" i="108"/>
  <c r="H8" i="108"/>
  <c r="H9" i="108"/>
  <c r="H10" i="108"/>
  <c r="H11" i="108"/>
  <c r="H12" i="108"/>
  <c r="H13" i="108"/>
  <c r="H14" i="108"/>
  <c r="H15" i="108"/>
  <c r="H16" i="108"/>
  <c r="H17" i="108"/>
  <c r="H18" i="108"/>
  <c r="H19" i="108"/>
  <c r="H20" i="108"/>
  <c r="H21" i="108"/>
  <c r="H22" i="108"/>
  <c r="H23" i="108"/>
  <c r="H24" i="108"/>
  <c r="H25" i="108"/>
  <c r="H26" i="108"/>
  <c r="H27" i="108"/>
  <c r="H28" i="108"/>
  <c r="H29" i="108"/>
  <c r="H30" i="108"/>
  <c r="H31" i="108"/>
  <c r="H32" i="108"/>
  <c r="H33" i="108"/>
  <c r="H34" i="108"/>
  <c r="H35" i="108"/>
  <c r="H36" i="108"/>
  <c r="H37" i="108"/>
  <c r="H38" i="108"/>
  <c r="H39" i="108"/>
  <c r="H40" i="108"/>
  <c r="H41" i="108"/>
  <c r="H42" i="108"/>
  <c r="H43" i="108"/>
  <c r="H44" i="108"/>
  <c r="H45" i="108"/>
  <c r="H46" i="108"/>
  <c r="H47" i="108"/>
  <c r="H48" i="108"/>
  <c r="H49" i="108"/>
  <c r="H50" i="108"/>
  <c r="H51" i="108"/>
  <c r="H52" i="108"/>
  <c r="H53" i="108"/>
  <c r="H54" i="108"/>
  <c r="H55" i="108"/>
  <c r="H56" i="108"/>
  <c r="H57" i="108"/>
  <c r="H58" i="108"/>
  <c r="H59" i="108"/>
  <c r="H60" i="108"/>
  <c r="H61" i="108"/>
  <c r="H62" i="108"/>
  <c r="H63" i="108"/>
  <c r="H64" i="108"/>
  <c r="H65" i="108"/>
  <c r="H66" i="108"/>
  <c r="H67" i="108"/>
  <c r="H68" i="108"/>
  <c r="H69" i="108"/>
  <c r="H70" i="108"/>
  <c r="H71" i="108"/>
  <c r="H72" i="108"/>
  <c r="H73" i="108"/>
  <c r="H74" i="108"/>
  <c r="H75" i="108"/>
  <c r="H76" i="108"/>
  <c r="H77" i="108"/>
  <c r="H78" i="108"/>
  <c r="H79" i="108"/>
  <c r="H80" i="108"/>
  <c r="H81" i="108"/>
  <c r="H82" i="108"/>
  <c r="H83" i="108"/>
  <c r="H84" i="108"/>
  <c r="H85" i="108"/>
  <c r="H86" i="108"/>
  <c r="H87" i="108"/>
  <c r="H88" i="108"/>
  <c r="H89" i="108"/>
  <c r="H90" i="108"/>
  <c r="H91" i="108"/>
  <c r="H92" i="108"/>
  <c r="H93" i="108"/>
  <c r="H94" i="108"/>
  <c r="H112" i="108" s="1"/>
  <c r="H95" i="108"/>
  <c r="H5" i="108"/>
  <c r="F6" i="108"/>
  <c r="F7" i="108"/>
  <c r="F8" i="108"/>
  <c r="F9" i="108"/>
  <c r="F10" i="108"/>
  <c r="F11" i="108"/>
  <c r="F12" i="108"/>
  <c r="F13" i="108"/>
  <c r="F14" i="108"/>
  <c r="F15" i="108"/>
  <c r="F16" i="108"/>
  <c r="F17" i="108"/>
  <c r="F18" i="108"/>
  <c r="F19" i="108"/>
  <c r="F20" i="108"/>
  <c r="F21" i="108"/>
  <c r="F22" i="108"/>
  <c r="F23" i="108"/>
  <c r="F24" i="108"/>
  <c r="F25" i="108"/>
  <c r="F26" i="108"/>
  <c r="F27" i="108"/>
  <c r="F28" i="108"/>
  <c r="F29" i="108"/>
  <c r="F30" i="108"/>
  <c r="F31" i="108"/>
  <c r="F32" i="108"/>
  <c r="F33" i="108"/>
  <c r="F34" i="108"/>
  <c r="F35" i="108"/>
  <c r="F36" i="108"/>
  <c r="F37" i="108"/>
  <c r="F38" i="108"/>
  <c r="F39" i="108"/>
  <c r="F40" i="108"/>
  <c r="F41" i="108"/>
  <c r="F42" i="108"/>
  <c r="F43" i="108"/>
  <c r="F44" i="108"/>
  <c r="F45" i="108"/>
  <c r="F46" i="108"/>
  <c r="F47" i="108"/>
  <c r="F48" i="108"/>
  <c r="F49" i="108"/>
  <c r="F50" i="108"/>
  <c r="F51" i="108"/>
  <c r="F52" i="108"/>
  <c r="F53" i="108"/>
  <c r="F54" i="108"/>
  <c r="F55" i="108"/>
  <c r="F56" i="108"/>
  <c r="F57" i="108"/>
  <c r="F58" i="108"/>
  <c r="F59" i="108"/>
  <c r="F60" i="108"/>
  <c r="F61" i="108"/>
  <c r="F62" i="108"/>
  <c r="F63" i="108"/>
  <c r="F64" i="108"/>
  <c r="F65" i="108"/>
  <c r="F66" i="108"/>
  <c r="F67" i="108"/>
  <c r="F68" i="108"/>
  <c r="F69" i="108"/>
  <c r="F70" i="108"/>
  <c r="F71" i="108"/>
  <c r="F72" i="108"/>
  <c r="F73" i="108"/>
  <c r="F74" i="108"/>
  <c r="F75" i="108"/>
  <c r="F76" i="108"/>
  <c r="F77" i="108"/>
  <c r="F78" i="108"/>
  <c r="F79" i="108"/>
  <c r="F80" i="108"/>
  <c r="F81" i="108"/>
  <c r="F82" i="108"/>
  <c r="F83" i="108"/>
  <c r="F84" i="108"/>
  <c r="F85" i="108"/>
  <c r="F86" i="108"/>
  <c r="F87" i="108"/>
  <c r="F88" i="108"/>
  <c r="F89" i="108"/>
  <c r="F90" i="108"/>
  <c r="F91" i="108"/>
  <c r="F92" i="108"/>
  <c r="F93" i="108"/>
  <c r="F94" i="108"/>
  <c r="F95" i="108"/>
  <c r="F5" i="108"/>
  <c r="Z114" i="107"/>
  <c r="Z6" i="107"/>
  <c r="Z7" i="107"/>
  <c r="Z8" i="107"/>
  <c r="Z9" i="107"/>
  <c r="Z10" i="107"/>
  <c r="Z11" i="107"/>
  <c r="Z12" i="107"/>
  <c r="Z13" i="107"/>
  <c r="Z14" i="107"/>
  <c r="Z15" i="107"/>
  <c r="Z16" i="107"/>
  <c r="Z17" i="107"/>
  <c r="Z18" i="107"/>
  <c r="Z19" i="107"/>
  <c r="Z20" i="107"/>
  <c r="Z21" i="107"/>
  <c r="Z22" i="107"/>
  <c r="Z23" i="107"/>
  <c r="Z24" i="107"/>
  <c r="Z25" i="107"/>
  <c r="Z26" i="107"/>
  <c r="Z27" i="107"/>
  <c r="Z28" i="107"/>
  <c r="Z29" i="107"/>
  <c r="Z30" i="107"/>
  <c r="Z31" i="107"/>
  <c r="Z32" i="107"/>
  <c r="Z33" i="107"/>
  <c r="Z34" i="107"/>
  <c r="Z35" i="107"/>
  <c r="Z36" i="107"/>
  <c r="Z37" i="107"/>
  <c r="Z38" i="107"/>
  <c r="Z39" i="107"/>
  <c r="Z40" i="107"/>
  <c r="Z41" i="107"/>
  <c r="Z42" i="107"/>
  <c r="Z43" i="107"/>
  <c r="Z44" i="107"/>
  <c r="Z45" i="107"/>
  <c r="Z46" i="107"/>
  <c r="Z47" i="107"/>
  <c r="Z48" i="107"/>
  <c r="Z49" i="107"/>
  <c r="Z50" i="107"/>
  <c r="Z51" i="107"/>
  <c r="Z52" i="107"/>
  <c r="Z53" i="107"/>
  <c r="Z54" i="107"/>
  <c r="Z55" i="107"/>
  <c r="Z56" i="107"/>
  <c r="Z57" i="107"/>
  <c r="Z58" i="107"/>
  <c r="Z59" i="107"/>
  <c r="Z60" i="107"/>
  <c r="Z61" i="107"/>
  <c r="Z62" i="107"/>
  <c r="Z63" i="107"/>
  <c r="Z64" i="107"/>
  <c r="Z65" i="107"/>
  <c r="Z66" i="107"/>
  <c r="Z67" i="107"/>
  <c r="Z68" i="107"/>
  <c r="Z69" i="107"/>
  <c r="Z70" i="107"/>
  <c r="Z71" i="107"/>
  <c r="Z72" i="107"/>
  <c r="Z73" i="107"/>
  <c r="Z74" i="107"/>
  <c r="Z75" i="107"/>
  <c r="Z76" i="107"/>
  <c r="Z77" i="107"/>
  <c r="Z78" i="107"/>
  <c r="Z79" i="107"/>
  <c r="Z80" i="107"/>
  <c r="Z81" i="107"/>
  <c r="Z82" i="107"/>
  <c r="Z83" i="107"/>
  <c r="Z84" i="107"/>
  <c r="Z85" i="107"/>
  <c r="Z86" i="107"/>
  <c r="Z87" i="107"/>
  <c r="Z88" i="107"/>
  <c r="Z89" i="107"/>
  <c r="Z90" i="107"/>
  <c r="Z91" i="107"/>
  <c r="Z92" i="107"/>
  <c r="Z93" i="107"/>
  <c r="Z94" i="107"/>
  <c r="X6" i="107"/>
  <c r="X7" i="107"/>
  <c r="X8" i="107"/>
  <c r="X9" i="107"/>
  <c r="X10" i="107"/>
  <c r="X11" i="107"/>
  <c r="X12" i="107"/>
  <c r="X13" i="107"/>
  <c r="X14" i="107"/>
  <c r="X15" i="107"/>
  <c r="X16" i="107"/>
  <c r="X17" i="107"/>
  <c r="X18" i="107"/>
  <c r="X19" i="107"/>
  <c r="X20" i="107"/>
  <c r="X21" i="107"/>
  <c r="X22" i="107"/>
  <c r="X23" i="107"/>
  <c r="X24" i="107"/>
  <c r="X25" i="107"/>
  <c r="X26" i="107"/>
  <c r="X27" i="107"/>
  <c r="X28" i="107"/>
  <c r="X29" i="107"/>
  <c r="X30" i="107"/>
  <c r="X31" i="107"/>
  <c r="X32" i="107"/>
  <c r="X33" i="107"/>
  <c r="X34" i="107"/>
  <c r="X35" i="107"/>
  <c r="X36" i="107"/>
  <c r="X37" i="107"/>
  <c r="X38" i="107"/>
  <c r="X39" i="107"/>
  <c r="X40" i="107"/>
  <c r="X41" i="107"/>
  <c r="X42" i="107"/>
  <c r="X43" i="107"/>
  <c r="X44" i="107"/>
  <c r="X45" i="107"/>
  <c r="X46" i="107"/>
  <c r="X47" i="107"/>
  <c r="X48" i="107"/>
  <c r="X49" i="107"/>
  <c r="X50" i="107"/>
  <c r="X51" i="107"/>
  <c r="X52" i="107"/>
  <c r="X53" i="107"/>
  <c r="X54" i="107"/>
  <c r="X55" i="107"/>
  <c r="X56" i="107"/>
  <c r="X57" i="107"/>
  <c r="X58" i="107"/>
  <c r="X59" i="107"/>
  <c r="X60" i="107"/>
  <c r="X61" i="107"/>
  <c r="X62" i="107"/>
  <c r="X63" i="107"/>
  <c r="X64" i="107"/>
  <c r="X65" i="107"/>
  <c r="X66" i="107"/>
  <c r="X67" i="107"/>
  <c r="X68" i="107"/>
  <c r="X69" i="107"/>
  <c r="X70" i="107"/>
  <c r="X71" i="107"/>
  <c r="X72" i="107"/>
  <c r="X73" i="107"/>
  <c r="X74" i="107"/>
  <c r="X75" i="107"/>
  <c r="X76" i="107"/>
  <c r="X77" i="107"/>
  <c r="X78" i="107"/>
  <c r="X79" i="107"/>
  <c r="X80" i="107"/>
  <c r="X81" i="107"/>
  <c r="X82" i="107"/>
  <c r="X83" i="107"/>
  <c r="X84" i="107"/>
  <c r="X85" i="107"/>
  <c r="X86" i="107"/>
  <c r="X87" i="107"/>
  <c r="X88" i="107"/>
  <c r="X89" i="107"/>
  <c r="X90" i="107"/>
  <c r="X91" i="107"/>
  <c r="X92" i="107"/>
  <c r="X93" i="107"/>
  <c r="X114" i="107" s="1"/>
  <c r="X94" i="107"/>
  <c r="V6" i="107"/>
  <c r="V7" i="107"/>
  <c r="V8" i="107"/>
  <c r="V9" i="107"/>
  <c r="V10" i="107"/>
  <c r="V11" i="107"/>
  <c r="V12" i="107"/>
  <c r="V13" i="107"/>
  <c r="V14" i="107"/>
  <c r="V15" i="107"/>
  <c r="V16" i="107"/>
  <c r="V17" i="107"/>
  <c r="V18" i="107"/>
  <c r="V19" i="107"/>
  <c r="V20" i="107"/>
  <c r="V21" i="107"/>
  <c r="V22" i="107"/>
  <c r="V23" i="107"/>
  <c r="V24" i="107"/>
  <c r="V25" i="107"/>
  <c r="V26" i="107"/>
  <c r="V27" i="107"/>
  <c r="V28" i="107"/>
  <c r="V29" i="107"/>
  <c r="V30" i="107"/>
  <c r="V31" i="107"/>
  <c r="V32" i="107"/>
  <c r="V33" i="107"/>
  <c r="V34" i="107"/>
  <c r="V35" i="107"/>
  <c r="V36" i="107"/>
  <c r="V37" i="107"/>
  <c r="V38" i="107"/>
  <c r="V39" i="107"/>
  <c r="V40" i="107"/>
  <c r="V41" i="107"/>
  <c r="V42" i="107"/>
  <c r="V43" i="107"/>
  <c r="V44" i="107"/>
  <c r="V45" i="107"/>
  <c r="V46" i="107"/>
  <c r="V47" i="107"/>
  <c r="V48" i="107"/>
  <c r="V49" i="107"/>
  <c r="V50" i="107"/>
  <c r="V51" i="107"/>
  <c r="V52" i="107"/>
  <c r="V53" i="107"/>
  <c r="V54" i="107"/>
  <c r="V55" i="107"/>
  <c r="V56" i="107"/>
  <c r="V57" i="107"/>
  <c r="V58" i="107"/>
  <c r="V59" i="107"/>
  <c r="V60" i="107"/>
  <c r="V61" i="107"/>
  <c r="V62" i="107"/>
  <c r="V63" i="107"/>
  <c r="V64" i="107"/>
  <c r="V65" i="107"/>
  <c r="V66" i="107"/>
  <c r="V67" i="107"/>
  <c r="V68" i="107"/>
  <c r="V69" i="107"/>
  <c r="V70" i="107"/>
  <c r="V71" i="107"/>
  <c r="V72" i="107"/>
  <c r="V73" i="107"/>
  <c r="V74" i="107"/>
  <c r="V75" i="107"/>
  <c r="V76" i="107"/>
  <c r="V77" i="107"/>
  <c r="V78" i="107"/>
  <c r="V79" i="107"/>
  <c r="V80" i="107"/>
  <c r="V81" i="107"/>
  <c r="V82" i="107"/>
  <c r="V83" i="107"/>
  <c r="V84" i="107"/>
  <c r="V85" i="107"/>
  <c r="V86" i="107"/>
  <c r="V87" i="107"/>
  <c r="V88" i="107"/>
  <c r="V89" i="107"/>
  <c r="V90" i="107"/>
  <c r="V91" i="107"/>
  <c r="V92" i="107"/>
  <c r="V93" i="107"/>
  <c r="V94" i="107"/>
  <c r="T6" i="107"/>
  <c r="T7" i="107"/>
  <c r="T8" i="107"/>
  <c r="T9" i="107"/>
  <c r="T10" i="107"/>
  <c r="T11" i="107"/>
  <c r="T12" i="107"/>
  <c r="T13" i="107"/>
  <c r="T14" i="107"/>
  <c r="T15" i="107"/>
  <c r="T16" i="107"/>
  <c r="T17" i="107"/>
  <c r="T18" i="107"/>
  <c r="T19" i="107"/>
  <c r="T20" i="107"/>
  <c r="T21" i="107"/>
  <c r="T22" i="107"/>
  <c r="T23" i="107"/>
  <c r="T24" i="107"/>
  <c r="T25" i="107"/>
  <c r="T26" i="107"/>
  <c r="T27" i="107"/>
  <c r="T28" i="107"/>
  <c r="T29" i="107"/>
  <c r="T30" i="107"/>
  <c r="T31" i="107"/>
  <c r="T32" i="107"/>
  <c r="T33" i="107"/>
  <c r="T34" i="107"/>
  <c r="T35" i="107"/>
  <c r="T36" i="107"/>
  <c r="T37" i="107"/>
  <c r="T38" i="107"/>
  <c r="T39" i="107"/>
  <c r="T40" i="107"/>
  <c r="T41" i="107"/>
  <c r="T42" i="107"/>
  <c r="T43" i="107"/>
  <c r="T44" i="107"/>
  <c r="T45" i="107"/>
  <c r="T46" i="107"/>
  <c r="T47" i="107"/>
  <c r="T48" i="107"/>
  <c r="T49" i="107"/>
  <c r="T50" i="107"/>
  <c r="T51" i="107"/>
  <c r="T52" i="107"/>
  <c r="T53" i="107"/>
  <c r="T54" i="107"/>
  <c r="T55" i="107"/>
  <c r="T56" i="107"/>
  <c r="T57" i="107"/>
  <c r="T58" i="107"/>
  <c r="T59" i="107"/>
  <c r="T60" i="107"/>
  <c r="T61" i="107"/>
  <c r="T62" i="107"/>
  <c r="T63" i="107"/>
  <c r="T64" i="107"/>
  <c r="T65" i="107"/>
  <c r="T66" i="107"/>
  <c r="T67" i="107"/>
  <c r="T68" i="107"/>
  <c r="T69" i="107"/>
  <c r="T70" i="107"/>
  <c r="T71" i="107"/>
  <c r="T72" i="107"/>
  <c r="T73" i="107"/>
  <c r="T74" i="107"/>
  <c r="T75" i="107"/>
  <c r="T76" i="107"/>
  <c r="T77" i="107"/>
  <c r="T78" i="107"/>
  <c r="T79" i="107"/>
  <c r="T80" i="107"/>
  <c r="T81" i="107"/>
  <c r="T82" i="107"/>
  <c r="T83" i="107"/>
  <c r="T84" i="107"/>
  <c r="T85" i="107"/>
  <c r="T86" i="107"/>
  <c r="T87" i="107"/>
  <c r="T88" i="107"/>
  <c r="T89" i="107"/>
  <c r="T90" i="107"/>
  <c r="T91" i="107"/>
  <c r="T92" i="107"/>
  <c r="T93" i="107"/>
  <c r="T94" i="107"/>
  <c r="Z5" i="107"/>
  <c r="X5" i="107"/>
  <c r="V5" i="107"/>
  <c r="T5" i="107"/>
  <c r="R6" i="107"/>
  <c r="R7" i="107"/>
  <c r="R8" i="107"/>
  <c r="R9" i="107"/>
  <c r="R10" i="107"/>
  <c r="R11" i="107"/>
  <c r="R12" i="107"/>
  <c r="R13" i="107"/>
  <c r="R14" i="107"/>
  <c r="R15" i="107"/>
  <c r="R16" i="107"/>
  <c r="R17" i="107"/>
  <c r="R18" i="107"/>
  <c r="R19" i="107"/>
  <c r="R20" i="107"/>
  <c r="R21" i="107"/>
  <c r="R22" i="107"/>
  <c r="R23" i="107"/>
  <c r="R24" i="107"/>
  <c r="R25" i="107"/>
  <c r="R26" i="107"/>
  <c r="R27" i="107"/>
  <c r="R28" i="107"/>
  <c r="R29" i="107"/>
  <c r="R30" i="107"/>
  <c r="R31" i="107"/>
  <c r="R32" i="107"/>
  <c r="R33" i="107"/>
  <c r="R34" i="107"/>
  <c r="R35" i="107"/>
  <c r="R36" i="107"/>
  <c r="R37" i="107"/>
  <c r="R38" i="107"/>
  <c r="R39" i="107"/>
  <c r="R40" i="107"/>
  <c r="R41" i="107"/>
  <c r="R42" i="107"/>
  <c r="R43" i="107"/>
  <c r="R44" i="107"/>
  <c r="R45" i="107"/>
  <c r="R46" i="107"/>
  <c r="R47" i="107"/>
  <c r="R48" i="107"/>
  <c r="R49" i="107"/>
  <c r="R50" i="107"/>
  <c r="R51" i="107"/>
  <c r="R52" i="107"/>
  <c r="R53" i="107"/>
  <c r="R54" i="107"/>
  <c r="R55" i="107"/>
  <c r="R56" i="107"/>
  <c r="R57" i="107"/>
  <c r="R58" i="107"/>
  <c r="R59" i="107"/>
  <c r="R60" i="107"/>
  <c r="R61" i="107"/>
  <c r="R62" i="107"/>
  <c r="R63" i="107"/>
  <c r="R64" i="107"/>
  <c r="R65" i="107"/>
  <c r="R66" i="107"/>
  <c r="R67" i="107"/>
  <c r="R68" i="107"/>
  <c r="R69" i="107"/>
  <c r="R70" i="107"/>
  <c r="R71" i="107"/>
  <c r="R72" i="107"/>
  <c r="R73" i="107"/>
  <c r="R74" i="107"/>
  <c r="R75" i="107"/>
  <c r="R76" i="107"/>
  <c r="R77" i="107"/>
  <c r="R78" i="107"/>
  <c r="R79" i="107"/>
  <c r="R80" i="107"/>
  <c r="R81" i="107"/>
  <c r="R82" i="107"/>
  <c r="R83" i="107"/>
  <c r="R84" i="107"/>
  <c r="R85" i="107"/>
  <c r="R86" i="107"/>
  <c r="R87" i="107"/>
  <c r="R88" i="107"/>
  <c r="R89" i="107"/>
  <c r="R90" i="107"/>
  <c r="R91" i="107"/>
  <c r="R92" i="107"/>
  <c r="R93" i="107"/>
  <c r="Q114" i="107" s="1"/>
  <c r="R94" i="107"/>
  <c r="R5" i="107"/>
  <c r="P6" i="107"/>
  <c r="P7" i="107"/>
  <c r="P8" i="107"/>
  <c r="P9" i="107"/>
  <c r="P10" i="107"/>
  <c r="P11" i="107"/>
  <c r="P12" i="107"/>
  <c r="P13" i="107"/>
  <c r="P14" i="107"/>
  <c r="P15" i="107"/>
  <c r="P16" i="107"/>
  <c r="P17" i="107"/>
  <c r="P18" i="107"/>
  <c r="P19" i="107"/>
  <c r="P20" i="107"/>
  <c r="P21" i="107"/>
  <c r="P22" i="107"/>
  <c r="P23" i="107"/>
  <c r="P24" i="107"/>
  <c r="P25" i="107"/>
  <c r="P26" i="107"/>
  <c r="P27" i="107"/>
  <c r="P28" i="107"/>
  <c r="P29" i="107"/>
  <c r="P30" i="107"/>
  <c r="P31" i="107"/>
  <c r="P32" i="107"/>
  <c r="P33" i="107"/>
  <c r="P34" i="107"/>
  <c r="P35" i="107"/>
  <c r="P36" i="107"/>
  <c r="P37" i="107"/>
  <c r="P38" i="107"/>
  <c r="P39" i="107"/>
  <c r="P40" i="107"/>
  <c r="P41" i="107"/>
  <c r="P42" i="107"/>
  <c r="P43" i="107"/>
  <c r="P44" i="107"/>
  <c r="P45" i="107"/>
  <c r="P46" i="107"/>
  <c r="P47" i="107"/>
  <c r="P48" i="107"/>
  <c r="P49" i="107"/>
  <c r="P50" i="107"/>
  <c r="P51" i="107"/>
  <c r="P52" i="107"/>
  <c r="P53" i="107"/>
  <c r="P54" i="107"/>
  <c r="P55" i="107"/>
  <c r="P56" i="107"/>
  <c r="P57" i="107"/>
  <c r="P58" i="107"/>
  <c r="P59" i="107"/>
  <c r="P60" i="107"/>
  <c r="P61" i="107"/>
  <c r="P62" i="107"/>
  <c r="P63" i="107"/>
  <c r="P64" i="107"/>
  <c r="P65" i="107"/>
  <c r="P66" i="107"/>
  <c r="P67" i="107"/>
  <c r="P68" i="107"/>
  <c r="P69" i="107"/>
  <c r="P70" i="107"/>
  <c r="P71" i="107"/>
  <c r="P72" i="107"/>
  <c r="P73" i="107"/>
  <c r="P74" i="107"/>
  <c r="P75" i="107"/>
  <c r="P76" i="107"/>
  <c r="P77" i="107"/>
  <c r="P78" i="107"/>
  <c r="P79" i="107"/>
  <c r="P80" i="107"/>
  <c r="P81" i="107"/>
  <c r="P82" i="107"/>
  <c r="P83" i="107"/>
  <c r="P84" i="107"/>
  <c r="P85" i="107"/>
  <c r="P86" i="107"/>
  <c r="P87" i="107"/>
  <c r="P88" i="107"/>
  <c r="P89" i="107"/>
  <c r="P90" i="107"/>
  <c r="P91" i="107"/>
  <c r="P92" i="107"/>
  <c r="P93" i="107"/>
  <c r="P114" i="107" s="1"/>
  <c r="P94" i="107"/>
  <c r="P5" i="107"/>
  <c r="N6" i="107"/>
  <c r="N7" i="107"/>
  <c r="N8" i="107"/>
  <c r="N9" i="107"/>
  <c r="N10" i="107"/>
  <c r="N11" i="107"/>
  <c r="N12" i="107"/>
  <c r="N13" i="107"/>
  <c r="N14" i="107"/>
  <c r="N15" i="107"/>
  <c r="N16" i="107"/>
  <c r="N17" i="107"/>
  <c r="N18" i="107"/>
  <c r="N19" i="107"/>
  <c r="N20" i="107"/>
  <c r="N21" i="107"/>
  <c r="N22" i="107"/>
  <c r="N23" i="107"/>
  <c r="N24" i="107"/>
  <c r="N25" i="107"/>
  <c r="N26" i="107"/>
  <c r="N27" i="107"/>
  <c r="N28" i="107"/>
  <c r="N29" i="107"/>
  <c r="N30" i="107"/>
  <c r="N31" i="107"/>
  <c r="N32" i="107"/>
  <c r="N33" i="107"/>
  <c r="N34" i="107"/>
  <c r="N35" i="107"/>
  <c r="N36" i="107"/>
  <c r="N37" i="107"/>
  <c r="N38" i="107"/>
  <c r="N39" i="107"/>
  <c r="N40" i="107"/>
  <c r="N41" i="107"/>
  <c r="N42" i="107"/>
  <c r="N43" i="107"/>
  <c r="N44" i="107"/>
  <c r="N45" i="107"/>
  <c r="N46" i="107"/>
  <c r="N47" i="107"/>
  <c r="N48" i="107"/>
  <c r="N49" i="107"/>
  <c r="N50" i="107"/>
  <c r="N51" i="107"/>
  <c r="N52" i="107"/>
  <c r="N53" i="107"/>
  <c r="N54" i="107"/>
  <c r="N55" i="107"/>
  <c r="N56" i="107"/>
  <c r="N57" i="107"/>
  <c r="N58" i="107"/>
  <c r="N59" i="107"/>
  <c r="N60" i="107"/>
  <c r="N61" i="107"/>
  <c r="N62" i="107"/>
  <c r="N63" i="107"/>
  <c r="N64" i="107"/>
  <c r="N65" i="107"/>
  <c r="N66" i="107"/>
  <c r="N67" i="107"/>
  <c r="N68" i="107"/>
  <c r="N69" i="107"/>
  <c r="N70" i="107"/>
  <c r="N71" i="107"/>
  <c r="N72" i="107"/>
  <c r="N73" i="107"/>
  <c r="N74" i="107"/>
  <c r="N75" i="107"/>
  <c r="N76" i="107"/>
  <c r="N77" i="107"/>
  <c r="N78" i="107"/>
  <c r="N79" i="107"/>
  <c r="N80" i="107"/>
  <c r="N81" i="107"/>
  <c r="N82" i="107"/>
  <c r="N83" i="107"/>
  <c r="N84" i="107"/>
  <c r="N85" i="107"/>
  <c r="N86" i="107"/>
  <c r="N87" i="107"/>
  <c r="N88" i="107"/>
  <c r="N89" i="107"/>
  <c r="N90" i="107"/>
  <c r="N91" i="107"/>
  <c r="N92" i="107"/>
  <c r="N93" i="107"/>
  <c r="N94" i="107"/>
  <c r="N5" i="107"/>
  <c r="L6" i="107"/>
  <c r="L7" i="107"/>
  <c r="L8" i="107"/>
  <c r="L9" i="107"/>
  <c r="L10" i="107"/>
  <c r="L11" i="107"/>
  <c r="L12" i="107"/>
  <c r="L13" i="107"/>
  <c r="L14" i="107"/>
  <c r="L15" i="107"/>
  <c r="L16" i="107"/>
  <c r="L17" i="107"/>
  <c r="L18" i="107"/>
  <c r="L19" i="107"/>
  <c r="L20" i="107"/>
  <c r="L21" i="107"/>
  <c r="L22" i="107"/>
  <c r="L23" i="107"/>
  <c r="L24" i="107"/>
  <c r="L25" i="107"/>
  <c r="L26" i="107"/>
  <c r="L27" i="107"/>
  <c r="L28" i="107"/>
  <c r="L29" i="107"/>
  <c r="L30" i="107"/>
  <c r="L31" i="107"/>
  <c r="L32" i="107"/>
  <c r="L33" i="107"/>
  <c r="L34" i="107"/>
  <c r="L35" i="107"/>
  <c r="L36" i="107"/>
  <c r="L37" i="107"/>
  <c r="L38" i="107"/>
  <c r="L39" i="107"/>
  <c r="L40" i="107"/>
  <c r="L41" i="107"/>
  <c r="L42" i="107"/>
  <c r="L43" i="107"/>
  <c r="L44" i="107"/>
  <c r="L45" i="107"/>
  <c r="L46" i="107"/>
  <c r="L47" i="107"/>
  <c r="L48" i="107"/>
  <c r="L49" i="107"/>
  <c r="L50" i="107"/>
  <c r="L51" i="107"/>
  <c r="L52" i="107"/>
  <c r="L53" i="107"/>
  <c r="L54" i="107"/>
  <c r="L55" i="107"/>
  <c r="L56" i="107"/>
  <c r="L57" i="107"/>
  <c r="L58" i="107"/>
  <c r="L59" i="107"/>
  <c r="L60" i="107"/>
  <c r="L61" i="107"/>
  <c r="L62" i="107"/>
  <c r="L63" i="107"/>
  <c r="L64" i="107"/>
  <c r="L65" i="107"/>
  <c r="L66" i="107"/>
  <c r="L67" i="107"/>
  <c r="L68" i="107"/>
  <c r="L69" i="107"/>
  <c r="L70" i="107"/>
  <c r="L71" i="107"/>
  <c r="L72" i="107"/>
  <c r="L73" i="107"/>
  <c r="L74" i="107"/>
  <c r="L75" i="107"/>
  <c r="L76" i="107"/>
  <c r="L77" i="107"/>
  <c r="L78" i="107"/>
  <c r="L79" i="107"/>
  <c r="L80" i="107"/>
  <c r="L81" i="107"/>
  <c r="L82" i="107"/>
  <c r="L83" i="107"/>
  <c r="L84" i="107"/>
  <c r="L85" i="107"/>
  <c r="L86" i="107"/>
  <c r="L87" i="107"/>
  <c r="L88" i="107"/>
  <c r="L89" i="107"/>
  <c r="L90" i="107"/>
  <c r="L91" i="107"/>
  <c r="L92" i="107"/>
  <c r="L93" i="107"/>
  <c r="L94" i="107"/>
  <c r="J6" i="107"/>
  <c r="J7" i="107"/>
  <c r="J8" i="107"/>
  <c r="J9" i="107"/>
  <c r="J10" i="107"/>
  <c r="J11" i="107"/>
  <c r="J12" i="107"/>
  <c r="J13" i="107"/>
  <c r="J14" i="107"/>
  <c r="J15" i="107"/>
  <c r="J16" i="107"/>
  <c r="J17" i="107"/>
  <c r="J18" i="107"/>
  <c r="J19" i="107"/>
  <c r="J20" i="107"/>
  <c r="J21" i="107"/>
  <c r="J22" i="107"/>
  <c r="J23" i="107"/>
  <c r="J24" i="107"/>
  <c r="J25" i="107"/>
  <c r="J26" i="107"/>
  <c r="J27" i="107"/>
  <c r="J28" i="107"/>
  <c r="J29" i="107"/>
  <c r="J30" i="107"/>
  <c r="J31" i="107"/>
  <c r="J32" i="107"/>
  <c r="J33" i="107"/>
  <c r="J34" i="107"/>
  <c r="J35" i="107"/>
  <c r="J36" i="107"/>
  <c r="J37" i="107"/>
  <c r="J38" i="107"/>
  <c r="J39" i="107"/>
  <c r="J40" i="107"/>
  <c r="J41" i="107"/>
  <c r="J42" i="107"/>
  <c r="J43" i="107"/>
  <c r="J44" i="107"/>
  <c r="J45" i="107"/>
  <c r="J46" i="107"/>
  <c r="J47" i="107"/>
  <c r="J48" i="107"/>
  <c r="J49" i="107"/>
  <c r="J50" i="107"/>
  <c r="J51" i="107"/>
  <c r="J52" i="107"/>
  <c r="J53" i="107"/>
  <c r="J54" i="107"/>
  <c r="J55" i="107"/>
  <c r="J56" i="107"/>
  <c r="J57" i="107"/>
  <c r="J58" i="107"/>
  <c r="J59" i="107"/>
  <c r="J60" i="107"/>
  <c r="J61" i="107"/>
  <c r="J62" i="107"/>
  <c r="J63" i="107"/>
  <c r="J64" i="107"/>
  <c r="J65" i="107"/>
  <c r="J66" i="107"/>
  <c r="J67" i="107"/>
  <c r="J68" i="107"/>
  <c r="J69" i="107"/>
  <c r="J70" i="107"/>
  <c r="J71" i="107"/>
  <c r="J72" i="107"/>
  <c r="J73" i="107"/>
  <c r="J74" i="107"/>
  <c r="J75" i="107"/>
  <c r="J76" i="107"/>
  <c r="J77" i="107"/>
  <c r="J78" i="107"/>
  <c r="J79" i="107"/>
  <c r="J80" i="107"/>
  <c r="J81" i="107"/>
  <c r="J82" i="107"/>
  <c r="J83" i="107"/>
  <c r="J84" i="107"/>
  <c r="J85" i="107"/>
  <c r="J86" i="107"/>
  <c r="J87" i="107"/>
  <c r="J88" i="107"/>
  <c r="J89" i="107"/>
  <c r="J90" i="107"/>
  <c r="J91" i="107"/>
  <c r="J92" i="107"/>
  <c r="J93" i="107"/>
  <c r="J114" i="107" s="1"/>
  <c r="J94" i="107"/>
  <c r="L5" i="107"/>
  <c r="J5" i="107"/>
  <c r="H6" i="107"/>
  <c r="H7" i="107"/>
  <c r="H8" i="107"/>
  <c r="H9" i="107"/>
  <c r="H10" i="107"/>
  <c r="H11" i="107"/>
  <c r="H12" i="107"/>
  <c r="H13" i="107"/>
  <c r="H14" i="107"/>
  <c r="H15" i="107"/>
  <c r="H16" i="107"/>
  <c r="H17" i="107"/>
  <c r="H18" i="107"/>
  <c r="H19" i="107"/>
  <c r="H20" i="107"/>
  <c r="H21" i="107"/>
  <c r="H22" i="107"/>
  <c r="H23" i="107"/>
  <c r="H24" i="107"/>
  <c r="H25" i="107"/>
  <c r="H26" i="107"/>
  <c r="H27" i="107"/>
  <c r="H28" i="107"/>
  <c r="H29" i="107"/>
  <c r="H30" i="107"/>
  <c r="H31" i="107"/>
  <c r="H32" i="107"/>
  <c r="H33" i="107"/>
  <c r="H34" i="107"/>
  <c r="H35" i="107"/>
  <c r="H36" i="107"/>
  <c r="H37" i="107"/>
  <c r="H38" i="107"/>
  <c r="H39" i="107"/>
  <c r="H40" i="107"/>
  <c r="H41" i="107"/>
  <c r="H42" i="107"/>
  <c r="H43" i="107"/>
  <c r="H44" i="107"/>
  <c r="H45" i="107"/>
  <c r="H46" i="107"/>
  <c r="H47" i="107"/>
  <c r="H48" i="107"/>
  <c r="H49" i="107"/>
  <c r="H50" i="107"/>
  <c r="H51" i="107"/>
  <c r="H52" i="107"/>
  <c r="H53" i="107"/>
  <c r="H54" i="107"/>
  <c r="H55" i="107"/>
  <c r="H56" i="107"/>
  <c r="H57" i="107"/>
  <c r="H58" i="107"/>
  <c r="H59" i="107"/>
  <c r="H60" i="107"/>
  <c r="H61" i="107"/>
  <c r="H62" i="107"/>
  <c r="H63" i="107"/>
  <c r="H64" i="107"/>
  <c r="H65" i="107"/>
  <c r="H66" i="107"/>
  <c r="H67" i="107"/>
  <c r="H68" i="107"/>
  <c r="H69" i="107"/>
  <c r="H70" i="107"/>
  <c r="H71" i="107"/>
  <c r="H72" i="107"/>
  <c r="H73" i="107"/>
  <c r="H74" i="107"/>
  <c r="H75" i="107"/>
  <c r="H76" i="107"/>
  <c r="H77" i="107"/>
  <c r="H78" i="107"/>
  <c r="H79" i="107"/>
  <c r="H80" i="107"/>
  <c r="H81" i="107"/>
  <c r="H82" i="107"/>
  <c r="H83" i="107"/>
  <c r="H84" i="107"/>
  <c r="H85" i="107"/>
  <c r="H86" i="107"/>
  <c r="H87" i="107"/>
  <c r="H88" i="107"/>
  <c r="H89" i="107"/>
  <c r="H90" i="107"/>
  <c r="H91" i="107"/>
  <c r="H92" i="107"/>
  <c r="H93" i="107"/>
  <c r="G114" i="107" s="1"/>
  <c r="H94" i="107"/>
  <c r="H5" i="107"/>
  <c r="F6" i="107"/>
  <c r="F7" i="107"/>
  <c r="F8" i="107"/>
  <c r="F9" i="107"/>
  <c r="F10" i="107"/>
  <c r="F11" i="107"/>
  <c r="F12" i="107"/>
  <c r="F13" i="107"/>
  <c r="F14" i="107"/>
  <c r="F15" i="107"/>
  <c r="F16" i="107"/>
  <c r="F17" i="107"/>
  <c r="F18" i="107"/>
  <c r="F19" i="107"/>
  <c r="F20" i="107"/>
  <c r="F21" i="107"/>
  <c r="F22" i="107"/>
  <c r="F23" i="107"/>
  <c r="F24" i="107"/>
  <c r="F25" i="107"/>
  <c r="F26" i="107"/>
  <c r="F27" i="107"/>
  <c r="F28" i="107"/>
  <c r="F29" i="107"/>
  <c r="F30" i="107"/>
  <c r="F31" i="107"/>
  <c r="F32" i="107"/>
  <c r="F33" i="107"/>
  <c r="F34" i="107"/>
  <c r="F35" i="107"/>
  <c r="F36" i="107"/>
  <c r="F37" i="107"/>
  <c r="F38" i="107"/>
  <c r="F39" i="107"/>
  <c r="F40" i="107"/>
  <c r="F41" i="107"/>
  <c r="F42" i="107"/>
  <c r="F43" i="107"/>
  <c r="F44" i="107"/>
  <c r="F45" i="107"/>
  <c r="F46" i="107"/>
  <c r="F47" i="107"/>
  <c r="F48" i="107"/>
  <c r="F49" i="107"/>
  <c r="F50" i="107"/>
  <c r="F51" i="107"/>
  <c r="F52" i="107"/>
  <c r="F53" i="107"/>
  <c r="F54" i="107"/>
  <c r="F55" i="107"/>
  <c r="F56" i="107"/>
  <c r="F57" i="107"/>
  <c r="F58" i="107"/>
  <c r="F59" i="107"/>
  <c r="F60" i="107"/>
  <c r="F61" i="107"/>
  <c r="F62" i="107"/>
  <c r="F63" i="107"/>
  <c r="F64" i="107"/>
  <c r="F65" i="107"/>
  <c r="F66" i="107"/>
  <c r="F67" i="107"/>
  <c r="F68" i="107"/>
  <c r="F69" i="107"/>
  <c r="F70" i="107"/>
  <c r="F71" i="107"/>
  <c r="F72" i="107"/>
  <c r="F73" i="107"/>
  <c r="F74" i="107"/>
  <c r="F75" i="107"/>
  <c r="F76" i="107"/>
  <c r="F77" i="107"/>
  <c r="F78" i="107"/>
  <c r="F79" i="107"/>
  <c r="F80" i="107"/>
  <c r="F81" i="107"/>
  <c r="F82" i="107"/>
  <c r="F83" i="107"/>
  <c r="F84" i="107"/>
  <c r="F85" i="107"/>
  <c r="F86" i="107"/>
  <c r="F87" i="107"/>
  <c r="F88" i="107"/>
  <c r="F89" i="107"/>
  <c r="F90" i="107"/>
  <c r="F91" i="107"/>
  <c r="F92" i="107"/>
  <c r="F93" i="107"/>
  <c r="F114" i="107" s="1"/>
  <c r="F94" i="107"/>
  <c r="F5" i="107"/>
  <c r="W100" i="107"/>
  <c r="W101" i="107"/>
  <c r="W102" i="107"/>
  <c r="W103" i="107"/>
  <c r="W104" i="107"/>
  <c r="W105" i="107"/>
  <c r="W106" i="107"/>
  <c r="W107" i="107"/>
  <c r="Z15" i="91"/>
  <c r="Z14" i="91"/>
  <c r="Z13" i="91"/>
  <c r="Z12" i="91"/>
  <c r="Z11" i="91"/>
  <c r="Z10" i="91"/>
  <c r="Z9" i="91"/>
  <c r="Z8" i="91"/>
  <c r="Z7" i="91"/>
  <c r="Z6" i="91"/>
  <c r="Z34" i="91" s="1"/>
  <c r="Z5" i="91"/>
  <c r="X15" i="91"/>
  <c r="X14" i="91"/>
  <c r="X13" i="91"/>
  <c r="X12" i="91"/>
  <c r="X11" i="91"/>
  <c r="X10" i="91"/>
  <c r="X9" i="91"/>
  <c r="X34" i="91" s="1"/>
  <c r="X37" i="91" s="1"/>
  <c r="X8" i="91"/>
  <c r="X7" i="91"/>
  <c r="X6" i="91"/>
  <c r="X5" i="91"/>
  <c r="V15" i="91"/>
  <c r="V14" i="91"/>
  <c r="V13" i="91"/>
  <c r="V12" i="91"/>
  <c r="V11" i="91"/>
  <c r="V10" i="91"/>
  <c r="V9" i="91"/>
  <c r="V8" i="91"/>
  <c r="V7" i="91"/>
  <c r="V6" i="91"/>
  <c r="U34" i="91" s="1"/>
  <c r="U37" i="91" s="1"/>
  <c r="V5" i="91"/>
  <c r="T15" i="91"/>
  <c r="T14" i="91"/>
  <c r="T13" i="91"/>
  <c r="T12" i="91"/>
  <c r="T11" i="91"/>
  <c r="T10" i="91"/>
  <c r="T9" i="91"/>
  <c r="T8" i="91"/>
  <c r="T34" i="91" s="1"/>
  <c r="T7" i="91"/>
  <c r="T6" i="91"/>
  <c r="T5" i="91"/>
  <c r="R15" i="91"/>
  <c r="R14" i="91"/>
  <c r="R13" i="91"/>
  <c r="R12" i="91"/>
  <c r="R11" i="91"/>
  <c r="R10" i="91"/>
  <c r="R9" i="91"/>
  <c r="R34" i="91" s="1"/>
  <c r="R37" i="91" s="1"/>
  <c r="R8" i="91"/>
  <c r="R7" i="91"/>
  <c r="R6" i="91"/>
  <c r="R5" i="91"/>
  <c r="P6" i="91"/>
  <c r="P7" i="91"/>
  <c r="P8" i="91"/>
  <c r="P9" i="91"/>
  <c r="P10" i="91"/>
  <c r="O34" i="91" s="1"/>
  <c r="O37" i="91" s="1"/>
  <c r="P11" i="91"/>
  <c r="P12" i="91"/>
  <c r="P13" i="91"/>
  <c r="P34" i="91" s="1"/>
  <c r="P37" i="91" s="1"/>
  <c r="P14" i="91"/>
  <c r="P15" i="91"/>
  <c r="P5" i="91"/>
  <c r="N6" i="91"/>
  <c r="N7" i="91"/>
  <c r="N8" i="91"/>
  <c r="N9" i="91"/>
  <c r="N10" i="91"/>
  <c r="N11" i="91"/>
  <c r="N12" i="91"/>
  <c r="N13" i="91"/>
  <c r="N14" i="91"/>
  <c r="N15" i="91"/>
  <c r="N5" i="91"/>
  <c r="L6" i="91"/>
  <c r="L7" i="91"/>
  <c r="L8" i="91"/>
  <c r="K34" i="91" s="1"/>
  <c r="K37" i="91" s="1"/>
  <c r="L9" i="91"/>
  <c r="L10" i="91"/>
  <c r="L11" i="91"/>
  <c r="L12" i="91"/>
  <c r="L13" i="91"/>
  <c r="L34" i="91" s="1"/>
  <c r="L14" i="91"/>
  <c r="L15" i="91"/>
  <c r="J6" i="91"/>
  <c r="J7" i="91"/>
  <c r="J8" i="91"/>
  <c r="J9" i="91"/>
  <c r="J10" i="91"/>
  <c r="I34" i="91" s="1"/>
  <c r="I37" i="91" s="1"/>
  <c r="J11" i="91"/>
  <c r="J12" i="91"/>
  <c r="J13" i="91"/>
  <c r="J14" i="91"/>
  <c r="J15" i="91"/>
  <c r="L5" i="91"/>
  <c r="J5" i="91"/>
  <c r="H6" i="91"/>
  <c r="H7" i="91"/>
  <c r="H8" i="91"/>
  <c r="G34" i="91" s="1"/>
  <c r="G37" i="91" s="1"/>
  <c r="H9" i="91"/>
  <c r="H10" i="91"/>
  <c r="H11" i="91"/>
  <c r="H12" i="91"/>
  <c r="H13" i="91"/>
  <c r="H14" i="91"/>
  <c r="H15" i="91"/>
  <c r="H5" i="91"/>
  <c r="F6" i="91"/>
  <c r="F7" i="91"/>
  <c r="F8" i="91"/>
  <c r="F9" i="91"/>
  <c r="F10" i="91"/>
  <c r="F11" i="91"/>
  <c r="F12" i="91"/>
  <c r="F13" i="91"/>
  <c r="F14" i="91"/>
  <c r="F15" i="91"/>
  <c r="F5" i="91"/>
  <c r="F5" i="90"/>
  <c r="E32" i="90" s="1"/>
  <c r="E35" i="90" s="1"/>
  <c r="D6" i="91"/>
  <c r="D7" i="91"/>
  <c r="D8" i="91"/>
  <c r="D9" i="91"/>
  <c r="D10" i="91"/>
  <c r="D11" i="91"/>
  <c r="D12" i="91"/>
  <c r="D13" i="91"/>
  <c r="D14" i="91"/>
  <c r="D15" i="91"/>
  <c r="D5" i="91"/>
  <c r="Z35" i="91"/>
  <c r="X35" i="91"/>
  <c r="V35" i="91"/>
  <c r="T35" i="91"/>
  <c r="R35" i="91"/>
  <c r="P35" i="91"/>
  <c r="N35" i="91"/>
  <c r="L35" i="91"/>
  <c r="J35" i="91"/>
  <c r="H35" i="91"/>
  <c r="F35" i="91"/>
  <c r="D35" i="91"/>
  <c r="V34" i="91"/>
  <c r="V37" i="91" s="1"/>
  <c r="S34" i="91"/>
  <c r="S37" i="91" s="1"/>
  <c r="Q34" i="91"/>
  <c r="Q37" i="91" s="1"/>
  <c r="Z33" i="90"/>
  <c r="Z32" i="90"/>
  <c r="Y32" i="90"/>
  <c r="X33" i="90"/>
  <c r="X32" i="90"/>
  <c r="X35" i="90" s="1"/>
  <c r="W32" i="90"/>
  <c r="W35" i="90" s="1"/>
  <c r="V33" i="90"/>
  <c r="V32" i="90"/>
  <c r="U32" i="90"/>
  <c r="U35" i="90" s="1"/>
  <c r="T33" i="90"/>
  <c r="T32" i="90"/>
  <c r="S32" i="90"/>
  <c r="R33" i="90"/>
  <c r="R32" i="90"/>
  <c r="Q32" i="90"/>
  <c r="P33" i="90"/>
  <c r="P32" i="90"/>
  <c r="O32" i="90"/>
  <c r="O35" i="90" s="1"/>
  <c r="N33" i="90"/>
  <c r="N32" i="90"/>
  <c r="N35" i="90" s="1"/>
  <c r="M32" i="90"/>
  <c r="L33" i="90"/>
  <c r="L32" i="90"/>
  <c r="K32" i="90"/>
  <c r="J33" i="90"/>
  <c r="J32" i="90"/>
  <c r="I32" i="90"/>
  <c r="H33" i="90"/>
  <c r="H32" i="90"/>
  <c r="H35" i="90" s="1"/>
  <c r="G32" i="90"/>
  <c r="G35" i="90" s="1"/>
  <c r="F33" i="90"/>
  <c r="F32" i="90"/>
  <c r="F35" i="90" s="1"/>
  <c r="D33" i="90"/>
  <c r="D32" i="90"/>
  <c r="C32" i="90"/>
  <c r="C35" i="90" s="1"/>
  <c r="Z76" i="88"/>
  <c r="Z75" i="88"/>
  <c r="Z106" i="88" s="1"/>
  <c r="X76" i="88"/>
  <c r="X106" i="88" s="1"/>
  <c r="X75" i="88"/>
  <c r="V76" i="88"/>
  <c r="V75" i="88"/>
  <c r="T76" i="88"/>
  <c r="T75" i="88"/>
  <c r="R76" i="88"/>
  <c r="R75" i="88"/>
  <c r="P76" i="88"/>
  <c r="P106" i="88" s="1"/>
  <c r="P75" i="88"/>
  <c r="N76" i="88"/>
  <c r="N75" i="88"/>
  <c r="J76" i="88"/>
  <c r="J75" i="88"/>
  <c r="H76" i="88"/>
  <c r="H75" i="88"/>
  <c r="H106" i="88" s="1"/>
  <c r="F76" i="88"/>
  <c r="F106" i="88" s="1"/>
  <c r="F75" i="88"/>
  <c r="L35" i="90"/>
  <c r="Z35" i="90"/>
  <c r="Y35" i="90"/>
  <c r="V35" i="90"/>
  <c r="T35" i="90"/>
  <c r="S35" i="90"/>
  <c r="R35" i="90"/>
  <c r="Q35" i="90"/>
  <c r="P35" i="90"/>
  <c r="M35" i="90"/>
  <c r="K35" i="90"/>
  <c r="J35" i="90"/>
  <c r="I35" i="90"/>
  <c r="D35" i="90"/>
  <c r="Z6" i="90"/>
  <c r="Z7" i="90"/>
  <c r="Z8" i="90"/>
  <c r="Z9" i="90"/>
  <c r="Z10" i="90"/>
  <c r="Z11" i="90"/>
  <c r="Z12" i="90"/>
  <c r="Z13" i="90"/>
  <c r="Z14" i="90"/>
  <c r="Z15" i="90"/>
  <c r="X6" i="90"/>
  <c r="X7" i="90"/>
  <c r="X8" i="90"/>
  <c r="X9" i="90"/>
  <c r="X10" i="90"/>
  <c r="X11" i="90"/>
  <c r="X12" i="90"/>
  <c r="X13" i="90"/>
  <c r="X14" i="90"/>
  <c r="X15" i="90"/>
  <c r="V6" i="90"/>
  <c r="V7" i="90"/>
  <c r="V8" i="90"/>
  <c r="V9" i="90"/>
  <c r="V10" i="90"/>
  <c r="V11" i="90"/>
  <c r="V12" i="90"/>
  <c r="V13" i="90"/>
  <c r="V14" i="90"/>
  <c r="V15" i="90"/>
  <c r="T6" i="90"/>
  <c r="T7" i="90"/>
  <c r="T8" i="90"/>
  <c r="T9" i="90"/>
  <c r="T10" i="90"/>
  <c r="T11" i="90"/>
  <c r="T12" i="90"/>
  <c r="T13" i="90"/>
  <c r="T14" i="90"/>
  <c r="T15" i="90"/>
  <c r="Z5" i="90"/>
  <c r="X5" i="90"/>
  <c r="V5" i="90"/>
  <c r="T5" i="90"/>
  <c r="R6" i="90"/>
  <c r="R7" i="90"/>
  <c r="R8" i="90"/>
  <c r="R9" i="90"/>
  <c r="R10" i="90"/>
  <c r="R11" i="90"/>
  <c r="R12" i="90"/>
  <c r="R13" i="90"/>
  <c r="R14" i="90"/>
  <c r="R15" i="90"/>
  <c r="R5" i="90"/>
  <c r="P6" i="90"/>
  <c r="P7" i="90"/>
  <c r="P8" i="90"/>
  <c r="P9" i="90"/>
  <c r="P10" i="90"/>
  <c r="P11" i="90"/>
  <c r="P12" i="90"/>
  <c r="P13" i="90"/>
  <c r="P14" i="90"/>
  <c r="P15" i="90"/>
  <c r="P5" i="90"/>
  <c r="N6" i="90"/>
  <c r="N7" i="90"/>
  <c r="N8" i="90"/>
  <c r="N9" i="90"/>
  <c r="N10" i="90"/>
  <c r="N11" i="90"/>
  <c r="N12" i="90"/>
  <c r="N13" i="90"/>
  <c r="N14" i="90"/>
  <c r="N15" i="90"/>
  <c r="L6" i="90"/>
  <c r="L7" i="90"/>
  <c r="L8" i="90"/>
  <c r="L9" i="90"/>
  <c r="L10" i="90"/>
  <c r="L11" i="90"/>
  <c r="L12" i="90"/>
  <c r="L13" i="90"/>
  <c r="L14" i="90"/>
  <c r="L15" i="90"/>
  <c r="J6" i="90"/>
  <c r="J7" i="90"/>
  <c r="J8" i="90"/>
  <c r="J9" i="90"/>
  <c r="J10" i="90"/>
  <c r="J11" i="90"/>
  <c r="J12" i="90"/>
  <c r="J13" i="90"/>
  <c r="J14" i="90"/>
  <c r="J15" i="90"/>
  <c r="J5" i="90"/>
  <c r="L5" i="90"/>
  <c r="N5" i="90"/>
  <c r="H6" i="90"/>
  <c r="H7" i="90"/>
  <c r="H8" i="90"/>
  <c r="H9" i="90"/>
  <c r="H10" i="90"/>
  <c r="H11" i="90"/>
  <c r="H12" i="90"/>
  <c r="H13" i="90"/>
  <c r="H14" i="90"/>
  <c r="H15" i="90"/>
  <c r="H5" i="90"/>
  <c r="F6" i="90"/>
  <c r="F7" i="90"/>
  <c r="F8" i="90"/>
  <c r="F9" i="90"/>
  <c r="F10" i="90"/>
  <c r="F11" i="90"/>
  <c r="F12" i="90"/>
  <c r="F13" i="90"/>
  <c r="F14" i="90"/>
  <c r="F15" i="90"/>
  <c r="D6" i="90"/>
  <c r="D7" i="90"/>
  <c r="D8" i="90"/>
  <c r="D9" i="90"/>
  <c r="D10" i="90"/>
  <c r="D11" i="90"/>
  <c r="D12" i="90"/>
  <c r="D13" i="90"/>
  <c r="D14" i="90"/>
  <c r="D15" i="90"/>
  <c r="D5" i="90"/>
  <c r="L110" i="88"/>
  <c r="K110" i="88"/>
  <c r="Z51" i="88"/>
  <c r="Z52" i="88"/>
  <c r="Z53" i="88"/>
  <c r="Z54" i="88"/>
  <c r="Z55" i="88"/>
  <c r="Z56" i="88"/>
  <c r="Z57" i="88"/>
  <c r="Z58" i="88"/>
  <c r="Z59" i="88"/>
  <c r="Z60" i="88"/>
  <c r="Z61" i="88"/>
  <c r="Z62" i="88"/>
  <c r="Z63" i="88"/>
  <c r="Z64" i="88"/>
  <c r="Z65" i="88"/>
  <c r="Z66" i="88"/>
  <c r="Z67" i="88"/>
  <c r="Z68" i="88"/>
  <c r="Z69" i="88"/>
  <c r="Z70" i="88"/>
  <c r="X51" i="88"/>
  <c r="X52" i="88"/>
  <c r="X53" i="88"/>
  <c r="X54" i="88"/>
  <c r="X55" i="88"/>
  <c r="X56" i="88"/>
  <c r="X57" i="88"/>
  <c r="X58" i="88"/>
  <c r="X59" i="88"/>
  <c r="X60" i="88"/>
  <c r="X61" i="88"/>
  <c r="X62" i="88"/>
  <c r="X63" i="88"/>
  <c r="X64" i="88"/>
  <c r="X65" i="88"/>
  <c r="X66" i="88"/>
  <c r="X67" i="88"/>
  <c r="X68" i="88"/>
  <c r="X69" i="88"/>
  <c r="X70" i="88"/>
  <c r="Z5" i="88"/>
  <c r="Z6" i="88"/>
  <c r="Z7" i="88"/>
  <c r="Z8" i="88"/>
  <c r="Z9" i="88"/>
  <c r="Z10" i="88"/>
  <c r="Z11" i="88"/>
  <c r="Z12" i="88"/>
  <c r="Z13" i="88"/>
  <c r="Z14" i="88"/>
  <c r="Z15" i="88"/>
  <c r="Z16" i="88"/>
  <c r="Z17" i="88"/>
  <c r="Z18" i="88"/>
  <c r="Z19" i="88"/>
  <c r="Z20" i="88"/>
  <c r="Z21" i="88"/>
  <c r="Z22" i="88"/>
  <c r="Z23" i="88"/>
  <c r="Z24" i="88"/>
  <c r="Z25" i="88"/>
  <c r="Z26" i="88"/>
  <c r="Z27" i="88"/>
  <c r="Z28" i="88"/>
  <c r="Z29" i="88"/>
  <c r="Z30" i="88"/>
  <c r="Z31" i="88"/>
  <c r="Z32" i="88"/>
  <c r="Z33" i="88"/>
  <c r="Z34" i="88"/>
  <c r="Z35" i="88"/>
  <c r="Z36" i="88"/>
  <c r="Z37" i="88"/>
  <c r="Z38" i="88"/>
  <c r="Z39" i="88"/>
  <c r="Z40" i="88"/>
  <c r="Z41" i="88"/>
  <c r="Z42" i="88"/>
  <c r="Z43" i="88"/>
  <c r="Z44" i="88"/>
  <c r="Z45" i="88"/>
  <c r="Z46" i="88"/>
  <c r="Z47" i="88"/>
  <c r="Z48" i="88"/>
  <c r="Z49" i="88"/>
  <c r="Z50" i="88"/>
  <c r="X5" i="88"/>
  <c r="X6" i="88"/>
  <c r="X7" i="88"/>
  <c r="X8" i="88"/>
  <c r="X9" i="88"/>
  <c r="X10" i="88"/>
  <c r="X11" i="88"/>
  <c r="X12" i="88"/>
  <c r="X13" i="88"/>
  <c r="X14" i="88"/>
  <c r="X15" i="88"/>
  <c r="X16" i="88"/>
  <c r="X17" i="88"/>
  <c r="X18" i="88"/>
  <c r="X19" i="88"/>
  <c r="X20" i="88"/>
  <c r="X21" i="88"/>
  <c r="X22" i="88"/>
  <c r="X23" i="88"/>
  <c r="X24" i="88"/>
  <c r="X25" i="88"/>
  <c r="X26" i="88"/>
  <c r="X27" i="88"/>
  <c r="X28" i="88"/>
  <c r="X29" i="88"/>
  <c r="X30" i="88"/>
  <c r="X31" i="88"/>
  <c r="X32" i="88"/>
  <c r="X33" i="88"/>
  <c r="X34" i="88"/>
  <c r="X35" i="88"/>
  <c r="X36" i="88"/>
  <c r="X37" i="88"/>
  <c r="X38" i="88"/>
  <c r="X39" i="88"/>
  <c r="X40" i="88"/>
  <c r="X41" i="88"/>
  <c r="X42" i="88"/>
  <c r="X43" i="88"/>
  <c r="X44" i="88"/>
  <c r="X45" i="88"/>
  <c r="X46" i="88"/>
  <c r="X47" i="88"/>
  <c r="X48" i="88"/>
  <c r="X49" i="88"/>
  <c r="X50" i="88"/>
  <c r="Z4" i="88"/>
  <c r="X4" i="88"/>
  <c r="V51" i="88"/>
  <c r="V52" i="88"/>
  <c r="V53" i="88"/>
  <c r="V54" i="88"/>
  <c r="V55" i="88"/>
  <c r="V56" i="88"/>
  <c r="V57" i="88"/>
  <c r="V58" i="88"/>
  <c r="V59" i="88"/>
  <c r="V60" i="88"/>
  <c r="V61" i="88"/>
  <c r="V62" i="88"/>
  <c r="V63" i="88"/>
  <c r="V64" i="88"/>
  <c r="V65" i="88"/>
  <c r="V66" i="88"/>
  <c r="V67" i="88"/>
  <c r="V68" i="88"/>
  <c r="V69" i="88"/>
  <c r="V70" i="88"/>
  <c r="V5" i="88"/>
  <c r="V6" i="88"/>
  <c r="V7" i="88"/>
  <c r="V8" i="88"/>
  <c r="V9" i="88"/>
  <c r="V10" i="88"/>
  <c r="V11" i="88"/>
  <c r="V12" i="88"/>
  <c r="V13" i="88"/>
  <c r="V14" i="88"/>
  <c r="V15" i="88"/>
  <c r="V16" i="88"/>
  <c r="V17" i="88"/>
  <c r="V18" i="88"/>
  <c r="V19" i="88"/>
  <c r="V20" i="88"/>
  <c r="V21" i="88"/>
  <c r="V22" i="88"/>
  <c r="V23" i="88"/>
  <c r="V24" i="88"/>
  <c r="V25" i="88"/>
  <c r="V26" i="88"/>
  <c r="V27" i="88"/>
  <c r="V28" i="88"/>
  <c r="V29" i="88"/>
  <c r="V30" i="88"/>
  <c r="V31" i="88"/>
  <c r="V32" i="88"/>
  <c r="V33" i="88"/>
  <c r="V34" i="88"/>
  <c r="V35" i="88"/>
  <c r="V36" i="88"/>
  <c r="V37" i="88"/>
  <c r="V38" i="88"/>
  <c r="V39" i="88"/>
  <c r="V40" i="88"/>
  <c r="V41" i="88"/>
  <c r="V42" i="88"/>
  <c r="V43" i="88"/>
  <c r="V44" i="88"/>
  <c r="V45" i="88"/>
  <c r="V46" i="88"/>
  <c r="V47" i="88"/>
  <c r="V48" i="88"/>
  <c r="V49" i="88"/>
  <c r="V50" i="88"/>
  <c r="V4" i="88"/>
  <c r="T51" i="88"/>
  <c r="T52" i="88"/>
  <c r="T53" i="88"/>
  <c r="T54" i="88"/>
  <c r="T55" i="88"/>
  <c r="T56" i="88"/>
  <c r="T57" i="88"/>
  <c r="T58" i="88"/>
  <c r="T59" i="88"/>
  <c r="T60" i="88"/>
  <c r="T61" i="88"/>
  <c r="T62" i="88"/>
  <c r="T63" i="88"/>
  <c r="T64" i="88"/>
  <c r="T65" i="88"/>
  <c r="T66" i="88"/>
  <c r="T67" i="88"/>
  <c r="T68" i="88"/>
  <c r="T69" i="88"/>
  <c r="T70" i="88"/>
  <c r="T5" i="88"/>
  <c r="T6" i="88"/>
  <c r="T7" i="88"/>
  <c r="T8" i="88"/>
  <c r="T9" i="88"/>
  <c r="T10" i="88"/>
  <c r="T11" i="88"/>
  <c r="T12" i="88"/>
  <c r="T13" i="88"/>
  <c r="T14" i="88"/>
  <c r="T15" i="88"/>
  <c r="T16" i="88"/>
  <c r="T17" i="88"/>
  <c r="T18" i="88"/>
  <c r="T19" i="88"/>
  <c r="T20" i="88"/>
  <c r="T21" i="88"/>
  <c r="T22" i="88"/>
  <c r="T23" i="88"/>
  <c r="T24" i="88"/>
  <c r="T25" i="88"/>
  <c r="T26" i="88"/>
  <c r="T27" i="88"/>
  <c r="T28" i="88"/>
  <c r="T29" i="88"/>
  <c r="T30" i="88"/>
  <c r="T31" i="88"/>
  <c r="T32" i="88"/>
  <c r="T33" i="88"/>
  <c r="T34" i="88"/>
  <c r="T35" i="88"/>
  <c r="T36" i="88"/>
  <c r="T37" i="88"/>
  <c r="T38" i="88"/>
  <c r="T39" i="88"/>
  <c r="T40" i="88"/>
  <c r="T41" i="88"/>
  <c r="T42" i="88"/>
  <c r="T43" i="88"/>
  <c r="T44" i="88"/>
  <c r="T45" i="88"/>
  <c r="T46" i="88"/>
  <c r="T47" i="88"/>
  <c r="T48" i="88"/>
  <c r="T49" i="88"/>
  <c r="T50" i="88"/>
  <c r="T4" i="88"/>
  <c r="R51" i="88"/>
  <c r="R52" i="88"/>
  <c r="R53" i="88"/>
  <c r="R54" i="88"/>
  <c r="R55" i="88"/>
  <c r="R56" i="88"/>
  <c r="R57" i="88"/>
  <c r="R58" i="88"/>
  <c r="R59" i="88"/>
  <c r="R60" i="88"/>
  <c r="R61" i="88"/>
  <c r="R62" i="88"/>
  <c r="R63" i="88"/>
  <c r="R64" i="88"/>
  <c r="R65" i="88"/>
  <c r="R66" i="88"/>
  <c r="R67" i="88"/>
  <c r="R68" i="88"/>
  <c r="R69" i="88"/>
  <c r="R70" i="88"/>
  <c r="R5" i="88"/>
  <c r="R6" i="88"/>
  <c r="R7" i="88"/>
  <c r="R8" i="88"/>
  <c r="R9" i="88"/>
  <c r="R10" i="88"/>
  <c r="R11" i="88"/>
  <c r="R12" i="88"/>
  <c r="R13" i="88"/>
  <c r="R14" i="88"/>
  <c r="R15" i="88"/>
  <c r="R16" i="88"/>
  <c r="R17" i="88"/>
  <c r="R18" i="88"/>
  <c r="R19" i="88"/>
  <c r="R20" i="88"/>
  <c r="R21" i="88"/>
  <c r="R22" i="88"/>
  <c r="R23" i="88"/>
  <c r="R24" i="88"/>
  <c r="R25" i="88"/>
  <c r="R26" i="88"/>
  <c r="R27" i="88"/>
  <c r="R28" i="88"/>
  <c r="R29" i="88"/>
  <c r="R30" i="88"/>
  <c r="R31" i="88"/>
  <c r="R32" i="88"/>
  <c r="R33" i="88"/>
  <c r="R34" i="88"/>
  <c r="R35" i="88"/>
  <c r="R36" i="88"/>
  <c r="R37" i="88"/>
  <c r="R38" i="88"/>
  <c r="R39" i="88"/>
  <c r="R40" i="88"/>
  <c r="R41" i="88"/>
  <c r="R42" i="88"/>
  <c r="R43" i="88"/>
  <c r="R44" i="88"/>
  <c r="R45" i="88"/>
  <c r="R46" i="88"/>
  <c r="R47" i="88"/>
  <c r="R48" i="88"/>
  <c r="R49" i="88"/>
  <c r="R50" i="88"/>
  <c r="R4" i="88"/>
  <c r="P51" i="88"/>
  <c r="P52" i="88"/>
  <c r="P53" i="88"/>
  <c r="P54" i="88"/>
  <c r="P55" i="88"/>
  <c r="P56" i="88"/>
  <c r="P57" i="88"/>
  <c r="P58" i="88"/>
  <c r="P59" i="88"/>
  <c r="P60" i="88"/>
  <c r="P61" i="88"/>
  <c r="P62" i="88"/>
  <c r="P63" i="88"/>
  <c r="P64" i="88"/>
  <c r="P65" i="88"/>
  <c r="P66" i="88"/>
  <c r="P67" i="88"/>
  <c r="P68" i="88"/>
  <c r="P69" i="88"/>
  <c r="P70" i="88"/>
  <c r="P5" i="88"/>
  <c r="P6" i="88"/>
  <c r="P7" i="88"/>
  <c r="P8" i="88"/>
  <c r="P9" i="88"/>
  <c r="P10" i="88"/>
  <c r="P11" i="88"/>
  <c r="P12" i="88"/>
  <c r="P13" i="88"/>
  <c r="P14" i="88"/>
  <c r="P15" i="88"/>
  <c r="P16" i="88"/>
  <c r="P17" i="88"/>
  <c r="P18" i="88"/>
  <c r="P19" i="88"/>
  <c r="P20" i="88"/>
  <c r="P21" i="88"/>
  <c r="P22" i="88"/>
  <c r="P23" i="88"/>
  <c r="P24" i="88"/>
  <c r="P25" i="88"/>
  <c r="P26" i="88"/>
  <c r="P27" i="88"/>
  <c r="P28" i="88"/>
  <c r="P29" i="88"/>
  <c r="P30" i="88"/>
  <c r="P31" i="88"/>
  <c r="P32" i="88"/>
  <c r="P33" i="88"/>
  <c r="P34" i="88"/>
  <c r="P35" i="88"/>
  <c r="P36" i="88"/>
  <c r="P37" i="88"/>
  <c r="P38" i="88"/>
  <c r="P39" i="88"/>
  <c r="P40" i="88"/>
  <c r="P41" i="88"/>
  <c r="P42" i="88"/>
  <c r="P43" i="88"/>
  <c r="P44" i="88"/>
  <c r="P45" i="88"/>
  <c r="P46" i="88"/>
  <c r="P47" i="88"/>
  <c r="P48" i="88"/>
  <c r="P49" i="88"/>
  <c r="P50" i="88"/>
  <c r="P4" i="88"/>
  <c r="N51" i="88"/>
  <c r="N52" i="88"/>
  <c r="N53" i="88"/>
  <c r="N54" i="88"/>
  <c r="N55" i="88"/>
  <c r="N56" i="88"/>
  <c r="N57" i="88"/>
  <c r="N58" i="88"/>
  <c r="N59" i="88"/>
  <c r="N60" i="88"/>
  <c r="N61" i="88"/>
  <c r="N62" i="88"/>
  <c r="N63" i="88"/>
  <c r="N64" i="88"/>
  <c r="N65" i="88"/>
  <c r="N66" i="88"/>
  <c r="N67" i="88"/>
  <c r="N68" i="88"/>
  <c r="N69" i="88"/>
  <c r="N70" i="88"/>
  <c r="J51" i="88"/>
  <c r="J52" i="88"/>
  <c r="J53" i="88"/>
  <c r="J54" i="88"/>
  <c r="J55" i="88"/>
  <c r="J56" i="88"/>
  <c r="J57" i="88"/>
  <c r="J58" i="88"/>
  <c r="J59" i="88"/>
  <c r="J60" i="88"/>
  <c r="J61" i="88"/>
  <c r="J62" i="88"/>
  <c r="J63" i="88"/>
  <c r="J64" i="88"/>
  <c r="J65" i="88"/>
  <c r="J66" i="88"/>
  <c r="J67" i="88"/>
  <c r="J68" i="88"/>
  <c r="J69" i="88"/>
  <c r="J70" i="88"/>
  <c r="H51" i="88"/>
  <c r="H52" i="88"/>
  <c r="H53" i="88"/>
  <c r="H54" i="88"/>
  <c r="H55" i="88"/>
  <c r="H56" i="88"/>
  <c r="H57" i="88"/>
  <c r="H58" i="88"/>
  <c r="H59" i="88"/>
  <c r="H60" i="88"/>
  <c r="H61" i="88"/>
  <c r="H62" i="88"/>
  <c r="H63" i="88"/>
  <c r="H64" i="88"/>
  <c r="H65" i="88"/>
  <c r="H66" i="88"/>
  <c r="H67" i="88"/>
  <c r="H68" i="88"/>
  <c r="H69" i="88"/>
  <c r="H70" i="88"/>
  <c r="F51" i="88"/>
  <c r="F52" i="88"/>
  <c r="F53" i="88"/>
  <c r="F54" i="88"/>
  <c r="F55" i="88"/>
  <c r="F56" i="88"/>
  <c r="F57" i="88"/>
  <c r="F58" i="88"/>
  <c r="F59" i="88"/>
  <c r="F60" i="88"/>
  <c r="F61" i="88"/>
  <c r="F62" i="88"/>
  <c r="F63" i="88"/>
  <c r="F64" i="88"/>
  <c r="F65" i="88"/>
  <c r="F66" i="88"/>
  <c r="F67" i="88"/>
  <c r="F68" i="88"/>
  <c r="F69" i="88"/>
  <c r="F70" i="88"/>
  <c r="N5" i="88"/>
  <c r="N6" i="88"/>
  <c r="N7" i="88"/>
  <c r="N8" i="88"/>
  <c r="N9" i="88"/>
  <c r="N10" i="88"/>
  <c r="N11" i="88"/>
  <c r="N12" i="88"/>
  <c r="N13" i="88"/>
  <c r="N14" i="88"/>
  <c r="N15" i="88"/>
  <c r="N16" i="88"/>
  <c r="N17" i="88"/>
  <c r="N18" i="88"/>
  <c r="N19" i="88"/>
  <c r="N20" i="88"/>
  <c r="N21" i="88"/>
  <c r="N22" i="88"/>
  <c r="N23" i="88"/>
  <c r="N24" i="88"/>
  <c r="N25" i="88"/>
  <c r="N26" i="88"/>
  <c r="N27" i="88"/>
  <c r="N28" i="88"/>
  <c r="N29" i="88"/>
  <c r="N30" i="88"/>
  <c r="N31" i="88"/>
  <c r="N32" i="88"/>
  <c r="N33" i="88"/>
  <c r="N34" i="88"/>
  <c r="N35" i="88"/>
  <c r="N36" i="88"/>
  <c r="N37" i="88"/>
  <c r="N38" i="88"/>
  <c r="N39" i="88"/>
  <c r="N40" i="88"/>
  <c r="N41" i="88"/>
  <c r="N42" i="88"/>
  <c r="N43" i="88"/>
  <c r="N44" i="88"/>
  <c r="N45" i="88"/>
  <c r="N46" i="88"/>
  <c r="N47" i="88"/>
  <c r="N48" i="88"/>
  <c r="N49" i="88"/>
  <c r="N50" i="88"/>
  <c r="N4" i="88"/>
  <c r="J5" i="88"/>
  <c r="J6" i="88"/>
  <c r="J7" i="88"/>
  <c r="J8" i="88"/>
  <c r="J9" i="88"/>
  <c r="J10" i="88"/>
  <c r="J11" i="88"/>
  <c r="J12" i="88"/>
  <c r="J13" i="88"/>
  <c r="J14" i="88"/>
  <c r="J15" i="88"/>
  <c r="J16" i="88"/>
  <c r="J17" i="88"/>
  <c r="J18" i="88"/>
  <c r="J19" i="88"/>
  <c r="J20" i="88"/>
  <c r="J21" i="88"/>
  <c r="J22" i="88"/>
  <c r="J23" i="88"/>
  <c r="J24" i="88"/>
  <c r="J25" i="88"/>
  <c r="J26" i="88"/>
  <c r="J27" i="88"/>
  <c r="J28" i="88"/>
  <c r="J29" i="88"/>
  <c r="J30" i="88"/>
  <c r="J31" i="88"/>
  <c r="J32" i="88"/>
  <c r="J33" i="88"/>
  <c r="J34" i="88"/>
  <c r="J35" i="88"/>
  <c r="J36" i="88"/>
  <c r="J37" i="88"/>
  <c r="J38" i="88"/>
  <c r="J39" i="88"/>
  <c r="J40" i="88"/>
  <c r="J41" i="88"/>
  <c r="J42" i="88"/>
  <c r="J43" i="88"/>
  <c r="J44" i="88"/>
  <c r="J45" i="88"/>
  <c r="J46" i="88"/>
  <c r="J47" i="88"/>
  <c r="J48" i="88"/>
  <c r="J49" i="88"/>
  <c r="J50" i="88"/>
  <c r="J4" i="88"/>
  <c r="H5" i="88"/>
  <c r="H6" i="88"/>
  <c r="H7" i="88"/>
  <c r="H8" i="88"/>
  <c r="H9" i="88"/>
  <c r="H10" i="88"/>
  <c r="H11" i="88"/>
  <c r="H12" i="88"/>
  <c r="H13" i="88"/>
  <c r="H14" i="88"/>
  <c r="H15" i="88"/>
  <c r="H16" i="88"/>
  <c r="H17" i="88"/>
  <c r="H18" i="88"/>
  <c r="H19" i="88"/>
  <c r="H20" i="88"/>
  <c r="H21" i="88"/>
  <c r="H22" i="88"/>
  <c r="H23" i="88"/>
  <c r="H24" i="88"/>
  <c r="H25" i="88"/>
  <c r="H26" i="88"/>
  <c r="H27" i="88"/>
  <c r="H28" i="88"/>
  <c r="H29" i="88"/>
  <c r="H30" i="88"/>
  <c r="H31" i="88"/>
  <c r="H32" i="88"/>
  <c r="H33" i="88"/>
  <c r="H34" i="88"/>
  <c r="H35" i="88"/>
  <c r="H36" i="88"/>
  <c r="H37" i="88"/>
  <c r="H38" i="88"/>
  <c r="H39" i="88"/>
  <c r="H40" i="88"/>
  <c r="H41" i="88"/>
  <c r="H42" i="88"/>
  <c r="H43" i="88"/>
  <c r="H44" i="88"/>
  <c r="H45" i="88"/>
  <c r="H46" i="88"/>
  <c r="H47" i="88"/>
  <c r="H48" i="88"/>
  <c r="H49" i="88"/>
  <c r="H50" i="88"/>
  <c r="H4" i="88"/>
  <c r="F5" i="88"/>
  <c r="F6" i="88"/>
  <c r="F7" i="88"/>
  <c r="F8" i="88"/>
  <c r="F9" i="88"/>
  <c r="F10" i="88"/>
  <c r="F11" i="88"/>
  <c r="F12" i="88"/>
  <c r="F13" i="88"/>
  <c r="F14" i="88"/>
  <c r="F15" i="88"/>
  <c r="F16" i="88"/>
  <c r="F17" i="88"/>
  <c r="F18" i="88"/>
  <c r="F19" i="88"/>
  <c r="F20" i="88"/>
  <c r="F21" i="88"/>
  <c r="F22" i="88"/>
  <c r="F23" i="88"/>
  <c r="F24" i="88"/>
  <c r="F25" i="88"/>
  <c r="F26" i="88"/>
  <c r="F27" i="88"/>
  <c r="F28" i="88"/>
  <c r="F29" i="88"/>
  <c r="F30" i="88"/>
  <c r="F31" i="88"/>
  <c r="F32" i="88"/>
  <c r="F33" i="88"/>
  <c r="F34" i="88"/>
  <c r="F35" i="88"/>
  <c r="F36" i="88"/>
  <c r="F37" i="88"/>
  <c r="F38" i="88"/>
  <c r="F39" i="88"/>
  <c r="F40" i="88"/>
  <c r="F41" i="88"/>
  <c r="F42" i="88"/>
  <c r="F43" i="88"/>
  <c r="F44" i="88"/>
  <c r="F45" i="88"/>
  <c r="F46" i="88"/>
  <c r="F47" i="88"/>
  <c r="F48" i="88"/>
  <c r="F49" i="88"/>
  <c r="F50" i="88"/>
  <c r="F4" i="88"/>
  <c r="T106" i="88"/>
  <c r="N106" i="88"/>
  <c r="L106" i="88"/>
  <c r="L105" i="88"/>
  <c r="K105" i="88"/>
  <c r="L104" i="88"/>
  <c r="K104" i="88"/>
  <c r="J106" i="88"/>
  <c r="D76" i="88"/>
  <c r="D106" i="88" s="1"/>
  <c r="Z6" i="50"/>
  <c r="Z7" i="50"/>
  <c r="Z8" i="50"/>
  <c r="Z9" i="50"/>
  <c r="Z10" i="50"/>
  <c r="Z11" i="50"/>
  <c r="Z12" i="50"/>
  <c r="Z13" i="50"/>
  <c r="Z14" i="50"/>
  <c r="Z15" i="50"/>
  <c r="Z16" i="50"/>
  <c r="Z17" i="50"/>
  <c r="Z18" i="50"/>
  <c r="Z19" i="50"/>
  <c r="Z20" i="50"/>
  <c r="Z21" i="50"/>
  <c r="Z22" i="50"/>
  <c r="Z23" i="50"/>
  <c r="Z24" i="50"/>
  <c r="Z25" i="50"/>
  <c r="Z26" i="50"/>
  <c r="Z27" i="50"/>
  <c r="Z28" i="50"/>
  <c r="Z29" i="50"/>
  <c r="Z30" i="50"/>
  <c r="X6" i="50"/>
  <c r="X7" i="50"/>
  <c r="X8" i="50"/>
  <c r="X9" i="50"/>
  <c r="X10" i="50"/>
  <c r="X11" i="50"/>
  <c r="X12" i="50"/>
  <c r="X13" i="50"/>
  <c r="X14" i="50"/>
  <c r="X15" i="50"/>
  <c r="X16" i="50"/>
  <c r="X17" i="50"/>
  <c r="X18" i="50"/>
  <c r="X19" i="50"/>
  <c r="X20" i="50"/>
  <c r="X21" i="50"/>
  <c r="X22" i="50"/>
  <c r="X23" i="50"/>
  <c r="X24" i="50"/>
  <c r="X25" i="50"/>
  <c r="X26" i="50"/>
  <c r="X27" i="50"/>
  <c r="X28" i="50"/>
  <c r="X29" i="50"/>
  <c r="X30" i="50"/>
  <c r="Z5" i="50"/>
  <c r="X5" i="50"/>
  <c r="V6" i="50"/>
  <c r="V7" i="50"/>
  <c r="V8" i="50"/>
  <c r="V9" i="50"/>
  <c r="V10" i="50"/>
  <c r="V11" i="50"/>
  <c r="V12" i="50"/>
  <c r="V13" i="50"/>
  <c r="V14" i="50"/>
  <c r="V15" i="50"/>
  <c r="V16" i="50"/>
  <c r="V17" i="50"/>
  <c r="V18" i="50"/>
  <c r="V19" i="50"/>
  <c r="V20" i="50"/>
  <c r="V21" i="50"/>
  <c r="V22" i="50"/>
  <c r="V23" i="50"/>
  <c r="V24" i="50"/>
  <c r="V25" i="50"/>
  <c r="V26" i="50"/>
  <c r="V27" i="50"/>
  <c r="V28" i="50"/>
  <c r="V29" i="50"/>
  <c r="V30" i="50"/>
  <c r="V5" i="50"/>
  <c r="T6" i="50"/>
  <c r="T7" i="50"/>
  <c r="T8" i="50"/>
  <c r="T9" i="50"/>
  <c r="T10" i="50"/>
  <c r="T11" i="50"/>
  <c r="T12" i="50"/>
  <c r="T13" i="50"/>
  <c r="T14" i="50"/>
  <c r="T15" i="50"/>
  <c r="T16" i="50"/>
  <c r="T17" i="50"/>
  <c r="T18" i="50"/>
  <c r="T19" i="50"/>
  <c r="T20" i="50"/>
  <c r="T21" i="50"/>
  <c r="T22" i="50"/>
  <c r="T23" i="50"/>
  <c r="T24" i="50"/>
  <c r="T25" i="50"/>
  <c r="T26" i="50"/>
  <c r="T27" i="50"/>
  <c r="T28" i="50"/>
  <c r="T29" i="50"/>
  <c r="T30" i="50"/>
  <c r="T5" i="50"/>
  <c r="R6" i="50"/>
  <c r="R7" i="50"/>
  <c r="R8" i="50"/>
  <c r="R9" i="50"/>
  <c r="R10" i="50"/>
  <c r="R11" i="50"/>
  <c r="R12" i="50"/>
  <c r="R13" i="50"/>
  <c r="R14" i="50"/>
  <c r="R15" i="50"/>
  <c r="R16" i="50"/>
  <c r="R17" i="50"/>
  <c r="R18" i="50"/>
  <c r="R19" i="50"/>
  <c r="R20" i="50"/>
  <c r="R21" i="50"/>
  <c r="R22" i="50"/>
  <c r="R23" i="50"/>
  <c r="R24" i="50"/>
  <c r="R25" i="50"/>
  <c r="R26" i="50"/>
  <c r="R27" i="50"/>
  <c r="R28" i="50"/>
  <c r="R29" i="50"/>
  <c r="R30" i="50"/>
  <c r="R5" i="50"/>
  <c r="P6" i="50"/>
  <c r="P7" i="50"/>
  <c r="P8" i="50"/>
  <c r="P9" i="50"/>
  <c r="P10" i="50"/>
  <c r="P11" i="50"/>
  <c r="P12" i="50"/>
  <c r="P13" i="50"/>
  <c r="P14" i="50"/>
  <c r="P15" i="50"/>
  <c r="P16" i="50"/>
  <c r="P17" i="50"/>
  <c r="P18" i="50"/>
  <c r="P19" i="50"/>
  <c r="P20" i="50"/>
  <c r="P21" i="50"/>
  <c r="P22" i="50"/>
  <c r="P23" i="50"/>
  <c r="P24" i="50"/>
  <c r="P25" i="50"/>
  <c r="P26" i="50"/>
  <c r="P27" i="50"/>
  <c r="P28" i="50"/>
  <c r="P29" i="50"/>
  <c r="P30" i="50"/>
  <c r="P5" i="50"/>
  <c r="N6" i="50"/>
  <c r="N7" i="50"/>
  <c r="N8" i="50"/>
  <c r="N9" i="50"/>
  <c r="N10" i="50"/>
  <c r="N11" i="50"/>
  <c r="N12" i="50"/>
  <c r="N13" i="50"/>
  <c r="N14" i="50"/>
  <c r="N15" i="50"/>
  <c r="N16" i="50"/>
  <c r="N17" i="50"/>
  <c r="N18" i="50"/>
  <c r="N19" i="50"/>
  <c r="N20" i="50"/>
  <c r="N21" i="50"/>
  <c r="N22" i="50"/>
  <c r="N23" i="50"/>
  <c r="N24" i="50"/>
  <c r="N25" i="50"/>
  <c r="N26" i="50"/>
  <c r="N27" i="50"/>
  <c r="N28" i="50"/>
  <c r="N29" i="50"/>
  <c r="N30" i="50"/>
  <c r="N5" i="50"/>
  <c r="L6" i="50"/>
  <c r="L7" i="50"/>
  <c r="L8" i="50"/>
  <c r="L9" i="50"/>
  <c r="L10" i="50"/>
  <c r="L11" i="50"/>
  <c r="L12" i="50"/>
  <c r="L13" i="50"/>
  <c r="L14" i="50"/>
  <c r="L15" i="50"/>
  <c r="L16" i="50"/>
  <c r="L17" i="50"/>
  <c r="L18" i="50"/>
  <c r="L19" i="50"/>
  <c r="L20" i="50"/>
  <c r="L21" i="50"/>
  <c r="L22" i="50"/>
  <c r="L23" i="50"/>
  <c r="L24" i="50"/>
  <c r="L25" i="50"/>
  <c r="L26" i="50"/>
  <c r="L27" i="50"/>
  <c r="L28" i="50"/>
  <c r="L29" i="50"/>
  <c r="L30" i="50"/>
  <c r="L5" i="50"/>
  <c r="J6" i="50"/>
  <c r="J7" i="50"/>
  <c r="J8" i="50"/>
  <c r="J9" i="50"/>
  <c r="J10" i="50"/>
  <c r="J11" i="50"/>
  <c r="J12" i="50"/>
  <c r="J13" i="50"/>
  <c r="J14" i="50"/>
  <c r="J15" i="50"/>
  <c r="J16" i="50"/>
  <c r="J17" i="50"/>
  <c r="J18" i="50"/>
  <c r="J19" i="50"/>
  <c r="J20" i="50"/>
  <c r="J21" i="50"/>
  <c r="J22" i="50"/>
  <c r="J23" i="50"/>
  <c r="J24" i="50"/>
  <c r="J25" i="50"/>
  <c r="J26" i="50"/>
  <c r="J27" i="50"/>
  <c r="J28" i="50"/>
  <c r="J29" i="50"/>
  <c r="J30" i="50"/>
  <c r="J5" i="50"/>
  <c r="H6" i="50"/>
  <c r="H7" i="50"/>
  <c r="H8" i="50"/>
  <c r="H9" i="50"/>
  <c r="H10" i="50"/>
  <c r="H11" i="50"/>
  <c r="H12" i="50"/>
  <c r="H13" i="50"/>
  <c r="H14" i="50"/>
  <c r="H15" i="50"/>
  <c r="H16" i="50"/>
  <c r="H17" i="50"/>
  <c r="H18" i="50"/>
  <c r="H19" i="50"/>
  <c r="H20" i="50"/>
  <c r="H21" i="50"/>
  <c r="H22" i="50"/>
  <c r="H23" i="50"/>
  <c r="H24" i="50"/>
  <c r="H25" i="50"/>
  <c r="H26" i="50"/>
  <c r="H27" i="50"/>
  <c r="H28" i="50"/>
  <c r="H29" i="50"/>
  <c r="H30" i="50"/>
  <c r="H5" i="50"/>
  <c r="F6" i="50"/>
  <c r="F7" i="50"/>
  <c r="F8" i="50"/>
  <c r="F9" i="50"/>
  <c r="F10" i="50"/>
  <c r="F11" i="50"/>
  <c r="F12" i="50"/>
  <c r="F13" i="50"/>
  <c r="F14" i="50"/>
  <c r="F15" i="50"/>
  <c r="F16" i="50"/>
  <c r="F17" i="50"/>
  <c r="F18" i="50"/>
  <c r="F19" i="50"/>
  <c r="F20" i="50"/>
  <c r="F21" i="50"/>
  <c r="F22" i="50"/>
  <c r="F23" i="50"/>
  <c r="F24" i="50"/>
  <c r="F25" i="50"/>
  <c r="F26" i="50"/>
  <c r="F27" i="50"/>
  <c r="F28" i="50"/>
  <c r="F29" i="50"/>
  <c r="F30" i="50"/>
  <c r="F5" i="50"/>
  <c r="L44" i="76"/>
  <c r="H87" i="76"/>
  <c r="H88" i="76"/>
  <c r="H89" i="76"/>
  <c r="H136" i="76"/>
  <c r="H5" i="76"/>
  <c r="H21" i="76"/>
  <c r="H100" i="76"/>
  <c r="H52" i="76"/>
  <c r="H48" i="76"/>
  <c r="H107" i="76"/>
  <c r="H108" i="76"/>
  <c r="H106" i="76"/>
  <c r="H109" i="76"/>
  <c r="H105" i="76"/>
  <c r="H104" i="76"/>
  <c r="H83" i="76"/>
  <c r="H99" i="76"/>
  <c r="H38" i="76"/>
  <c r="H6" i="76"/>
  <c r="H103" i="76"/>
  <c r="H122" i="76"/>
  <c r="H18" i="76"/>
  <c r="H19" i="76"/>
  <c r="H141" i="76"/>
  <c r="H67" i="76"/>
  <c r="H117" i="76"/>
  <c r="H113" i="76"/>
  <c r="H129" i="76"/>
  <c r="H128" i="76"/>
  <c r="H68" i="76"/>
  <c r="H132" i="76"/>
  <c r="H30" i="76"/>
  <c r="H45" i="76"/>
  <c r="H118" i="76"/>
  <c r="H96" i="76"/>
  <c r="H60" i="76"/>
  <c r="H61" i="76"/>
  <c r="H101" i="76"/>
  <c r="H97" i="76"/>
  <c r="H86" i="76"/>
  <c r="H74" i="76"/>
  <c r="H64" i="76"/>
  <c r="H31" i="76"/>
  <c r="H25" i="76"/>
  <c r="H91" i="76"/>
  <c r="H82" i="76"/>
  <c r="H126" i="76"/>
  <c r="H139" i="76"/>
  <c r="H63" i="76"/>
  <c r="H134" i="76"/>
  <c r="H73" i="76"/>
  <c r="H7" i="76"/>
  <c r="H66" i="76"/>
  <c r="H55" i="76"/>
  <c r="H80" i="76"/>
  <c r="H102" i="76"/>
  <c r="H28" i="76"/>
  <c r="H94" i="76"/>
  <c r="H27" i="76"/>
  <c r="H133" i="76"/>
  <c r="H98" i="76"/>
  <c r="H32" i="76"/>
  <c r="H130" i="76"/>
  <c r="H90" i="76"/>
  <c r="H56" i="76"/>
  <c r="H70" i="76"/>
  <c r="H51" i="76"/>
  <c r="H65" i="76"/>
  <c r="H71" i="76"/>
  <c r="H140" i="76"/>
  <c r="H69" i="76"/>
  <c r="H79" i="76"/>
  <c r="H137" i="76"/>
  <c r="H72" i="76"/>
  <c r="H127" i="76"/>
  <c r="H116" i="76"/>
  <c r="H115" i="76"/>
  <c r="H84" i="76"/>
  <c r="H125" i="76"/>
  <c r="H17" i="76"/>
  <c r="H121" i="76"/>
  <c r="H119" i="76"/>
  <c r="H76" i="76"/>
  <c r="H78" i="76"/>
  <c r="H10" i="76"/>
  <c r="H46" i="76"/>
  <c r="H62" i="76"/>
  <c r="H13" i="76"/>
  <c r="H14" i="76"/>
  <c r="H9" i="76"/>
  <c r="H8" i="76"/>
  <c r="H112" i="76"/>
  <c r="H41" i="76"/>
  <c r="H40" i="76"/>
  <c r="H15" i="76"/>
  <c r="H58" i="76"/>
  <c r="H59" i="76"/>
  <c r="H124" i="76"/>
  <c r="H53" i="76"/>
  <c r="H47" i="76"/>
  <c r="H131" i="76"/>
  <c r="H20" i="76"/>
  <c r="H37" i="76"/>
  <c r="H75" i="76"/>
  <c r="H57" i="76"/>
  <c r="H138" i="76"/>
  <c r="H33" i="76"/>
  <c r="H114" i="76"/>
  <c r="H42" i="76"/>
  <c r="H49" i="76"/>
  <c r="H39" i="76"/>
  <c r="H54" i="76"/>
  <c r="H110" i="76"/>
  <c r="H93" i="76"/>
  <c r="H135" i="76"/>
  <c r="H95" i="76"/>
  <c r="H26" i="76"/>
  <c r="H85" i="76"/>
  <c r="H16" i="76"/>
  <c r="H12" i="76"/>
  <c r="H81" i="76"/>
  <c r="H22" i="76"/>
  <c r="H11" i="76"/>
  <c r="H120" i="76"/>
  <c r="H29" i="76"/>
  <c r="H24" i="76"/>
  <c r="H123" i="76"/>
  <c r="H92" i="76"/>
  <c r="H77" i="76"/>
  <c r="H50" i="76"/>
  <c r="H111" i="76"/>
  <c r="H34" i="76"/>
  <c r="H36" i="76"/>
  <c r="H35" i="76"/>
  <c r="H23" i="76"/>
  <c r="H43" i="76"/>
  <c r="H44" i="76"/>
  <c r="J87" i="76"/>
  <c r="J88" i="76"/>
  <c r="J89" i="76"/>
  <c r="J136" i="76"/>
  <c r="J5" i="76"/>
  <c r="J21" i="76"/>
  <c r="J100" i="76"/>
  <c r="J52" i="76"/>
  <c r="J48" i="76"/>
  <c r="J107" i="76"/>
  <c r="J108" i="76"/>
  <c r="J106" i="76"/>
  <c r="J109" i="76"/>
  <c r="J105" i="76"/>
  <c r="J104" i="76"/>
  <c r="J83" i="76"/>
  <c r="J99" i="76"/>
  <c r="J38" i="76"/>
  <c r="J6" i="76"/>
  <c r="J103" i="76"/>
  <c r="J122" i="76"/>
  <c r="J18" i="76"/>
  <c r="J19" i="76"/>
  <c r="J141" i="76"/>
  <c r="J67" i="76"/>
  <c r="J117" i="76"/>
  <c r="J113" i="76"/>
  <c r="J129" i="76"/>
  <c r="J128" i="76"/>
  <c r="J68" i="76"/>
  <c r="J132" i="76"/>
  <c r="J30" i="76"/>
  <c r="J45" i="76"/>
  <c r="J118" i="76"/>
  <c r="J96" i="76"/>
  <c r="J60" i="76"/>
  <c r="J61" i="76"/>
  <c r="J101" i="76"/>
  <c r="J97" i="76"/>
  <c r="J86" i="76"/>
  <c r="J74" i="76"/>
  <c r="J64" i="76"/>
  <c r="J31" i="76"/>
  <c r="J25" i="76"/>
  <c r="J91" i="76"/>
  <c r="J82" i="76"/>
  <c r="J126" i="76"/>
  <c r="J139" i="76"/>
  <c r="J63" i="76"/>
  <c r="J134" i="76"/>
  <c r="J73" i="76"/>
  <c r="J7" i="76"/>
  <c r="J66" i="76"/>
  <c r="J55" i="76"/>
  <c r="J80" i="76"/>
  <c r="J102" i="76"/>
  <c r="J28" i="76"/>
  <c r="J94" i="76"/>
  <c r="J27" i="76"/>
  <c r="J133" i="76"/>
  <c r="J98" i="76"/>
  <c r="J32" i="76"/>
  <c r="J130" i="76"/>
  <c r="J90" i="76"/>
  <c r="J56" i="76"/>
  <c r="J70" i="76"/>
  <c r="J51" i="76"/>
  <c r="J65" i="76"/>
  <c r="J71" i="76"/>
  <c r="J140" i="76"/>
  <c r="J69" i="76"/>
  <c r="J79" i="76"/>
  <c r="J137" i="76"/>
  <c r="J72" i="76"/>
  <c r="J127" i="76"/>
  <c r="J116" i="76"/>
  <c r="J115" i="76"/>
  <c r="J84" i="76"/>
  <c r="J125" i="76"/>
  <c r="J17" i="76"/>
  <c r="J121" i="76"/>
  <c r="J119" i="76"/>
  <c r="J76" i="76"/>
  <c r="J78" i="76"/>
  <c r="J10" i="76"/>
  <c r="J46" i="76"/>
  <c r="J62" i="76"/>
  <c r="J13" i="76"/>
  <c r="J14" i="76"/>
  <c r="J9" i="76"/>
  <c r="J8" i="76"/>
  <c r="J112" i="76"/>
  <c r="J41" i="76"/>
  <c r="J40" i="76"/>
  <c r="J15" i="76"/>
  <c r="J58" i="76"/>
  <c r="J59" i="76"/>
  <c r="J124" i="76"/>
  <c r="J53" i="76"/>
  <c r="J47" i="76"/>
  <c r="J131" i="76"/>
  <c r="J20" i="76"/>
  <c r="J37" i="76"/>
  <c r="J75" i="76"/>
  <c r="J57" i="76"/>
  <c r="J138" i="76"/>
  <c r="J33" i="76"/>
  <c r="J114" i="76"/>
  <c r="J42" i="76"/>
  <c r="J49" i="76"/>
  <c r="J39" i="76"/>
  <c r="J54" i="76"/>
  <c r="J110" i="76"/>
  <c r="J93" i="76"/>
  <c r="J135" i="76"/>
  <c r="J95" i="76"/>
  <c r="J26" i="76"/>
  <c r="J85" i="76"/>
  <c r="J16" i="76"/>
  <c r="J12" i="76"/>
  <c r="J81" i="76"/>
  <c r="J22" i="76"/>
  <c r="J11" i="76"/>
  <c r="J120" i="76"/>
  <c r="J29" i="76"/>
  <c r="J24" i="76"/>
  <c r="J123" i="76"/>
  <c r="J92" i="76"/>
  <c r="J77" i="76"/>
  <c r="J50" i="76"/>
  <c r="J111" i="76"/>
  <c r="J34" i="76"/>
  <c r="J36" i="76"/>
  <c r="J35" i="76"/>
  <c r="J23" i="76"/>
  <c r="J43" i="76"/>
  <c r="J44" i="76"/>
  <c r="Z87" i="76"/>
  <c r="Z88" i="76"/>
  <c r="Z89" i="76"/>
  <c r="Z136" i="76"/>
  <c r="Z5" i="76"/>
  <c r="Z21" i="76"/>
  <c r="Z100" i="76"/>
  <c r="Z52" i="76"/>
  <c r="Z48" i="76"/>
  <c r="Z107" i="76"/>
  <c r="Z108" i="76"/>
  <c r="Z106" i="76"/>
  <c r="Z109" i="76"/>
  <c r="Z105" i="76"/>
  <c r="Z104" i="76"/>
  <c r="Z83" i="76"/>
  <c r="Z99" i="76"/>
  <c r="Z38" i="76"/>
  <c r="Z6" i="76"/>
  <c r="Z103" i="76"/>
  <c r="Z122" i="76"/>
  <c r="Z18" i="76"/>
  <c r="Z19" i="76"/>
  <c r="Z141" i="76"/>
  <c r="Z67" i="76"/>
  <c r="Z117" i="76"/>
  <c r="Z113" i="76"/>
  <c r="Z129" i="76"/>
  <c r="Z128" i="76"/>
  <c r="Z68" i="76"/>
  <c r="Z132" i="76"/>
  <c r="Z30" i="76"/>
  <c r="Z45" i="76"/>
  <c r="Z118" i="76"/>
  <c r="Z96" i="76"/>
  <c r="Z60" i="76"/>
  <c r="Z61" i="76"/>
  <c r="Z101" i="76"/>
  <c r="Z97" i="76"/>
  <c r="Z86" i="76"/>
  <c r="Z74" i="76"/>
  <c r="Z64" i="76"/>
  <c r="Z31" i="76"/>
  <c r="Z25" i="76"/>
  <c r="Z91" i="76"/>
  <c r="Z82" i="76"/>
  <c r="Z126" i="76"/>
  <c r="Z139" i="76"/>
  <c r="Z63" i="76"/>
  <c r="Z134" i="76"/>
  <c r="Z73" i="76"/>
  <c r="Z7" i="76"/>
  <c r="Z66" i="76"/>
  <c r="Z55" i="76"/>
  <c r="Z80" i="76"/>
  <c r="Z102" i="76"/>
  <c r="Z28" i="76"/>
  <c r="Z94" i="76"/>
  <c r="Z27" i="76"/>
  <c r="Z133" i="76"/>
  <c r="Z98" i="76"/>
  <c r="Z32" i="76"/>
  <c r="Z130" i="76"/>
  <c r="Z90" i="76"/>
  <c r="Z56" i="76"/>
  <c r="Z70" i="76"/>
  <c r="Z51" i="76"/>
  <c r="Z65" i="76"/>
  <c r="Z71" i="76"/>
  <c r="Z140" i="76"/>
  <c r="Z69" i="76"/>
  <c r="Z79" i="76"/>
  <c r="Z137" i="76"/>
  <c r="Z72" i="76"/>
  <c r="Z127" i="76"/>
  <c r="Z116" i="76"/>
  <c r="Z115" i="76"/>
  <c r="Z84" i="76"/>
  <c r="Z125" i="76"/>
  <c r="Z17" i="76"/>
  <c r="Z121" i="76"/>
  <c r="Z119" i="76"/>
  <c r="Z76" i="76"/>
  <c r="Z78" i="76"/>
  <c r="Z10" i="76"/>
  <c r="Z46" i="76"/>
  <c r="Z62" i="76"/>
  <c r="Z13" i="76"/>
  <c r="Z14" i="76"/>
  <c r="Z9" i="76"/>
  <c r="Z8" i="76"/>
  <c r="Z112" i="76"/>
  <c r="Z41" i="76"/>
  <c r="Z40" i="76"/>
  <c r="Z15" i="76"/>
  <c r="Z58" i="76"/>
  <c r="Z59" i="76"/>
  <c r="Z124" i="76"/>
  <c r="Z53" i="76"/>
  <c r="Z47" i="76"/>
  <c r="Z131" i="76"/>
  <c r="Z20" i="76"/>
  <c r="Z37" i="76"/>
  <c r="Z75" i="76"/>
  <c r="Z57" i="76"/>
  <c r="Z138" i="76"/>
  <c r="Z33" i="76"/>
  <c r="Z114" i="76"/>
  <c r="Z42" i="76"/>
  <c r="Z49" i="76"/>
  <c r="Z39" i="76"/>
  <c r="Z54" i="76"/>
  <c r="Z110" i="76"/>
  <c r="Z93" i="76"/>
  <c r="Z135" i="76"/>
  <c r="Z95" i="76"/>
  <c r="Z26" i="76"/>
  <c r="Z85" i="76"/>
  <c r="Z16" i="76"/>
  <c r="Z12" i="76"/>
  <c r="Z81" i="76"/>
  <c r="Z22" i="76"/>
  <c r="Z11" i="76"/>
  <c r="Z120" i="76"/>
  <c r="Z29" i="76"/>
  <c r="Z24" i="76"/>
  <c r="Z123" i="76"/>
  <c r="Z92" i="76"/>
  <c r="Z77" i="76"/>
  <c r="Z50" i="76"/>
  <c r="Z111" i="76"/>
  <c r="Z34" i="76"/>
  <c r="Z36" i="76"/>
  <c r="Z35" i="76"/>
  <c r="Z23" i="76"/>
  <c r="Z43" i="76"/>
  <c r="Z44" i="76"/>
  <c r="X87" i="76"/>
  <c r="X88" i="76"/>
  <c r="X89" i="76"/>
  <c r="X136" i="76"/>
  <c r="X5" i="76"/>
  <c r="X21" i="76"/>
  <c r="X100" i="76"/>
  <c r="X52" i="76"/>
  <c r="X48" i="76"/>
  <c r="X107" i="76"/>
  <c r="X108" i="76"/>
  <c r="X106" i="76"/>
  <c r="X109" i="76"/>
  <c r="X105" i="76"/>
  <c r="X104" i="76"/>
  <c r="X83" i="76"/>
  <c r="X99" i="76"/>
  <c r="X38" i="76"/>
  <c r="X6" i="76"/>
  <c r="X103" i="76"/>
  <c r="X122" i="76"/>
  <c r="X18" i="76"/>
  <c r="X19" i="76"/>
  <c r="X141" i="76"/>
  <c r="X67" i="76"/>
  <c r="X117" i="76"/>
  <c r="X113" i="76"/>
  <c r="X129" i="76"/>
  <c r="X128" i="76"/>
  <c r="X68" i="76"/>
  <c r="X132" i="76"/>
  <c r="X30" i="76"/>
  <c r="X45" i="76"/>
  <c r="X118" i="76"/>
  <c r="X96" i="76"/>
  <c r="X60" i="76"/>
  <c r="X61" i="76"/>
  <c r="X101" i="76"/>
  <c r="X97" i="76"/>
  <c r="X86" i="76"/>
  <c r="X74" i="76"/>
  <c r="X64" i="76"/>
  <c r="X31" i="76"/>
  <c r="X25" i="76"/>
  <c r="X91" i="76"/>
  <c r="X82" i="76"/>
  <c r="X126" i="76"/>
  <c r="X139" i="76"/>
  <c r="X63" i="76"/>
  <c r="X134" i="76"/>
  <c r="X73" i="76"/>
  <c r="X7" i="76"/>
  <c r="X66" i="76"/>
  <c r="X55" i="76"/>
  <c r="X80" i="76"/>
  <c r="X102" i="76"/>
  <c r="X28" i="76"/>
  <c r="X94" i="76"/>
  <c r="X27" i="76"/>
  <c r="X133" i="76"/>
  <c r="X98" i="76"/>
  <c r="X32" i="76"/>
  <c r="X130" i="76"/>
  <c r="X90" i="76"/>
  <c r="X56" i="76"/>
  <c r="X70" i="76"/>
  <c r="X51" i="76"/>
  <c r="X65" i="76"/>
  <c r="X71" i="76"/>
  <c r="X140" i="76"/>
  <c r="X69" i="76"/>
  <c r="X79" i="76"/>
  <c r="X137" i="76"/>
  <c r="X72" i="76"/>
  <c r="X127" i="76"/>
  <c r="X116" i="76"/>
  <c r="X115" i="76"/>
  <c r="X84" i="76"/>
  <c r="X125" i="76"/>
  <c r="X17" i="76"/>
  <c r="X121" i="76"/>
  <c r="X119" i="76"/>
  <c r="X76" i="76"/>
  <c r="X78" i="76"/>
  <c r="X10" i="76"/>
  <c r="X46" i="76"/>
  <c r="X62" i="76"/>
  <c r="X13" i="76"/>
  <c r="X14" i="76"/>
  <c r="X9" i="76"/>
  <c r="X8" i="76"/>
  <c r="X112" i="76"/>
  <c r="X41" i="76"/>
  <c r="X40" i="76"/>
  <c r="X15" i="76"/>
  <c r="X58" i="76"/>
  <c r="X59" i="76"/>
  <c r="X124" i="76"/>
  <c r="X53" i="76"/>
  <c r="X47" i="76"/>
  <c r="X131" i="76"/>
  <c r="X20" i="76"/>
  <c r="X37" i="76"/>
  <c r="X75" i="76"/>
  <c r="X57" i="76"/>
  <c r="X138" i="76"/>
  <c r="X33" i="76"/>
  <c r="X114" i="76"/>
  <c r="X42" i="76"/>
  <c r="X49" i="76"/>
  <c r="X39" i="76"/>
  <c r="X54" i="76"/>
  <c r="X110" i="76"/>
  <c r="X93" i="76"/>
  <c r="X135" i="76"/>
  <c r="X95" i="76"/>
  <c r="X26" i="76"/>
  <c r="X85" i="76"/>
  <c r="X16" i="76"/>
  <c r="X12" i="76"/>
  <c r="X81" i="76"/>
  <c r="X22" i="76"/>
  <c r="X11" i="76"/>
  <c r="X120" i="76"/>
  <c r="X29" i="76"/>
  <c r="X24" i="76"/>
  <c r="X123" i="76"/>
  <c r="X92" i="76"/>
  <c r="X77" i="76"/>
  <c r="X50" i="76"/>
  <c r="X111" i="76"/>
  <c r="X34" i="76"/>
  <c r="X36" i="76"/>
  <c r="X35" i="76"/>
  <c r="X23" i="76"/>
  <c r="X43" i="76"/>
  <c r="X44" i="76"/>
  <c r="V87" i="76"/>
  <c r="V88" i="76"/>
  <c r="V89" i="76"/>
  <c r="V136" i="76"/>
  <c r="V5" i="76"/>
  <c r="V21" i="76"/>
  <c r="V100" i="76"/>
  <c r="V52" i="76"/>
  <c r="V48" i="76"/>
  <c r="V107" i="76"/>
  <c r="V108" i="76"/>
  <c r="V106" i="76"/>
  <c r="V109" i="76"/>
  <c r="V105" i="76"/>
  <c r="V104" i="76"/>
  <c r="V83" i="76"/>
  <c r="V99" i="76"/>
  <c r="V38" i="76"/>
  <c r="V6" i="76"/>
  <c r="V103" i="76"/>
  <c r="V122" i="76"/>
  <c r="V18" i="76"/>
  <c r="V19" i="76"/>
  <c r="V141" i="76"/>
  <c r="V67" i="76"/>
  <c r="V117" i="76"/>
  <c r="V113" i="76"/>
  <c r="V129" i="76"/>
  <c r="V128" i="76"/>
  <c r="V68" i="76"/>
  <c r="V132" i="76"/>
  <c r="V30" i="76"/>
  <c r="V45" i="76"/>
  <c r="V118" i="76"/>
  <c r="V96" i="76"/>
  <c r="V60" i="76"/>
  <c r="V61" i="76"/>
  <c r="V101" i="76"/>
  <c r="V97" i="76"/>
  <c r="V86" i="76"/>
  <c r="V74" i="76"/>
  <c r="V64" i="76"/>
  <c r="V31" i="76"/>
  <c r="V25" i="76"/>
  <c r="V91" i="76"/>
  <c r="V82" i="76"/>
  <c r="V126" i="76"/>
  <c r="V139" i="76"/>
  <c r="V63" i="76"/>
  <c r="V134" i="76"/>
  <c r="V73" i="76"/>
  <c r="V7" i="76"/>
  <c r="V66" i="76"/>
  <c r="V55" i="76"/>
  <c r="V80" i="76"/>
  <c r="V102" i="76"/>
  <c r="V28" i="76"/>
  <c r="V94" i="76"/>
  <c r="V27" i="76"/>
  <c r="V133" i="76"/>
  <c r="V98" i="76"/>
  <c r="V32" i="76"/>
  <c r="V130" i="76"/>
  <c r="V90" i="76"/>
  <c r="V56" i="76"/>
  <c r="V70" i="76"/>
  <c r="V51" i="76"/>
  <c r="V65" i="76"/>
  <c r="V71" i="76"/>
  <c r="V140" i="76"/>
  <c r="V69" i="76"/>
  <c r="V79" i="76"/>
  <c r="V137" i="76"/>
  <c r="V72" i="76"/>
  <c r="V127" i="76"/>
  <c r="V116" i="76"/>
  <c r="V115" i="76"/>
  <c r="V84" i="76"/>
  <c r="V125" i="76"/>
  <c r="V17" i="76"/>
  <c r="V121" i="76"/>
  <c r="V119" i="76"/>
  <c r="V76" i="76"/>
  <c r="V78" i="76"/>
  <c r="V10" i="76"/>
  <c r="V46" i="76"/>
  <c r="V62" i="76"/>
  <c r="V13" i="76"/>
  <c r="V14" i="76"/>
  <c r="V9" i="76"/>
  <c r="V8" i="76"/>
  <c r="V112" i="76"/>
  <c r="V41" i="76"/>
  <c r="V40" i="76"/>
  <c r="V15" i="76"/>
  <c r="V58" i="76"/>
  <c r="V59" i="76"/>
  <c r="V124" i="76"/>
  <c r="V53" i="76"/>
  <c r="V47" i="76"/>
  <c r="V131" i="76"/>
  <c r="V20" i="76"/>
  <c r="V37" i="76"/>
  <c r="V75" i="76"/>
  <c r="V57" i="76"/>
  <c r="V138" i="76"/>
  <c r="V33" i="76"/>
  <c r="V114" i="76"/>
  <c r="V42" i="76"/>
  <c r="V49" i="76"/>
  <c r="V39" i="76"/>
  <c r="V54" i="76"/>
  <c r="V110" i="76"/>
  <c r="V93" i="76"/>
  <c r="V135" i="76"/>
  <c r="V95" i="76"/>
  <c r="V26" i="76"/>
  <c r="V85" i="76"/>
  <c r="V16" i="76"/>
  <c r="V12" i="76"/>
  <c r="V81" i="76"/>
  <c r="V22" i="76"/>
  <c r="V11" i="76"/>
  <c r="V120" i="76"/>
  <c r="V29" i="76"/>
  <c r="V24" i="76"/>
  <c r="V123" i="76"/>
  <c r="V92" i="76"/>
  <c r="V77" i="76"/>
  <c r="V50" i="76"/>
  <c r="V111" i="76"/>
  <c r="V34" i="76"/>
  <c r="V36" i="76"/>
  <c r="V35" i="76"/>
  <c r="V23" i="76"/>
  <c r="V43" i="76"/>
  <c r="V44" i="76"/>
  <c r="T87" i="76"/>
  <c r="T88" i="76"/>
  <c r="T89" i="76"/>
  <c r="T136" i="76"/>
  <c r="T5" i="76"/>
  <c r="T21" i="76"/>
  <c r="T100" i="76"/>
  <c r="T52" i="76"/>
  <c r="T48" i="76"/>
  <c r="T107" i="76"/>
  <c r="T108" i="76"/>
  <c r="T106" i="76"/>
  <c r="T109" i="76"/>
  <c r="T105" i="76"/>
  <c r="T104" i="76"/>
  <c r="T83" i="76"/>
  <c r="T99" i="76"/>
  <c r="T38" i="76"/>
  <c r="T6" i="76"/>
  <c r="T103" i="76"/>
  <c r="T122" i="76"/>
  <c r="T18" i="76"/>
  <c r="T19" i="76"/>
  <c r="T141" i="76"/>
  <c r="T67" i="76"/>
  <c r="T117" i="76"/>
  <c r="T113" i="76"/>
  <c r="T129" i="76"/>
  <c r="T128" i="76"/>
  <c r="T68" i="76"/>
  <c r="T132" i="76"/>
  <c r="T30" i="76"/>
  <c r="T45" i="76"/>
  <c r="T118" i="76"/>
  <c r="T96" i="76"/>
  <c r="T60" i="76"/>
  <c r="T61" i="76"/>
  <c r="T101" i="76"/>
  <c r="T97" i="76"/>
  <c r="T86" i="76"/>
  <c r="T74" i="76"/>
  <c r="T64" i="76"/>
  <c r="T31" i="76"/>
  <c r="T25" i="76"/>
  <c r="T91" i="76"/>
  <c r="T82" i="76"/>
  <c r="T126" i="76"/>
  <c r="T139" i="76"/>
  <c r="T63" i="76"/>
  <c r="T134" i="76"/>
  <c r="T73" i="76"/>
  <c r="T7" i="76"/>
  <c r="T66" i="76"/>
  <c r="T55" i="76"/>
  <c r="T80" i="76"/>
  <c r="T102" i="76"/>
  <c r="T28" i="76"/>
  <c r="T94" i="76"/>
  <c r="T27" i="76"/>
  <c r="T133" i="76"/>
  <c r="T98" i="76"/>
  <c r="T32" i="76"/>
  <c r="T130" i="76"/>
  <c r="T90" i="76"/>
  <c r="T56" i="76"/>
  <c r="T70" i="76"/>
  <c r="T51" i="76"/>
  <c r="T65" i="76"/>
  <c r="T71" i="76"/>
  <c r="T140" i="76"/>
  <c r="T69" i="76"/>
  <c r="T79" i="76"/>
  <c r="T137" i="76"/>
  <c r="T72" i="76"/>
  <c r="T127" i="76"/>
  <c r="T116" i="76"/>
  <c r="T115" i="76"/>
  <c r="T84" i="76"/>
  <c r="T125" i="76"/>
  <c r="T17" i="76"/>
  <c r="T121" i="76"/>
  <c r="T119" i="76"/>
  <c r="T76" i="76"/>
  <c r="T78" i="76"/>
  <c r="T10" i="76"/>
  <c r="T46" i="76"/>
  <c r="T62" i="76"/>
  <c r="T13" i="76"/>
  <c r="T14" i="76"/>
  <c r="T9" i="76"/>
  <c r="T8" i="76"/>
  <c r="T112" i="76"/>
  <c r="T41" i="76"/>
  <c r="T40" i="76"/>
  <c r="T15" i="76"/>
  <c r="T58" i="76"/>
  <c r="T59" i="76"/>
  <c r="T124" i="76"/>
  <c r="T53" i="76"/>
  <c r="T47" i="76"/>
  <c r="T131" i="76"/>
  <c r="T20" i="76"/>
  <c r="T37" i="76"/>
  <c r="T75" i="76"/>
  <c r="T57" i="76"/>
  <c r="T138" i="76"/>
  <c r="T33" i="76"/>
  <c r="T114" i="76"/>
  <c r="T42" i="76"/>
  <c r="T49" i="76"/>
  <c r="T39" i="76"/>
  <c r="T54" i="76"/>
  <c r="T110" i="76"/>
  <c r="T93" i="76"/>
  <c r="T135" i="76"/>
  <c r="T95" i="76"/>
  <c r="T26" i="76"/>
  <c r="T85" i="76"/>
  <c r="T16" i="76"/>
  <c r="T12" i="76"/>
  <c r="T81" i="76"/>
  <c r="T22" i="76"/>
  <c r="T11" i="76"/>
  <c r="T120" i="76"/>
  <c r="T29" i="76"/>
  <c r="T24" i="76"/>
  <c r="T123" i="76"/>
  <c r="T92" i="76"/>
  <c r="T77" i="76"/>
  <c r="T50" i="76"/>
  <c r="T111" i="76"/>
  <c r="T34" i="76"/>
  <c r="T36" i="76"/>
  <c r="T35" i="76"/>
  <c r="T23" i="76"/>
  <c r="T43" i="76"/>
  <c r="T44" i="76"/>
  <c r="R10" i="76"/>
  <c r="R44" i="76"/>
  <c r="R117" i="76"/>
  <c r="R118" i="76"/>
  <c r="R21" i="76"/>
  <c r="R107" i="76"/>
  <c r="R104" i="76"/>
  <c r="R108" i="76"/>
  <c r="R106" i="76"/>
  <c r="R5" i="76"/>
  <c r="R105" i="76"/>
  <c r="R129" i="76"/>
  <c r="R128" i="76"/>
  <c r="R76" i="76"/>
  <c r="R51" i="76"/>
  <c r="R27" i="76"/>
  <c r="R55" i="76"/>
  <c r="R63" i="76"/>
  <c r="R62" i="76"/>
  <c r="R65" i="76"/>
  <c r="R45" i="76"/>
  <c r="R116" i="76"/>
  <c r="R84" i="76"/>
  <c r="R66" i="76"/>
  <c r="R80" i="76"/>
  <c r="R31" i="76"/>
  <c r="R113" i="76"/>
  <c r="R99" i="76"/>
  <c r="R67" i="76"/>
  <c r="R18" i="76"/>
  <c r="R19" i="76"/>
  <c r="R57" i="76"/>
  <c r="R73" i="76"/>
  <c r="R6" i="76"/>
  <c r="R52" i="76"/>
  <c r="R101" i="76"/>
  <c r="R86" i="76"/>
  <c r="R126" i="76"/>
  <c r="R70" i="76"/>
  <c r="R89" i="76"/>
  <c r="R109" i="76"/>
  <c r="R30" i="76"/>
  <c r="R91" i="76"/>
  <c r="R132" i="76"/>
  <c r="R137" i="76"/>
  <c r="R125" i="76"/>
  <c r="R17" i="76"/>
  <c r="R98" i="76"/>
  <c r="R141" i="76"/>
  <c r="R71" i="76"/>
  <c r="R25" i="76"/>
  <c r="R102" i="76"/>
  <c r="R90" i="76"/>
  <c r="R115" i="76"/>
  <c r="R7" i="76"/>
  <c r="R121" i="76"/>
  <c r="R130" i="76"/>
  <c r="R72" i="76"/>
  <c r="R69" i="76"/>
  <c r="R134" i="76"/>
  <c r="R56" i="76"/>
  <c r="R139" i="76"/>
  <c r="R127" i="76"/>
  <c r="R12" i="76"/>
  <c r="R74" i="76"/>
  <c r="R32" i="76"/>
  <c r="R103" i="76"/>
  <c r="R140" i="76"/>
  <c r="R112" i="76"/>
  <c r="R78" i="76"/>
  <c r="R82" i="76"/>
  <c r="R97" i="76"/>
  <c r="R39" i="76"/>
  <c r="R33" i="76"/>
  <c r="R119" i="76"/>
  <c r="R64" i="76"/>
  <c r="R96" i="76"/>
  <c r="R68" i="76"/>
  <c r="R9" i="76"/>
  <c r="R8" i="76"/>
  <c r="R13" i="76"/>
  <c r="R138" i="76"/>
  <c r="R114" i="76"/>
  <c r="R28" i="76"/>
  <c r="R94" i="76"/>
  <c r="R131" i="76"/>
  <c r="R49" i="76"/>
  <c r="R122" i="76"/>
  <c r="R46" i="76"/>
  <c r="R79" i="76"/>
  <c r="R15" i="76"/>
  <c r="R37" i="76"/>
  <c r="R124" i="76"/>
  <c r="R53" i="76"/>
  <c r="R40" i="76"/>
  <c r="R42" i="76"/>
  <c r="R41" i="76"/>
  <c r="R47" i="76"/>
  <c r="R20" i="76"/>
  <c r="R54" i="76"/>
  <c r="R75" i="76"/>
  <c r="R133" i="76"/>
  <c r="R136" i="76"/>
  <c r="R48" i="76"/>
  <c r="R14" i="76"/>
  <c r="R100" i="76"/>
  <c r="R83" i="76"/>
  <c r="R58" i="76"/>
  <c r="R59" i="76"/>
  <c r="R60" i="76"/>
  <c r="R61" i="76"/>
  <c r="R87" i="76"/>
  <c r="R88" i="76"/>
  <c r="R43" i="76"/>
  <c r="R35" i="76"/>
  <c r="R36" i="76"/>
  <c r="R34" i="76"/>
  <c r="R23" i="76"/>
  <c r="R50" i="76"/>
  <c r="R92" i="76"/>
  <c r="R123" i="76"/>
  <c r="R77" i="76"/>
  <c r="R11" i="76"/>
  <c r="R120" i="76"/>
  <c r="R81" i="76"/>
  <c r="R85" i="76"/>
  <c r="R16" i="76"/>
  <c r="R24" i="76"/>
  <c r="R22" i="76"/>
  <c r="R93" i="76"/>
  <c r="R95" i="76"/>
  <c r="R135" i="76"/>
  <c r="R111" i="76"/>
  <c r="R29" i="76"/>
  <c r="R26" i="76"/>
  <c r="R110" i="76"/>
  <c r="R38" i="76"/>
  <c r="P17" i="76"/>
  <c r="P27" i="76"/>
  <c r="P30" i="76"/>
  <c r="P51" i="76"/>
  <c r="P52" i="76"/>
  <c r="P55" i="76"/>
  <c r="P56" i="76"/>
  <c r="P63" i="76"/>
  <c r="P64" i="76"/>
  <c r="P65" i="76"/>
  <c r="P66" i="76"/>
  <c r="P80" i="76"/>
  <c r="P84" i="76"/>
  <c r="P86" i="76"/>
  <c r="P91" i="76"/>
  <c r="P102" i="76"/>
  <c r="P113" i="76"/>
  <c r="P115" i="76"/>
  <c r="P116" i="76"/>
  <c r="P131" i="76"/>
  <c r="P134" i="76"/>
  <c r="P140" i="76"/>
  <c r="P133" i="76"/>
  <c r="P108" i="76"/>
  <c r="P141" i="76"/>
  <c r="P125" i="76"/>
  <c r="P98" i="76"/>
  <c r="P45" i="76"/>
  <c r="P32" i="76"/>
  <c r="P76" i="76"/>
  <c r="P71" i="76"/>
  <c r="P104" i="76"/>
  <c r="P105" i="76"/>
  <c r="P109" i="76"/>
  <c r="P73" i="76"/>
  <c r="P137" i="76"/>
  <c r="P106" i="76"/>
  <c r="P121" i="76"/>
  <c r="P72" i="76"/>
  <c r="P139" i="76"/>
  <c r="P107" i="76"/>
  <c r="P25" i="76"/>
  <c r="P130" i="76"/>
  <c r="P62" i="76"/>
  <c r="P67" i="76"/>
  <c r="P101" i="76"/>
  <c r="P69" i="76"/>
  <c r="P70" i="76"/>
  <c r="P126" i="76"/>
  <c r="P127" i="76"/>
  <c r="P74" i="76"/>
  <c r="P31" i="76"/>
  <c r="P99" i="76"/>
  <c r="P57" i="76"/>
  <c r="P18" i="76"/>
  <c r="P19" i="76"/>
  <c r="P129" i="76"/>
  <c r="P128" i="76"/>
  <c r="P12" i="76"/>
  <c r="P9" i="76"/>
  <c r="P8" i="76"/>
  <c r="P33" i="76"/>
  <c r="P90" i="76"/>
  <c r="P103" i="76"/>
  <c r="P132" i="76"/>
  <c r="P39" i="76"/>
  <c r="P112" i="76"/>
  <c r="P82" i="76"/>
  <c r="P97" i="76"/>
  <c r="P119" i="76"/>
  <c r="P96" i="76"/>
  <c r="P53" i="76"/>
  <c r="P122" i="76"/>
  <c r="P14" i="76"/>
  <c r="P114" i="76"/>
  <c r="P13" i="76"/>
  <c r="P46" i="76"/>
  <c r="P40" i="76"/>
  <c r="P138" i="76"/>
  <c r="P78" i="76"/>
  <c r="P41" i="76"/>
  <c r="P136" i="76"/>
  <c r="P42" i="76"/>
  <c r="P75" i="76"/>
  <c r="P38" i="76"/>
  <c r="P44" i="76"/>
  <c r="P87" i="76"/>
  <c r="P88" i="76"/>
  <c r="P60" i="76"/>
  <c r="P61" i="76"/>
  <c r="P49" i="76"/>
  <c r="P79" i="76"/>
  <c r="P117" i="76"/>
  <c r="P118" i="76"/>
  <c r="P83" i="76"/>
  <c r="P10" i="76"/>
  <c r="P6" i="76"/>
  <c r="P54" i="76"/>
  <c r="P47" i="76"/>
  <c r="P20" i="76"/>
  <c r="P28" i="76"/>
  <c r="P94" i="76"/>
  <c r="P100" i="76"/>
  <c r="P124" i="76"/>
  <c r="P15" i="76"/>
  <c r="P37" i="76"/>
  <c r="P21" i="76"/>
  <c r="P68" i="76"/>
  <c r="P48" i="76"/>
  <c r="P89" i="76"/>
  <c r="P58" i="76"/>
  <c r="P59" i="76"/>
  <c r="P5" i="76"/>
  <c r="P34" i="76"/>
  <c r="P23" i="76"/>
  <c r="P43" i="76"/>
  <c r="P35" i="76"/>
  <c r="P36" i="76"/>
  <c r="P111" i="76"/>
  <c r="P92" i="76"/>
  <c r="P123" i="76"/>
  <c r="P77" i="76"/>
  <c r="P95" i="76"/>
  <c r="P50" i="76"/>
  <c r="P93" i="76"/>
  <c r="P26" i="76"/>
  <c r="P11" i="76"/>
  <c r="P29" i="76"/>
  <c r="P110" i="76"/>
  <c r="P120" i="76"/>
  <c r="P24" i="76"/>
  <c r="P16" i="76"/>
  <c r="P81" i="76"/>
  <c r="P85" i="76"/>
  <c r="P22" i="76"/>
  <c r="P135" i="76"/>
  <c r="P7" i="76"/>
  <c r="N17" i="76"/>
  <c r="N27" i="76"/>
  <c r="N30" i="76"/>
  <c r="N51" i="76"/>
  <c r="N52" i="76"/>
  <c r="N55" i="76"/>
  <c r="N56" i="76"/>
  <c r="N63" i="76"/>
  <c r="N64" i="76"/>
  <c r="N65" i="76"/>
  <c r="N66" i="76"/>
  <c r="N80" i="76"/>
  <c r="N84" i="76"/>
  <c r="N86" i="76"/>
  <c r="N91" i="76"/>
  <c r="N102" i="76"/>
  <c r="N113" i="76"/>
  <c r="N115" i="76"/>
  <c r="N116" i="76"/>
  <c r="N131" i="76"/>
  <c r="N134" i="76"/>
  <c r="N140" i="76"/>
  <c r="N133" i="76"/>
  <c r="N108" i="76"/>
  <c r="N141" i="76"/>
  <c r="N125" i="76"/>
  <c r="N98" i="76"/>
  <c r="N45" i="76"/>
  <c r="N32" i="76"/>
  <c r="N76" i="76"/>
  <c r="N71" i="76"/>
  <c r="N104" i="76"/>
  <c r="N105" i="76"/>
  <c r="N109" i="76"/>
  <c r="N73" i="76"/>
  <c r="N137" i="76"/>
  <c r="N106" i="76"/>
  <c r="N121" i="76"/>
  <c r="N72" i="76"/>
  <c r="N139" i="76"/>
  <c r="N107" i="76"/>
  <c r="N25" i="76"/>
  <c r="N130" i="76"/>
  <c r="N62" i="76"/>
  <c r="N67" i="76"/>
  <c r="N101" i="76"/>
  <c r="N69" i="76"/>
  <c r="N70" i="76"/>
  <c r="N126" i="76"/>
  <c r="N127" i="76"/>
  <c r="N74" i="76"/>
  <c r="N31" i="76"/>
  <c r="N10" i="76"/>
  <c r="N99" i="76"/>
  <c r="N57" i="76"/>
  <c r="N18" i="76"/>
  <c r="N19" i="76"/>
  <c r="N129" i="76"/>
  <c r="N128" i="76"/>
  <c r="N12" i="76"/>
  <c r="N9" i="76"/>
  <c r="N8" i="76"/>
  <c r="N33" i="76"/>
  <c r="N90" i="76"/>
  <c r="N103" i="76"/>
  <c r="N132" i="76"/>
  <c r="N39" i="76"/>
  <c r="N112" i="76"/>
  <c r="N82" i="76"/>
  <c r="N97" i="76"/>
  <c r="N119" i="76"/>
  <c r="N96" i="76"/>
  <c r="N53" i="76"/>
  <c r="N122" i="76"/>
  <c r="N49" i="76"/>
  <c r="N79" i="76"/>
  <c r="N14" i="76"/>
  <c r="N28" i="76"/>
  <c r="N94" i="76"/>
  <c r="N114" i="76"/>
  <c r="N13" i="76"/>
  <c r="N46" i="76"/>
  <c r="N40" i="76"/>
  <c r="N124" i="76"/>
  <c r="N15" i="76"/>
  <c r="N138" i="76"/>
  <c r="N78" i="76"/>
  <c r="N47" i="76"/>
  <c r="N21" i="76"/>
  <c r="N54" i="76"/>
  <c r="N20" i="76"/>
  <c r="N58" i="76"/>
  <c r="N59" i="76"/>
  <c r="N41" i="76"/>
  <c r="N136" i="76"/>
  <c r="N42" i="76"/>
  <c r="N48" i="76"/>
  <c r="N89" i="76"/>
  <c r="N37" i="76"/>
  <c r="N75" i="76"/>
  <c r="N60" i="76"/>
  <c r="N61" i="76"/>
  <c r="N83" i="76"/>
  <c r="N117" i="76"/>
  <c r="N118" i="76"/>
  <c r="N68" i="76"/>
  <c r="N100" i="76"/>
  <c r="N38" i="76"/>
  <c r="N5" i="76"/>
  <c r="N6" i="76"/>
  <c r="N23" i="76"/>
  <c r="N44" i="76"/>
  <c r="N43" i="76"/>
  <c r="N35" i="76"/>
  <c r="N36" i="76"/>
  <c r="N111" i="76"/>
  <c r="N34" i="76"/>
  <c r="N92" i="76"/>
  <c r="N123" i="76"/>
  <c r="N77" i="76"/>
  <c r="N95" i="76"/>
  <c r="N50" i="76"/>
  <c r="N93" i="76"/>
  <c r="N26" i="76"/>
  <c r="N11" i="76"/>
  <c r="N29" i="76"/>
  <c r="N110" i="76"/>
  <c r="N120" i="76"/>
  <c r="N24" i="76"/>
  <c r="N16" i="76"/>
  <c r="N81" i="76"/>
  <c r="N85" i="76"/>
  <c r="N22" i="76"/>
  <c r="N135" i="76"/>
  <c r="N87" i="76"/>
  <c r="N88" i="76"/>
  <c r="N7" i="76"/>
  <c r="L17" i="76"/>
  <c r="L27" i="76"/>
  <c r="L30" i="76"/>
  <c r="L51" i="76"/>
  <c r="L52" i="76"/>
  <c r="L55" i="76"/>
  <c r="L56" i="76"/>
  <c r="L63" i="76"/>
  <c r="L64" i="76"/>
  <c r="L65" i="76"/>
  <c r="L66" i="76"/>
  <c r="L80" i="76"/>
  <c r="L84" i="76"/>
  <c r="L86" i="76"/>
  <c r="L91" i="76"/>
  <c r="L102" i="76"/>
  <c r="L113" i="76"/>
  <c r="L115" i="76"/>
  <c r="L116" i="76"/>
  <c r="L131" i="76"/>
  <c r="L134" i="76"/>
  <c r="L140" i="76"/>
  <c r="L133" i="76"/>
  <c r="L108" i="76"/>
  <c r="L141" i="76"/>
  <c r="L125" i="76"/>
  <c r="L98" i="76"/>
  <c r="L45" i="76"/>
  <c r="L32" i="76"/>
  <c r="L76" i="76"/>
  <c r="L71" i="76"/>
  <c r="L104" i="76"/>
  <c r="L105" i="76"/>
  <c r="L109" i="76"/>
  <c r="L73" i="76"/>
  <c r="L137" i="76"/>
  <c r="L106" i="76"/>
  <c r="L121" i="76"/>
  <c r="L72" i="76"/>
  <c r="L139" i="76"/>
  <c r="L107" i="76"/>
  <c r="L25" i="76"/>
  <c r="L130" i="76"/>
  <c r="L62" i="76"/>
  <c r="L67" i="76"/>
  <c r="L101" i="76"/>
  <c r="L69" i="76"/>
  <c r="L70" i="76"/>
  <c r="L126" i="76"/>
  <c r="L127" i="76"/>
  <c r="L74" i="76"/>
  <c r="L31" i="76"/>
  <c r="L10" i="76"/>
  <c r="L99" i="76"/>
  <c r="L57" i="76"/>
  <c r="L18" i="76"/>
  <c r="L19" i="76"/>
  <c r="L129" i="76"/>
  <c r="L128" i="76"/>
  <c r="L12" i="76"/>
  <c r="L9" i="76"/>
  <c r="L8" i="76"/>
  <c r="L33" i="76"/>
  <c r="L90" i="76"/>
  <c r="L103" i="76"/>
  <c r="L132" i="76"/>
  <c r="L39" i="76"/>
  <c r="L112" i="76"/>
  <c r="L82" i="76"/>
  <c r="L97" i="76"/>
  <c r="L119" i="76"/>
  <c r="L96" i="76"/>
  <c r="L53" i="76"/>
  <c r="L122" i="76"/>
  <c r="L49" i="76"/>
  <c r="L79" i="76"/>
  <c r="L14" i="76"/>
  <c r="L28" i="76"/>
  <c r="L94" i="76"/>
  <c r="L114" i="76"/>
  <c r="L13" i="76"/>
  <c r="L46" i="76"/>
  <c r="L40" i="76"/>
  <c r="L124" i="76"/>
  <c r="L15" i="76"/>
  <c r="L138" i="76"/>
  <c r="L78" i="76"/>
  <c r="L47" i="76"/>
  <c r="L21" i="76"/>
  <c r="L54" i="76"/>
  <c r="L20" i="76"/>
  <c r="L58" i="76"/>
  <c r="L59" i="76"/>
  <c r="L41" i="76"/>
  <c r="L136" i="76"/>
  <c r="L42" i="76"/>
  <c r="L48" i="76"/>
  <c r="L89" i="76"/>
  <c r="L37" i="76"/>
  <c r="L75" i="76"/>
  <c r="L60" i="76"/>
  <c r="L61" i="76"/>
  <c r="L83" i="76"/>
  <c r="L117" i="76"/>
  <c r="L118" i="76"/>
  <c r="L68" i="76"/>
  <c r="L100" i="76"/>
  <c r="L38" i="76"/>
  <c r="L5" i="76"/>
  <c r="L6" i="76"/>
  <c r="L23" i="76"/>
  <c r="L43" i="76"/>
  <c r="L35" i="76"/>
  <c r="L36" i="76"/>
  <c r="L111" i="76"/>
  <c r="L34" i="76"/>
  <c r="L92" i="76"/>
  <c r="L123" i="76"/>
  <c r="L77" i="76"/>
  <c r="L95" i="76"/>
  <c r="L50" i="76"/>
  <c r="L93" i="76"/>
  <c r="L26" i="76"/>
  <c r="L11" i="76"/>
  <c r="L29" i="76"/>
  <c r="L110" i="76"/>
  <c r="L120" i="76"/>
  <c r="L24" i="76"/>
  <c r="L16" i="76"/>
  <c r="L81" i="76"/>
  <c r="L85" i="76"/>
  <c r="L22" i="76"/>
  <c r="L135" i="76"/>
  <c r="L87" i="76"/>
  <c r="L88" i="76"/>
  <c r="L7" i="76"/>
  <c r="F17" i="76"/>
  <c r="F27" i="76"/>
  <c r="F30" i="76"/>
  <c r="F51" i="76"/>
  <c r="F52" i="76"/>
  <c r="F55" i="76"/>
  <c r="F56" i="76"/>
  <c r="F63" i="76"/>
  <c r="F64" i="76"/>
  <c r="F65" i="76"/>
  <c r="F66" i="76"/>
  <c r="F69" i="76"/>
  <c r="F70" i="76"/>
  <c r="F71" i="76"/>
  <c r="F72" i="76"/>
  <c r="F80" i="76"/>
  <c r="F84" i="76"/>
  <c r="F86" i="76"/>
  <c r="F90" i="76"/>
  <c r="F91" i="76"/>
  <c r="F102" i="76"/>
  <c r="F113" i="76"/>
  <c r="F115" i="76"/>
  <c r="F116" i="76"/>
  <c r="F131" i="76"/>
  <c r="F134" i="76"/>
  <c r="F140" i="76"/>
  <c r="F133" i="76"/>
  <c r="F54" i="76"/>
  <c r="F75" i="76"/>
  <c r="F82" i="76"/>
  <c r="F103" i="76"/>
  <c r="F114" i="76"/>
  <c r="F112" i="76"/>
  <c r="F138" i="76"/>
  <c r="F108" i="76"/>
  <c r="F141" i="76"/>
  <c r="F139" i="76"/>
  <c r="F74" i="76"/>
  <c r="F125" i="76"/>
  <c r="F98" i="76"/>
  <c r="F45" i="76"/>
  <c r="F32" i="76"/>
  <c r="F119" i="76"/>
  <c r="F96" i="76"/>
  <c r="F76" i="76"/>
  <c r="F67" i="76"/>
  <c r="F104" i="76"/>
  <c r="F105" i="76"/>
  <c r="F109" i="76"/>
  <c r="F73" i="76"/>
  <c r="F137" i="76"/>
  <c r="F106" i="76"/>
  <c r="F121" i="76"/>
  <c r="F107" i="76"/>
  <c r="F25" i="76"/>
  <c r="F130" i="76"/>
  <c r="F62" i="76"/>
  <c r="F101" i="76"/>
  <c r="F126" i="76"/>
  <c r="F127" i="76"/>
  <c r="F31" i="76"/>
  <c r="F10" i="76"/>
  <c r="F122" i="76"/>
  <c r="F99" i="76"/>
  <c r="F97" i="76"/>
  <c r="F57" i="76"/>
  <c r="F18" i="76"/>
  <c r="F19" i="76"/>
  <c r="F129" i="76"/>
  <c r="F128" i="76"/>
  <c r="F12" i="76"/>
  <c r="F9" i="76"/>
  <c r="F8" i="76"/>
  <c r="F53" i="76"/>
  <c r="F33" i="76"/>
  <c r="F42" i="76"/>
  <c r="F39" i="76"/>
  <c r="F49" i="76"/>
  <c r="F79" i="76"/>
  <c r="F14" i="76"/>
  <c r="F28" i="76"/>
  <c r="F94" i="76"/>
  <c r="F132" i="76"/>
  <c r="F13" i="76"/>
  <c r="F46" i="76"/>
  <c r="F40" i="76"/>
  <c r="F15" i="76"/>
  <c r="F124" i="76"/>
  <c r="F78" i="76"/>
  <c r="F47" i="76"/>
  <c r="F20" i="76"/>
  <c r="F41" i="76"/>
  <c r="F37" i="76"/>
  <c r="F21" i="76"/>
  <c r="F58" i="76"/>
  <c r="F59" i="76"/>
  <c r="F136" i="76"/>
  <c r="F48" i="76"/>
  <c r="F89" i="76"/>
  <c r="F60" i="76"/>
  <c r="F61" i="76"/>
  <c r="F83" i="76"/>
  <c r="F117" i="76"/>
  <c r="F118" i="76"/>
  <c r="F68" i="76"/>
  <c r="F100" i="76"/>
  <c r="F38" i="76"/>
  <c r="F5" i="76"/>
  <c r="F6" i="76"/>
  <c r="F23" i="76"/>
  <c r="F44" i="76"/>
  <c r="F43" i="76"/>
  <c r="F35" i="76"/>
  <c r="F36" i="76"/>
  <c r="F111" i="76"/>
  <c r="F34" i="76"/>
  <c r="F92" i="76"/>
  <c r="F123" i="76"/>
  <c r="F77" i="76"/>
  <c r="F95" i="76"/>
  <c r="F50" i="76"/>
  <c r="F93" i="76"/>
  <c r="F26" i="76"/>
  <c r="F11" i="76"/>
  <c r="F29" i="76"/>
  <c r="F110" i="76"/>
  <c r="F120" i="76"/>
  <c r="F24" i="76"/>
  <c r="F16" i="76"/>
  <c r="F81" i="76"/>
  <c r="F85" i="76"/>
  <c r="F22" i="76"/>
  <c r="F135" i="76"/>
  <c r="F87" i="76"/>
  <c r="F88" i="76"/>
  <c r="F7" i="76"/>
  <c r="Z43" i="50"/>
  <c r="Z44" i="50"/>
  <c r="Z45" i="50"/>
  <c r="Z46" i="50"/>
  <c r="Z47" i="50"/>
  <c r="Z48" i="50"/>
  <c r="Z49" i="50"/>
  <c r="Z50" i="50"/>
  <c r="Z42" i="50"/>
  <c r="X37" i="50"/>
  <c r="X39" i="50"/>
  <c r="X38" i="50"/>
  <c r="X41" i="50"/>
  <c r="X40" i="50"/>
  <c r="X48" i="50"/>
  <c r="X35" i="50"/>
  <c r="X32" i="50"/>
  <c r="X45" i="50"/>
  <c r="X47" i="50"/>
  <c r="X46" i="50"/>
  <c r="X44" i="50"/>
  <c r="X33" i="50"/>
  <c r="X42" i="50"/>
  <c r="X34" i="50"/>
  <c r="X49" i="50"/>
  <c r="V49" i="50"/>
  <c r="V36" i="50"/>
  <c r="V39" i="50"/>
  <c r="V38" i="50"/>
  <c r="V41" i="50"/>
  <c r="V40" i="50"/>
  <c r="V48" i="50"/>
  <c r="V31" i="50"/>
  <c r="V32" i="50"/>
  <c r="V43" i="50"/>
  <c r="V45" i="50"/>
  <c r="V35" i="50"/>
  <c r="V47" i="50"/>
  <c r="V44" i="50"/>
  <c r="V46" i="50"/>
  <c r="V33" i="50"/>
  <c r="V42" i="50"/>
  <c r="V34" i="50"/>
  <c r="V37" i="50"/>
  <c r="T43" i="50"/>
  <c r="T50" i="50"/>
  <c r="T49" i="50"/>
  <c r="T36" i="50"/>
  <c r="T45" i="50"/>
  <c r="R49" i="50"/>
  <c r="R37" i="50"/>
  <c r="R36" i="50"/>
  <c r="R41" i="50"/>
  <c r="R39" i="50"/>
  <c r="R48" i="50"/>
  <c r="R38" i="50"/>
  <c r="R40" i="50"/>
  <c r="R43" i="50"/>
  <c r="R45" i="50"/>
  <c r="R31" i="50"/>
  <c r="R35" i="50"/>
  <c r="R46" i="50"/>
  <c r="R32" i="50"/>
  <c r="R44" i="50"/>
  <c r="R47" i="50"/>
  <c r="R34" i="50"/>
  <c r="R33" i="50"/>
  <c r="R42" i="50"/>
  <c r="R50" i="50"/>
  <c r="P49" i="50"/>
  <c r="P35" i="50"/>
  <c r="P47" i="50"/>
  <c r="P45" i="50"/>
  <c r="P37" i="50"/>
  <c r="P46" i="50"/>
  <c r="P33" i="50"/>
  <c r="P36" i="50"/>
  <c r="P38" i="50"/>
  <c r="P48" i="50"/>
  <c r="P40" i="50"/>
  <c r="P42" i="50"/>
  <c r="P44" i="50"/>
  <c r="P41" i="50"/>
  <c r="N41" i="50"/>
  <c r="N42" i="50"/>
  <c r="J42" i="50"/>
  <c r="J37" i="50"/>
  <c r="J40" i="50"/>
  <c r="J50" i="50"/>
  <c r="J48" i="50"/>
  <c r="J41" i="50"/>
  <c r="J49" i="50"/>
  <c r="J46" i="50"/>
  <c r="J43" i="50"/>
  <c r="J31" i="50"/>
  <c r="J44" i="50"/>
  <c r="J32" i="50"/>
  <c r="J45" i="50"/>
  <c r="J38" i="50"/>
  <c r="J39" i="50"/>
  <c r="J36" i="50"/>
  <c r="H48" i="50"/>
  <c r="H43" i="50"/>
  <c r="H41" i="50"/>
  <c r="H45" i="50"/>
  <c r="H50" i="50"/>
  <c r="H49" i="50"/>
  <c r="H46" i="50"/>
  <c r="H42" i="50"/>
  <c r="H36" i="50"/>
  <c r="H38" i="50"/>
  <c r="H37" i="50"/>
  <c r="H44" i="50"/>
  <c r="H40" i="50"/>
  <c r="H31" i="50"/>
  <c r="H32" i="50"/>
  <c r="H39" i="50"/>
  <c r="F48" i="50"/>
  <c r="F43" i="50"/>
  <c r="F41" i="50"/>
  <c r="F45" i="50"/>
  <c r="F50" i="50"/>
  <c r="F49" i="50"/>
  <c r="F46" i="50"/>
  <c r="F42" i="50"/>
  <c r="F36" i="50"/>
  <c r="F38" i="50"/>
  <c r="F37" i="50"/>
  <c r="F44" i="50"/>
  <c r="F40" i="50"/>
  <c r="F31" i="50"/>
  <c r="F32" i="50"/>
  <c r="F39" i="50"/>
  <c r="AM6" i="121"/>
  <c r="AM7" i="121"/>
  <c r="AM8" i="121"/>
  <c r="AM9" i="121"/>
  <c r="AM10" i="121"/>
  <c r="AM11" i="121"/>
  <c r="AM12" i="121"/>
  <c r="AM13" i="121"/>
  <c r="AM14" i="121"/>
  <c r="AM15" i="121"/>
  <c r="AM16" i="121"/>
  <c r="AM17" i="121"/>
  <c r="AM18" i="121"/>
  <c r="AM19" i="121"/>
  <c r="AM20" i="121"/>
  <c r="AM21" i="121"/>
  <c r="AM22" i="121"/>
  <c r="AM23" i="121"/>
  <c r="AM24" i="121"/>
  <c r="AM25" i="121"/>
  <c r="AM26" i="121"/>
  <c r="AM27" i="121"/>
  <c r="AM28" i="121"/>
  <c r="AM29" i="121"/>
  <c r="AM30" i="121"/>
  <c r="AM31" i="121"/>
  <c r="AM32" i="121"/>
  <c r="AM33" i="121"/>
  <c r="AM34" i="121"/>
  <c r="AM35" i="121"/>
  <c r="AM36" i="121"/>
  <c r="AM37" i="121"/>
  <c r="AM38" i="121"/>
  <c r="AM39" i="121"/>
  <c r="AM40" i="121"/>
  <c r="AM41" i="121"/>
  <c r="AM42" i="121"/>
  <c r="AM43" i="121"/>
  <c r="AM44" i="121"/>
  <c r="AM45" i="121"/>
  <c r="AM46" i="121"/>
  <c r="AM47" i="121"/>
  <c r="AM48" i="121"/>
  <c r="AM49" i="121"/>
  <c r="AM50" i="121"/>
  <c r="AM51" i="121"/>
  <c r="AM52" i="121"/>
  <c r="AM53" i="121"/>
  <c r="AM54" i="121"/>
  <c r="AM55" i="121"/>
  <c r="AM56" i="121"/>
  <c r="AM57" i="121"/>
  <c r="AM58" i="121"/>
  <c r="AM59" i="121"/>
  <c r="AM60" i="121"/>
  <c r="AM61" i="121"/>
  <c r="AM62" i="121"/>
  <c r="AM63" i="121"/>
  <c r="AM64" i="121"/>
  <c r="AM65" i="121"/>
  <c r="AM66" i="121"/>
  <c r="AM67" i="121"/>
  <c r="AM68" i="121"/>
  <c r="AM69" i="121"/>
  <c r="AM70" i="121"/>
  <c r="AM71" i="121"/>
  <c r="AM72" i="121"/>
  <c r="AM73" i="121"/>
  <c r="AM74" i="121"/>
  <c r="AM75" i="121"/>
  <c r="AM76" i="121"/>
  <c r="AM77" i="121"/>
  <c r="AM78" i="121"/>
  <c r="AM79" i="121"/>
  <c r="AM80" i="121"/>
  <c r="AM81" i="121"/>
  <c r="AM82" i="121"/>
  <c r="AM83" i="121"/>
  <c r="AM84" i="121"/>
  <c r="AM85" i="121"/>
  <c r="AM86" i="121"/>
  <c r="AM87" i="121"/>
  <c r="AM88" i="121"/>
  <c r="AM89" i="121"/>
  <c r="AM90" i="121"/>
  <c r="AM91" i="121"/>
  <c r="AM92" i="121"/>
  <c r="AM93" i="121"/>
  <c r="AM5" i="121"/>
  <c r="AJ6" i="121"/>
  <c r="AJ25" i="121"/>
  <c r="AJ28" i="121"/>
  <c r="AJ37" i="121"/>
  <c r="AJ66" i="121"/>
  <c r="AJ114" i="121"/>
  <c r="AJ115" i="121"/>
  <c r="AJ116" i="121"/>
  <c r="AJ117" i="121"/>
  <c r="AJ5" i="121"/>
  <c r="AG6" i="121"/>
  <c r="AG25" i="121"/>
  <c r="AG28" i="121"/>
  <c r="AG37" i="121"/>
  <c r="AG66" i="121"/>
  <c r="AG5" i="121"/>
  <c r="AD6" i="121"/>
  <c r="AD7" i="121"/>
  <c r="AD8" i="121"/>
  <c r="AD9" i="121"/>
  <c r="AD10" i="121"/>
  <c r="AD11" i="121"/>
  <c r="AD12" i="121"/>
  <c r="AD13" i="121"/>
  <c r="AD14" i="121"/>
  <c r="AD15" i="121"/>
  <c r="AD16" i="121"/>
  <c r="AD17" i="121"/>
  <c r="AD18" i="121"/>
  <c r="AD19" i="121"/>
  <c r="AD20" i="121"/>
  <c r="AD21" i="121"/>
  <c r="AD22" i="121"/>
  <c r="AD23" i="121"/>
  <c r="AD24" i="121"/>
  <c r="AD25" i="121"/>
  <c r="AD26" i="121"/>
  <c r="AD27" i="121"/>
  <c r="AD28" i="121"/>
  <c r="AD29" i="121"/>
  <c r="AD30" i="121"/>
  <c r="AD31" i="121"/>
  <c r="AD32" i="121"/>
  <c r="AD33" i="121"/>
  <c r="AD34" i="121"/>
  <c r="AD35" i="121"/>
  <c r="AD36" i="121"/>
  <c r="AD37" i="121"/>
  <c r="AD38" i="121"/>
  <c r="AD39" i="121"/>
  <c r="AD40" i="121"/>
  <c r="AD41" i="121"/>
  <c r="AD42" i="121"/>
  <c r="AD43" i="121"/>
  <c r="AD44" i="121"/>
  <c r="AD45" i="121"/>
  <c r="AD46" i="121"/>
  <c r="AD47" i="121"/>
  <c r="AD48" i="121"/>
  <c r="AD49" i="121"/>
  <c r="AD50" i="121"/>
  <c r="AD51" i="121"/>
  <c r="AD52" i="121"/>
  <c r="AD53" i="121"/>
  <c r="AD54" i="121"/>
  <c r="AD55" i="121"/>
  <c r="AD56" i="121"/>
  <c r="AD57" i="121"/>
  <c r="AD58" i="121"/>
  <c r="AD59" i="121"/>
  <c r="AD60" i="121"/>
  <c r="AD61" i="121"/>
  <c r="AD62" i="121"/>
  <c r="AD63" i="121"/>
  <c r="AD64" i="121"/>
  <c r="AD65" i="121"/>
  <c r="AD66" i="121"/>
  <c r="AD67" i="121"/>
  <c r="AD68" i="121"/>
  <c r="AD69" i="121"/>
  <c r="AD70" i="121"/>
  <c r="AD71" i="121"/>
  <c r="AD72" i="121"/>
  <c r="AD73" i="121"/>
  <c r="AD74" i="121"/>
  <c r="AD75" i="121"/>
  <c r="AD76" i="121"/>
  <c r="AD77" i="121"/>
  <c r="AD78" i="121"/>
  <c r="AD79" i="121"/>
  <c r="AD80" i="121"/>
  <c r="AD81" i="121"/>
  <c r="AD82" i="121"/>
  <c r="AD83" i="121"/>
  <c r="AD84" i="121"/>
  <c r="AD85" i="121"/>
  <c r="AD86" i="121"/>
  <c r="AD87" i="121"/>
  <c r="AD88" i="121"/>
  <c r="AD89" i="121"/>
  <c r="AD90" i="121"/>
  <c r="AD91" i="121"/>
  <c r="AD92" i="121"/>
  <c r="AD93" i="121"/>
  <c r="AD94" i="121"/>
  <c r="AD95" i="121"/>
  <c r="AD96" i="121"/>
  <c r="AD97" i="121"/>
  <c r="AD98" i="121"/>
  <c r="AD99" i="121"/>
  <c r="AD100" i="121"/>
  <c r="AD101" i="121"/>
  <c r="AD102" i="121"/>
  <c r="AD103" i="121"/>
  <c r="AD104" i="121"/>
  <c r="AD105" i="121"/>
  <c r="AD106" i="121"/>
  <c r="AD107" i="121"/>
  <c r="AD108" i="121"/>
  <c r="AD109" i="121"/>
  <c r="AD110" i="121"/>
  <c r="AD111" i="121"/>
  <c r="AD112" i="121"/>
  <c r="AD113" i="121"/>
  <c r="AD114" i="121"/>
  <c r="AD115" i="121"/>
  <c r="AD116" i="121"/>
  <c r="AD117" i="121"/>
  <c r="AD5" i="121"/>
  <c r="AA6" i="121"/>
  <c r="AA7" i="121"/>
  <c r="X49" i="121"/>
  <c r="U6" i="121"/>
  <c r="U7" i="121"/>
  <c r="U8" i="121"/>
  <c r="U9" i="121"/>
  <c r="U10" i="121"/>
  <c r="U11" i="121"/>
  <c r="U12" i="121"/>
  <c r="U13" i="121"/>
  <c r="U14" i="121"/>
  <c r="U15" i="121"/>
  <c r="U16" i="121"/>
  <c r="U17" i="121"/>
  <c r="U18" i="121"/>
  <c r="U19" i="121"/>
  <c r="U20" i="121"/>
  <c r="U21" i="121"/>
  <c r="U22" i="121"/>
  <c r="U23" i="121"/>
  <c r="U24" i="121"/>
  <c r="U25" i="121"/>
  <c r="U26" i="121"/>
  <c r="U27" i="121"/>
  <c r="U28" i="121"/>
  <c r="U29" i="121"/>
  <c r="U30" i="121"/>
  <c r="U31" i="121"/>
  <c r="U32" i="121"/>
  <c r="U33" i="121"/>
  <c r="U34" i="121"/>
  <c r="U35" i="121"/>
  <c r="U36" i="121"/>
  <c r="U37" i="121"/>
  <c r="U38" i="121"/>
  <c r="U39" i="121"/>
  <c r="U40" i="121"/>
  <c r="U41" i="121"/>
  <c r="U42" i="121"/>
  <c r="U43" i="121"/>
  <c r="U44" i="121"/>
  <c r="U45" i="121"/>
  <c r="U46" i="121"/>
  <c r="U47" i="121"/>
  <c r="U48" i="121"/>
  <c r="U49" i="121"/>
  <c r="U50" i="121"/>
  <c r="U51" i="121"/>
  <c r="U52" i="121"/>
  <c r="U53" i="121"/>
  <c r="U54" i="121"/>
  <c r="U55" i="121"/>
  <c r="U56" i="121"/>
  <c r="U57" i="121"/>
  <c r="U58" i="121"/>
  <c r="U59" i="121"/>
  <c r="U60" i="121"/>
  <c r="U61" i="121"/>
  <c r="U62" i="121"/>
  <c r="U63" i="121"/>
  <c r="U64" i="121"/>
  <c r="U65" i="121"/>
  <c r="U66" i="121"/>
  <c r="U67" i="121"/>
  <c r="U68" i="121"/>
  <c r="U69" i="121"/>
  <c r="U70" i="121"/>
  <c r="U71" i="121"/>
  <c r="U72" i="121"/>
  <c r="U73" i="121"/>
  <c r="U74" i="121"/>
  <c r="U75" i="121"/>
  <c r="U76" i="121"/>
  <c r="U77" i="121"/>
  <c r="U78" i="121"/>
  <c r="U79" i="121"/>
  <c r="U80" i="121"/>
  <c r="U81" i="121"/>
  <c r="U82" i="121"/>
  <c r="U83" i="121"/>
  <c r="U84" i="121"/>
  <c r="U85" i="121"/>
  <c r="U86" i="121"/>
  <c r="U87" i="121"/>
  <c r="U88" i="121"/>
  <c r="U89" i="121"/>
  <c r="U90" i="121"/>
  <c r="U91" i="121"/>
  <c r="U92" i="121"/>
  <c r="U93" i="121"/>
  <c r="U5" i="121"/>
  <c r="R6" i="121"/>
  <c r="R7" i="121"/>
  <c r="R8" i="121"/>
  <c r="R9" i="121"/>
  <c r="R10" i="121"/>
  <c r="R11" i="121"/>
  <c r="R12" i="121"/>
  <c r="R13" i="121"/>
  <c r="R14" i="121"/>
  <c r="R15" i="121"/>
  <c r="R16" i="121"/>
  <c r="R17" i="121"/>
  <c r="R18" i="121"/>
  <c r="R19" i="121"/>
  <c r="R20" i="121"/>
  <c r="R21" i="121"/>
  <c r="R22" i="121"/>
  <c r="R23" i="121"/>
  <c r="R24" i="121"/>
  <c r="R25" i="121"/>
  <c r="R26" i="121"/>
  <c r="R27" i="121"/>
  <c r="R28" i="121"/>
  <c r="R29" i="121"/>
  <c r="R30" i="121"/>
  <c r="R31" i="121"/>
  <c r="R32" i="121"/>
  <c r="R33" i="121"/>
  <c r="R34" i="121"/>
  <c r="R35" i="121"/>
  <c r="R36" i="121"/>
  <c r="R37" i="121"/>
  <c r="R38" i="121"/>
  <c r="R39" i="121"/>
  <c r="R40" i="121"/>
  <c r="R41" i="121"/>
  <c r="R42" i="121"/>
  <c r="R43" i="121"/>
  <c r="R44" i="121"/>
  <c r="R45" i="121"/>
  <c r="R46" i="121"/>
  <c r="R47" i="121"/>
  <c r="R48" i="121"/>
  <c r="R49" i="121"/>
  <c r="R50" i="121"/>
  <c r="R51" i="121"/>
  <c r="R52" i="121"/>
  <c r="R53" i="121"/>
  <c r="R54" i="121"/>
  <c r="R55" i="121"/>
  <c r="R56" i="121"/>
  <c r="R57" i="121"/>
  <c r="R58" i="121"/>
  <c r="R59" i="121"/>
  <c r="R60" i="121"/>
  <c r="R61" i="121"/>
  <c r="R62" i="121"/>
  <c r="R63" i="121"/>
  <c r="R64" i="121"/>
  <c r="R65" i="121"/>
  <c r="R66" i="121"/>
  <c r="R67" i="121"/>
  <c r="R68" i="121"/>
  <c r="R69" i="121"/>
  <c r="R70" i="121"/>
  <c r="R71" i="121"/>
  <c r="R72" i="121"/>
  <c r="R73" i="121"/>
  <c r="R74" i="121"/>
  <c r="R75" i="121"/>
  <c r="R76" i="121"/>
  <c r="R77" i="121"/>
  <c r="R78" i="121"/>
  <c r="R79" i="121"/>
  <c r="R80" i="121"/>
  <c r="R81" i="121"/>
  <c r="R82" i="121"/>
  <c r="R83" i="121"/>
  <c r="R84" i="121"/>
  <c r="R85" i="121"/>
  <c r="R86" i="121"/>
  <c r="R87" i="121"/>
  <c r="R88" i="121"/>
  <c r="R89" i="121"/>
  <c r="R90" i="121"/>
  <c r="R91" i="121"/>
  <c r="R92" i="121"/>
  <c r="R93" i="121"/>
  <c r="R94" i="121"/>
  <c r="R95" i="121"/>
  <c r="R96" i="121"/>
  <c r="R97" i="121"/>
  <c r="R98" i="121"/>
  <c r="R99" i="121"/>
  <c r="R100" i="121"/>
  <c r="R101" i="121"/>
  <c r="R102" i="121"/>
  <c r="R103" i="121"/>
  <c r="R104" i="121"/>
  <c r="R105" i="121"/>
  <c r="R106" i="121"/>
  <c r="R107" i="121"/>
  <c r="R108" i="121"/>
  <c r="R109" i="121"/>
  <c r="R110" i="121"/>
  <c r="R111" i="121"/>
  <c r="R112" i="121"/>
  <c r="R113" i="121"/>
  <c r="R114" i="121"/>
  <c r="R115" i="121"/>
  <c r="R116" i="121"/>
  <c r="R117" i="121"/>
  <c r="R5" i="121"/>
  <c r="O6" i="121"/>
  <c r="O7" i="121"/>
  <c r="O8" i="121"/>
  <c r="O9" i="121"/>
  <c r="O10" i="121"/>
  <c r="O11" i="121"/>
  <c r="O12" i="121"/>
  <c r="O13" i="121"/>
  <c r="O14" i="121"/>
  <c r="O15" i="121"/>
  <c r="O16" i="121"/>
  <c r="O17" i="121"/>
  <c r="O18" i="121"/>
  <c r="O19" i="121"/>
  <c r="O20" i="121"/>
  <c r="O21" i="121"/>
  <c r="O22" i="121"/>
  <c r="O23" i="121"/>
  <c r="O24" i="121"/>
  <c r="O25" i="121"/>
  <c r="O26" i="121"/>
  <c r="O27" i="121"/>
  <c r="O28" i="121"/>
  <c r="O29" i="121"/>
  <c r="O30" i="121"/>
  <c r="O31" i="121"/>
  <c r="O32" i="121"/>
  <c r="O33" i="121"/>
  <c r="O34" i="121"/>
  <c r="O35" i="121"/>
  <c r="O36" i="121"/>
  <c r="O37" i="121"/>
  <c r="O38" i="121"/>
  <c r="O39" i="121"/>
  <c r="O40" i="121"/>
  <c r="O41" i="121"/>
  <c r="O42" i="121"/>
  <c r="O43" i="121"/>
  <c r="O44" i="121"/>
  <c r="O45" i="121"/>
  <c r="O46" i="121"/>
  <c r="O47" i="121"/>
  <c r="O48" i="121"/>
  <c r="O49" i="121"/>
  <c r="O50" i="121"/>
  <c r="O51" i="121"/>
  <c r="O52" i="121"/>
  <c r="O53" i="121"/>
  <c r="O54" i="121"/>
  <c r="O55" i="121"/>
  <c r="O56" i="121"/>
  <c r="O57" i="121"/>
  <c r="O58" i="121"/>
  <c r="O59" i="121"/>
  <c r="O60" i="121"/>
  <c r="O63" i="121"/>
  <c r="O65" i="121"/>
  <c r="O66" i="121"/>
  <c r="O67" i="121"/>
  <c r="O75" i="121"/>
  <c r="O81" i="121"/>
  <c r="O93" i="121"/>
  <c r="O5" i="121"/>
  <c r="L6" i="121"/>
  <c r="L7" i="121"/>
  <c r="L8" i="121"/>
  <c r="L9" i="121"/>
  <c r="L10" i="121"/>
  <c r="L11" i="121"/>
  <c r="L12" i="121"/>
  <c r="L13" i="121"/>
  <c r="L14" i="121"/>
  <c r="L15" i="121"/>
  <c r="L16" i="121"/>
  <c r="L17" i="121"/>
  <c r="L18" i="121"/>
  <c r="L19" i="121"/>
  <c r="L20" i="121"/>
  <c r="L21" i="121"/>
  <c r="L22" i="121"/>
  <c r="L23" i="121"/>
  <c r="L24" i="121"/>
  <c r="L25" i="121"/>
  <c r="L26" i="121"/>
  <c r="L27" i="121"/>
  <c r="L28" i="121"/>
  <c r="L29" i="121"/>
  <c r="L30" i="121"/>
  <c r="L31" i="121"/>
  <c r="L32" i="121"/>
  <c r="L33" i="121"/>
  <c r="L34" i="121"/>
  <c r="L35" i="121"/>
  <c r="L36" i="121"/>
  <c r="L37" i="121"/>
  <c r="L38" i="121"/>
  <c r="L39" i="121"/>
  <c r="L40" i="121"/>
  <c r="L42" i="121"/>
  <c r="L43" i="121"/>
  <c r="L44" i="121"/>
  <c r="L45" i="121"/>
  <c r="L46" i="121"/>
  <c r="L47" i="121"/>
  <c r="L48" i="121"/>
  <c r="L49" i="121"/>
  <c r="L50" i="121"/>
  <c r="L51" i="121"/>
  <c r="L52" i="121"/>
  <c r="L53" i="121"/>
  <c r="L54" i="121"/>
  <c r="L55" i="121"/>
  <c r="L56" i="121"/>
  <c r="L57" i="121"/>
  <c r="L58" i="121"/>
  <c r="L59" i="121"/>
  <c r="L60" i="121"/>
  <c r="L63" i="121"/>
  <c r="L65" i="121"/>
  <c r="L66" i="121"/>
  <c r="L67" i="121"/>
  <c r="L75" i="121"/>
  <c r="L81" i="121"/>
  <c r="L5" i="121"/>
  <c r="I6" i="121"/>
  <c r="I7" i="121"/>
  <c r="I8" i="121"/>
  <c r="I9" i="121"/>
  <c r="I10" i="121"/>
  <c r="I11" i="121"/>
  <c r="I12" i="121"/>
  <c r="I13" i="121"/>
  <c r="I14" i="121"/>
  <c r="I15" i="121"/>
  <c r="I16" i="121"/>
  <c r="I17" i="121"/>
  <c r="I18" i="121"/>
  <c r="I19" i="121"/>
  <c r="I20" i="121"/>
  <c r="I21" i="121"/>
  <c r="I22" i="121"/>
  <c r="I23" i="121"/>
  <c r="I24" i="121"/>
  <c r="I25" i="121"/>
  <c r="I26" i="121"/>
  <c r="I27" i="121"/>
  <c r="I28" i="121"/>
  <c r="I29" i="121"/>
  <c r="I30" i="121"/>
  <c r="I31" i="121"/>
  <c r="I32" i="121"/>
  <c r="I33" i="121"/>
  <c r="I34" i="121"/>
  <c r="I35" i="121"/>
  <c r="I36" i="121"/>
  <c r="I37" i="121"/>
  <c r="I38" i="121"/>
  <c r="I39" i="121"/>
  <c r="I40" i="121"/>
  <c r="I41" i="121"/>
  <c r="I42" i="121"/>
  <c r="I43" i="121"/>
  <c r="I44" i="121"/>
  <c r="I45" i="121"/>
  <c r="I46" i="121"/>
  <c r="I47" i="121"/>
  <c r="I48" i="121"/>
  <c r="I49" i="121"/>
  <c r="I50" i="121"/>
  <c r="I51" i="121"/>
  <c r="I52" i="121"/>
  <c r="I53" i="121"/>
  <c r="I54" i="121"/>
  <c r="I55" i="121"/>
  <c r="I56" i="121"/>
  <c r="I57" i="121"/>
  <c r="I58" i="121"/>
  <c r="I59" i="121"/>
  <c r="I60" i="121"/>
  <c r="I61" i="121"/>
  <c r="I63" i="121"/>
  <c r="I64" i="121"/>
  <c r="I65" i="121"/>
  <c r="I66" i="121"/>
  <c r="I67" i="121"/>
  <c r="I68" i="121"/>
  <c r="I69" i="121"/>
  <c r="I70" i="121"/>
  <c r="I71" i="121"/>
  <c r="I72" i="121"/>
  <c r="I73" i="121"/>
  <c r="I74" i="121"/>
  <c r="I75" i="121"/>
  <c r="I76" i="121"/>
  <c r="I77" i="121"/>
  <c r="I81" i="121"/>
  <c r="I84" i="121"/>
  <c r="I90" i="121"/>
  <c r="I93" i="121"/>
  <c r="I5" i="121"/>
  <c r="AL95" i="121"/>
  <c r="AM95" i="121" s="1"/>
  <c r="AL96" i="121"/>
  <c r="AM96" i="121" s="1"/>
  <c r="AL97" i="121"/>
  <c r="AM97" i="121" s="1"/>
  <c r="AL98" i="121"/>
  <c r="AM98" i="121" s="1"/>
  <c r="AL99" i="121"/>
  <c r="AM99" i="121" s="1"/>
  <c r="AL100" i="121"/>
  <c r="AM100" i="121" s="1"/>
  <c r="AL101" i="121"/>
  <c r="AM101" i="121" s="1"/>
  <c r="AL102" i="121"/>
  <c r="AM102" i="121" s="1"/>
  <c r="AL103" i="121"/>
  <c r="AM103" i="121" s="1"/>
  <c r="AL104" i="121"/>
  <c r="AM104" i="121" s="1"/>
  <c r="AL105" i="121"/>
  <c r="AM105" i="121" s="1"/>
  <c r="AL106" i="121"/>
  <c r="AM106" i="121" s="1"/>
  <c r="AL107" i="121"/>
  <c r="AM107" i="121" s="1"/>
  <c r="AL108" i="121"/>
  <c r="AM108" i="121" s="1"/>
  <c r="AL109" i="121"/>
  <c r="AM109" i="121" s="1"/>
  <c r="AL110" i="121"/>
  <c r="AM110" i="121" s="1"/>
  <c r="AL111" i="121"/>
  <c r="AM111" i="121" s="1"/>
  <c r="AL112" i="121"/>
  <c r="AM112" i="121" s="1"/>
  <c r="AL113" i="121"/>
  <c r="AM113" i="121" s="1"/>
  <c r="AL114" i="121"/>
  <c r="AM114" i="121" s="1"/>
  <c r="AL115" i="121"/>
  <c r="AM115" i="121" s="1"/>
  <c r="AL116" i="121"/>
  <c r="AM116" i="121" s="1"/>
  <c r="AL117" i="121"/>
  <c r="AM117" i="121" s="1"/>
  <c r="AL94" i="121"/>
  <c r="AM94" i="121" s="1"/>
  <c r="AI113" i="121"/>
  <c r="AJ113" i="121" s="1"/>
  <c r="AI109" i="121"/>
  <c r="AJ109" i="121" s="1"/>
  <c r="AI110" i="121"/>
  <c r="AJ110" i="121" s="1"/>
  <c r="AI111" i="121"/>
  <c r="AJ111" i="121" s="1"/>
  <c r="AI105" i="121"/>
  <c r="AJ105" i="121" s="1"/>
  <c r="AI102" i="121"/>
  <c r="AJ102" i="121" s="1"/>
  <c r="AI100" i="121"/>
  <c r="AJ100" i="121" s="1"/>
  <c r="AI103" i="121"/>
  <c r="AJ103" i="121" s="1"/>
  <c r="AI106" i="121"/>
  <c r="AJ106" i="121" s="1"/>
  <c r="AI107" i="121"/>
  <c r="AJ107" i="121" s="1"/>
  <c r="AI108" i="121"/>
  <c r="AJ108" i="121" s="1"/>
  <c r="AI104" i="121"/>
  <c r="AJ104" i="121" s="1"/>
  <c r="AI97" i="121"/>
  <c r="AJ97" i="121" s="1"/>
  <c r="AI99" i="121"/>
  <c r="AJ99" i="121" s="1"/>
  <c r="AI98" i="121"/>
  <c r="AJ98" i="121" s="1"/>
  <c r="AI96" i="121"/>
  <c r="AJ96" i="121" s="1"/>
  <c r="AI95" i="121"/>
  <c r="AJ95" i="121" s="1"/>
  <c r="AI101" i="121"/>
  <c r="AJ101" i="121" s="1"/>
  <c r="AI7" i="121"/>
  <c r="AJ7" i="121" s="1"/>
  <c r="AI43" i="121"/>
  <c r="AJ43" i="121" s="1"/>
  <c r="AI52" i="121"/>
  <c r="AJ52" i="121" s="1"/>
  <c r="AI68" i="121"/>
  <c r="AJ68" i="121" s="1"/>
  <c r="AI94" i="121"/>
  <c r="AJ94" i="121" s="1"/>
  <c r="AI41" i="121"/>
  <c r="AJ41" i="121" s="1"/>
  <c r="AI55" i="121"/>
  <c r="AJ55" i="121" s="1"/>
  <c r="AI30" i="121"/>
  <c r="AJ30" i="121" s="1"/>
  <c r="AI60" i="121"/>
  <c r="AJ60" i="121" s="1"/>
  <c r="AI49" i="121"/>
  <c r="AJ49" i="121" s="1"/>
  <c r="AI72" i="121"/>
  <c r="AJ72" i="121" s="1"/>
  <c r="AI8" i="121"/>
  <c r="AJ8" i="121" s="1"/>
  <c r="AI26" i="121"/>
  <c r="AJ26" i="121" s="1"/>
  <c r="AI69" i="121"/>
  <c r="AJ69" i="121" s="1"/>
  <c r="AI32" i="121"/>
  <c r="AJ32" i="121" s="1"/>
  <c r="AI67" i="121"/>
  <c r="AJ67" i="121" s="1"/>
  <c r="AI44" i="121"/>
  <c r="AJ44" i="121" s="1"/>
  <c r="AI77" i="121"/>
  <c r="AJ77" i="121" s="1"/>
  <c r="AI47" i="121"/>
  <c r="AJ47" i="121" s="1"/>
  <c r="AI40" i="121"/>
  <c r="AJ40" i="121" s="1"/>
  <c r="AI38" i="121"/>
  <c r="AJ38" i="121" s="1"/>
  <c r="AI54" i="121"/>
  <c r="AJ54" i="121" s="1"/>
  <c r="AI34" i="121"/>
  <c r="AJ34" i="121" s="1"/>
  <c r="AI76" i="121"/>
  <c r="AJ76" i="121" s="1"/>
  <c r="AI45" i="121"/>
  <c r="AJ45" i="121" s="1"/>
  <c r="AI9" i="121"/>
  <c r="AJ9" i="121" s="1"/>
  <c r="AI23" i="121"/>
  <c r="AJ23" i="121" s="1"/>
  <c r="AI56" i="121"/>
  <c r="AJ56" i="121" s="1"/>
  <c r="AI22" i="121"/>
  <c r="AJ22" i="121" s="1"/>
  <c r="AI10" i="121"/>
  <c r="AJ10" i="121" s="1"/>
  <c r="AI62" i="121"/>
  <c r="AJ62" i="121" s="1"/>
  <c r="AI11" i="121"/>
  <c r="AJ11" i="121" s="1"/>
  <c r="AI74" i="121"/>
  <c r="AJ74" i="121" s="1"/>
  <c r="AI50" i="121"/>
  <c r="AJ50" i="121" s="1"/>
  <c r="AI12" i="121"/>
  <c r="AJ12" i="121" s="1"/>
  <c r="AI13" i="121"/>
  <c r="AJ13" i="121" s="1"/>
  <c r="AI89" i="121"/>
  <c r="AJ89" i="121" s="1"/>
  <c r="AI82" i="121"/>
  <c r="AJ82" i="121" s="1"/>
  <c r="AI65" i="121"/>
  <c r="AJ65" i="121" s="1"/>
  <c r="AI14" i="121"/>
  <c r="AJ14" i="121" s="1"/>
  <c r="AI27" i="121"/>
  <c r="AJ27" i="121" s="1"/>
  <c r="AI15" i="121"/>
  <c r="AJ15" i="121" s="1"/>
  <c r="AI16" i="121"/>
  <c r="AJ16" i="121" s="1"/>
  <c r="AI31" i="121"/>
  <c r="AJ31" i="121" s="1"/>
  <c r="AI35" i="121"/>
  <c r="AJ35" i="121" s="1"/>
  <c r="AI51" i="121"/>
  <c r="AJ51" i="121" s="1"/>
  <c r="AI71" i="121"/>
  <c r="AJ71" i="121" s="1"/>
  <c r="AI33" i="121"/>
  <c r="AJ33" i="121" s="1"/>
  <c r="AI85" i="121"/>
  <c r="AJ85" i="121" s="1"/>
  <c r="AI36" i="121"/>
  <c r="AJ36" i="121" s="1"/>
  <c r="AI17" i="121"/>
  <c r="AJ17" i="121" s="1"/>
  <c r="AI18" i="121"/>
  <c r="AJ18" i="121" s="1"/>
  <c r="AI79" i="121"/>
  <c r="AJ79" i="121" s="1"/>
  <c r="AI46" i="121"/>
  <c r="AJ46" i="121" s="1"/>
  <c r="AI88" i="121"/>
  <c r="AJ88" i="121" s="1"/>
  <c r="AI64" i="121"/>
  <c r="AJ64" i="121" s="1"/>
  <c r="AI24" i="121"/>
  <c r="AJ24" i="121" s="1"/>
  <c r="AI19" i="121"/>
  <c r="AJ19" i="121" s="1"/>
  <c r="AI57" i="121"/>
  <c r="AJ57" i="121" s="1"/>
  <c r="AI53" i="121"/>
  <c r="AJ53" i="121" s="1"/>
  <c r="AI39" i="121"/>
  <c r="AJ39" i="121" s="1"/>
  <c r="AI86" i="121"/>
  <c r="AJ86" i="121" s="1"/>
  <c r="AI20" i="121"/>
  <c r="AJ20" i="121" s="1"/>
  <c r="AI80" i="121"/>
  <c r="AJ80" i="121" s="1"/>
  <c r="AI21" i="121"/>
  <c r="AJ21" i="121" s="1"/>
  <c r="AI59" i="121"/>
  <c r="AJ59" i="121" s="1"/>
  <c r="AI42" i="121"/>
  <c r="AJ42" i="121" s="1"/>
  <c r="AI58" i="121"/>
  <c r="AJ58" i="121" s="1"/>
  <c r="AI78" i="121"/>
  <c r="AJ78" i="121" s="1"/>
  <c r="AI29" i="121"/>
  <c r="AJ29" i="121" s="1"/>
  <c r="AI87" i="121"/>
  <c r="AJ87" i="121" s="1"/>
  <c r="AI48" i="121"/>
  <c r="AJ48" i="121" s="1"/>
  <c r="AI83" i="121"/>
  <c r="AJ83" i="121" s="1"/>
  <c r="AI61" i="121"/>
  <c r="AJ61" i="121" s="1"/>
  <c r="AI84" i="121"/>
  <c r="AJ84" i="121" s="1"/>
  <c r="AI75" i="121"/>
  <c r="AJ75" i="121" s="1"/>
  <c r="AI91" i="121"/>
  <c r="AJ91" i="121" s="1"/>
  <c r="AI92" i="121"/>
  <c r="AJ92" i="121" s="1"/>
  <c r="AI63" i="121"/>
  <c r="AJ63" i="121" s="1"/>
  <c r="AI81" i="121"/>
  <c r="AJ81" i="121" s="1"/>
  <c r="AI93" i="121"/>
  <c r="AJ93" i="121" s="1"/>
  <c r="AI73" i="121"/>
  <c r="AJ73" i="121" s="1"/>
  <c r="AI70" i="121"/>
  <c r="AJ70" i="121" s="1"/>
  <c r="AI90" i="121"/>
  <c r="AJ90" i="121" s="1"/>
  <c r="AI112" i="121"/>
  <c r="AJ112" i="121" s="1"/>
  <c r="AF43" i="121"/>
  <c r="AG43" i="121" s="1"/>
  <c r="AF52" i="121"/>
  <c r="AG52" i="121" s="1"/>
  <c r="AF68" i="121"/>
  <c r="AG68" i="121" s="1"/>
  <c r="AF50" i="121"/>
  <c r="AG50" i="121" s="1"/>
  <c r="AF55" i="121"/>
  <c r="AG55" i="121" s="1"/>
  <c r="AF60" i="121"/>
  <c r="AG60" i="121" s="1"/>
  <c r="AF49" i="121"/>
  <c r="AG49" i="121" s="1"/>
  <c r="AF30" i="121"/>
  <c r="AG30" i="121" s="1"/>
  <c r="AF8" i="121"/>
  <c r="AG8" i="121" s="1"/>
  <c r="AF26" i="121"/>
  <c r="AG26" i="121" s="1"/>
  <c r="AF72" i="121"/>
  <c r="AG72" i="121" s="1"/>
  <c r="AF41" i="121"/>
  <c r="AG41" i="121" s="1"/>
  <c r="AF69" i="121"/>
  <c r="AG69" i="121" s="1"/>
  <c r="AF32" i="121"/>
  <c r="AG32" i="121" s="1"/>
  <c r="AF44" i="121"/>
  <c r="AG44" i="121" s="1"/>
  <c r="AF40" i="121"/>
  <c r="AG40" i="121" s="1"/>
  <c r="AF47" i="121"/>
  <c r="AG47" i="121" s="1"/>
  <c r="AF67" i="121"/>
  <c r="AG67" i="121" s="1"/>
  <c r="AF38" i="121"/>
  <c r="AG38" i="121" s="1"/>
  <c r="AF54" i="121"/>
  <c r="AG54" i="121" s="1"/>
  <c r="AF76" i="121"/>
  <c r="AG76" i="121" s="1"/>
  <c r="AF34" i="121"/>
  <c r="AG34" i="121" s="1"/>
  <c r="AF23" i="121"/>
  <c r="AG23" i="121" s="1"/>
  <c r="AF22" i="121"/>
  <c r="AG22" i="121" s="1"/>
  <c r="AF45" i="121"/>
  <c r="AG45" i="121" s="1"/>
  <c r="AF10" i="121"/>
  <c r="AG10" i="121" s="1"/>
  <c r="AF9" i="121"/>
  <c r="AG9" i="121" s="1"/>
  <c r="AF56" i="121"/>
  <c r="AG56" i="121" s="1"/>
  <c r="AF12" i="121"/>
  <c r="AG12" i="121" s="1"/>
  <c r="AF13" i="121"/>
  <c r="AG13" i="121" s="1"/>
  <c r="AF14" i="121"/>
  <c r="AG14" i="121" s="1"/>
  <c r="AF15" i="121"/>
  <c r="AG15" i="121" s="1"/>
  <c r="AF65" i="121"/>
  <c r="AG65" i="121" s="1"/>
  <c r="AF16" i="121"/>
  <c r="AG16" i="121" s="1"/>
  <c r="AF31" i="121"/>
  <c r="AG31" i="121" s="1"/>
  <c r="AF27" i="121"/>
  <c r="AG27" i="121" s="1"/>
  <c r="AF11" i="121"/>
  <c r="AG11" i="121" s="1"/>
  <c r="AF35" i="121"/>
  <c r="AG35" i="121" s="1"/>
  <c r="AF71" i="121"/>
  <c r="AG71" i="121" s="1"/>
  <c r="AF51" i="121"/>
  <c r="AG51" i="121" s="1"/>
  <c r="AF77" i="121"/>
  <c r="AG77" i="121" s="1"/>
  <c r="AF17" i="121"/>
  <c r="AG17" i="121" s="1"/>
  <c r="AF18" i="121"/>
  <c r="AG18" i="121" s="1"/>
  <c r="AF33" i="121"/>
  <c r="AG33" i="121" s="1"/>
  <c r="AF36" i="121"/>
  <c r="AG36" i="121" s="1"/>
  <c r="AF24" i="121"/>
  <c r="AG24" i="121" s="1"/>
  <c r="AF19" i="121"/>
  <c r="AG19" i="121" s="1"/>
  <c r="AF79" i="121"/>
  <c r="AG79" i="121" s="1"/>
  <c r="AF46" i="121"/>
  <c r="AG46" i="121" s="1"/>
  <c r="AF57" i="121"/>
  <c r="AG57" i="121" s="1"/>
  <c r="AF53" i="121"/>
  <c r="AG53" i="121" s="1"/>
  <c r="AF64" i="121"/>
  <c r="AG64" i="121" s="1"/>
  <c r="AF62" i="121"/>
  <c r="AG62" i="121" s="1"/>
  <c r="AF82" i="121"/>
  <c r="AG82" i="121" s="1"/>
  <c r="AF39" i="121"/>
  <c r="AG39" i="121" s="1"/>
  <c r="AF20" i="121"/>
  <c r="AG20" i="121" s="1"/>
  <c r="AF21" i="121"/>
  <c r="AG21" i="121" s="1"/>
  <c r="AF74" i="121"/>
  <c r="AG74" i="121" s="1"/>
  <c r="AF42" i="121"/>
  <c r="AG42" i="121" s="1"/>
  <c r="AF89" i="121"/>
  <c r="AG89" i="121" s="1"/>
  <c r="AF78" i="121"/>
  <c r="AG78" i="121" s="1"/>
  <c r="AF59" i="121"/>
  <c r="AG59" i="121" s="1"/>
  <c r="AF86" i="121"/>
  <c r="AG86" i="121" s="1"/>
  <c r="AF29" i="121"/>
  <c r="AG29" i="121" s="1"/>
  <c r="AF87" i="121"/>
  <c r="AG87" i="121" s="1"/>
  <c r="AF85" i="121"/>
  <c r="AG85" i="121" s="1"/>
  <c r="AF58" i="121"/>
  <c r="AG58" i="121" s="1"/>
  <c r="AF80" i="121"/>
  <c r="AG80" i="121" s="1"/>
  <c r="AF61" i="121"/>
  <c r="AG61" i="121" s="1"/>
  <c r="AF48" i="121"/>
  <c r="AG48" i="121" s="1"/>
  <c r="AF88" i="121"/>
  <c r="AG88" i="121" s="1"/>
  <c r="AF84" i="121"/>
  <c r="AG84" i="121" s="1"/>
  <c r="AF75" i="121"/>
  <c r="AG75" i="121" s="1"/>
  <c r="AF83" i="121"/>
  <c r="AG83" i="121" s="1"/>
  <c r="AF92" i="121"/>
  <c r="AG92" i="121" s="1"/>
  <c r="AF63" i="121"/>
  <c r="AG63" i="121" s="1"/>
  <c r="AF81" i="121"/>
  <c r="AG81" i="121" s="1"/>
  <c r="AF73" i="121"/>
  <c r="AG73" i="121" s="1"/>
  <c r="AF93" i="121"/>
  <c r="AG93" i="121" s="1"/>
  <c r="AF70" i="121"/>
  <c r="AG70" i="121" s="1"/>
  <c r="AF91" i="121"/>
  <c r="AG91" i="121" s="1"/>
  <c r="AF90" i="121"/>
  <c r="AG90" i="121" s="1"/>
  <c r="AF116" i="121"/>
  <c r="AG116" i="121" s="1"/>
  <c r="AF112" i="121"/>
  <c r="AG112" i="121" s="1"/>
  <c r="AF114" i="121"/>
  <c r="AG114" i="121" s="1"/>
  <c r="AF105" i="121"/>
  <c r="AG105" i="121" s="1"/>
  <c r="AF109" i="121"/>
  <c r="AG109" i="121" s="1"/>
  <c r="AF110" i="121"/>
  <c r="AG110" i="121" s="1"/>
  <c r="AF95" i="121"/>
  <c r="AG95" i="121" s="1"/>
  <c r="AF102" i="121"/>
  <c r="AG102" i="121" s="1"/>
  <c r="AF113" i="121"/>
  <c r="AG113" i="121" s="1"/>
  <c r="AF97" i="121"/>
  <c r="AG97" i="121" s="1"/>
  <c r="AF111" i="121"/>
  <c r="AG111" i="121" s="1"/>
  <c r="AF96" i="121"/>
  <c r="AG96" i="121" s="1"/>
  <c r="AF99" i="121"/>
  <c r="AG99" i="121" s="1"/>
  <c r="AF115" i="121"/>
  <c r="AG115" i="121" s="1"/>
  <c r="AF104" i="121"/>
  <c r="AG104" i="121" s="1"/>
  <c r="AF106" i="121"/>
  <c r="AG106" i="121" s="1"/>
  <c r="AF107" i="121"/>
  <c r="AG107" i="121" s="1"/>
  <c r="AF101" i="121"/>
  <c r="AG101" i="121" s="1"/>
  <c r="AF94" i="121"/>
  <c r="AG94" i="121" s="1"/>
  <c r="AF117" i="121"/>
  <c r="AG117" i="121" s="1"/>
  <c r="AF100" i="121"/>
  <c r="AG100" i="121" s="1"/>
  <c r="AF103" i="121"/>
  <c r="AG103" i="121" s="1"/>
  <c r="AF98" i="121"/>
  <c r="AG98" i="121" s="1"/>
  <c r="AF108" i="121"/>
  <c r="AG108" i="121" s="1"/>
  <c r="AF7" i="121"/>
  <c r="AG7" i="121" s="1"/>
  <c r="Z25" i="121"/>
  <c r="AA25" i="121" s="1"/>
  <c r="Z28" i="121"/>
  <c r="AA28" i="121" s="1"/>
  <c r="Z66" i="121"/>
  <c r="AA66" i="121" s="1"/>
  <c r="Z37" i="121"/>
  <c r="AA37" i="121" s="1"/>
  <c r="Z52" i="121"/>
  <c r="AA52" i="121" s="1"/>
  <c r="Z50" i="121"/>
  <c r="AA50" i="121" s="1"/>
  <c r="Z68" i="121"/>
  <c r="AA68" i="121" s="1"/>
  <c r="Z55" i="121"/>
  <c r="AA55" i="121" s="1"/>
  <c r="Z60" i="121"/>
  <c r="AA60" i="121" s="1"/>
  <c r="Z49" i="121"/>
  <c r="AA49" i="121" s="1"/>
  <c r="Z8" i="121"/>
  <c r="AA8" i="121" s="1"/>
  <c r="Z41" i="121"/>
  <c r="AA41" i="121" s="1"/>
  <c r="Z30" i="121"/>
  <c r="AA30" i="121" s="1"/>
  <c r="Z26" i="121"/>
  <c r="AA26" i="121" s="1"/>
  <c r="Z72" i="121"/>
  <c r="AA72" i="121" s="1"/>
  <c r="Z32" i="121"/>
  <c r="AA32" i="121" s="1"/>
  <c r="Z69" i="121"/>
  <c r="AA69" i="121" s="1"/>
  <c r="Z47" i="121"/>
  <c r="AA47" i="121" s="1"/>
  <c r="Z44" i="121"/>
  <c r="AA44" i="121" s="1"/>
  <c r="Z38" i="121"/>
  <c r="AA38" i="121" s="1"/>
  <c r="Z34" i="121"/>
  <c r="AA34" i="121" s="1"/>
  <c r="Z40" i="121"/>
  <c r="AA40" i="121" s="1"/>
  <c r="Z54" i="121"/>
  <c r="AA54" i="121" s="1"/>
  <c r="Z67" i="121"/>
  <c r="AA67" i="121" s="1"/>
  <c r="Z23" i="121"/>
  <c r="AA23" i="121" s="1"/>
  <c r="Z10" i="121"/>
  <c r="AA10" i="121" s="1"/>
  <c r="Z45" i="121"/>
  <c r="AA45" i="121" s="1"/>
  <c r="Z9" i="121"/>
  <c r="AA9" i="121" s="1"/>
  <c r="Z14" i="121"/>
  <c r="AA14" i="121" s="1"/>
  <c r="Z56" i="121"/>
  <c r="AA56" i="121" s="1"/>
  <c r="Z16" i="121"/>
  <c r="AA16" i="121" s="1"/>
  <c r="Z12" i="121"/>
  <c r="AA12" i="121" s="1"/>
  <c r="Z13" i="121"/>
  <c r="AA13" i="121" s="1"/>
  <c r="Z76" i="121"/>
  <c r="AA76" i="121" s="1"/>
  <c r="Z15" i="121"/>
  <c r="AA15" i="121" s="1"/>
  <c r="Z22" i="121"/>
  <c r="AA22" i="121" s="1"/>
  <c r="Z65" i="121"/>
  <c r="AA65" i="121" s="1"/>
  <c r="Z11" i="121"/>
  <c r="AA11" i="121" s="1"/>
  <c r="Z31" i="121"/>
  <c r="AA31" i="121" s="1"/>
  <c r="Z51" i="121"/>
  <c r="AA51" i="121" s="1"/>
  <c r="Z35" i="121"/>
  <c r="AA35" i="121" s="1"/>
  <c r="Z18" i="121"/>
  <c r="AA18" i="121" s="1"/>
  <c r="Z17" i="121"/>
  <c r="AA17" i="121" s="1"/>
  <c r="Z27" i="121"/>
  <c r="AA27" i="121" s="1"/>
  <c r="Z36" i="121"/>
  <c r="AA36" i="121" s="1"/>
  <c r="Z33" i="121"/>
  <c r="AA33" i="121" s="1"/>
  <c r="Z53" i="121"/>
  <c r="AA53" i="121" s="1"/>
  <c r="Z71" i="121"/>
  <c r="AA71" i="121" s="1"/>
  <c r="Z20" i="121"/>
  <c r="AA20" i="121" s="1"/>
  <c r="Z46" i="121"/>
  <c r="AA46" i="121" s="1"/>
  <c r="Z39" i="121"/>
  <c r="AA39" i="121" s="1"/>
  <c r="Z57" i="121"/>
  <c r="AA57" i="121" s="1"/>
  <c r="Z24" i="121"/>
  <c r="AA24" i="121" s="1"/>
  <c r="Z19" i="121"/>
  <c r="AA19" i="121" s="1"/>
  <c r="Z21" i="121"/>
  <c r="AA21" i="121" s="1"/>
  <c r="Z42" i="121"/>
  <c r="AA42" i="121" s="1"/>
  <c r="Z59" i="121"/>
  <c r="AA59" i="121" s="1"/>
  <c r="Z29" i="121"/>
  <c r="AA29" i="121" s="1"/>
  <c r="Z64" i="121"/>
  <c r="AA64" i="121" s="1"/>
  <c r="Z82" i="121"/>
  <c r="AA82" i="121" s="1"/>
  <c r="Z62" i="121"/>
  <c r="AA62" i="121" s="1"/>
  <c r="Z58" i="121"/>
  <c r="AA58" i="121" s="1"/>
  <c r="Z74" i="121"/>
  <c r="AA74" i="121" s="1"/>
  <c r="Z79" i="121"/>
  <c r="AA79" i="121" s="1"/>
  <c r="Z77" i="121"/>
  <c r="AA77" i="121" s="1"/>
  <c r="Z61" i="121"/>
  <c r="AA61" i="121" s="1"/>
  <c r="Z89" i="121"/>
  <c r="AA89" i="121" s="1"/>
  <c r="Z48" i="121"/>
  <c r="AA48" i="121" s="1"/>
  <c r="Z85" i="121"/>
  <c r="AA85" i="121" s="1"/>
  <c r="Z78" i="121"/>
  <c r="AA78" i="121" s="1"/>
  <c r="Z80" i="121"/>
  <c r="AA80" i="121" s="1"/>
  <c r="Z84" i="121"/>
  <c r="AA84" i="121" s="1"/>
  <c r="Z86" i="121"/>
  <c r="AA86" i="121" s="1"/>
  <c r="Z63" i="121"/>
  <c r="AA63" i="121" s="1"/>
  <c r="Z87" i="121"/>
  <c r="AA87" i="121" s="1"/>
  <c r="Z88" i="121"/>
  <c r="AA88" i="121" s="1"/>
  <c r="Z92" i="121"/>
  <c r="AA92" i="121" s="1"/>
  <c r="Z75" i="121"/>
  <c r="AA75" i="121" s="1"/>
  <c r="Z83" i="121"/>
  <c r="AA83" i="121" s="1"/>
  <c r="Z81" i="121"/>
  <c r="AA81" i="121" s="1"/>
  <c r="Z73" i="121"/>
  <c r="AA73" i="121" s="1"/>
  <c r="Z93" i="121"/>
  <c r="AA93" i="121" s="1"/>
  <c r="Z43" i="121"/>
  <c r="AA43" i="121" s="1"/>
  <c r="Z70" i="121"/>
  <c r="AA70" i="121" s="1"/>
  <c r="Z90" i="121"/>
  <c r="AA90" i="121" s="1"/>
  <c r="Z91" i="121"/>
  <c r="AA91" i="121" s="1"/>
  <c r="Z107" i="121"/>
  <c r="AA107" i="121" s="1"/>
  <c r="Z102" i="121"/>
  <c r="AA102" i="121" s="1"/>
  <c r="Z116" i="121"/>
  <c r="AA116" i="121" s="1"/>
  <c r="Z99" i="121"/>
  <c r="AA99" i="121" s="1"/>
  <c r="Z104" i="121"/>
  <c r="AA104" i="121" s="1"/>
  <c r="Z114" i="121"/>
  <c r="AA114" i="121" s="1"/>
  <c r="Z112" i="121"/>
  <c r="AA112" i="121" s="1"/>
  <c r="Z113" i="121"/>
  <c r="AA113" i="121" s="1"/>
  <c r="Z109" i="121"/>
  <c r="AA109" i="121" s="1"/>
  <c r="Z115" i="121"/>
  <c r="AA115" i="121" s="1"/>
  <c r="Z105" i="121"/>
  <c r="AA105" i="121" s="1"/>
  <c r="Z110" i="121"/>
  <c r="AA110" i="121" s="1"/>
  <c r="Z106" i="121"/>
  <c r="AA106" i="121" s="1"/>
  <c r="Z111" i="121"/>
  <c r="AA111" i="121" s="1"/>
  <c r="Z96" i="121"/>
  <c r="AA96" i="121" s="1"/>
  <c r="Z95" i="121"/>
  <c r="AA95" i="121" s="1"/>
  <c r="Z97" i="121"/>
  <c r="AA97" i="121" s="1"/>
  <c r="Z101" i="121"/>
  <c r="AA101" i="121" s="1"/>
  <c r="Z108" i="121"/>
  <c r="AA108" i="121" s="1"/>
  <c r="Z117" i="121"/>
  <c r="AA117" i="121" s="1"/>
  <c r="Z103" i="121"/>
  <c r="AA103" i="121" s="1"/>
  <c r="Z100" i="121"/>
  <c r="AA100" i="121" s="1"/>
  <c r="Z94" i="121"/>
  <c r="AA94" i="121" s="1"/>
  <c r="Z98" i="121"/>
  <c r="AA98" i="121" s="1"/>
  <c r="Z5" i="121"/>
  <c r="AA5" i="121" s="1"/>
  <c r="W100" i="121"/>
  <c r="X100" i="121" s="1"/>
  <c r="W103" i="121"/>
  <c r="X103" i="121" s="1"/>
  <c r="W117" i="121"/>
  <c r="X117" i="121" s="1"/>
  <c r="W94" i="121"/>
  <c r="X94" i="121" s="1"/>
  <c r="W101" i="121"/>
  <c r="X101" i="121" s="1"/>
  <c r="W95" i="121"/>
  <c r="X95" i="121" s="1"/>
  <c r="W96" i="121"/>
  <c r="X96" i="121" s="1"/>
  <c r="W97" i="121"/>
  <c r="X97" i="121" s="1"/>
  <c r="W105" i="121"/>
  <c r="X105" i="121" s="1"/>
  <c r="W110" i="121"/>
  <c r="X110" i="121" s="1"/>
  <c r="W113" i="121"/>
  <c r="X113" i="121" s="1"/>
  <c r="W114" i="121"/>
  <c r="X114" i="121" s="1"/>
  <c r="W112" i="121"/>
  <c r="X112" i="121" s="1"/>
  <c r="W111" i="121"/>
  <c r="X111" i="121" s="1"/>
  <c r="W115" i="121"/>
  <c r="X115" i="121" s="1"/>
  <c r="W102" i="121"/>
  <c r="X102" i="121" s="1"/>
  <c r="W99" i="121"/>
  <c r="X99" i="121" s="1"/>
  <c r="W116" i="121"/>
  <c r="X116" i="121" s="1"/>
  <c r="W109" i="121"/>
  <c r="X109" i="121" s="1"/>
  <c r="W108" i="121"/>
  <c r="X108" i="121" s="1"/>
  <c r="W106" i="121"/>
  <c r="X106" i="121" s="1"/>
  <c r="W43" i="121"/>
  <c r="X43" i="121" s="1"/>
  <c r="W104" i="121"/>
  <c r="X104" i="121" s="1"/>
  <c r="W107" i="121"/>
  <c r="X107" i="121" s="1"/>
  <c r="W98" i="121"/>
  <c r="X98" i="121" s="1"/>
  <c r="W66" i="121"/>
  <c r="X66" i="121" s="1"/>
  <c r="W25" i="121"/>
  <c r="X25" i="121" s="1"/>
  <c r="W28" i="121"/>
  <c r="X28" i="121" s="1"/>
  <c r="W18" i="121"/>
  <c r="X18" i="121" s="1"/>
  <c r="W15" i="121"/>
  <c r="X15" i="121" s="1"/>
  <c r="W56" i="121"/>
  <c r="X56" i="121" s="1"/>
  <c r="W23" i="121"/>
  <c r="X23" i="121" s="1"/>
  <c r="W58" i="121"/>
  <c r="X58" i="121" s="1"/>
  <c r="W17" i="121"/>
  <c r="X17" i="121" s="1"/>
  <c r="W26" i="121"/>
  <c r="X26" i="121" s="1"/>
  <c r="W24" i="121"/>
  <c r="X24" i="121" s="1"/>
  <c r="W21" i="121"/>
  <c r="X21" i="121" s="1"/>
  <c r="W14" i="121"/>
  <c r="X14" i="121" s="1"/>
  <c r="W12" i="121"/>
  <c r="X12" i="121" s="1"/>
  <c r="W44" i="121"/>
  <c r="X44" i="121" s="1"/>
  <c r="W8" i="121"/>
  <c r="X8" i="121" s="1"/>
  <c r="W55" i="121"/>
  <c r="X55" i="121" s="1"/>
  <c r="W75" i="121"/>
  <c r="X75" i="121" s="1"/>
  <c r="W48" i="121"/>
  <c r="X48" i="121" s="1"/>
  <c r="W37" i="121"/>
  <c r="X37" i="121" s="1"/>
  <c r="W45" i="121"/>
  <c r="X45" i="121" s="1"/>
  <c r="W7" i="121"/>
  <c r="X7" i="121" s="1"/>
  <c r="W32" i="121"/>
  <c r="X32" i="121" s="1"/>
  <c r="W47" i="121"/>
  <c r="X47" i="121" s="1"/>
  <c r="W54" i="121"/>
  <c r="X54" i="121" s="1"/>
  <c r="W30" i="121"/>
  <c r="X30" i="121" s="1"/>
  <c r="W34" i="121"/>
  <c r="X34" i="121" s="1"/>
  <c r="W41" i="121"/>
  <c r="X41" i="121" s="1"/>
  <c r="W39" i="121"/>
  <c r="X39" i="121" s="1"/>
  <c r="W65" i="121"/>
  <c r="X65" i="121" s="1"/>
  <c r="W20" i="121"/>
  <c r="X20" i="121" s="1"/>
  <c r="W29" i="121"/>
  <c r="X29" i="121" s="1"/>
  <c r="W60" i="121"/>
  <c r="X60" i="121" s="1"/>
  <c r="W36" i="121"/>
  <c r="X36" i="121" s="1"/>
  <c r="W35" i="121"/>
  <c r="X35" i="121" s="1"/>
  <c r="W38" i="121"/>
  <c r="X38" i="121" s="1"/>
  <c r="W13" i="121"/>
  <c r="X13" i="121" s="1"/>
  <c r="W42" i="121"/>
  <c r="X42" i="121" s="1"/>
  <c r="W19" i="121"/>
  <c r="X19" i="121" s="1"/>
  <c r="W11" i="121"/>
  <c r="X11" i="121" s="1"/>
  <c r="W9" i="121"/>
  <c r="X9" i="121" s="1"/>
  <c r="W59" i="121"/>
  <c r="X59" i="121" s="1"/>
  <c r="W46" i="121"/>
  <c r="X46" i="121" s="1"/>
  <c r="W51" i="121"/>
  <c r="X51" i="121" s="1"/>
  <c r="W27" i="121"/>
  <c r="X27" i="121" s="1"/>
  <c r="W33" i="121"/>
  <c r="X33" i="121" s="1"/>
  <c r="W10" i="121"/>
  <c r="X10" i="121" s="1"/>
  <c r="W52" i="121"/>
  <c r="X52" i="121" s="1"/>
  <c r="W6" i="121"/>
  <c r="X6" i="121" s="1"/>
  <c r="W67" i="121"/>
  <c r="X67" i="121" s="1"/>
  <c r="W57" i="121"/>
  <c r="X57" i="121" s="1"/>
  <c r="W31" i="121"/>
  <c r="X31" i="121" s="1"/>
  <c r="W50" i="121"/>
  <c r="X50" i="121" s="1"/>
  <c r="W53" i="121"/>
  <c r="X53" i="121" s="1"/>
  <c r="W61" i="121"/>
  <c r="X61" i="121" s="1"/>
  <c r="W82" i="121"/>
  <c r="X82" i="121" s="1"/>
  <c r="W69" i="121"/>
  <c r="X69" i="121" s="1"/>
  <c r="W90" i="121"/>
  <c r="X90" i="121" s="1"/>
  <c r="W81" i="121"/>
  <c r="X81" i="121" s="1"/>
  <c r="W40" i="121"/>
  <c r="X40" i="121" s="1"/>
  <c r="W64" i="121"/>
  <c r="X64" i="121" s="1"/>
  <c r="W72" i="121"/>
  <c r="X72" i="121" s="1"/>
  <c r="W16" i="121"/>
  <c r="X16" i="121" s="1"/>
  <c r="W74" i="121"/>
  <c r="X74" i="121" s="1"/>
  <c r="W83" i="121"/>
  <c r="X83" i="121" s="1"/>
  <c r="W73" i="121"/>
  <c r="X73" i="121" s="1"/>
  <c r="W76" i="121"/>
  <c r="X76" i="121" s="1"/>
  <c r="W63" i="121"/>
  <c r="X63" i="121" s="1"/>
  <c r="W70" i="121"/>
  <c r="X70" i="121" s="1"/>
  <c r="W68" i="121"/>
  <c r="X68" i="121" s="1"/>
  <c r="W62" i="121"/>
  <c r="X62" i="121" s="1"/>
  <c r="W71" i="121"/>
  <c r="X71" i="121" s="1"/>
  <c r="W78" i="121"/>
  <c r="X78" i="121" s="1"/>
  <c r="W88" i="121"/>
  <c r="X88" i="121" s="1"/>
  <c r="W79" i="121"/>
  <c r="X79" i="121" s="1"/>
  <c r="W80" i="121"/>
  <c r="X80" i="121" s="1"/>
  <c r="W84" i="121"/>
  <c r="X84" i="121" s="1"/>
  <c r="W85" i="121"/>
  <c r="X85" i="121" s="1"/>
  <c r="W93" i="121"/>
  <c r="X93" i="121" s="1"/>
  <c r="W89" i="121"/>
  <c r="X89" i="121" s="1"/>
  <c r="W91" i="121"/>
  <c r="X91" i="121" s="1"/>
  <c r="W86" i="121"/>
  <c r="X86" i="121" s="1"/>
  <c r="W87" i="121"/>
  <c r="X87" i="121" s="1"/>
  <c r="W92" i="121"/>
  <c r="X92" i="121" s="1"/>
  <c r="W22" i="121"/>
  <c r="X22" i="121" s="1"/>
  <c r="W77" i="121"/>
  <c r="X77" i="121" s="1"/>
  <c r="W5" i="121"/>
  <c r="X5" i="121" s="1"/>
  <c r="T98" i="121"/>
  <c r="U98" i="121" s="1"/>
  <c r="T100" i="121"/>
  <c r="U100" i="121" s="1"/>
  <c r="T103" i="121"/>
  <c r="U103" i="121" s="1"/>
  <c r="T108" i="121"/>
  <c r="U108" i="121" s="1"/>
  <c r="T117" i="121"/>
  <c r="U117" i="121" s="1"/>
  <c r="T95" i="121"/>
  <c r="U95" i="121" s="1"/>
  <c r="T96" i="121"/>
  <c r="U96" i="121" s="1"/>
  <c r="T97" i="121"/>
  <c r="U97" i="121" s="1"/>
  <c r="T99" i="121"/>
  <c r="U99" i="121" s="1"/>
  <c r="T101" i="121"/>
  <c r="U101" i="121" s="1"/>
  <c r="T102" i="121"/>
  <c r="U102" i="121" s="1"/>
  <c r="T104" i="121"/>
  <c r="U104" i="121" s="1"/>
  <c r="T105" i="121"/>
  <c r="U105" i="121" s="1"/>
  <c r="T106" i="121"/>
  <c r="U106" i="121" s="1"/>
  <c r="T107" i="121"/>
  <c r="U107" i="121" s="1"/>
  <c r="T109" i="121"/>
  <c r="U109" i="121" s="1"/>
  <c r="T110" i="121"/>
  <c r="U110" i="121" s="1"/>
  <c r="T111" i="121"/>
  <c r="U111" i="121" s="1"/>
  <c r="T112" i="121"/>
  <c r="U112" i="121" s="1"/>
  <c r="T113" i="121"/>
  <c r="U113" i="121" s="1"/>
  <c r="T114" i="121"/>
  <c r="U114" i="121" s="1"/>
  <c r="T115" i="121"/>
  <c r="U115" i="121" s="1"/>
  <c r="T116" i="121"/>
  <c r="U116" i="121" s="1"/>
  <c r="T94" i="121"/>
  <c r="U94" i="121" s="1"/>
  <c r="N98" i="121"/>
  <c r="O98" i="121" s="1"/>
  <c r="N100" i="121"/>
  <c r="O100" i="121" s="1"/>
  <c r="N103" i="121"/>
  <c r="O103" i="121" s="1"/>
  <c r="N108" i="121"/>
  <c r="O108" i="121" s="1"/>
  <c r="N117" i="121"/>
  <c r="O117" i="121" s="1"/>
  <c r="N95" i="121"/>
  <c r="O95" i="121" s="1"/>
  <c r="N96" i="121"/>
  <c r="O96" i="121" s="1"/>
  <c r="N97" i="121"/>
  <c r="O97" i="121" s="1"/>
  <c r="N99" i="121"/>
  <c r="O99" i="121" s="1"/>
  <c r="N101" i="121"/>
  <c r="O101" i="121" s="1"/>
  <c r="N102" i="121"/>
  <c r="O102" i="121" s="1"/>
  <c r="N104" i="121"/>
  <c r="O104" i="121" s="1"/>
  <c r="N105" i="121"/>
  <c r="O105" i="121" s="1"/>
  <c r="N106" i="121"/>
  <c r="O106" i="121" s="1"/>
  <c r="N107" i="121"/>
  <c r="O107" i="121" s="1"/>
  <c r="N109" i="121"/>
  <c r="O109" i="121" s="1"/>
  <c r="N110" i="121"/>
  <c r="O110" i="121" s="1"/>
  <c r="N111" i="121"/>
  <c r="O111" i="121" s="1"/>
  <c r="N112" i="121"/>
  <c r="O112" i="121" s="1"/>
  <c r="N113" i="121"/>
  <c r="O113" i="121" s="1"/>
  <c r="N114" i="121"/>
  <c r="O114" i="121" s="1"/>
  <c r="N115" i="121"/>
  <c r="O115" i="121" s="1"/>
  <c r="N116" i="121"/>
  <c r="O116" i="121" s="1"/>
  <c r="N94" i="121"/>
  <c r="O94" i="121" s="1"/>
  <c r="N77" i="121"/>
  <c r="O77" i="121" s="1"/>
  <c r="N76" i="121"/>
  <c r="O76" i="121" s="1"/>
  <c r="N74" i="121"/>
  <c r="O74" i="121" s="1"/>
  <c r="N73" i="121"/>
  <c r="O73" i="121" s="1"/>
  <c r="N92" i="121"/>
  <c r="O92" i="121" s="1"/>
  <c r="N91" i="121"/>
  <c r="O91" i="121" s="1"/>
  <c r="N86" i="121"/>
  <c r="O86" i="121" s="1"/>
  <c r="N83" i="121"/>
  <c r="O83" i="121" s="1"/>
  <c r="N82" i="121"/>
  <c r="O82" i="121" s="1"/>
  <c r="N80" i="121"/>
  <c r="O80" i="121" s="1"/>
  <c r="N78" i="121"/>
  <c r="O78" i="121" s="1"/>
  <c r="N79" i="121"/>
  <c r="O79" i="121" s="1"/>
  <c r="N85" i="121"/>
  <c r="O85" i="121" s="1"/>
  <c r="N87" i="121"/>
  <c r="O87" i="121" s="1"/>
  <c r="N62" i="121"/>
  <c r="O62" i="121" s="1"/>
  <c r="N89" i="121"/>
  <c r="O89" i="121" s="1"/>
  <c r="N88" i="121"/>
  <c r="O88" i="121" s="1"/>
  <c r="N61" i="121"/>
  <c r="O61" i="121" s="1"/>
  <c r="N69" i="121"/>
  <c r="O69" i="121" s="1"/>
  <c r="N64" i="121"/>
  <c r="O64" i="121" s="1"/>
  <c r="N72" i="121"/>
  <c r="O72" i="121" s="1"/>
  <c r="N84" i="121"/>
  <c r="O84" i="121" s="1"/>
  <c r="N70" i="121"/>
  <c r="O70" i="121" s="1"/>
  <c r="N71" i="121"/>
  <c r="O71" i="121" s="1"/>
  <c r="N68" i="121"/>
  <c r="O68" i="121" s="1"/>
  <c r="N90" i="121"/>
  <c r="O90" i="121" s="1"/>
  <c r="K98" i="121"/>
  <c r="L98" i="121" s="1"/>
  <c r="K100" i="121"/>
  <c r="L100" i="121" s="1"/>
  <c r="K103" i="121"/>
  <c r="L103" i="121" s="1"/>
  <c r="K108" i="121"/>
  <c r="L108" i="121" s="1"/>
  <c r="K117" i="121"/>
  <c r="L117" i="121" s="1"/>
  <c r="K95" i="121"/>
  <c r="L95" i="121" s="1"/>
  <c r="K96" i="121"/>
  <c r="L96" i="121" s="1"/>
  <c r="K97" i="121"/>
  <c r="L97" i="121" s="1"/>
  <c r="K99" i="121"/>
  <c r="L99" i="121" s="1"/>
  <c r="K101" i="121"/>
  <c r="L101" i="121" s="1"/>
  <c r="K102" i="121"/>
  <c r="L102" i="121" s="1"/>
  <c r="K104" i="121"/>
  <c r="L104" i="121" s="1"/>
  <c r="K105" i="121"/>
  <c r="L105" i="121" s="1"/>
  <c r="K106" i="121"/>
  <c r="L106" i="121" s="1"/>
  <c r="K107" i="121"/>
  <c r="L107" i="121" s="1"/>
  <c r="K109" i="121"/>
  <c r="L109" i="121" s="1"/>
  <c r="K110" i="121"/>
  <c r="L110" i="121" s="1"/>
  <c r="K111" i="121"/>
  <c r="L111" i="121" s="1"/>
  <c r="K112" i="121"/>
  <c r="L112" i="121" s="1"/>
  <c r="K113" i="121"/>
  <c r="L113" i="121" s="1"/>
  <c r="K114" i="121"/>
  <c r="L114" i="121" s="1"/>
  <c r="K115" i="121"/>
  <c r="L115" i="121" s="1"/>
  <c r="K116" i="121"/>
  <c r="L116" i="121" s="1"/>
  <c r="K92" i="121"/>
  <c r="L92" i="121" s="1"/>
  <c r="K94" i="121"/>
  <c r="L94" i="121" s="1"/>
  <c r="K90" i="121"/>
  <c r="L90" i="121" s="1"/>
  <c r="K61" i="121"/>
  <c r="L61" i="121" s="1"/>
  <c r="K69" i="121"/>
  <c r="L69" i="121" s="1"/>
  <c r="K64" i="121"/>
  <c r="L64" i="121" s="1"/>
  <c r="K72" i="121"/>
  <c r="L72" i="121" s="1"/>
  <c r="K84" i="121"/>
  <c r="L84" i="121" s="1"/>
  <c r="K68" i="121"/>
  <c r="L68" i="121" s="1"/>
  <c r="K70" i="121"/>
  <c r="L70" i="121" s="1"/>
  <c r="K71" i="121"/>
  <c r="L71" i="121" s="1"/>
  <c r="K77" i="121"/>
  <c r="L77" i="121" s="1"/>
  <c r="K76" i="121"/>
  <c r="L76" i="121" s="1"/>
  <c r="K73" i="121"/>
  <c r="L73" i="121" s="1"/>
  <c r="K74" i="121"/>
  <c r="L74" i="121" s="1"/>
  <c r="K62" i="121"/>
  <c r="L62" i="121" s="1"/>
  <c r="K85" i="121"/>
  <c r="L85" i="121" s="1"/>
  <c r="K80" i="121"/>
  <c r="L80" i="121" s="1"/>
  <c r="K78" i="121"/>
  <c r="L78" i="121" s="1"/>
  <c r="K79" i="121"/>
  <c r="L79" i="121" s="1"/>
  <c r="K83" i="121"/>
  <c r="L83" i="121" s="1"/>
  <c r="K82" i="121"/>
  <c r="L82" i="121" s="1"/>
  <c r="K86" i="121"/>
  <c r="L86" i="121" s="1"/>
  <c r="K87" i="121"/>
  <c r="L87" i="121" s="1"/>
  <c r="K91" i="121"/>
  <c r="L91" i="121" s="1"/>
  <c r="K89" i="121"/>
  <c r="L89" i="121" s="1"/>
  <c r="K93" i="121"/>
  <c r="L93" i="121" s="1"/>
  <c r="K88" i="121"/>
  <c r="L88" i="121" s="1"/>
  <c r="K41" i="121"/>
  <c r="L41" i="121" s="1"/>
  <c r="H98" i="121"/>
  <c r="I98" i="121" s="1"/>
  <c r="H100" i="121"/>
  <c r="I100" i="121" s="1"/>
  <c r="H103" i="121"/>
  <c r="I103" i="121" s="1"/>
  <c r="H108" i="121"/>
  <c r="I108" i="121" s="1"/>
  <c r="H117" i="121"/>
  <c r="I117" i="121" s="1"/>
  <c r="H95" i="121"/>
  <c r="I95" i="121" s="1"/>
  <c r="H96" i="121"/>
  <c r="I96" i="121" s="1"/>
  <c r="H97" i="121"/>
  <c r="I97" i="121" s="1"/>
  <c r="H99" i="121"/>
  <c r="I99" i="121" s="1"/>
  <c r="H101" i="121"/>
  <c r="I101" i="121" s="1"/>
  <c r="H102" i="121"/>
  <c r="I102" i="121" s="1"/>
  <c r="H104" i="121"/>
  <c r="I104" i="121" s="1"/>
  <c r="H105" i="121"/>
  <c r="I105" i="121" s="1"/>
  <c r="H106" i="121"/>
  <c r="I106" i="121" s="1"/>
  <c r="H107" i="121"/>
  <c r="I107" i="121" s="1"/>
  <c r="H109" i="121"/>
  <c r="I109" i="121" s="1"/>
  <c r="H110" i="121"/>
  <c r="I110" i="121" s="1"/>
  <c r="H111" i="121"/>
  <c r="I111" i="121" s="1"/>
  <c r="H112" i="121"/>
  <c r="I112" i="121" s="1"/>
  <c r="H113" i="121"/>
  <c r="I113" i="121" s="1"/>
  <c r="H114" i="121"/>
  <c r="I114" i="121" s="1"/>
  <c r="H115" i="121"/>
  <c r="I115" i="121" s="1"/>
  <c r="H116" i="121"/>
  <c r="I116" i="121" s="1"/>
  <c r="H94" i="121"/>
  <c r="I94" i="121" s="1"/>
  <c r="H85" i="121"/>
  <c r="I85" i="121" s="1"/>
  <c r="H78" i="121"/>
  <c r="I78" i="121" s="1"/>
  <c r="H80" i="121"/>
  <c r="I80" i="121" s="1"/>
  <c r="H79" i="121"/>
  <c r="I79" i="121" s="1"/>
  <c r="H82" i="121"/>
  <c r="I82" i="121" s="1"/>
  <c r="H83" i="121"/>
  <c r="I83" i="121" s="1"/>
  <c r="H86" i="121"/>
  <c r="I86" i="121" s="1"/>
  <c r="H87" i="121"/>
  <c r="I87" i="121" s="1"/>
  <c r="H91" i="121"/>
  <c r="I91" i="121" s="1"/>
  <c r="H89" i="121"/>
  <c r="I89" i="121" s="1"/>
  <c r="H88" i="121"/>
  <c r="I88" i="121" s="1"/>
  <c r="H92" i="121"/>
  <c r="I92" i="121" s="1"/>
  <c r="H62" i="121"/>
  <c r="I62" i="121" s="1"/>
  <c r="Z87" i="112"/>
  <c r="Z88" i="112"/>
  <c r="Z89" i="112"/>
  <c r="Z90" i="112"/>
  <c r="Z91" i="112"/>
  <c r="Z92" i="112"/>
  <c r="Z93" i="112"/>
  <c r="Z94" i="112"/>
  <c r="Z95" i="112"/>
  <c r="Z96" i="112"/>
  <c r="Z97" i="112"/>
  <c r="Z98" i="112"/>
  <c r="Z99" i="112"/>
  <c r="Z100" i="112"/>
  <c r="Z101" i="112"/>
  <c r="Z102" i="112"/>
  <c r="Z103" i="112"/>
  <c r="Z104" i="112"/>
  <c r="Z105" i="112"/>
  <c r="Z106" i="112"/>
  <c r="Z107" i="112"/>
  <c r="Z108" i="112"/>
  <c r="Z109" i="112"/>
  <c r="Z110" i="112"/>
  <c r="Z111" i="112"/>
  <c r="Z112" i="112"/>
  <c r="Z113" i="112"/>
  <c r="Z114" i="112"/>
  <c r="Z115" i="112"/>
  <c r="Z116" i="112"/>
  <c r="Z117" i="112"/>
  <c r="Z86" i="112"/>
  <c r="X99" i="112"/>
  <c r="X102" i="112"/>
  <c r="X105" i="112"/>
  <c r="X103" i="112"/>
  <c r="X106" i="112"/>
  <c r="X109" i="112"/>
  <c r="X96" i="112"/>
  <c r="X98" i="112"/>
  <c r="X97" i="112"/>
  <c r="X95" i="112"/>
  <c r="X94" i="112"/>
  <c r="X100" i="112"/>
  <c r="X92" i="112"/>
  <c r="X6" i="112"/>
  <c r="X27" i="112"/>
  <c r="X51" i="112"/>
  <c r="X69" i="112"/>
  <c r="X41" i="112"/>
  <c r="X54" i="112"/>
  <c r="X49" i="112"/>
  <c r="X31" i="112"/>
  <c r="X59" i="112"/>
  <c r="X38" i="112"/>
  <c r="X71" i="112"/>
  <c r="X7" i="112"/>
  <c r="X26" i="112"/>
  <c r="X68" i="112"/>
  <c r="X45" i="112"/>
  <c r="X66" i="112"/>
  <c r="X44" i="112"/>
  <c r="X76" i="112"/>
  <c r="X46" i="112"/>
  <c r="X117" i="112"/>
  <c r="X39" i="112"/>
  <c r="X53" i="112"/>
  <c r="X21" i="112"/>
  <c r="X75" i="112"/>
  <c r="X43" i="112"/>
  <c r="X8" i="112"/>
  <c r="X22" i="112"/>
  <c r="X55" i="112"/>
  <c r="X20" i="112"/>
  <c r="X9" i="112"/>
  <c r="X32" i="112"/>
  <c r="X61" i="112"/>
  <c r="X73" i="112"/>
  <c r="X10" i="112"/>
  <c r="X11" i="112"/>
  <c r="X12" i="112"/>
  <c r="X88" i="112"/>
  <c r="X81" i="112"/>
  <c r="X64" i="112"/>
  <c r="X13" i="112"/>
  <c r="X14" i="112"/>
  <c r="X33" i="112"/>
  <c r="X37" i="112"/>
  <c r="X50" i="112"/>
  <c r="X70" i="112"/>
  <c r="X34" i="112"/>
  <c r="X84" i="112"/>
  <c r="X35" i="112"/>
  <c r="X36" i="112"/>
  <c r="X15" i="112"/>
  <c r="X16" i="112"/>
  <c r="X78" i="112"/>
  <c r="X87" i="112"/>
  <c r="X63" i="112"/>
  <c r="X23" i="112"/>
  <c r="X17" i="112"/>
  <c r="X56" i="112"/>
  <c r="X47" i="112"/>
  <c r="X52" i="112"/>
  <c r="X40" i="112"/>
  <c r="X85" i="112"/>
  <c r="X79" i="112"/>
  <c r="X18" i="112"/>
  <c r="X58" i="112"/>
  <c r="X42" i="112"/>
  <c r="X57" i="112"/>
  <c r="X77" i="112"/>
  <c r="X28" i="112"/>
  <c r="X86" i="112"/>
  <c r="X19" i="112"/>
  <c r="X48" i="112"/>
  <c r="X82" i="112"/>
  <c r="X60" i="112"/>
  <c r="X83" i="112"/>
  <c r="X74" i="112"/>
  <c r="X91" i="112"/>
  <c r="X62" i="112"/>
  <c r="X80" i="112"/>
  <c r="X93" i="112"/>
  <c r="X72" i="112"/>
  <c r="X67" i="112"/>
  <c r="X90" i="112"/>
  <c r="X89" i="112"/>
  <c r="X101" i="112"/>
  <c r="V111" i="112"/>
  <c r="V113" i="112"/>
  <c r="V104" i="112"/>
  <c r="V107" i="112"/>
  <c r="V108" i="112"/>
  <c r="V94" i="112"/>
  <c r="V101" i="112"/>
  <c r="V112" i="112"/>
  <c r="V96" i="112"/>
  <c r="V110" i="112"/>
  <c r="V95" i="112"/>
  <c r="V98" i="112"/>
  <c r="V114" i="112"/>
  <c r="V103" i="112"/>
  <c r="V105" i="112"/>
  <c r="V106" i="112"/>
  <c r="V100" i="112"/>
  <c r="V92" i="112"/>
  <c r="V116" i="112"/>
  <c r="V99" i="112"/>
  <c r="V102" i="112"/>
  <c r="V97" i="112"/>
  <c r="V109" i="112"/>
  <c r="V27" i="112"/>
  <c r="V6" i="112"/>
  <c r="V51" i="112"/>
  <c r="V69" i="112"/>
  <c r="V54" i="112"/>
  <c r="V59" i="112"/>
  <c r="V38" i="112"/>
  <c r="V31" i="112"/>
  <c r="V7" i="112"/>
  <c r="V26" i="112"/>
  <c r="V71" i="112"/>
  <c r="V41" i="112"/>
  <c r="V68" i="112"/>
  <c r="V45" i="112"/>
  <c r="V44" i="112"/>
  <c r="V117" i="112"/>
  <c r="V46" i="112"/>
  <c r="V66" i="112"/>
  <c r="V21" i="112"/>
  <c r="V39" i="112"/>
  <c r="V53" i="112"/>
  <c r="V75" i="112"/>
  <c r="V22" i="112"/>
  <c r="V20" i="112"/>
  <c r="V43" i="112"/>
  <c r="V9" i="112"/>
  <c r="V8" i="112"/>
  <c r="V55" i="112"/>
  <c r="V10" i="112"/>
  <c r="V11" i="112"/>
  <c r="V12" i="112"/>
  <c r="V13" i="112"/>
  <c r="V49" i="112"/>
  <c r="V14" i="112"/>
  <c r="V64" i="112"/>
  <c r="V33" i="112"/>
  <c r="V32" i="112"/>
  <c r="V70" i="112"/>
  <c r="V37" i="112"/>
  <c r="V50" i="112"/>
  <c r="V76" i="112"/>
  <c r="V15" i="112"/>
  <c r="V16" i="112"/>
  <c r="V34" i="112"/>
  <c r="V35" i="112"/>
  <c r="V36" i="112"/>
  <c r="V23" i="112"/>
  <c r="V17" i="112"/>
  <c r="V78" i="112"/>
  <c r="V56" i="112"/>
  <c r="V52" i="112"/>
  <c r="V63" i="112"/>
  <c r="V47" i="112"/>
  <c r="V61" i="112"/>
  <c r="V81" i="112"/>
  <c r="V40" i="112"/>
  <c r="V18" i="112"/>
  <c r="V73" i="112"/>
  <c r="V42" i="112"/>
  <c r="V88" i="112"/>
  <c r="V77" i="112"/>
  <c r="V58" i="112"/>
  <c r="V85" i="112"/>
  <c r="V28" i="112"/>
  <c r="V19" i="112"/>
  <c r="V86" i="112"/>
  <c r="V84" i="112"/>
  <c r="V57" i="112"/>
  <c r="V79" i="112"/>
  <c r="V60" i="112"/>
  <c r="V48" i="112"/>
  <c r="V87" i="112"/>
  <c r="V83" i="112"/>
  <c r="V74" i="112"/>
  <c r="V82" i="112"/>
  <c r="V91" i="112"/>
  <c r="V62" i="112"/>
  <c r="V80" i="112"/>
  <c r="V72" i="112"/>
  <c r="V93" i="112"/>
  <c r="V67" i="112"/>
  <c r="V90" i="112"/>
  <c r="V89" i="112"/>
  <c r="V115" i="112"/>
  <c r="T71" i="112"/>
  <c r="T64" i="112"/>
  <c r="T88" i="112"/>
  <c r="T80" i="112"/>
  <c r="T90" i="112"/>
  <c r="T93" i="112"/>
  <c r="T89" i="112"/>
  <c r="T83" i="112"/>
  <c r="R101" i="112"/>
  <c r="R115" i="112"/>
  <c r="R98" i="112"/>
  <c r="R103" i="112"/>
  <c r="R113" i="112"/>
  <c r="R111" i="112"/>
  <c r="R112" i="112"/>
  <c r="R107" i="112"/>
  <c r="R114" i="112"/>
  <c r="R104" i="112"/>
  <c r="R108" i="112"/>
  <c r="R105" i="112"/>
  <c r="R110" i="112"/>
  <c r="R95" i="112"/>
  <c r="R94" i="112"/>
  <c r="R96" i="112"/>
  <c r="R100" i="112"/>
  <c r="R109" i="112"/>
  <c r="R116" i="112"/>
  <c r="R99" i="112"/>
  <c r="R92" i="112"/>
  <c r="R97" i="112"/>
  <c r="R27" i="112"/>
  <c r="R6" i="112"/>
  <c r="R5" i="112"/>
  <c r="R30" i="112"/>
  <c r="R24" i="112"/>
  <c r="R25" i="112"/>
  <c r="R29" i="112"/>
  <c r="R65" i="112"/>
  <c r="R51" i="112"/>
  <c r="R69" i="112"/>
  <c r="R102" i="112"/>
  <c r="R54" i="112"/>
  <c r="R59" i="112"/>
  <c r="R38" i="112"/>
  <c r="R7" i="112"/>
  <c r="R41" i="112"/>
  <c r="R31" i="112"/>
  <c r="R26" i="112"/>
  <c r="R71" i="112"/>
  <c r="R68" i="112"/>
  <c r="R46" i="112"/>
  <c r="R45" i="112"/>
  <c r="R21" i="112"/>
  <c r="R44" i="112"/>
  <c r="R39" i="112"/>
  <c r="R117" i="112"/>
  <c r="R53" i="112"/>
  <c r="R66" i="112"/>
  <c r="R22" i="112"/>
  <c r="R9" i="112"/>
  <c r="R43" i="112"/>
  <c r="R8" i="112"/>
  <c r="R13" i="112"/>
  <c r="R55" i="112"/>
  <c r="R10" i="112"/>
  <c r="R11" i="112"/>
  <c r="R12" i="112"/>
  <c r="R75" i="112"/>
  <c r="R14" i="112"/>
  <c r="R20" i="112"/>
  <c r="R64" i="112"/>
  <c r="R33" i="112"/>
  <c r="R50" i="112"/>
  <c r="R37" i="112"/>
  <c r="R32" i="112"/>
  <c r="R49" i="112"/>
  <c r="R16" i="112"/>
  <c r="R15" i="112"/>
  <c r="R35" i="112"/>
  <c r="R36" i="112"/>
  <c r="R52" i="112"/>
  <c r="R34" i="112"/>
  <c r="R70" i="112"/>
  <c r="R40" i="112"/>
  <c r="R47" i="112"/>
  <c r="R56" i="112"/>
  <c r="R23" i="112"/>
  <c r="R17" i="112"/>
  <c r="R18" i="112"/>
  <c r="R42" i="112"/>
  <c r="R19" i="112"/>
  <c r="R58" i="112"/>
  <c r="R63" i="112"/>
  <c r="R28" i="112"/>
  <c r="R81" i="112"/>
  <c r="R61" i="112"/>
  <c r="R57" i="112"/>
  <c r="R73" i="112"/>
  <c r="R78" i="112"/>
  <c r="R76" i="112"/>
  <c r="R60" i="112"/>
  <c r="R88" i="112"/>
  <c r="R48" i="112"/>
  <c r="R84" i="112"/>
  <c r="R77" i="112"/>
  <c r="R79" i="112"/>
  <c r="R83" i="112"/>
  <c r="R85" i="112"/>
  <c r="R62" i="112"/>
  <c r="R86" i="112"/>
  <c r="R87" i="112"/>
  <c r="R91" i="112"/>
  <c r="R74" i="112"/>
  <c r="R82" i="112"/>
  <c r="R80" i="112"/>
  <c r="R72" i="112"/>
  <c r="R93" i="112"/>
  <c r="R67" i="112"/>
  <c r="R89" i="112"/>
  <c r="R90" i="112"/>
  <c r="R106" i="112"/>
  <c r="P5" i="112"/>
  <c r="P65" i="112"/>
  <c r="P30" i="112"/>
  <c r="P24" i="112"/>
  <c r="P29" i="112"/>
  <c r="P14" i="112"/>
  <c r="P16" i="112"/>
  <c r="P55" i="112"/>
  <c r="P22" i="112"/>
  <c r="P57" i="112"/>
  <c r="P15" i="112"/>
  <c r="P26" i="112"/>
  <c r="P23" i="112"/>
  <c r="P18" i="112"/>
  <c r="P13" i="112"/>
  <c r="P10" i="112"/>
  <c r="P44" i="112"/>
  <c r="P7" i="112"/>
  <c r="P51" i="112"/>
  <c r="P38" i="112"/>
  <c r="P54" i="112"/>
  <c r="P74" i="112"/>
  <c r="P48" i="112"/>
  <c r="P43" i="112"/>
  <c r="P6" i="112"/>
  <c r="P46" i="112"/>
  <c r="P53" i="112"/>
  <c r="P49" i="112"/>
  <c r="P25" i="112"/>
  <c r="P31" i="112"/>
  <c r="P41" i="112"/>
  <c r="P40" i="112"/>
  <c r="P19" i="112"/>
  <c r="P64" i="112"/>
  <c r="P28" i="112"/>
  <c r="P59" i="112"/>
  <c r="P35" i="112"/>
  <c r="P36" i="112"/>
  <c r="P39" i="112"/>
  <c r="P11" i="112"/>
  <c r="P12" i="112"/>
  <c r="P42" i="112"/>
  <c r="P37" i="112"/>
  <c r="P17" i="112"/>
  <c r="P8" i="112"/>
  <c r="P58" i="112"/>
  <c r="P50" i="112"/>
  <c r="P47" i="112"/>
  <c r="P34" i="112"/>
  <c r="P9" i="112"/>
  <c r="P32" i="112"/>
  <c r="P66" i="112"/>
  <c r="P56" i="112"/>
  <c r="P45" i="112"/>
  <c r="P33" i="112"/>
  <c r="P52" i="112"/>
  <c r="P60" i="112"/>
  <c r="P81" i="112"/>
  <c r="P117" i="112"/>
  <c r="P68" i="112"/>
  <c r="P89" i="112"/>
  <c r="P80" i="112"/>
  <c r="P63" i="112"/>
  <c r="P21" i="112"/>
  <c r="P71" i="112"/>
  <c r="P73" i="112"/>
  <c r="P82" i="112"/>
  <c r="P72" i="112"/>
  <c r="P75" i="112"/>
  <c r="P62" i="112"/>
  <c r="P67" i="112"/>
  <c r="P69" i="112"/>
  <c r="P61" i="112"/>
  <c r="P70" i="112"/>
  <c r="P77" i="112"/>
  <c r="P87" i="112"/>
  <c r="P78" i="112"/>
  <c r="P79" i="112"/>
  <c r="P83" i="112"/>
  <c r="P84" i="112"/>
  <c r="P93" i="112"/>
  <c r="P88" i="112"/>
  <c r="P85" i="112"/>
  <c r="P97" i="112"/>
  <c r="P99" i="112"/>
  <c r="P86" i="112"/>
  <c r="P90" i="112"/>
  <c r="P102" i="112"/>
  <c r="P116" i="112"/>
  <c r="P91" i="112"/>
  <c r="P20" i="112"/>
  <c r="P92" i="112"/>
  <c r="P100" i="112"/>
  <c r="P94" i="112"/>
  <c r="P95" i="112"/>
  <c r="P96" i="112"/>
  <c r="P104" i="112"/>
  <c r="P108" i="112"/>
  <c r="P112" i="112"/>
  <c r="P113" i="112"/>
  <c r="P111" i="112"/>
  <c r="P110" i="112"/>
  <c r="P114" i="112"/>
  <c r="P101" i="112"/>
  <c r="P98" i="112"/>
  <c r="P115" i="112"/>
  <c r="P107" i="112"/>
  <c r="P109" i="112"/>
  <c r="P105" i="112"/>
  <c r="P103" i="112"/>
  <c r="P106" i="112"/>
  <c r="P76" i="112"/>
  <c r="P27" i="112"/>
  <c r="N78" i="112"/>
  <c r="N87" i="112"/>
  <c r="N92" i="112"/>
  <c r="N97" i="112"/>
  <c r="N99" i="112"/>
  <c r="N102" i="112"/>
  <c r="N109" i="112"/>
  <c r="N116" i="112"/>
  <c r="N94" i="112"/>
  <c r="N95" i="112"/>
  <c r="N96" i="112"/>
  <c r="N98" i="112"/>
  <c r="N100" i="112"/>
  <c r="N101" i="112"/>
  <c r="N103" i="112"/>
  <c r="N104" i="112"/>
  <c r="N105" i="112"/>
  <c r="N106" i="112"/>
  <c r="N107" i="112"/>
  <c r="N108" i="112"/>
  <c r="N110" i="112"/>
  <c r="N111" i="112"/>
  <c r="N112" i="112"/>
  <c r="N113" i="112"/>
  <c r="N114" i="112"/>
  <c r="N115" i="112"/>
  <c r="N79" i="112"/>
  <c r="N86" i="112"/>
  <c r="N85" i="112"/>
  <c r="N75" i="112"/>
  <c r="N90" i="112"/>
  <c r="L90" i="112"/>
  <c r="L82" i="112"/>
  <c r="L87" i="112"/>
  <c r="L81" i="112"/>
  <c r="L88" i="112"/>
  <c r="L73" i="112"/>
  <c r="J86" i="112"/>
  <c r="J61" i="112"/>
  <c r="J92" i="112"/>
  <c r="J88" i="112"/>
  <c r="J97" i="112"/>
  <c r="J99" i="112"/>
  <c r="J87" i="112"/>
  <c r="J102" i="112"/>
  <c r="J109" i="112"/>
  <c r="J116" i="112"/>
  <c r="J94" i="112"/>
  <c r="J95" i="112"/>
  <c r="J96" i="112"/>
  <c r="J98" i="112"/>
  <c r="J100" i="112"/>
  <c r="J101" i="112"/>
  <c r="J103" i="112"/>
  <c r="J104" i="112"/>
  <c r="J105" i="112"/>
  <c r="J106" i="112"/>
  <c r="J107" i="112"/>
  <c r="J108" i="112"/>
  <c r="J110" i="112"/>
  <c r="J111" i="112"/>
  <c r="J112" i="112"/>
  <c r="J113" i="112"/>
  <c r="J114" i="112"/>
  <c r="J115" i="112"/>
  <c r="J84" i="112"/>
  <c r="J41" i="112"/>
  <c r="J89" i="112"/>
  <c r="J60" i="112"/>
  <c r="J68" i="112"/>
  <c r="J117" i="112"/>
  <c r="J63" i="112"/>
  <c r="J71" i="112"/>
  <c r="J83" i="112"/>
  <c r="J67" i="112"/>
  <c r="J70" i="112"/>
  <c r="J69" i="112"/>
  <c r="J76" i="112"/>
  <c r="J75" i="112"/>
  <c r="J73" i="112"/>
  <c r="J72" i="112"/>
  <c r="J91" i="112"/>
  <c r="J85" i="112"/>
  <c r="J90" i="112"/>
  <c r="J82" i="112"/>
  <c r="J81" i="112"/>
  <c r="J79" i="112"/>
  <c r="J77" i="112"/>
  <c r="J78" i="112"/>
  <c r="J93" i="112"/>
  <c r="H73" i="112"/>
  <c r="H61" i="112"/>
  <c r="H84" i="112"/>
  <c r="H79" i="112"/>
  <c r="H77" i="112"/>
  <c r="H78" i="112"/>
  <c r="H82" i="112"/>
  <c r="H81" i="112"/>
  <c r="H85" i="112"/>
  <c r="H90" i="112"/>
  <c r="H86" i="112"/>
  <c r="H88" i="112"/>
  <c r="H93" i="112"/>
  <c r="H92" i="112"/>
  <c r="H87" i="112"/>
  <c r="H91" i="112"/>
  <c r="H97" i="112"/>
  <c r="H99" i="112"/>
  <c r="H102" i="112"/>
  <c r="H109" i="112"/>
  <c r="H116" i="112"/>
  <c r="H94" i="112"/>
  <c r="H95" i="112"/>
  <c r="H96" i="112"/>
  <c r="H98" i="112"/>
  <c r="H100" i="112"/>
  <c r="H101" i="112"/>
  <c r="H103" i="112"/>
  <c r="H104" i="112"/>
  <c r="H105" i="112"/>
  <c r="H106" i="112"/>
  <c r="H107" i="112"/>
  <c r="H108" i="112"/>
  <c r="H110" i="112"/>
  <c r="H111" i="112"/>
  <c r="H112" i="112"/>
  <c r="H113" i="112"/>
  <c r="H114" i="112"/>
  <c r="H115" i="112"/>
  <c r="H72" i="112"/>
  <c r="H41" i="112"/>
  <c r="H89" i="112"/>
  <c r="H60" i="112"/>
  <c r="H117" i="112"/>
  <c r="H68" i="112"/>
  <c r="H63" i="112"/>
  <c r="H71" i="112"/>
  <c r="H83" i="112"/>
  <c r="H69" i="112"/>
  <c r="H67" i="112"/>
  <c r="H70" i="112"/>
  <c r="H76" i="112"/>
  <c r="H75" i="112"/>
  <c r="H37" i="112"/>
  <c r="F90" i="112"/>
  <c r="F97" i="112"/>
  <c r="F99" i="112"/>
  <c r="F102" i="112"/>
  <c r="F109" i="112"/>
  <c r="F116" i="112"/>
  <c r="F94" i="112"/>
  <c r="F95" i="112"/>
  <c r="F96" i="112"/>
  <c r="F98" i="112"/>
  <c r="F100" i="112"/>
  <c r="F101" i="112"/>
  <c r="F103" i="112"/>
  <c r="F104" i="112"/>
  <c r="F105" i="112"/>
  <c r="F106" i="112"/>
  <c r="F107" i="112"/>
  <c r="F108" i="112"/>
  <c r="F110" i="112"/>
  <c r="F111" i="112"/>
  <c r="F112" i="112"/>
  <c r="F113" i="112"/>
  <c r="F114" i="112"/>
  <c r="F115" i="112"/>
  <c r="F92" i="112"/>
  <c r="F70" i="112"/>
  <c r="F76" i="112"/>
  <c r="F75" i="112"/>
  <c r="F41" i="112"/>
  <c r="F73" i="112"/>
  <c r="F61" i="112"/>
  <c r="F84" i="112"/>
  <c r="F77" i="112"/>
  <c r="F79" i="112"/>
  <c r="F78" i="112"/>
  <c r="F81" i="112"/>
  <c r="F82" i="112"/>
  <c r="F85" i="112"/>
  <c r="F86" i="112"/>
  <c r="F88" i="112"/>
  <c r="F87" i="112"/>
  <c r="F67" i="112"/>
  <c r="Z92" i="111"/>
  <c r="Z116" i="111"/>
  <c r="Z6" i="111"/>
  <c r="Z7" i="111"/>
  <c r="Z8" i="111"/>
  <c r="Z9" i="111"/>
  <c r="Z10" i="111"/>
  <c r="Z11" i="111"/>
  <c r="Z12" i="111"/>
  <c r="Z13" i="111"/>
  <c r="Z14" i="111"/>
  <c r="Z15" i="111"/>
  <c r="Z16" i="111"/>
  <c r="Z17" i="111"/>
  <c r="Z18" i="111"/>
  <c r="Z19" i="111"/>
  <c r="Z20" i="111"/>
  <c r="Z21" i="111"/>
  <c r="Z22" i="111"/>
  <c r="Z25" i="111"/>
  <c r="Z26" i="111"/>
  <c r="Z29" i="111"/>
  <c r="Z30" i="111"/>
  <c r="Z31" i="111"/>
  <c r="Z32" i="111"/>
  <c r="Z91" i="111"/>
  <c r="X14" i="111"/>
  <c r="X17" i="111"/>
  <c r="X15" i="111"/>
  <c r="X18" i="111"/>
  <c r="X19" i="111"/>
  <c r="X8" i="111"/>
  <c r="X10" i="111"/>
  <c r="X9" i="111"/>
  <c r="X7" i="111"/>
  <c r="X12" i="111"/>
  <c r="X6" i="111"/>
  <c r="X33" i="111"/>
  <c r="X32" i="111"/>
  <c r="X100" i="111"/>
  <c r="X70" i="111"/>
  <c r="X67" i="111"/>
  <c r="X103" i="111"/>
  <c r="X97" i="111"/>
  <c r="X53" i="111"/>
  <c r="X108" i="111"/>
  <c r="X64" i="111"/>
  <c r="X72" i="111"/>
  <c r="X34" i="111"/>
  <c r="X51" i="111"/>
  <c r="X69" i="111"/>
  <c r="X93" i="111"/>
  <c r="X112" i="111"/>
  <c r="X90" i="111"/>
  <c r="X77" i="111"/>
  <c r="X94" i="111"/>
  <c r="X60" i="111"/>
  <c r="X66" i="111"/>
  <c r="X102" i="111"/>
  <c r="X48" i="111"/>
  <c r="X58" i="111"/>
  <c r="X76" i="111"/>
  <c r="X81" i="111"/>
  <c r="X35" i="111"/>
  <c r="X49" i="111"/>
  <c r="X104" i="111"/>
  <c r="X46" i="111"/>
  <c r="X36" i="111"/>
  <c r="X54" i="111"/>
  <c r="X61" i="111"/>
  <c r="X74" i="111"/>
  <c r="X47" i="111"/>
  <c r="X37" i="111"/>
  <c r="X38" i="111"/>
  <c r="X89" i="111"/>
  <c r="X82" i="111"/>
  <c r="X110" i="111"/>
  <c r="X39" i="111"/>
  <c r="X40" i="111"/>
  <c r="X55" i="111"/>
  <c r="X111" i="111"/>
  <c r="X62" i="111"/>
  <c r="X98" i="111"/>
  <c r="X99" i="111"/>
  <c r="X71" i="111"/>
  <c r="X56" i="111"/>
  <c r="X85" i="111"/>
  <c r="X57" i="111"/>
  <c r="X41" i="111"/>
  <c r="X42" i="111"/>
  <c r="X79" i="111"/>
  <c r="X88" i="111"/>
  <c r="X63" i="111"/>
  <c r="X50" i="111"/>
  <c r="X43" i="111"/>
  <c r="X105" i="111"/>
  <c r="X95" i="111"/>
  <c r="X101" i="111"/>
  <c r="X86" i="111"/>
  <c r="X80" i="111"/>
  <c r="X44" i="111"/>
  <c r="X107" i="111"/>
  <c r="X75" i="111"/>
  <c r="X106" i="111"/>
  <c r="X78" i="111"/>
  <c r="X52" i="111"/>
  <c r="X87" i="111"/>
  <c r="X45" i="111"/>
  <c r="X96" i="111"/>
  <c r="X83" i="111"/>
  <c r="X59" i="111"/>
  <c r="X84" i="111"/>
  <c r="X113" i="111"/>
  <c r="X92" i="111"/>
  <c r="X109" i="111"/>
  <c r="X114" i="111"/>
  <c r="X116" i="111"/>
  <c r="X73" i="111"/>
  <c r="X68" i="111"/>
  <c r="X91" i="111"/>
  <c r="X115" i="111"/>
  <c r="X11" i="111"/>
  <c r="V25" i="111"/>
  <c r="V29" i="111"/>
  <c r="V16" i="111"/>
  <c r="V20" i="111"/>
  <c r="V21" i="111"/>
  <c r="V7" i="111"/>
  <c r="V13" i="111"/>
  <c r="V26" i="111"/>
  <c r="V8" i="111"/>
  <c r="V22" i="111"/>
  <c r="V10" i="111"/>
  <c r="V30" i="111"/>
  <c r="V15" i="111"/>
  <c r="V17" i="111"/>
  <c r="V18" i="111"/>
  <c r="V12" i="111"/>
  <c r="V6" i="111"/>
  <c r="V32" i="111"/>
  <c r="V11" i="111"/>
  <c r="V14" i="111"/>
  <c r="V9" i="111"/>
  <c r="V19" i="111"/>
  <c r="V33" i="111"/>
  <c r="V100" i="111"/>
  <c r="V70" i="111"/>
  <c r="V47" i="111"/>
  <c r="V103" i="111"/>
  <c r="V108" i="111"/>
  <c r="V64" i="111"/>
  <c r="V53" i="111"/>
  <c r="V34" i="111"/>
  <c r="V51" i="111"/>
  <c r="V72" i="111"/>
  <c r="V67" i="111"/>
  <c r="V69" i="111"/>
  <c r="V93" i="111"/>
  <c r="V90" i="111"/>
  <c r="V60" i="111"/>
  <c r="V94" i="111"/>
  <c r="V112" i="111"/>
  <c r="V48" i="111"/>
  <c r="V66" i="111"/>
  <c r="V102" i="111"/>
  <c r="V76" i="111"/>
  <c r="V58" i="111"/>
  <c r="V49" i="111"/>
  <c r="V46" i="111"/>
  <c r="V81" i="111"/>
  <c r="V36" i="111"/>
  <c r="V35" i="111"/>
  <c r="V104" i="111"/>
  <c r="V37" i="111"/>
  <c r="V38" i="111"/>
  <c r="V39" i="111"/>
  <c r="V97" i="111"/>
  <c r="V40" i="111"/>
  <c r="V110" i="111"/>
  <c r="V55" i="111"/>
  <c r="V54" i="111"/>
  <c r="V111" i="111"/>
  <c r="V71" i="111"/>
  <c r="V62" i="111"/>
  <c r="V98" i="111"/>
  <c r="V99" i="111"/>
  <c r="V77" i="111"/>
  <c r="V41" i="111"/>
  <c r="V42" i="111"/>
  <c r="V56" i="111"/>
  <c r="V57" i="111"/>
  <c r="V50" i="111"/>
  <c r="V43" i="111"/>
  <c r="V79" i="111"/>
  <c r="V105" i="111"/>
  <c r="V101" i="111"/>
  <c r="V63" i="111"/>
  <c r="V95" i="111"/>
  <c r="V61" i="111"/>
  <c r="V82" i="111"/>
  <c r="V44" i="111"/>
  <c r="V74" i="111"/>
  <c r="V75" i="111"/>
  <c r="V89" i="111"/>
  <c r="V78" i="111"/>
  <c r="V107" i="111"/>
  <c r="V86" i="111"/>
  <c r="V52" i="111"/>
  <c r="V45" i="111"/>
  <c r="V87" i="111"/>
  <c r="V85" i="111"/>
  <c r="V106" i="111"/>
  <c r="V80" i="111"/>
  <c r="V59" i="111"/>
  <c r="V96" i="111"/>
  <c r="V88" i="111"/>
  <c r="V84" i="111"/>
  <c r="V113" i="111"/>
  <c r="V83" i="111"/>
  <c r="V92" i="111"/>
  <c r="V109" i="111"/>
  <c r="V114" i="111"/>
  <c r="V73" i="111"/>
  <c r="V116" i="111"/>
  <c r="V68" i="111"/>
  <c r="V91" i="111"/>
  <c r="V115" i="111"/>
  <c r="V31" i="111"/>
  <c r="T115" i="111"/>
  <c r="T116" i="111"/>
  <c r="R13" i="111"/>
  <c r="R33" i="111"/>
  <c r="R31" i="111"/>
  <c r="R10" i="111"/>
  <c r="R15" i="111"/>
  <c r="R29" i="111"/>
  <c r="R25" i="111"/>
  <c r="R26" i="111"/>
  <c r="R20" i="111"/>
  <c r="R30" i="111"/>
  <c r="R16" i="111"/>
  <c r="R21" i="111"/>
  <c r="R17" i="111"/>
  <c r="R22" i="111"/>
  <c r="R7" i="111"/>
  <c r="R8" i="111"/>
  <c r="R12" i="111"/>
  <c r="R5" i="111"/>
  <c r="R19" i="111"/>
  <c r="R28" i="111"/>
  <c r="R32" i="111"/>
  <c r="R24" i="111"/>
  <c r="R23" i="111"/>
  <c r="R27" i="111"/>
  <c r="R14" i="111"/>
  <c r="R11" i="111"/>
  <c r="R65" i="111"/>
  <c r="R6" i="111"/>
  <c r="R9" i="111"/>
  <c r="R100" i="111"/>
  <c r="R47" i="111"/>
  <c r="R70" i="111"/>
  <c r="R103" i="111"/>
  <c r="R108" i="111"/>
  <c r="R64" i="111"/>
  <c r="R34" i="111"/>
  <c r="R67" i="111"/>
  <c r="R53" i="111"/>
  <c r="R51" i="111"/>
  <c r="R72" i="111"/>
  <c r="R111" i="111"/>
  <c r="R69" i="111"/>
  <c r="R94" i="111"/>
  <c r="R93" i="111"/>
  <c r="R48" i="111"/>
  <c r="R90" i="111"/>
  <c r="R66" i="111"/>
  <c r="R58" i="111"/>
  <c r="R60" i="111"/>
  <c r="R102" i="111"/>
  <c r="R112" i="111"/>
  <c r="R49" i="111"/>
  <c r="R36" i="111"/>
  <c r="R81" i="111"/>
  <c r="R35" i="111"/>
  <c r="R39" i="111"/>
  <c r="R104" i="111"/>
  <c r="R37" i="111"/>
  <c r="R38" i="111"/>
  <c r="R76" i="111"/>
  <c r="R40" i="111"/>
  <c r="R46" i="111"/>
  <c r="R110" i="111"/>
  <c r="R55" i="111"/>
  <c r="R98" i="111"/>
  <c r="R99" i="111"/>
  <c r="R62" i="111"/>
  <c r="R54" i="111"/>
  <c r="R97" i="111"/>
  <c r="R42" i="111"/>
  <c r="R41" i="111"/>
  <c r="R57" i="111"/>
  <c r="R101" i="111"/>
  <c r="R56" i="111"/>
  <c r="R71" i="111"/>
  <c r="R95" i="111"/>
  <c r="R105" i="111"/>
  <c r="R50" i="111"/>
  <c r="R43" i="111"/>
  <c r="R44" i="111"/>
  <c r="R75" i="111"/>
  <c r="R45" i="111"/>
  <c r="R107" i="111"/>
  <c r="R63" i="111"/>
  <c r="R52" i="111"/>
  <c r="R82" i="111"/>
  <c r="R61" i="111"/>
  <c r="R106" i="111"/>
  <c r="R74" i="111"/>
  <c r="R79" i="111"/>
  <c r="R77" i="111"/>
  <c r="R59" i="111"/>
  <c r="R89" i="111"/>
  <c r="R96" i="111"/>
  <c r="R85" i="111"/>
  <c r="R78" i="111"/>
  <c r="R80" i="111"/>
  <c r="R84" i="111"/>
  <c r="R86" i="111"/>
  <c r="R109" i="111"/>
  <c r="R87" i="111"/>
  <c r="R88" i="111"/>
  <c r="R92" i="111"/>
  <c r="R113" i="111"/>
  <c r="R83" i="111"/>
  <c r="R114" i="111"/>
  <c r="R73" i="111"/>
  <c r="R116" i="111"/>
  <c r="R68" i="111"/>
  <c r="R115" i="111"/>
  <c r="R91" i="111"/>
  <c r="R18" i="111"/>
  <c r="P65" i="111"/>
  <c r="P28" i="111"/>
  <c r="P24" i="111"/>
  <c r="P27" i="111"/>
  <c r="P42" i="111"/>
  <c r="P40" i="111"/>
  <c r="P104" i="111"/>
  <c r="P49" i="111"/>
  <c r="P106" i="111"/>
  <c r="P41" i="111"/>
  <c r="P51" i="111"/>
  <c r="P50" i="111"/>
  <c r="P44" i="111"/>
  <c r="P39" i="111"/>
  <c r="P37" i="111"/>
  <c r="P90" i="111"/>
  <c r="P34" i="111"/>
  <c r="P100" i="111"/>
  <c r="P64" i="111"/>
  <c r="P103" i="111"/>
  <c r="P113" i="111"/>
  <c r="P96" i="111"/>
  <c r="P81" i="111"/>
  <c r="P33" i="111"/>
  <c r="P94" i="111"/>
  <c r="P102" i="111"/>
  <c r="P97" i="111"/>
  <c r="P23" i="111"/>
  <c r="P111" i="111"/>
  <c r="P53" i="111"/>
  <c r="P58" i="111"/>
  <c r="P67" i="111"/>
  <c r="P45" i="111"/>
  <c r="P110" i="111"/>
  <c r="P52" i="111"/>
  <c r="P57" i="111"/>
  <c r="P108" i="111"/>
  <c r="P66" i="111"/>
  <c r="P38" i="111"/>
  <c r="P75" i="111"/>
  <c r="P62" i="111"/>
  <c r="P43" i="111"/>
  <c r="P35" i="111"/>
  <c r="P107" i="111"/>
  <c r="P98" i="111"/>
  <c r="P99" i="111"/>
  <c r="P95" i="111"/>
  <c r="P56" i="111"/>
  <c r="P36" i="111"/>
  <c r="P54" i="111"/>
  <c r="P112" i="111"/>
  <c r="P105" i="111"/>
  <c r="P93" i="111"/>
  <c r="P55" i="111"/>
  <c r="P47" i="111"/>
  <c r="P101" i="111"/>
  <c r="P59" i="111"/>
  <c r="P82" i="111"/>
  <c r="P60" i="111"/>
  <c r="P69" i="111"/>
  <c r="P115" i="111"/>
  <c r="P114" i="111"/>
  <c r="P63" i="111"/>
  <c r="P48" i="111"/>
  <c r="P72" i="111"/>
  <c r="P74" i="111"/>
  <c r="P83" i="111"/>
  <c r="P73" i="111"/>
  <c r="P76" i="111"/>
  <c r="P109" i="111"/>
  <c r="P87" i="111"/>
  <c r="P71" i="111"/>
  <c r="P68" i="111"/>
  <c r="P70" i="111"/>
  <c r="P61" i="111"/>
  <c r="P78" i="111"/>
  <c r="P88" i="111"/>
  <c r="P79" i="111"/>
  <c r="P80" i="111"/>
  <c r="P84" i="111"/>
  <c r="P85" i="111"/>
  <c r="P116" i="111"/>
  <c r="P89" i="111"/>
  <c r="P86" i="111"/>
  <c r="P91" i="111"/>
  <c r="P92" i="111"/>
  <c r="P46" i="111"/>
  <c r="P77" i="111"/>
  <c r="P9" i="111"/>
  <c r="P11" i="111"/>
  <c r="P14" i="111"/>
  <c r="P32" i="111"/>
  <c r="P6" i="111"/>
  <c r="P12" i="111"/>
  <c r="P7" i="111"/>
  <c r="P8" i="111"/>
  <c r="P16" i="111"/>
  <c r="P21" i="111"/>
  <c r="P26" i="111"/>
  <c r="P29" i="111"/>
  <c r="P25" i="111"/>
  <c r="P22" i="111"/>
  <c r="P30" i="111"/>
  <c r="P13" i="111"/>
  <c r="P10" i="111"/>
  <c r="P31" i="111"/>
  <c r="P20" i="111"/>
  <c r="P19" i="111"/>
  <c r="P17" i="111"/>
  <c r="P15" i="111"/>
  <c r="P18" i="111"/>
  <c r="P5" i="111"/>
  <c r="N9" i="111"/>
  <c r="N11" i="111"/>
  <c r="N14" i="111"/>
  <c r="N19" i="111"/>
  <c r="N32" i="111"/>
  <c r="N7" i="111"/>
  <c r="N8" i="111"/>
  <c r="N10" i="111"/>
  <c r="N12" i="111"/>
  <c r="N13" i="111"/>
  <c r="N15" i="111"/>
  <c r="N16" i="111"/>
  <c r="N17" i="111"/>
  <c r="N18" i="111"/>
  <c r="N20" i="111"/>
  <c r="N21" i="111"/>
  <c r="N22" i="111"/>
  <c r="N25" i="111"/>
  <c r="N26" i="111"/>
  <c r="N29" i="111"/>
  <c r="N30" i="111"/>
  <c r="N31" i="111"/>
  <c r="N6" i="111"/>
  <c r="J11" i="111"/>
  <c r="J14" i="111"/>
  <c r="J19" i="111"/>
  <c r="J32" i="111"/>
  <c r="J7" i="111"/>
  <c r="J8" i="111"/>
  <c r="J10" i="111"/>
  <c r="J12" i="111"/>
  <c r="J13" i="111"/>
  <c r="J15" i="111"/>
  <c r="J16" i="111"/>
  <c r="J17" i="111"/>
  <c r="J18" i="111"/>
  <c r="J20" i="111"/>
  <c r="J21" i="111"/>
  <c r="J22" i="111"/>
  <c r="J25" i="111"/>
  <c r="J26" i="111"/>
  <c r="J29" i="111"/>
  <c r="J30" i="111"/>
  <c r="J31" i="111"/>
  <c r="J9" i="111"/>
  <c r="J47" i="111"/>
  <c r="J67" i="111"/>
  <c r="J115" i="111"/>
  <c r="J59" i="111"/>
  <c r="J69" i="111"/>
  <c r="J63" i="111"/>
  <c r="J72" i="111"/>
  <c r="J84" i="111"/>
  <c r="J68" i="111"/>
  <c r="J71" i="111"/>
  <c r="J70" i="111"/>
  <c r="J77" i="111"/>
  <c r="J76" i="111"/>
  <c r="J74" i="111"/>
  <c r="J73" i="111"/>
  <c r="J92" i="111"/>
  <c r="J86" i="111"/>
  <c r="J91" i="111"/>
  <c r="J83" i="111"/>
  <c r="J82" i="111"/>
  <c r="J80" i="111"/>
  <c r="J78" i="111"/>
  <c r="J79" i="111"/>
  <c r="J85" i="111"/>
  <c r="J87" i="111"/>
  <c r="J61" i="111"/>
  <c r="J89" i="111"/>
  <c r="J88" i="111"/>
  <c r="J6" i="111"/>
  <c r="J116" i="111"/>
  <c r="H6" i="111"/>
  <c r="H9" i="111"/>
  <c r="H14" i="111"/>
  <c r="H19" i="111"/>
  <c r="H32" i="111"/>
  <c r="H7" i="111"/>
  <c r="H8" i="111"/>
  <c r="H10" i="111"/>
  <c r="H12" i="111"/>
  <c r="H13" i="111"/>
  <c r="H15" i="111"/>
  <c r="H16" i="111"/>
  <c r="H17" i="111"/>
  <c r="H18" i="111"/>
  <c r="H20" i="111"/>
  <c r="H21" i="111"/>
  <c r="H22" i="111"/>
  <c r="H25" i="111"/>
  <c r="H26" i="111"/>
  <c r="H29" i="111"/>
  <c r="H30" i="111"/>
  <c r="H31" i="111"/>
  <c r="H11" i="111"/>
  <c r="H92" i="111"/>
  <c r="H67" i="111"/>
  <c r="H115" i="111"/>
  <c r="H59" i="111"/>
  <c r="H60" i="111"/>
  <c r="H69" i="111"/>
  <c r="H63" i="111"/>
  <c r="H72" i="111"/>
  <c r="H84" i="111"/>
  <c r="H70" i="111"/>
  <c r="H68" i="111"/>
  <c r="H71" i="111"/>
  <c r="H77" i="111"/>
  <c r="H76" i="111"/>
  <c r="H73" i="111"/>
  <c r="H74" i="111"/>
  <c r="H61" i="111"/>
  <c r="H85" i="111"/>
  <c r="H80" i="111"/>
  <c r="H78" i="111"/>
  <c r="H79" i="111"/>
  <c r="H83" i="111"/>
  <c r="H82" i="111"/>
  <c r="H86" i="111"/>
  <c r="H91" i="111"/>
  <c r="H87" i="111"/>
  <c r="H89" i="111"/>
  <c r="H116" i="111"/>
  <c r="H88" i="111"/>
  <c r="H47" i="111"/>
  <c r="F9" i="111"/>
  <c r="F11" i="111"/>
  <c r="F14" i="111"/>
  <c r="F19" i="111"/>
  <c r="F32" i="111"/>
  <c r="F7" i="111"/>
  <c r="F8" i="111"/>
  <c r="F10" i="111"/>
  <c r="F12" i="111"/>
  <c r="F13" i="111"/>
  <c r="F15" i="111"/>
  <c r="F16" i="111"/>
  <c r="F17" i="111"/>
  <c r="F18" i="111"/>
  <c r="F20" i="111"/>
  <c r="F21" i="111"/>
  <c r="F22" i="111"/>
  <c r="F25" i="111"/>
  <c r="F26" i="111"/>
  <c r="F29" i="111"/>
  <c r="F30" i="111"/>
  <c r="F31" i="111"/>
  <c r="F6" i="111"/>
  <c r="F77" i="111"/>
  <c r="F76" i="111"/>
  <c r="F67" i="111"/>
  <c r="F74" i="111"/>
  <c r="F61" i="111"/>
  <c r="F85" i="111"/>
  <c r="F78" i="111"/>
  <c r="F80" i="111"/>
  <c r="F79" i="111"/>
  <c r="F82" i="111"/>
  <c r="F83" i="111"/>
  <c r="F86" i="111"/>
  <c r="F87" i="111"/>
  <c r="F89" i="111"/>
  <c r="F88" i="111"/>
  <c r="F71" i="111"/>
  <c r="W4" i="51"/>
  <c r="W5" i="51"/>
  <c r="W6" i="51"/>
  <c r="W7" i="51"/>
  <c r="W8" i="51"/>
  <c r="W9" i="51"/>
  <c r="W10" i="51"/>
  <c r="W11" i="51"/>
  <c r="W12" i="51"/>
  <c r="W13" i="51"/>
  <c r="W14" i="51"/>
  <c r="W15" i="51"/>
  <c r="W16" i="51"/>
  <c r="W17" i="51"/>
  <c r="W18" i="51"/>
  <c r="W19" i="51"/>
  <c r="W20" i="51"/>
  <c r="W21" i="51"/>
  <c r="W22" i="51"/>
  <c r="W23" i="51"/>
  <c r="W24" i="51"/>
  <c r="W25" i="51"/>
  <c r="Y4" i="51"/>
  <c r="Y5" i="51"/>
  <c r="Y6" i="51"/>
  <c r="Y7" i="51"/>
  <c r="Y8" i="51"/>
  <c r="Y9" i="51"/>
  <c r="Y10" i="51"/>
  <c r="Y11" i="51"/>
  <c r="Y12" i="51"/>
  <c r="Y13" i="51"/>
  <c r="Y14" i="51"/>
  <c r="Y15" i="51"/>
  <c r="Y16" i="51"/>
  <c r="Y17" i="51"/>
  <c r="Y18" i="51"/>
  <c r="Y19" i="51"/>
  <c r="Y20" i="51"/>
  <c r="Y21" i="51"/>
  <c r="Y22" i="51"/>
  <c r="Y23" i="51"/>
  <c r="Y24" i="51"/>
  <c r="Y25" i="51"/>
  <c r="Y3" i="51"/>
  <c r="W3" i="51"/>
  <c r="U4" i="51"/>
  <c r="U5" i="51"/>
  <c r="U6" i="51"/>
  <c r="U7" i="51"/>
  <c r="U8" i="51"/>
  <c r="U9" i="51"/>
  <c r="U10" i="51"/>
  <c r="U11" i="51"/>
  <c r="U12" i="51"/>
  <c r="U13" i="51"/>
  <c r="U14" i="51"/>
  <c r="U15" i="51"/>
  <c r="U16" i="51"/>
  <c r="U17" i="51"/>
  <c r="U18" i="51"/>
  <c r="U19" i="51"/>
  <c r="U20" i="51"/>
  <c r="U21" i="51"/>
  <c r="U22" i="51"/>
  <c r="U23" i="51"/>
  <c r="U24" i="51"/>
  <c r="U25" i="51"/>
  <c r="U3" i="51"/>
  <c r="Q4" i="51"/>
  <c r="Q5" i="51"/>
  <c r="Q6" i="51"/>
  <c r="Q7" i="51"/>
  <c r="Q8" i="51"/>
  <c r="Q9" i="51"/>
  <c r="Q10" i="51"/>
  <c r="Q11" i="51"/>
  <c r="Q12" i="51"/>
  <c r="Q13" i="51"/>
  <c r="Q14" i="51"/>
  <c r="Q15" i="51"/>
  <c r="Q16" i="51"/>
  <c r="Q17" i="51"/>
  <c r="Q18" i="51"/>
  <c r="Q19" i="51"/>
  <c r="Q20" i="51"/>
  <c r="Q21" i="51"/>
  <c r="Q22" i="51"/>
  <c r="Q23" i="51"/>
  <c r="Q24" i="51"/>
  <c r="Q25" i="51"/>
  <c r="Q3" i="51"/>
  <c r="O4" i="51"/>
  <c r="O5" i="51"/>
  <c r="O6" i="51"/>
  <c r="O7" i="51"/>
  <c r="O8" i="51"/>
  <c r="O9" i="51"/>
  <c r="O10" i="51"/>
  <c r="O11" i="51"/>
  <c r="O12" i="51"/>
  <c r="O13" i="51"/>
  <c r="O14" i="51"/>
  <c r="O15" i="51"/>
  <c r="O16" i="51"/>
  <c r="O17" i="51"/>
  <c r="O18" i="51"/>
  <c r="O19" i="51"/>
  <c r="O20" i="51"/>
  <c r="O21" i="51"/>
  <c r="O22" i="51"/>
  <c r="O23" i="51"/>
  <c r="O24" i="51"/>
  <c r="O25" i="51"/>
  <c r="M4" i="51"/>
  <c r="M5" i="51"/>
  <c r="M6" i="51"/>
  <c r="M7" i="51"/>
  <c r="M8" i="51"/>
  <c r="M9" i="51"/>
  <c r="M10" i="51"/>
  <c r="M11" i="51"/>
  <c r="M12" i="51"/>
  <c r="M13" i="51"/>
  <c r="M14" i="51"/>
  <c r="M15" i="51"/>
  <c r="M16" i="51"/>
  <c r="M17" i="51"/>
  <c r="M18" i="51"/>
  <c r="M19" i="51"/>
  <c r="M20" i="51"/>
  <c r="M21" i="51"/>
  <c r="M22" i="51"/>
  <c r="M23" i="51"/>
  <c r="M24" i="51"/>
  <c r="M25" i="51"/>
  <c r="M3" i="51"/>
  <c r="O3" i="51"/>
  <c r="I4" i="51"/>
  <c r="I5" i="51"/>
  <c r="I6" i="51"/>
  <c r="I7" i="51"/>
  <c r="I8" i="51"/>
  <c r="I9" i="51"/>
  <c r="I10" i="51"/>
  <c r="I11" i="51"/>
  <c r="I12" i="51"/>
  <c r="I13" i="51"/>
  <c r="I14" i="51"/>
  <c r="I15" i="51"/>
  <c r="I16" i="51"/>
  <c r="I17" i="51"/>
  <c r="I18" i="51"/>
  <c r="I19" i="51"/>
  <c r="I20" i="51"/>
  <c r="I21" i="51"/>
  <c r="I22" i="51"/>
  <c r="I23" i="51"/>
  <c r="I24" i="51"/>
  <c r="I25" i="51"/>
  <c r="I3" i="51"/>
  <c r="G4" i="51"/>
  <c r="G5" i="51"/>
  <c r="G6" i="51"/>
  <c r="G7" i="51"/>
  <c r="G8" i="51"/>
  <c r="G9" i="51"/>
  <c r="G10" i="51"/>
  <c r="G11" i="51"/>
  <c r="G12" i="51"/>
  <c r="G13" i="51"/>
  <c r="G14" i="51"/>
  <c r="G15" i="51"/>
  <c r="G16" i="51"/>
  <c r="G17" i="51"/>
  <c r="G18" i="51"/>
  <c r="G19" i="51"/>
  <c r="G20" i="51"/>
  <c r="G21" i="51"/>
  <c r="G22" i="51"/>
  <c r="G23" i="51"/>
  <c r="G24" i="51"/>
  <c r="G25" i="51"/>
  <c r="G3" i="51"/>
  <c r="E4" i="51"/>
  <c r="E5" i="51"/>
  <c r="E6" i="51"/>
  <c r="E7" i="51"/>
  <c r="E8" i="51"/>
  <c r="E9" i="51"/>
  <c r="E10" i="51"/>
  <c r="E11" i="51"/>
  <c r="E12" i="51"/>
  <c r="E13" i="51"/>
  <c r="E14" i="51"/>
  <c r="E15" i="51"/>
  <c r="E16" i="51"/>
  <c r="E17" i="51"/>
  <c r="E18" i="51"/>
  <c r="E19" i="51"/>
  <c r="E20" i="51"/>
  <c r="E21" i="51"/>
  <c r="E22" i="51"/>
  <c r="E23" i="51"/>
  <c r="E24" i="51"/>
  <c r="E25" i="51"/>
  <c r="E3" i="51"/>
  <c r="H11" i="39"/>
  <c r="X8" i="41"/>
  <c r="Z67" i="41"/>
  <c r="Z68" i="41"/>
  <c r="Z69" i="41"/>
  <c r="Z70" i="41"/>
  <c r="Z71" i="41"/>
  <c r="Z72" i="41"/>
  <c r="Z73" i="41"/>
  <c r="Z51" i="41"/>
  <c r="Z75" i="41"/>
  <c r="Z76" i="41"/>
  <c r="Z77" i="41"/>
  <c r="Z78" i="41"/>
  <c r="Z79" i="41"/>
  <c r="Z10" i="41"/>
  <c r="Z81" i="41"/>
  <c r="Z82" i="41"/>
  <c r="Z83" i="41"/>
  <c r="Z84" i="41"/>
  <c r="Z85" i="41"/>
  <c r="Z86" i="41"/>
  <c r="Z87" i="41"/>
  <c r="Z88" i="41"/>
  <c r="Z89" i="41"/>
  <c r="Z90" i="41"/>
  <c r="Z11" i="41"/>
  <c r="Z92" i="41"/>
  <c r="Z93" i="41"/>
  <c r="Z6" i="41"/>
  <c r="Z16" i="41"/>
  <c r="X55" i="41"/>
  <c r="X14" i="41"/>
  <c r="X52" i="41"/>
  <c r="X69" i="41"/>
  <c r="X41" i="41"/>
  <c r="X50" i="41"/>
  <c r="X42" i="41"/>
  <c r="X37" i="41"/>
  <c r="X94" i="41"/>
  <c r="X71" i="41"/>
  <c r="X53" i="41"/>
  <c r="X58" i="41"/>
  <c r="X68" i="41"/>
  <c r="X44" i="41"/>
  <c r="X16" i="41"/>
  <c r="X54" i="41"/>
  <c r="X76" i="41"/>
  <c r="X45" i="41"/>
  <c r="X60" i="41"/>
  <c r="X9" i="41"/>
  <c r="X34" i="41"/>
  <c r="X43" i="41"/>
  <c r="X75" i="41"/>
  <c r="X40" i="41"/>
  <c r="X82" i="41"/>
  <c r="X49" i="41"/>
  <c r="X26" i="41"/>
  <c r="X66" i="41"/>
  <c r="X74" i="41"/>
  <c r="X5" i="41"/>
  <c r="X17" i="41"/>
  <c r="X61" i="41"/>
  <c r="X27" i="41"/>
  <c r="X73" i="41"/>
  <c r="X47" i="41"/>
  <c r="X56" i="41"/>
  <c r="X32" i="41"/>
  <c r="X90" i="41"/>
  <c r="X81" i="41"/>
  <c r="X39" i="41"/>
  <c r="X83" i="41"/>
  <c r="X18" i="41"/>
  <c r="X80" i="41"/>
  <c r="X13" i="41"/>
  <c r="X33" i="41"/>
  <c r="X21" i="41"/>
  <c r="X22" i="41"/>
  <c r="X70" i="41"/>
  <c r="X19" i="41"/>
  <c r="X86" i="41"/>
  <c r="X36" i="41"/>
  <c r="X62" i="41"/>
  <c r="X91" i="41"/>
  <c r="X77" i="41"/>
  <c r="X20" i="41"/>
  <c r="X89" i="41"/>
  <c r="X63" i="41"/>
  <c r="X57" i="41"/>
  <c r="X30" i="41"/>
  <c r="X15" i="41"/>
  <c r="X12" i="41"/>
  <c r="X87" i="41"/>
  <c r="X79" i="41"/>
  <c r="X25" i="41"/>
  <c r="X31" i="41"/>
  <c r="X64" i="41"/>
  <c r="X78" i="41"/>
  <c r="X35" i="41"/>
  <c r="X88" i="41"/>
  <c r="X38" i="41"/>
  <c r="X84" i="41"/>
  <c r="X59" i="41"/>
  <c r="X48" i="41"/>
  <c r="X85" i="41"/>
  <c r="X51" i="41"/>
  <c r="X92" i="41"/>
  <c r="X93" i="41"/>
  <c r="X7" i="41"/>
  <c r="X10" i="41"/>
  <c r="X6" i="41"/>
  <c r="X72" i="41"/>
  <c r="X67" i="41"/>
  <c r="X11" i="41"/>
  <c r="X46" i="41"/>
  <c r="V55" i="41"/>
  <c r="V14" i="41"/>
  <c r="V52" i="41"/>
  <c r="V69" i="41"/>
  <c r="V47" i="41"/>
  <c r="V50" i="41"/>
  <c r="V37" i="41"/>
  <c r="V94" i="41"/>
  <c r="V42" i="41"/>
  <c r="V53" i="41"/>
  <c r="V58" i="41"/>
  <c r="V71" i="41"/>
  <c r="V41" i="41"/>
  <c r="V68" i="41"/>
  <c r="V44" i="41"/>
  <c r="V54" i="41"/>
  <c r="V60" i="41"/>
  <c r="V9" i="41"/>
  <c r="V45" i="41"/>
  <c r="V16" i="41"/>
  <c r="V34" i="41"/>
  <c r="V82" i="41"/>
  <c r="V43" i="41"/>
  <c r="V75" i="41"/>
  <c r="V40" i="41"/>
  <c r="V66" i="41"/>
  <c r="V5" i="41"/>
  <c r="V49" i="41"/>
  <c r="V17" i="41"/>
  <c r="V26" i="41"/>
  <c r="V74" i="41"/>
  <c r="V56" i="41"/>
  <c r="V32" i="41"/>
  <c r="V8" i="41"/>
  <c r="V80" i="41"/>
  <c r="V83" i="41"/>
  <c r="V39" i="41"/>
  <c r="V13" i="41"/>
  <c r="V18" i="41"/>
  <c r="V27" i="41"/>
  <c r="V33" i="41"/>
  <c r="V70" i="41"/>
  <c r="V21" i="41"/>
  <c r="V22" i="41"/>
  <c r="V76" i="41"/>
  <c r="V62" i="41"/>
  <c r="V91" i="41"/>
  <c r="V19" i="41"/>
  <c r="V36" i="41"/>
  <c r="V57" i="41"/>
  <c r="V30" i="41"/>
  <c r="V77" i="41"/>
  <c r="V20" i="41"/>
  <c r="V15" i="41"/>
  <c r="V12" i="41"/>
  <c r="V63" i="41"/>
  <c r="V61" i="41"/>
  <c r="V81" i="41"/>
  <c r="V73" i="41"/>
  <c r="V31" i="41"/>
  <c r="V90" i="41"/>
  <c r="V78" i="41"/>
  <c r="V25" i="41"/>
  <c r="V87" i="41"/>
  <c r="V35" i="41"/>
  <c r="V38" i="41"/>
  <c r="V88" i="41"/>
  <c r="V86" i="41"/>
  <c r="V64" i="41"/>
  <c r="V79" i="41"/>
  <c r="V59" i="41"/>
  <c r="V48" i="41"/>
  <c r="V89" i="41"/>
  <c r="V85" i="41"/>
  <c r="V51" i="41"/>
  <c r="V84" i="41"/>
  <c r="V93" i="41"/>
  <c r="V7" i="41"/>
  <c r="V10" i="41"/>
  <c r="V72" i="41"/>
  <c r="V6" i="41"/>
  <c r="V67" i="41"/>
  <c r="V92" i="41"/>
  <c r="V11" i="41"/>
  <c r="V46" i="41"/>
  <c r="T87" i="41"/>
  <c r="T75" i="41"/>
  <c r="T61" i="41"/>
  <c r="T88" i="41"/>
  <c r="T72" i="41"/>
  <c r="T73" i="41"/>
  <c r="T68" i="41"/>
  <c r="T81" i="41"/>
  <c r="T89" i="41"/>
  <c r="T84" i="41"/>
  <c r="T86" i="41"/>
  <c r="T93" i="41"/>
  <c r="T85" i="41"/>
  <c r="T71" i="41"/>
  <c r="T39" i="41"/>
  <c r="T90" i="41"/>
  <c r="T10" i="41"/>
  <c r="T92" i="41"/>
  <c r="T6" i="41"/>
  <c r="T11" i="41"/>
  <c r="T47" i="41"/>
  <c r="T41" i="41"/>
  <c r="R46" i="41"/>
  <c r="R4" i="41"/>
  <c r="R29" i="41"/>
  <c r="R23" i="41"/>
  <c r="R24" i="41"/>
  <c r="R28" i="41"/>
  <c r="R65" i="41"/>
  <c r="R52" i="41"/>
  <c r="R47" i="41"/>
  <c r="R69" i="41"/>
  <c r="R50" i="41"/>
  <c r="R37" i="41"/>
  <c r="R94" i="41"/>
  <c r="R53" i="41"/>
  <c r="R41" i="41"/>
  <c r="R42" i="41"/>
  <c r="R58" i="41"/>
  <c r="R71" i="41"/>
  <c r="R44" i="41"/>
  <c r="R68" i="41"/>
  <c r="R45" i="41"/>
  <c r="R54" i="41"/>
  <c r="R34" i="41"/>
  <c r="R40" i="41"/>
  <c r="R60" i="41"/>
  <c r="R9" i="41"/>
  <c r="R43" i="41"/>
  <c r="R16" i="41"/>
  <c r="R66" i="41"/>
  <c r="R17" i="41"/>
  <c r="R82" i="41"/>
  <c r="R49" i="41"/>
  <c r="R26" i="41"/>
  <c r="R8" i="41"/>
  <c r="R74" i="41"/>
  <c r="R56" i="41"/>
  <c r="R32" i="41"/>
  <c r="R75" i="41"/>
  <c r="R80" i="41"/>
  <c r="R5" i="41"/>
  <c r="R39" i="41"/>
  <c r="R27" i="41"/>
  <c r="R13" i="41"/>
  <c r="R21" i="41"/>
  <c r="R22" i="41"/>
  <c r="R83" i="41"/>
  <c r="R33" i="41"/>
  <c r="R91" i="41"/>
  <c r="R62" i="41"/>
  <c r="R18" i="41"/>
  <c r="R36" i="41"/>
  <c r="R19" i="41"/>
  <c r="R12" i="41"/>
  <c r="R70" i="41"/>
  <c r="R20" i="41"/>
  <c r="R15" i="41"/>
  <c r="R57" i="41"/>
  <c r="R30" i="41"/>
  <c r="R31" i="41"/>
  <c r="R38" i="41"/>
  <c r="R25" i="41"/>
  <c r="R63" i="41"/>
  <c r="R35" i="41"/>
  <c r="R61" i="41"/>
  <c r="R64" i="41"/>
  <c r="R73" i="41"/>
  <c r="R77" i="41"/>
  <c r="R76" i="41"/>
  <c r="R59" i="41"/>
  <c r="R48" i="41"/>
  <c r="R90" i="41"/>
  <c r="R86" i="41"/>
  <c r="R78" i="41"/>
  <c r="R79" i="41"/>
  <c r="R85" i="41"/>
  <c r="R87" i="41"/>
  <c r="R7" i="41"/>
  <c r="R88" i="41"/>
  <c r="R89" i="41"/>
  <c r="R93" i="41"/>
  <c r="R51" i="41"/>
  <c r="R84" i="41"/>
  <c r="R10" i="41"/>
  <c r="R72" i="41"/>
  <c r="R6" i="41"/>
  <c r="R14" i="41"/>
  <c r="R67" i="41"/>
  <c r="R11" i="41"/>
  <c r="R92" i="41"/>
  <c r="R81" i="41"/>
  <c r="R55" i="41"/>
  <c r="P4" i="41"/>
  <c r="P65" i="41"/>
  <c r="P29" i="41"/>
  <c r="P23" i="41"/>
  <c r="P28" i="41"/>
  <c r="P91" i="41"/>
  <c r="P80" i="41"/>
  <c r="P74" i="41"/>
  <c r="P66" i="41"/>
  <c r="P64" i="41"/>
  <c r="P62" i="41"/>
  <c r="P58" i="41"/>
  <c r="P57" i="41"/>
  <c r="P56" i="41"/>
  <c r="P55" i="41"/>
  <c r="P54" i="41"/>
  <c r="P53" i="41"/>
  <c r="P52" i="41"/>
  <c r="P50" i="41"/>
  <c r="P51" i="41"/>
  <c r="P49" i="41"/>
  <c r="P48" i="41"/>
  <c r="P46" i="41"/>
  <c r="P44" i="41"/>
  <c r="P45" i="41"/>
  <c r="P43" i="41"/>
  <c r="P24" i="41"/>
  <c r="P42" i="41"/>
  <c r="P40" i="41"/>
  <c r="P41" i="41"/>
  <c r="P38" i="41"/>
  <c r="P39" i="41"/>
  <c r="P35" i="41"/>
  <c r="P37" i="41"/>
  <c r="P36" i="41"/>
  <c r="P33" i="41"/>
  <c r="P34" i="41"/>
  <c r="P32" i="41"/>
  <c r="P31" i="41"/>
  <c r="P30" i="41"/>
  <c r="P27" i="41"/>
  <c r="P26" i="41"/>
  <c r="P25" i="41"/>
  <c r="P20" i="41"/>
  <c r="P21" i="41"/>
  <c r="P22" i="41"/>
  <c r="P18" i="41"/>
  <c r="P19" i="41"/>
  <c r="P17" i="41"/>
  <c r="P16" i="41"/>
  <c r="P15" i="41"/>
  <c r="P13" i="41"/>
  <c r="P47" i="41"/>
  <c r="P12" i="41"/>
  <c r="P59" i="41"/>
  <c r="P81" i="41"/>
  <c r="P60" i="41"/>
  <c r="P68" i="41"/>
  <c r="P11" i="41"/>
  <c r="P10" i="41"/>
  <c r="P9" i="41"/>
  <c r="P63" i="41"/>
  <c r="P71" i="41"/>
  <c r="P8" i="41"/>
  <c r="P73" i="41"/>
  <c r="P82" i="41"/>
  <c r="P84" i="41"/>
  <c r="P72" i="41"/>
  <c r="P75" i="41"/>
  <c r="P7" i="41"/>
  <c r="P67" i="41"/>
  <c r="P69" i="41"/>
  <c r="P61" i="41"/>
  <c r="P70" i="41"/>
  <c r="P78" i="41"/>
  <c r="P89" i="41"/>
  <c r="P77" i="41"/>
  <c r="P79" i="41"/>
  <c r="P85" i="41"/>
  <c r="P86" i="41"/>
  <c r="P6" i="41"/>
  <c r="P90" i="41"/>
  <c r="P92" i="41"/>
  <c r="P87" i="41"/>
  <c r="P88" i="41"/>
  <c r="P93" i="41"/>
  <c r="P5" i="41"/>
  <c r="P76" i="41"/>
  <c r="P83" i="41"/>
  <c r="P14" i="41"/>
  <c r="P94" i="41"/>
  <c r="N88" i="41"/>
  <c r="N87" i="41"/>
  <c r="N75" i="41"/>
  <c r="N79" i="41"/>
  <c r="N78" i="41"/>
  <c r="N77" i="41"/>
  <c r="N89" i="41"/>
  <c r="N8" i="41"/>
  <c r="N92" i="41"/>
  <c r="L84" i="41"/>
  <c r="L87" i="41"/>
  <c r="J68" i="41"/>
  <c r="J60" i="41"/>
  <c r="J63" i="41"/>
  <c r="J71" i="41"/>
  <c r="J85" i="41"/>
  <c r="J82" i="41"/>
  <c r="J83" i="41"/>
  <c r="J67" i="41"/>
  <c r="J70" i="41"/>
  <c r="J69" i="41"/>
  <c r="J76" i="41"/>
  <c r="J75" i="41"/>
  <c r="J72" i="41"/>
  <c r="J73" i="41"/>
  <c r="J93" i="41"/>
  <c r="J92" i="41"/>
  <c r="J87" i="41"/>
  <c r="J84" i="41"/>
  <c r="J81" i="41"/>
  <c r="J79" i="41"/>
  <c r="J78" i="41"/>
  <c r="J77" i="41"/>
  <c r="J86" i="41"/>
  <c r="J88" i="41"/>
  <c r="J61" i="41"/>
  <c r="J90" i="41"/>
  <c r="J89" i="41"/>
  <c r="J59" i="41"/>
  <c r="J6" i="41"/>
  <c r="J47" i="41"/>
  <c r="J41" i="41"/>
  <c r="J11" i="41"/>
  <c r="J10" i="41"/>
  <c r="H82" i="41"/>
  <c r="H83" i="41"/>
  <c r="H59" i="41"/>
  <c r="H60" i="41"/>
  <c r="H68" i="41"/>
  <c r="H63" i="41"/>
  <c r="H71" i="41"/>
  <c r="H85" i="41"/>
  <c r="H69" i="41"/>
  <c r="H67" i="41"/>
  <c r="H70" i="41"/>
  <c r="H76" i="41"/>
  <c r="H75" i="41"/>
  <c r="H72" i="41"/>
  <c r="H73" i="41"/>
  <c r="H61" i="41"/>
  <c r="H86" i="41"/>
  <c r="H79" i="41"/>
  <c r="H78" i="41"/>
  <c r="H77" i="41"/>
  <c r="H84" i="41"/>
  <c r="H81" i="41"/>
  <c r="H87" i="41"/>
  <c r="H88" i="41"/>
  <c r="H92" i="41"/>
  <c r="H90" i="41"/>
  <c r="H89" i="41"/>
  <c r="H93" i="41"/>
  <c r="H6" i="41"/>
  <c r="H11" i="41"/>
  <c r="H33" i="41"/>
  <c r="H47" i="41"/>
  <c r="H41" i="41"/>
  <c r="H10" i="41"/>
  <c r="F86" i="41"/>
  <c r="F78" i="41"/>
  <c r="F79" i="41"/>
  <c r="F77" i="41"/>
  <c r="F81" i="41"/>
  <c r="F84" i="41"/>
  <c r="F87" i="41"/>
  <c r="F92" i="41"/>
  <c r="F82" i="41"/>
  <c r="F83" i="41"/>
  <c r="F90" i="41"/>
  <c r="F89" i="41"/>
  <c r="F93" i="41"/>
  <c r="F61" i="41"/>
  <c r="F10" i="41"/>
  <c r="F6" i="41"/>
  <c r="F11" i="41"/>
  <c r="F88" i="41"/>
  <c r="F33" i="41"/>
  <c r="F67" i="41"/>
  <c r="F70" i="41"/>
  <c r="F76" i="41"/>
  <c r="F75" i="41"/>
  <c r="F41" i="41"/>
  <c r="F73" i="41"/>
  <c r="F85" i="41"/>
  <c r="Z79" i="39"/>
  <c r="Z80" i="39"/>
  <c r="Z81" i="39"/>
  <c r="Z82" i="39"/>
  <c r="Z83" i="39"/>
  <c r="Z84" i="39"/>
  <c r="Z85" i="39"/>
  <c r="Z86" i="39"/>
  <c r="Z87" i="39"/>
  <c r="Z88" i="39"/>
  <c r="Z89" i="39"/>
  <c r="Z90" i="39"/>
  <c r="Z91" i="39"/>
  <c r="Z92" i="39"/>
  <c r="Z93" i="39"/>
  <c r="Z94" i="39"/>
  <c r="Z78" i="39"/>
  <c r="X5" i="39"/>
  <c r="X75" i="39"/>
  <c r="X43" i="39"/>
  <c r="X50" i="39"/>
  <c r="X69" i="39"/>
  <c r="X41" i="39"/>
  <c r="X53" i="39"/>
  <c r="X30" i="39"/>
  <c r="X58" i="39"/>
  <c r="X48" i="39"/>
  <c r="X71" i="39"/>
  <c r="X6" i="39"/>
  <c r="X25" i="39"/>
  <c r="X68" i="39"/>
  <c r="X34" i="39"/>
  <c r="X66" i="39"/>
  <c r="X45" i="39"/>
  <c r="X78" i="39"/>
  <c r="X47" i="39"/>
  <c r="X60" i="39"/>
  <c r="X40" i="39"/>
  <c r="X38" i="39"/>
  <c r="X52" i="39"/>
  <c r="X37" i="39"/>
  <c r="X44" i="39"/>
  <c r="X7" i="39"/>
  <c r="X22" i="39"/>
  <c r="X54" i="39"/>
  <c r="X20" i="39"/>
  <c r="X8" i="39"/>
  <c r="X61" i="39"/>
  <c r="X9" i="39"/>
  <c r="X76" i="39"/>
  <c r="X10" i="39"/>
  <c r="X12" i="39"/>
  <c r="X11" i="39"/>
  <c r="X89" i="39"/>
  <c r="X83" i="39"/>
  <c r="X64" i="39"/>
  <c r="X13" i="39"/>
  <c r="X26" i="39"/>
  <c r="X14" i="39"/>
  <c r="X31" i="39"/>
  <c r="X36" i="39"/>
  <c r="X49" i="39"/>
  <c r="X70" i="39"/>
  <c r="X33" i="39"/>
  <c r="X86" i="39"/>
  <c r="X35" i="39"/>
  <c r="X15" i="39"/>
  <c r="X16" i="39"/>
  <c r="X80" i="39"/>
  <c r="X46" i="39"/>
  <c r="X94" i="39"/>
  <c r="X63" i="39"/>
  <c r="X17" i="39"/>
  <c r="X21" i="39"/>
  <c r="X55" i="39"/>
  <c r="X51" i="39"/>
  <c r="X39" i="39"/>
  <c r="X18" i="39"/>
  <c r="X81" i="39"/>
  <c r="X73" i="39"/>
  <c r="X74" i="39"/>
  <c r="X4" i="39"/>
  <c r="X57" i="39"/>
  <c r="X42" i="39"/>
  <c r="X56" i="39"/>
  <c r="X79" i="39"/>
  <c r="X87" i="39"/>
  <c r="X88" i="39"/>
  <c r="X19" i="39"/>
  <c r="X84" i="39"/>
  <c r="X59" i="39"/>
  <c r="X85" i="39"/>
  <c r="X77" i="39"/>
  <c r="X91" i="39"/>
  <c r="X92" i="39"/>
  <c r="X62" i="39"/>
  <c r="X72" i="39"/>
  <c r="X93" i="39"/>
  <c r="X67" i="39"/>
  <c r="X82" i="39"/>
  <c r="X90" i="39"/>
  <c r="X27" i="39"/>
  <c r="V43" i="39"/>
  <c r="V50" i="39"/>
  <c r="V69" i="39"/>
  <c r="V53" i="39"/>
  <c r="V58" i="39"/>
  <c r="V48" i="39"/>
  <c r="V30" i="39"/>
  <c r="V6" i="39"/>
  <c r="V25" i="39"/>
  <c r="V71" i="39"/>
  <c r="V41" i="39"/>
  <c r="V68" i="39"/>
  <c r="V34" i="39"/>
  <c r="V45" i="39"/>
  <c r="V60" i="39"/>
  <c r="V40" i="39"/>
  <c r="V47" i="39"/>
  <c r="V66" i="39"/>
  <c r="V38" i="39"/>
  <c r="V75" i="39"/>
  <c r="V52" i="39"/>
  <c r="V37" i="39"/>
  <c r="V22" i="39"/>
  <c r="V20" i="39"/>
  <c r="V44" i="39"/>
  <c r="V8" i="39"/>
  <c r="V7" i="39"/>
  <c r="V54" i="39"/>
  <c r="V10" i="39"/>
  <c r="V12" i="39"/>
  <c r="V11" i="39"/>
  <c r="V13" i="39"/>
  <c r="V14" i="39"/>
  <c r="V64" i="39"/>
  <c r="V31" i="39"/>
  <c r="V26" i="39"/>
  <c r="V21" i="39"/>
  <c r="V9" i="39"/>
  <c r="V36" i="39"/>
  <c r="V70" i="39"/>
  <c r="V49" i="39"/>
  <c r="V78" i="39"/>
  <c r="V15" i="39"/>
  <c r="V16" i="39"/>
  <c r="V33" i="39"/>
  <c r="V35" i="39"/>
  <c r="V17" i="39"/>
  <c r="V80" i="39"/>
  <c r="V46" i="39"/>
  <c r="V55" i="39"/>
  <c r="V51" i="39"/>
  <c r="V63" i="39"/>
  <c r="V61" i="39"/>
  <c r="V83" i="39"/>
  <c r="V39" i="39"/>
  <c r="V4" i="39"/>
  <c r="V76" i="39"/>
  <c r="V42" i="39"/>
  <c r="V89" i="39"/>
  <c r="V79" i="39"/>
  <c r="V27" i="39"/>
  <c r="V19" i="39"/>
  <c r="V73" i="39"/>
  <c r="V74" i="39"/>
  <c r="V87" i="39"/>
  <c r="V88" i="39"/>
  <c r="V86" i="39"/>
  <c r="V56" i="39"/>
  <c r="V81" i="39"/>
  <c r="V59" i="39"/>
  <c r="V94" i="39"/>
  <c r="V85" i="39"/>
  <c r="V18" i="39"/>
  <c r="V77" i="39"/>
  <c r="V84" i="39"/>
  <c r="V57" i="39"/>
  <c r="V92" i="39"/>
  <c r="V62" i="39"/>
  <c r="V82" i="39"/>
  <c r="V72" i="39"/>
  <c r="V93" i="39"/>
  <c r="V67" i="39"/>
  <c r="V91" i="39"/>
  <c r="V90" i="39"/>
  <c r="V5" i="39"/>
  <c r="T68" i="39"/>
  <c r="T83" i="39"/>
  <c r="T94" i="39"/>
  <c r="T84" i="39"/>
  <c r="T86" i="39"/>
  <c r="T92" i="39"/>
  <c r="T85" i="39"/>
  <c r="T71" i="39"/>
  <c r="T64" i="39"/>
  <c r="T89" i="39"/>
  <c r="T82" i="39"/>
  <c r="T91" i="39"/>
  <c r="T93" i="39"/>
  <c r="T90" i="39"/>
  <c r="T76" i="39"/>
  <c r="R32" i="39"/>
  <c r="R5" i="39"/>
  <c r="R24" i="39"/>
  <c r="R29" i="39"/>
  <c r="R23" i="39"/>
  <c r="R28" i="39"/>
  <c r="R65" i="39"/>
  <c r="R50" i="39"/>
  <c r="R69" i="39"/>
  <c r="R53" i="39"/>
  <c r="R58" i="39"/>
  <c r="R48" i="39"/>
  <c r="R6" i="39"/>
  <c r="R41" i="39"/>
  <c r="R30" i="39"/>
  <c r="R25" i="39"/>
  <c r="R71" i="39"/>
  <c r="R34" i="39"/>
  <c r="R68" i="39"/>
  <c r="R47" i="39"/>
  <c r="R45" i="39"/>
  <c r="R38" i="39"/>
  <c r="R37" i="39"/>
  <c r="R60" i="39"/>
  <c r="R40" i="39"/>
  <c r="R52" i="39"/>
  <c r="R66" i="39"/>
  <c r="R22" i="39"/>
  <c r="R8" i="39"/>
  <c r="R44" i="39"/>
  <c r="R75" i="39"/>
  <c r="R7" i="39"/>
  <c r="R13" i="39"/>
  <c r="R54" i="39"/>
  <c r="R10" i="39"/>
  <c r="R12" i="39"/>
  <c r="R11" i="39"/>
  <c r="R14" i="39"/>
  <c r="R20" i="39"/>
  <c r="R64" i="39"/>
  <c r="R9" i="39"/>
  <c r="R31" i="39"/>
  <c r="R49" i="39"/>
  <c r="R36" i="39"/>
  <c r="R16" i="39"/>
  <c r="R21" i="39"/>
  <c r="R15" i="39"/>
  <c r="R35" i="39"/>
  <c r="R33" i="39"/>
  <c r="R51" i="39"/>
  <c r="R70" i="39"/>
  <c r="R46" i="39"/>
  <c r="R39" i="39"/>
  <c r="R55" i="39"/>
  <c r="R17" i="39"/>
  <c r="R4" i="39"/>
  <c r="R42" i="39"/>
  <c r="R19" i="39"/>
  <c r="R57" i="39"/>
  <c r="R63" i="39"/>
  <c r="R27" i="39"/>
  <c r="R83" i="39"/>
  <c r="R61" i="39"/>
  <c r="R56" i="39"/>
  <c r="R76" i="39"/>
  <c r="R80" i="39"/>
  <c r="R78" i="39"/>
  <c r="R59" i="39"/>
  <c r="R73" i="39"/>
  <c r="R74" i="39"/>
  <c r="R18" i="39"/>
  <c r="R89" i="39"/>
  <c r="R86" i="39"/>
  <c r="R79" i="39"/>
  <c r="R81" i="39"/>
  <c r="R85" i="39"/>
  <c r="R62" i="39"/>
  <c r="R87" i="39"/>
  <c r="R88" i="39"/>
  <c r="R94" i="39"/>
  <c r="R92" i="39"/>
  <c r="R77" i="39"/>
  <c r="R84" i="39"/>
  <c r="R72" i="39"/>
  <c r="R82" i="39"/>
  <c r="R93" i="39"/>
  <c r="R43" i="39"/>
  <c r="R67" i="39"/>
  <c r="R90" i="39"/>
  <c r="R91" i="39"/>
  <c r="R26" i="39"/>
  <c r="P89" i="39"/>
  <c r="P91" i="39"/>
  <c r="P87" i="39"/>
  <c r="P88" i="39"/>
  <c r="P92" i="39"/>
  <c r="P20" i="39"/>
  <c r="P78" i="39"/>
  <c r="P43" i="39"/>
  <c r="P93" i="39"/>
  <c r="P32" i="39"/>
  <c r="P65" i="39"/>
  <c r="P29" i="39"/>
  <c r="P28" i="39"/>
  <c r="P16" i="39"/>
  <c r="P14" i="39"/>
  <c r="P24" i="39"/>
  <c r="P54" i="39"/>
  <c r="P22" i="39"/>
  <c r="P56" i="39"/>
  <c r="P15" i="39"/>
  <c r="P21" i="39"/>
  <c r="P25" i="39"/>
  <c r="P4" i="39"/>
  <c r="P13" i="39"/>
  <c r="P10" i="39"/>
  <c r="P45" i="39"/>
  <c r="P6" i="39"/>
  <c r="P50" i="39"/>
  <c r="P53" i="39"/>
  <c r="P77" i="39"/>
  <c r="P18" i="39"/>
  <c r="P44" i="39"/>
  <c r="P5" i="39"/>
  <c r="P34" i="39"/>
  <c r="P47" i="39"/>
  <c r="P52" i="39"/>
  <c r="P23" i="39"/>
  <c r="P30" i="39"/>
  <c r="P37" i="39"/>
  <c r="P41" i="39"/>
  <c r="P39" i="39"/>
  <c r="P19" i="39"/>
  <c r="P64" i="39"/>
  <c r="P27" i="39"/>
  <c r="P58" i="39"/>
  <c r="P35" i="39"/>
  <c r="P36" i="39"/>
  <c r="P38" i="39"/>
  <c r="P12" i="39"/>
  <c r="P11" i="39"/>
  <c r="P42" i="39"/>
  <c r="P17" i="39"/>
  <c r="P9" i="39"/>
  <c r="P7" i="39"/>
  <c r="P57" i="39"/>
  <c r="P46" i="39"/>
  <c r="P49" i="39"/>
  <c r="P26" i="39"/>
  <c r="P33" i="39"/>
  <c r="P8" i="39"/>
  <c r="P75" i="39"/>
  <c r="P66" i="39"/>
  <c r="P55" i="39"/>
  <c r="P31" i="39"/>
  <c r="P51" i="39"/>
  <c r="P59" i="39"/>
  <c r="P83" i="39"/>
  <c r="P60" i="39"/>
  <c r="P68" i="39"/>
  <c r="P90" i="39"/>
  <c r="P82" i="39"/>
  <c r="P40" i="39"/>
  <c r="P63" i="39"/>
  <c r="P71" i="39"/>
  <c r="P76" i="39"/>
  <c r="P84" i="39"/>
  <c r="P72" i="39"/>
  <c r="P73" i="39"/>
  <c r="P74" i="39"/>
  <c r="P62" i="39"/>
  <c r="P67" i="39"/>
  <c r="P69" i="39"/>
  <c r="P61" i="39"/>
  <c r="P70" i="39"/>
  <c r="P79" i="39"/>
  <c r="P94" i="39"/>
  <c r="P80" i="39"/>
  <c r="P81" i="39"/>
  <c r="P85" i="39"/>
  <c r="P86" i="39"/>
  <c r="P48" i="39"/>
  <c r="N79" i="39"/>
  <c r="N80" i="39"/>
  <c r="N94" i="39"/>
  <c r="N4" i="39"/>
  <c r="N81" i="39"/>
  <c r="J72" i="39"/>
  <c r="J76" i="39"/>
  <c r="J92" i="39"/>
  <c r="J91" i="39"/>
  <c r="J84" i="39"/>
  <c r="J83" i="39"/>
  <c r="J81" i="39"/>
  <c r="J79" i="39"/>
  <c r="J80" i="39"/>
  <c r="J86" i="39"/>
  <c r="J87" i="39"/>
  <c r="J88" i="39"/>
  <c r="J61" i="39"/>
  <c r="J89" i="39"/>
  <c r="J94" i="39"/>
  <c r="J78" i="39"/>
  <c r="J41" i="39"/>
  <c r="J90" i="39"/>
  <c r="J68" i="39"/>
  <c r="J60" i="39"/>
  <c r="J63" i="39"/>
  <c r="J71" i="39"/>
  <c r="J85" i="39"/>
  <c r="J73" i="39"/>
  <c r="J74" i="39"/>
  <c r="J75" i="39"/>
  <c r="J67" i="39"/>
  <c r="J70" i="39"/>
  <c r="J69" i="39"/>
  <c r="J93" i="39"/>
  <c r="H67" i="39"/>
  <c r="H70" i="39"/>
  <c r="H78" i="39"/>
  <c r="H72" i="39"/>
  <c r="H76" i="39"/>
  <c r="H61" i="39"/>
  <c r="H86" i="39"/>
  <c r="H81" i="39"/>
  <c r="H79" i="39"/>
  <c r="H80" i="39"/>
  <c r="H84" i="39"/>
  <c r="H83" i="39"/>
  <c r="H87" i="39"/>
  <c r="H88" i="39"/>
  <c r="H91" i="39"/>
  <c r="H89" i="39"/>
  <c r="H93" i="39"/>
  <c r="H94" i="39"/>
  <c r="H92" i="39"/>
  <c r="H69" i="39"/>
  <c r="H73" i="39"/>
  <c r="H74" i="39"/>
  <c r="H82" i="39"/>
  <c r="H36" i="39"/>
  <c r="H41" i="39"/>
  <c r="H90" i="39"/>
  <c r="H59" i="39"/>
  <c r="H60" i="39"/>
  <c r="H68" i="39"/>
  <c r="H63" i="39"/>
  <c r="H71" i="39"/>
  <c r="H75" i="39"/>
  <c r="H85" i="39"/>
  <c r="F92" i="39"/>
  <c r="F94" i="39"/>
  <c r="F82" i="39"/>
  <c r="F73" i="39"/>
  <c r="F74" i="39"/>
  <c r="F90" i="39"/>
  <c r="F36" i="39"/>
  <c r="F67" i="39"/>
  <c r="F70" i="39"/>
  <c r="F78" i="39"/>
  <c r="F41" i="39"/>
  <c r="F76" i="39"/>
  <c r="F61" i="39"/>
  <c r="F86" i="39"/>
  <c r="F79" i="39"/>
  <c r="F81" i="39"/>
  <c r="F80" i="39"/>
  <c r="F83" i="39"/>
  <c r="F84" i="39"/>
  <c r="F87" i="39"/>
  <c r="F88" i="39"/>
  <c r="F91" i="39"/>
  <c r="F89" i="39"/>
  <c r="F93" i="39"/>
  <c r="Z9" i="110"/>
  <c r="Z16" i="110"/>
  <c r="Z17" i="110"/>
  <c r="Z4" i="110"/>
  <c r="Z18" i="110"/>
  <c r="Z7" i="110"/>
  <c r="X86" i="110"/>
  <c r="X85" i="110"/>
  <c r="X77" i="110"/>
  <c r="X83" i="110"/>
  <c r="X82" i="110"/>
  <c r="X81" i="110"/>
  <c r="X14" i="110"/>
  <c r="X70" i="110"/>
  <c r="X79" i="110"/>
  <c r="X78" i="110"/>
  <c r="X13" i="110"/>
  <c r="X76" i="110"/>
  <c r="X71" i="110"/>
  <c r="X75" i="110"/>
  <c r="X47" i="110"/>
  <c r="X72" i="110"/>
  <c r="X74" i="110"/>
  <c r="X73" i="110"/>
  <c r="X69" i="110"/>
  <c r="X68" i="110"/>
  <c r="X66" i="110"/>
  <c r="X67" i="110"/>
  <c r="X63" i="110"/>
  <c r="X61" i="110"/>
  <c r="X65" i="110"/>
  <c r="X60" i="110"/>
  <c r="X64" i="110"/>
  <c r="X62" i="110"/>
  <c r="X36" i="110"/>
  <c r="X52" i="110"/>
  <c r="X10" i="110"/>
  <c r="X15" i="110"/>
  <c r="X59" i="110"/>
  <c r="X58" i="110"/>
  <c r="X9" i="110"/>
  <c r="X11" i="110"/>
  <c r="X12" i="110"/>
  <c r="X57" i="110"/>
  <c r="X54" i="110"/>
  <c r="X56" i="110"/>
  <c r="X55" i="110"/>
  <c r="X51" i="110"/>
  <c r="X48" i="110"/>
  <c r="X49" i="110"/>
  <c r="X50" i="110"/>
  <c r="X44" i="110"/>
  <c r="X8" i="110"/>
  <c r="X43" i="110"/>
  <c r="X46" i="110"/>
  <c r="X45" i="110"/>
  <c r="X41" i="110"/>
  <c r="X40" i="110"/>
  <c r="X7" i="110"/>
  <c r="X37" i="110"/>
  <c r="X53" i="110"/>
  <c r="X42" i="110"/>
  <c r="X39" i="110"/>
  <c r="X38" i="110"/>
  <c r="X31" i="110"/>
  <c r="X26" i="110"/>
  <c r="X35" i="110"/>
  <c r="X32" i="110"/>
  <c r="X34" i="110"/>
  <c r="X27" i="110"/>
  <c r="X33" i="110"/>
  <c r="X30" i="110"/>
  <c r="X28" i="110"/>
  <c r="X29" i="110"/>
  <c r="X24" i="110"/>
  <c r="X5" i="110"/>
  <c r="X25" i="110"/>
  <c r="X6" i="110"/>
  <c r="X23" i="110"/>
  <c r="X17" i="110"/>
  <c r="X4" i="110"/>
  <c r="X22" i="110"/>
  <c r="X19" i="110"/>
  <c r="X18" i="110"/>
  <c r="X21" i="110"/>
  <c r="X20" i="110"/>
  <c r="X16" i="110"/>
  <c r="X87" i="110"/>
  <c r="V86" i="110"/>
  <c r="V85" i="110"/>
  <c r="V84" i="110"/>
  <c r="V15" i="110"/>
  <c r="V83" i="110"/>
  <c r="V82" i="110"/>
  <c r="V81" i="110"/>
  <c r="V80" i="110"/>
  <c r="V79" i="110"/>
  <c r="V70" i="110"/>
  <c r="V78" i="110"/>
  <c r="V14" i="110"/>
  <c r="V77" i="110"/>
  <c r="V13" i="110"/>
  <c r="V76" i="110"/>
  <c r="V75" i="110"/>
  <c r="V74" i="110"/>
  <c r="V73" i="110"/>
  <c r="V72" i="110"/>
  <c r="V71" i="110"/>
  <c r="V69" i="110"/>
  <c r="V68" i="110"/>
  <c r="V67" i="110"/>
  <c r="V66" i="110"/>
  <c r="V65" i="110"/>
  <c r="V64" i="110"/>
  <c r="V63" i="110"/>
  <c r="V62" i="110"/>
  <c r="V61" i="110"/>
  <c r="V60" i="110"/>
  <c r="V59" i="110"/>
  <c r="V58" i="110"/>
  <c r="V57" i="110"/>
  <c r="V56" i="110"/>
  <c r="V12" i="110"/>
  <c r="V55" i="110"/>
  <c r="V54" i="110"/>
  <c r="V53" i="110"/>
  <c r="V52" i="110"/>
  <c r="V51" i="110"/>
  <c r="V50" i="110"/>
  <c r="V48" i="110"/>
  <c r="V49" i="110"/>
  <c r="V47" i="110"/>
  <c r="V46" i="110"/>
  <c r="V45" i="110"/>
  <c r="V44" i="110"/>
  <c r="V43" i="110"/>
  <c r="V42" i="110"/>
  <c r="V41" i="110"/>
  <c r="V40" i="110"/>
  <c r="V39" i="110"/>
  <c r="V38" i="110"/>
  <c r="V37" i="110"/>
  <c r="V36" i="110"/>
  <c r="V11" i="110"/>
  <c r="V35" i="110"/>
  <c r="V10" i="110"/>
  <c r="V34" i="110"/>
  <c r="V9" i="110"/>
  <c r="V33" i="110"/>
  <c r="V32" i="110"/>
  <c r="V31" i="110"/>
  <c r="V30" i="110"/>
  <c r="V29" i="110"/>
  <c r="V28" i="110"/>
  <c r="V8" i="110"/>
  <c r="V27" i="110"/>
  <c r="V26" i="110"/>
  <c r="V25" i="110"/>
  <c r="V24" i="110"/>
  <c r="V7" i="110"/>
  <c r="V6" i="110"/>
  <c r="V23" i="110"/>
  <c r="V5" i="110"/>
  <c r="V4" i="110"/>
  <c r="V22" i="110"/>
  <c r="V19" i="110"/>
  <c r="V21" i="110"/>
  <c r="V18" i="110"/>
  <c r="V20" i="110"/>
  <c r="V17" i="110"/>
  <c r="V16" i="110"/>
  <c r="V87" i="110"/>
  <c r="T17" i="110"/>
  <c r="T18" i="110"/>
  <c r="T16" i="110"/>
  <c r="T15" i="110"/>
  <c r="T19" i="110"/>
  <c r="R89" i="110"/>
  <c r="R93" i="110"/>
  <c r="R88" i="110"/>
  <c r="R91" i="110"/>
  <c r="R90" i="110"/>
  <c r="R92" i="110"/>
  <c r="R85" i="110"/>
  <c r="R15" i="110"/>
  <c r="R84" i="110"/>
  <c r="R83" i="110"/>
  <c r="R82" i="110"/>
  <c r="R81" i="110"/>
  <c r="R79" i="110"/>
  <c r="R77" i="110"/>
  <c r="R80" i="110"/>
  <c r="R70" i="110"/>
  <c r="R78" i="110"/>
  <c r="R14" i="110"/>
  <c r="R76" i="110"/>
  <c r="R13" i="110"/>
  <c r="R67" i="110"/>
  <c r="R72" i="110"/>
  <c r="R75" i="110"/>
  <c r="R69" i="110"/>
  <c r="R66" i="110"/>
  <c r="R74" i="110"/>
  <c r="R73" i="110"/>
  <c r="R68" i="110"/>
  <c r="R71" i="110"/>
  <c r="R65" i="110"/>
  <c r="R62" i="110"/>
  <c r="R63" i="110"/>
  <c r="R61" i="110"/>
  <c r="R57" i="110"/>
  <c r="R60" i="110"/>
  <c r="R59" i="110"/>
  <c r="R58" i="110"/>
  <c r="R56" i="110"/>
  <c r="R64" i="110"/>
  <c r="R12" i="110"/>
  <c r="R52" i="110"/>
  <c r="R55" i="110"/>
  <c r="R48" i="110"/>
  <c r="R49" i="110"/>
  <c r="R51" i="110"/>
  <c r="R45" i="110"/>
  <c r="R53" i="110"/>
  <c r="R46" i="110"/>
  <c r="R54" i="110"/>
  <c r="R43" i="110"/>
  <c r="R44" i="110"/>
  <c r="R38" i="110"/>
  <c r="R50" i="110"/>
  <c r="R40" i="110"/>
  <c r="R39" i="110"/>
  <c r="R42" i="110"/>
  <c r="R35" i="110"/>
  <c r="R34" i="110"/>
  <c r="R29" i="110"/>
  <c r="R32" i="110"/>
  <c r="R37" i="110"/>
  <c r="R30" i="110"/>
  <c r="R11" i="110"/>
  <c r="R36" i="110"/>
  <c r="R27" i="110"/>
  <c r="R10" i="110"/>
  <c r="R41" i="110"/>
  <c r="R47" i="110"/>
  <c r="R25" i="110"/>
  <c r="R9" i="110"/>
  <c r="R24" i="110"/>
  <c r="R8" i="110"/>
  <c r="R33" i="110"/>
  <c r="R26" i="110"/>
  <c r="R6" i="110"/>
  <c r="R31" i="110"/>
  <c r="R22" i="110"/>
  <c r="R28" i="110"/>
  <c r="R7" i="110"/>
  <c r="R4" i="110"/>
  <c r="R23" i="110"/>
  <c r="R5" i="110"/>
  <c r="R19" i="110"/>
  <c r="R21" i="110"/>
  <c r="R18" i="110"/>
  <c r="R86" i="110"/>
  <c r="R20" i="110"/>
  <c r="R16" i="110"/>
  <c r="R17" i="110"/>
  <c r="R87" i="110"/>
  <c r="P54" i="110"/>
  <c r="P47" i="110"/>
  <c r="P92" i="110"/>
  <c r="P93" i="110"/>
  <c r="P88" i="110"/>
  <c r="P90" i="110"/>
  <c r="P45" i="110"/>
  <c r="P56" i="110"/>
  <c r="P89" i="110"/>
  <c r="P60" i="110"/>
  <c r="P65" i="110"/>
  <c r="P27" i="110"/>
  <c r="P46" i="110"/>
  <c r="P53" i="110"/>
  <c r="P78" i="110"/>
  <c r="P35" i="110"/>
  <c r="P57" i="110"/>
  <c r="P70" i="110"/>
  <c r="P59" i="110"/>
  <c r="P75" i="110"/>
  <c r="P79" i="110"/>
  <c r="P85" i="110"/>
  <c r="P83" i="110"/>
  <c r="P23" i="110"/>
  <c r="P24" i="110"/>
  <c r="P63" i="110"/>
  <c r="P87" i="110"/>
  <c r="P76" i="110"/>
  <c r="P72" i="110"/>
  <c r="P68" i="110"/>
  <c r="P91" i="110"/>
  <c r="P80" i="110"/>
  <c r="P66" i="110"/>
  <c r="P77" i="110"/>
  <c r="P29" i="110"/>
  <c r="P12" i="110"/>
  <c r="P30" i="110"/>
  <c r="P82" i="110"/>
  <c r="P43" i="110"/>
  <c r="P51" i="110"/>
  <c r="P69" i="110"/>
  <c r="P58" i="110"/>
  <c r="P34" i="110"/>
  <c r="P42" i="110"/>
  <c r="P52" i="110"/>
  <c r="P61" i="110"/>
  <c r="P32" i="110"/>
  <c r="P40" i="110"/>
  <c r="P48" i="110"/>
  <c r="P49" i="110"/>
  <c r="P44" i="110"/>
  <c r="P62" i="110"/>
  <c r="P71" i="110"/>
  <c r="P39" i="110"/>
  <c r="P55" i="110"/>
  <c r="P15" i="110"/>
  <c r="P38" i="110"/>
  <c r="P25" i="110"/>
  <c r="P11" i="110"/>
  <c r="P74" i="110"/>
  <c r="P13" i="110"/>
  <c r="P16" i="110"/>
  <c r="P19" i="110"/>
  <c r="P73" i="110"/>
  <c r="P37" i="110"/>
  <c r="P14" i="110"/>
  <c r="P10" i="110"/>
  <c r="P5" i="110"/>
  <c r="P21" i="110"/>
  <c r="P67" i="110"/>
  <c r="P22" i="110"/>
  <c r="P20" i="110"/>
  <c r="P84" i="110"/>
  <c r="P36" i="110"/>
  <c r="P50" i="110"/>
  <c r="P33" i="110"/>
  <c r="P7" i="110"/>
  <c r="P41" i="110"/>
  <c r="P26" i="110"/>
  <c r="P6" i="110"/>
  <c r="P8" i="110"/>
  <c r="P86" i="110"/>
  <c r="P18" i="110"/>
  <c r="P9" i="110"/>
  <c r="P17" i="110"/>
  <c r="P31" i="110"/>
  <c r="P28" i="110"/>
  <c r="P4" i="110"/>
  <c r="P64" i="110"/>
  <c r="P81" i="110"/>
  <c r="J7" i="110"/>
  <c r="J15" i="110"/>
  <c r="J77" i="110"/>
  <c r="J16" i="110"/>
  <c r="J25" i="110"/>
  <c r="J13" i="110"/>
  <c r="J74" i="110"/>
  <c r="J37" i="110"/>
  <c r="J14" i="110"/>
  <c r="J6" i="110"/>
  <c r="J20" i="110"/>
  <c r="J50" i="110"/>
  <c r="J84" i="110"/>
  <c r="J47" i="110"/>
  <c r="J67" i="110"/>
  <c r="J10" i="110"/>
  <c r="J21" i="110"/>
  <c r="J4" i="110"/>
  <c r="J17" i="110"/>
  <c r="J31" i="110"/>
  <c r="J5" i="110"/>
  <c r="J11" i="110"/>
  <c r="J33" i="110"/>
  <c r="J26" i="110"/>
  <c r="J41" i="110"/>
  <c r="J8" i="110"/>
  <c r="J28" i="110"/>
  <c r="J36" i="110"/>
  <c r="J9" i="110"/>
  <c r="J18" i="110"/>
  <c r="H5" i="110"/>
  <c r="H11" i="110"/>
  <c r="H31" i="110"/>
  <c r="H28" i="110"/>
  <c r="H17" i="110"/>
  <c r="H9" i="110"/>
  <c r="H18" i="110"/>
  <c r="H7" i="110"/>
  <c r="H4" i="110"/>
  <c r="H41" i="110"/>
  <c r="H15" i="110"/>
  <c r="H77" i="110"/>
  <c r="H16" i="110"/>
  <c r="H25" i="110"/>
  <c r="H74" i="110"/>
  <c r="H13" i="110"/>
  <c r="H37" i="110"/>
  <c r="H14" i="110"/>
  <c r="H6" i="110"/>
  <c r="H84" i="110"/>
  <c r="H20" i="110"/>
  <c r="H50" i="110"/>
  <c r="H47" i="110"/>
  <c r="H67" i="110"/>
  <c r="H21" i="110"/>
  <c r="H10" i="110"/>
  <c r="H36" i="110"/>
  <c r="H8" i="110"/>
  <c r="H26" i="110"/>
  <c r="H33" i="110"/>
  <c r="H51" i="110"/>
  <c r="F18" i="110"/>
  <c r="F4" i="110"/>
  <c r="F16" i="110"/>
  <c r="F51" i="110"/>
  <c r="F77" i="110"/>
  <c r="F47" i="110"/>
  <c r="F10" i="110"/>
  <c r="F33" i="110"/>
  <c r="F28" i="110"/>
  <c r="F41" i="110"/>
  <c r="F7" i="110"/>
  <c r="F8" i="110"/>
  <c r="F9" i="110"/>
  <c r="F36" i="110"/>
  <c r="F31" i="110"/>
  <c r="F20" i="110"/>
  <c r="F17" i="110"/>
  <c r="F11" i="110"/>
  <c r="F50" i="110"/>
  <c r="F67" i="110"/>
  <c r="F26" i="110"/>
  <c r="F5" i="110"/>
  <c r="Z72" i="75"/>
  <c r="Z66" i="75"/>
  <c r="Z71" i="75"/>
  <c r="X40" i="75"/>
  <c r="X84" i="75"/>
  <c r="X52" i="75"/>
  <c r="X8" i="75"/>
  <c r="X11" i="75"/>
  <c r="X57" i="75"/>
  <c r="X27" i="75"/>
  <c r="X77" i="75"/>
  <c r="X43" i="75"/>
  <c r="X16" i="75"/>
  <c r="X78" i="75"/>
  <c r="X41" i="75"/>
  <c r="X56" i="75"/>
  <c r="X12" i="75"/>
  <c r="X59" i="75"/>
  <c r="X36" i="75"/>
  <c r="X75" i="75"/>
  <c r="X24" i="75"/>
  <c r="X9" i="75"/>
  <c r="X48" i="75"/>
  <c r="X38" i="75"/>
  <c r="X76" i="75"/>
  <c r="X32" i="75"/>
  <c r="X4" i="75"/>
  <c r="X23" i="75"/>
  <c r="X19" i="75"/>
  <c r="X53" i="75"/>
  <c r="X54" i="75"/>
  <c r="X67" i="75"/>
  <c r="X20" i="75"/>
  <c r="X58" i="75"/>
  <c r="X79" i="75"/>
  <c r="X34" i="75"/>
  <c r="X42" i="75"/>
  <c r="X65" i="75"/>
  <c r="X73" i="75"/>
  <c r="X39" i="75"/>
  <c r="X26" i="75"/>
  <c r="X29" i="75"/>
  <c r="X10" i="75"/>
  <c r="X13" i="75"/>
  <c r="X37" i="75"/>
  <c r="X50" i="75"/>
  <c r="X74" i="75"/>
  <c r="X28" i="75"/>
  <c r="X64" i="75"/>
  <c r="X30" i="75"/>
  <c r="X25" i="75"/>
  <c r="X17" i="75"/>
  <c r="X62" i="75"/>
  <c r="X31" i="75"/>
  <c r="X63" i="75"/>
  <c r="X82" i="75"/>
  <c r="X45" i="75"/>
  <c r="X44" i="75"/>
  <c r="X33" i="75"/>
  <c r="X49" i="75"/>
  <c r="X61" i="75"/>
  <c r="X86" i="75"/>
  <c r="X68" i="75"/>
  <c r="X83" i="75"/>
  <c r="X35" i="75"/>
  <c r="X46" i="75"/>
  <c r="X47" i="75"/>
  <c r="X22" i="75"/>
  <c r="X60" i="75"/>
  <c r="X7" i="75"/>
  <c r="X6" i="75"/>
  <c r="X5" i="75"/>
  <c r="X85" i="75"/>
  <c r="X80" i="75"/>
  <c r="X70" i="75"/>
  <c r="X21" i="75"/>
  <c r="X72" i="75"/>
  <c r="X51" i="75"/>
  <c r="X14" i="75"/>
  <c r="X66" i="75"/>
  <c r="X81" i="75"/>
  <c r="X69" i="75"/>
  <c r="X71" i="75"/>
  <c r="X15" i="75"/>
  <c r="X18" i="75"/>
  <c r="V18" i="75"/>
  <c r="V40" i="75"/>
  <c r="V84" i="75"/>
  <c r="V79" i="75"/>
  <c r="V8" i="75"/>
  <c r="V57" i="75"/>
  <c r="V27" i="75"/>
  <c r="V11" i="75"/>
  <c r="V43" i="75"/>
  <c r="V16" i="75"/>
  <c r="V77" i="75"/>
  <c r="V52" i="75"/>
  <c r="V78" i="75"/>
  <c r="V41" i="75"/>
  <c r="V12" i="75"/>
  <c r="V75" i="75"/>
  <c r="V24" i="75"/>
  <c r="V36" i="75"/>
  <c r="V56" i="75"/>
  <c r="V9" i="75"/>
  <c r="V48" i="75"/>
  <c r="V76" i="75"/>
  <c r="V38" i="75"/>
  <c r="V23" i="75"/>
  <c r="V53" i="75"/>
  <c r="V32" i="75"/>
  <c r="V54" i="75"/>
  <c r="V4" i="75"/>
  <c r="V19" i="75"/>
  <c r="V34" i="75"/>
  <c r="V42" i="75"/>
  <c r="V10" i="75"/>
  <c r="V26" i="75"/>
  <c r="V39" i="75"/>
  <c r="V13" i="75"/>
  <c r="V29" i="75"/>
  <c r="V20" i="75"/>
  <c r="V37" i="75"/>
  <c r="V74" i="75"/>
  <c r="V55" i="75"/>
  <c r="V50" i="75"/>
  <c r="V59" i="75"/>
  <c r="V25" i="75"/>
  <c r="V17" i="75"/>
  <c r="V28" i="75"/>
  <c r="V30" i="75"/>
  <c r="V45" i="75"/>
  <c r="V44" i="75"/>
  <c r="V62" i="75"/>
  <c r="V31" i="75"/>
  <c r="V33" i="75"/>
  <c r="V49" i="75"/>
  <c r="V86" i="75"/>
  <c r="V82" i="75"/>
  <c r="V67" i="75"/>
  <c r="V73" i="75"/>
  <c r="V35" i="75"/>
  <c r="V58" i="75"/>
  <c r="V47" i="75"/>
  <c r="V65" i="75"/>
  <c r="V60" i="75"/>
  <c r="V46" i="75"/>
  <c r="V68" i="75"/>
  <c r="V7" i="75"/>
  <c r="V6" i="75"/>
  <c r="V64" i="75"/>
  <c r="V22" i="75"/>
  <c r="V83" i="75"/>
  <c r="V80" i="75"/>
  <c r="V5" i="75"/>
  <c r="V63" i="75"/>
  <c r="V70" i="75"/>
  <c r="V21" i="75"/>
  <c r="V85" i="75"/>
  <c r="V72" i="75"/>
  <c r="V51" i="75"/>
  <c r="V14" i="75"/>
  <c r="V81" i="75"/>
  <c r="V66" i="75"/>
  <c r="V69" i="75"/>
  <c r="V71" i="75"/>
  <c r="V15" i="75"/>
  <c r="V61" i="75"/>
  <c r="T66" i="75"/>
  <c r="T15" i="75"/>
  <c r="T79" i="75"/>
  <c r="T71" i="75"/>
  <c r="R90" i="75"/>
  <c r="R91" i="75"/>
  <c r="R89" i="75"/>
  <c r="R92" i="75"/>
  <c r="R88" i="75"/>
  <c r="R87" i="75"/>
  <c r="R40" i="75"/>
  <c r="R79" i="75"/>
  <c r="R84" i="75"/>
  <c r="R8" i="75"/>
  <c r="R57" i="75"/>
  <c r="R27" i="75"/>
  <c r="R43" i="75"/>
  <c r="R52" i="75"/>
  <c r="R11" i="75"/>
  <c r="R16" i="75"/>
  <c r="R77" i="75"/>
  <c r="R41" i="75"/>
  <c r="R78" i="75"/>
  <c r="R36" i="75"/>
  <c r="R12" i="75"/>
  <c r="R9" i="75"/>
  <c r="R38" i="75"/>
  <c r="R75" i="75"/>
  <c r="R24" i="75"/>
  <c r="R48" i="75"/>
  <c r="R56" i="75"/>
  <c r="R23" i="75"/>
  <c r="R54" i="75"/>
  <c r="R32" i="75"/>
  <c r="R4" i="75"/>
  <c r="R26" i="75"/>
  <c r="R19" i="75"/>
  <c r="R34" i="75"/>
  <c r="R42" i="75"/>
  <c r="R76" i="75"/>
  <c r="R10" i="75"/>
  <c r="R53" i="75"/>
  <c r="R39" i="75"/>
  <c r="R20" i="75"/>
  <c r="R13" i="75"/>
  <c r="R55" i="75"/>
  <c r="R50" i="75"/>
  <c r="R37" i="75"/>
  <c r="R17" i="75"/>
  <c r="R25" i="75"/>
  <c r="R29" i="75"/>
  <c r="R30" i="75"/>
  <c r="R28" i="75"/>
  <c r="R86" i="75"/>
  <c r="R74" i="75"/>
  <c r="R31" i="75"/>
  <c r="R33" i="75"/>
  <c r="R49" i="75"/>
  <c r="R45" i="75"/>
  <c r="R44" i="75"/>
  <c r="R35" i="75"/>
  <c r="R47" i="75"/>
  <c r="R6" i="75"/>
  <c r="R46" i="75"/>
  <c r="R82" i="75"/>
  <c r="R7" i="75"/>
  <c r="R73" i="75"/>
  <c r="R67" i="75"/>
  <c r="R22" i="75"/>
  <c r="R58" i="75"/>
  <c r="R62" i="75"/>
  <c r="R59" i="75"/>
  <c r="R80" i="75"/>
  <c r="R65" i="75"/>
  <c r="R5" i="75"/>
  <c r="R64" i="75"/>
  <c r="R60" i="75"/>
  <c r="R83" i="75"/>
  <c r="R70" i="75"/>
  <c r="R68" i="75"/>
  <c r="R51" i="75"/>
  <c r="R61" i="75"/>
  <c r="R63" i="75"/>
  <c r="R72" i="75"/>
  <c r="R21" i="75"/>
  <c r="R85" i="75"/>
  <c r="R14" i="75"/>
  <c r="R81" i="75"/>
  <c r="R66" i="75"/>
  <c r="R69" i="75"/>
  <c r="R15" i="75"/>
  <c r="R71" i="75"/>
  <c r="R18" i="75"/>
  <c r="P7" i="75"/>
  <c r="P90" i="75"/>
  <c r="P87" i="75"/>
  <c r="P91" i="75"/>
  <c r="P89" i="75"/>
  <c r="P88" i="75"/>
  <c r="P17" i="75"/>
  <c r="P19" i="75"/>
  <c r="P23" i="75"/>
  <c r="P22" i="75"/>
  <c r="P25" i="75"/>
  <c r="P16" i="75"/>
  <c r="P45" i="75"/>
  <c r="P35" i="75"/>
  <c r="P26" i="75"/>
  <c r="P34" i="75"/>
  <c r="P12" i="75"/>
  <c r="P43" i="75"/>
  <c r="P40" i="75"/>
  <c r="P21" i="75"/>
  <c r="P5" i="75"/>
  <c r="P10" i="75"/>
  <c r="P32" i="75"/>
  <c r="P8" i="75"/>
  <c r="P18" i="75"/>
  <c r="P41" i="75"/>
  <c r="P36" i="75"/>
  <c r="P48" i="75"/>
  <c r="P92" i="75"/>
  <c r="P11" i="75"/>
  <c r="P38" i="75"/>
  <c r="P52" i="75"/>
  <c r="P6" i="75"/>
  <c r="P39" i="75"/>
  <c r="P57" i="75"/>
  <c r="P30" i="75"/>
  <c r="P37" i="75"/>
  <c r="P9" i="75"/>
  <c r="P42" i="75"/>
  <c r="P47" i="75"/>
  <c r="P44" i="75"/>
  <c r="P20" i="75"/>
  <c r="P4" i="75"/>
  <c r="P46" i="75"/>
  <c r="P31" i="75"/>
  <c r="P55" i="75"/>
  <c r="P50" i="75"/>
  <c r="P29" i="75"/>
  <c r="P28" i="75"/>
  <c r="P54" i="75"/>
  <c r="P56" i="75"/>
  <c r="P33" i="75"/>
  <c r="P49" i="75"/>
  <c r="P13" i="75"/>
  <c r="P79" i="75"/>
  <c r="P86" i="75"/>
  <c r="P80" i="75"/>
  <c r="P73" i="75"/>
  <c r="P75" i="75"/>
  <c r="P78" i="75"/>
  <c r="P15" i="75"/>
  <c r="P14" i="75"/>
  <c r="P24" i="75"/>
  <c r="P82" i="75"/>
  <c r="P77" i="75"/>
  <c r="P58" i="75"/>
  <c r="P85" i="75"/>
  <c r="P81" i="75"/>
  <c r="P76" i="75"/>
  <c r="P51" i="75"/>
  <c r="P69" i="75"/>
  <c r="P84" i="75"/>
  <c r="P67" i="75"/>
  <c r="P74" i="75"/>
  <c r="P60" i="75"/>
  <c r="P63" i="75"/>
  <c r="P62" i="75"/>
  <c r="P83" i="75"/>
  <c r="P70" i="75"/>
  <c r="P64" i="75"/>
  <c r="P66" i="75"/>
  <c r="P65" i="75"/>
  <c r="P68" i="75"/>
  <c r="P71" i="75"/>
  <c r="P72" i="75"/>
  <c r="P53" i="75"/>
  <c r="P61" i="75"/>
  <c r="P59" i="75"/>
  <c r="P27" i="75"/>
  <c r="L6" i="75"/>
  <c r="L10" i="75"/>
  <c r="L17" i="75"/>
  <c r="L18" i="75"/>
  <c r="L19" i="75"/>
  <c r="L20" i="75"/>
  <c r="L23" i="75"/>
  <c r="L25" i="75"/>
  <c r="L26" i="75"/>
  <c r="L34" i="75"/>
  <c r="L35" i="75"/>
  <c r="L36" i="75"/>
  <c r="L38" i="75"/>
  <c r="L42" i="75"/>
  <c r="L43" i="75"/>
  <c r="L44" i="75"/>
  <c r="L45" i="75"/>
  <c r="L51" i="75"/>
  <c r="L54" i="75"/>
  <c r="L53" i="75"/>
  <c r="L86" i="75"/>
  <c r="L57" i="75"/>
  <c r="L91" i="75"/>
  <c r="L47" i="75"/>
  <c r="L16" i="75"/>
  <c r="L13" i="75"/>
  <c r="L92" i="75"/>
  <c r="L56" i="75"/>
  <c r="L41" i="75"/>
  <c r="L24" i="75"/>
  <c r="L48" i="75"/>
  <c r="L11" i="75"/>
  <c r="L12" i="75"/>
  <c r="L21" i="75"/>
  <c r="L37" i="75"/>
  <c r="L55" i="75"/>
  <c r="L33" i="75"/>
  <c r="L49" i="75"/>
  <c r="L27" i="75"/>
  <c r="L8" i="75"/>
  <c r="L7" i="75"/>
  <c r="L39" i="75"/>
  <c r="L32" i="75"/>
  <c r="L30" i="75"/>
  <c r="L46" i="75"/>
  <c r="L9" i="75"/>
  <c r="L31" i="75"/>
  <c r="L40" i="75"/>
  <c r="L87" i="75"/>
  <c r="L88" i="75"/>
  <c r="L89" i="75"/>
  <c r="L90" i="75"/>
  <c r="L50" i="75"/>
  <c r="L14" i="75"/>
  <c r="L66" i="75"/>
  <c r="L79" i="75"/>
  <c r="L15" i="75"/>
  <c r="L80" i="75"/>
  <c r="L78" i="75"/>
  <c r="L75" i="75"/>
  <c r="L82" i="75"/>
  <c r="L77" i="75"/>
  <c r="L69" i="75"/>
  <c r="L74" i="75"/>
  <c r="L81" i="75"/>
  <c r="L72" i="75"/>
  <c r="L85" i="75"/>
  <c r="L73" i="75"/>
  <c r="L65" i="75"/>
  <c r="L52" i="75"/>
  <c r="L84" i="75"/>
  <c r="L83" i="75"/>
  <c r="L5" i="75"/>
  <c r="L58" i="75"/>
  <c r="L64" i="75"/>
  <c r="L22" i="75"/>
  <c r="L29" i="75"/>
  <c r="L28" i="75"/>
  <c r="L76" i="75"/>
  <c r="L71" i="75"/>
  <c r="L60" i="75"/>
  <c r="L62" i="75"/>
  <c r="L67" i="75"/>
  <c r="L70" i="75"/>
  <c r="L59" i="75"/>
  <c r="L68" i="75"/>
  <c r="L61" i="75"/>
  <c r="L63" i="75"/>
  <c r="L4" i="75"/>
  <c r="J79" i="75"/>
  <c r="J52" i="75"/>
  <c r="J15" i="75"/>
  <c r="J80" i="75"/>
  <c r="J78" i="75"/>
  <c r="J75" i="75"/>
  <c r="J82" i="75"/>
  <c r="J77" i="75"/>
  <c r="J70" i="75"/>
  <c r="J69" i="75"/>
  <c r="J74" i="75"/>
  <c r="J84" i="75"/>
  <c r="J59" i="75"/>
  <c r="J76" i="75"/>
  <c r="J58" i="75"/>
  <c r="J81" i="75"/>
  <c r="J72" i="75"/>
  <c r="J68" i="75"/>
  <c r="J71" i="75"/>
  <c r="J85" i="75"/>
  <c r="J73" i="75"/>
  <c r="J83" i="75"/>
  <c r="J60" i="75"/>
  <c r="J62" i="75"/>
  <c r="J61" i="75"/>
  <c r="J64" i="75"/>
  <c r="J67" i="75"/>
  <c r="J65" i="75"/>
  <c r="J63" i="75"/>
  <c r="J66" i="75"/>
  <c r="J6" i="75"/>
  <c r="J10" i="75"/>
  <c r="J17" i="75"/>
  <c r="J18" i="75"/>
  <c r="J19" i="75"/>
  <c r="J20" i="75"/>
  <c r="J23" i="75"/>
  <c r="J25" i="75"/>
  <c r="J26" i="75"/>
  <c r="J34" i="75"/>
  <c r="J35" i="75"/>
  <c r="J36" i="75"/>
  <c r="J38" i="75"/>
  <c r="J42" i="75"/>
  <c r="J43" i="75"/>
  <c r="J44" i="75"/>
  <c r="J45" i="75"/>
  <c r="J51" i="75"/>
  <c r="J54" i="75"/>
  <c r="J53" i="75"/>
  <c r="J86" i="75"/>
  <c r="J57" i="75"/>
  <c r="J91" i="75"/>
  <c r="J47" i="75"/>
  <c r="J16" i="75"/>
  <c r="J13" i="75"/>
  <c r="J92" i="75"/>
  <c r="J56" i="75"/>
  <c r="J41" i="75"/>
  <c r="J24" i="75"/>
  <c r="J48" i="75"/>
  <c r="J11" i="75"/>
  <c r="J12" i="75"/>
  <c r="J21" i="75"/>
  <c r="J37" i="75"/>
  <c r="J55" i="75"/>
  <c r="J33" i="75"/>
  <c r="J49" i="75"/>
  <c r="J27" i="75"/>
  <c r="J8" i="75"/>
  <c r="J7" i="75"/>
  <c r="J39" i="75"/>
  <c r="J32" i="75"/>
  <c r="J30" i="75"/>
  <c r="J29" i="75"/>
  <c r="J46" i="75"/>
  <c r="J9" i="75"/>
  <c r="J31" i="75"/>
  <c r="J40" i="75"/>
  <c r="J28" i="75"/>
  <c r="J22" i="75"/>
  <c r="J87" i="75"/>
  <c r="J88" i="75"/>
  <c r="J89" i="75"/>
  <c r="J90" i="75"/>
  <c r="J50" i="75"/>
  <c r="J5" i="75"/>
  <c r="J14" i="75"/>
  <c r="J4" i="75"/>
  <c r="H72" i="75"/>
  <c r="H15" i="75"/>
  <c r="H80" i="75"/>
  <c r="H75" i="75"/>
  <c r="H78" i="75"/>
  <c r="H82" i="75"/>
  <c r="H77" i="75"/>
  <c r="H84" i="75"/>
  <c r="H74" i="75"/>
  <c r="H76" i="75"/>
  <c r="H81" i="75"/>
  <c r="H83" i="75"/>
  <c r="H85" i="75"/>
  <c r="H73" i="75"/>
  <c r="H71" i="75"/>
  <c r="H79" i="75"/>
  <c r="H6" i="75"/>
  <c r="H7" i="75"/>
  <c r="H10" i="75"/>
  <c r="H17" i="75"/>
  <c r="H18" i="75"/>
  <c r="H19" i="75"/>
  <c r="H20" i="75"/>
  <c r="H23" i="75"/>
  <c r="H25" i="75"/>
  <c r="H26" i="75"/>
  <c r="H86" i="75"/>
  <c r="H91" i="75"/>
  <c r="H16" i="75"/>
  <c r="H13" i="75"/>
  <c r="H30" i="75"/>
  <c r="H87" i="75"/>
  <c r="H88" i="75"/>
  <c r="H92" i="75"/>
  <c r="H29" i="75"/>
  <c r="H89" i="75"/>
  <c r="H9" i="75"/>
  <c r="H90" i="75"/>
  <c r="H22" i="75"/>
  <c r="H24" i="75"/>
  <c r="H28" i="75"/>
  <c r="H11" i="75"/>
  <c r="H12" i="75"/>
  <c r="H27" i="75"/>
  <c r="H8" i="75"/>
  <c r="H21" i="75"/>
  <c r="H5" i="75"/>
  <c r="H14" i="75"/>
  <c r="H4" i="75"/>
  <c r="D5" i="75"/>
  <c r="D6" i="75"/>
  <c r="D9" i="50"/>
  <c r="D5" i="50"/>
  <c r="D41" i="50"/>
  <c r="D45" i="50"/>
  <c r="D43" i="50"/>
  <c r="D39" i="50"/>
  <c r="D38" i="50"/>
  <c r="D50" i="50"/>
  <c r="D42" i="50"/>
  <c r="D44" i="50"/>
  <c r="D46" i="50"/>
  <c r="D47" i="50"/>
  <c r="D36" i="50"/>
  <c r="D40" i="50"/>
  <c r="D49" i="50"/>
  <c r="D37" i="50"/>
  <c r="D34" i="50"/>
  <c r="D48" i="50"/>
  <c r="D31" i="50"/>
  <c r="D32" i="50"/>
  <c r="D35" i="50"/>
  <c r="D51" i="50"/>
  <c r="D52" i="50"/>
  <c r="D53" i="50"/>
  <c r="D54" i="50"/>
  <c r="D55" i="50"/>
  <c r="D33" i="50"/>
  <c r="D6" i="50"/>
  <c r="D7" i="50"/>
  <c r="D8" i="50"/>
  <c r="D10" i="50"/>
  <c r="D11" i="50"/>
  <c r="D12" i="50"/>
  <c r="D13" i="50"/>
  <c r="D14" i="50"/>
  <c r="D15" i="50"/>
  <c r="D16" i="50"/>
  <c r="D17" i="50"/>
  <c r="D18" i="50"/>
  <c r="D19" i="50"/>
  <c r="D20" i="50"/>
  <c r="D21" i="50"/>
  <c r="D22" i="50"/>
  <c r="D23" i="50"/>
  <c r="D24" i="50"/>
  <c r="D25" i="50"/>
  <c r="D26" i="50"/>
  <c r="D27" i="50"/>
  <c r="D28" i="50"/>
  <c r="D29" i="50"/>
  <c r="D30" i="50"/>
  <c r="D12" i="76"/>
  <c r="D17" i="76"/>
  <c r="D18" i="76"/>
  <c r="D19" i="76"/>
  <c r="D25" i="76"/>
  <c r="D27" i="76"/>
  <c r="D30" i="76"/>
  <c r="D31" i="76"/>
  <c r="D32" i="76"/>
  <c r="D33" i="76"/>
  <c r="D39" i="76"/>
  <c r="D42" i="76"/>
  <c r="D45" i="76"/>
  <c r="D51" i="76"/>
  <c r="D52" i="76"/>
  <c r="D55" i="76"/>
  <c r="D56" i="76"/>
  <c r="D57" i="76"/>
  <c r="D62" i="76"/>
  <c r="D63" i="76"/>
  <c r="D64" i="76"/>
  <c r="D65" i="76"/>
  <c r="D66" i="76"/>
  <c r="D67" i="76"/>
  <c r="D69" i="76"/>
  <c r="D70" i="76"/>
  <c r="D73" i="76"/>
  <c r="D71" i="76"/>
  <c r="D72" i="76"/>
  <c r="D74" i="76"/>
  <c r="D80" i="76"/>
  <c r="D84" i="76"/>
  <c r="D86" i="76"/>
  <c r="D90" i="76"/>
  <c r="D91" i="76"/>
  <c r="D98" i="76"/>
  <c r="D99" i="76"/>
  <c r="D101" i="76"/>
  <c r="D102" i="76"/>
  <c r="D113" i="76"/>
  <c r="D115" i="76"/>
  <c r="D116" i="76"/>
  <c r="D121" i="76"/>
  <c r="D125" i="76"/>
  <c r="D126" i="76"/>
  <c r="D127" i="76"/>
  <c r="D130" i="76"/>
  <c r="D131" i="76"/>
  <c r="D132" i="76"/>
  <c r="D134" i="76"/>
  <c r="D137" i="76"/>
  <c r="D139" i="76"/>
  <c r="D140" i="76"/>
  <c r="D133" i="76"/>
  <c r="D141" i="76"/>
  <c r="D13" i="76"/>
  <c r="D14" i="76"/>
  <c r="D15" i="76"/>
  <c r="D20" i="76"/>
  <c r="D28" i="76"/>
  <c r="D37" i="76"/>
  <c r="D40" i="76"/>
  <c r="D41" i="76"/>
  <c r="D46" i="76"/>
  <c r="D49" i="76"/>
  <c r="D47" i="76"/>
  <c r="D53" i="76"/>
  <c r="D54" i="76"/>
  <c r="D75" i="76"/>
  <c r="D78" i="76"/>
  <c r="D79" i="76"/>
  <c r="D82" i="76"/>
  <c r="D94" i="76"/>
  <c r="D96" i="76"/>
  <c r="D97" i="76"/>
  <c r="D103" i="76"/>
  <c r="D114" i="76"/>
  <c r="D112" i="76"/>
  <c r="D122" i="76"/>
  <c r="D124" i="76"/>
  <c r="D119" i="76"/>
  <c r="D138" i="76"/>
  <c r="D104" i="76"/>
  <c r="D105" i="76"/>
  <c r="D106" i="76"/>
  <c r="D107" i="76"/>
  <c r="D108" i="76"/>
  <c r="D109" i="76"/>
  <c r="D34" i="76"/>
  <c r="D135" i="76"/>
  <c r="D11" i="76"/>
  <c r="D16" i="76"/>
  <c r="D22" i="76"/>
  <c r="D23" i="76"/>
  <c r="D24" i="76"/>
  <c r="D26" i="76"/>
  <c r="D29" i="76"/>
  <c r="D36" i="76"/>
  <c r="D35" i="76"/>
  <c r="D43" i="76"/>
  <c r="D50" i="76"/>
  <c r="D77" i="76"/>
  <c r="D81" i="76"/>
  <c r="D85" i="76"/>
  <c r="D92" i="76"/>
  <c r="D93" i="76"/>
  <c r="D95" i="76"/>
  <c r="D110" i="76"/>
  <c r="D111" i="76"/>
  <c r="D120" i="76"/>
  <c r="D123" i="76"/>
  <c r="D9" i="76"/>
  <c r="D5" i="76"/>
  <c r="D6" i="76"/>
  <c r="D38" i="76"/>
  <c r="D21" i="76"/>
  <c r="D48" i="76"/>
  <c r="D44" i="76"/>
  <c r="D58" i="76"/>
  <c r="D60" i="76"/>
  <c r="D68" i="76"/>
  <c r="D76" i="76"/>
  <c r="D136" i="76"/>
  <c r="D83" i="76"/>
  <c r="D87" i="76"/>
  <c r="D89" i="76"/>
  <c r="D10" i="76"/>
  <c r="D100" i="76"/>
  <c r="D117" i="76"/>
  <c r="D118" i="76"/>
  <c r="D129" i="76"/>
  <c r="D61" i="76"/>
  <c r="D59" i="76"/>
  <c r="D88" i="76"/>
  <c r="D8" i="76"/>
  <c r="D128" i="76"/>
  <c r="D7" i="76"/>
  <c r="D36" i="122"/>
  <c r="D33" i="122"/>
  <c r="D6" i="122"/>
  <c r="D7" i="122"/>
  <c r="D8" i="122"/>
  <c r="D9" i="122"/>
  <c r="D10" i="122"/>
  <c r="D11" i="122"/>
  <c r="D5" i="122"/>
  <c r="D18" i="116"/>
  <c r="D15" i="116"/>
  <c r="D6" i="116"/>
  <c r="D7" i="116"/>
  <c r="D8" i="116"/>
  <c r="D5" i="116"/>
  <c r="C25" i="116" s="1"/>
  <c r="C13" i="51"/>
  <c r="C14" i="51"/>
  <c r="C4" i="51"/>
  <c r="C5" i="51"/>
  <c r="C6" i="51"/>
  <c r="C7" i="51"/>
  <c r="C8" i="51"/>
  <c r="C9" i="51"/>
  <c r="C10" i="51"/>
  <c r="C11" i="51"/>
  <c r="C12" i="51"/>
  <c r="C15" i="51"/>
  <c r="C16" i="51"/>
  <c r="C17" i="51"/>
  <c r="C18" i="51"/>
  <c r="C19" i="51"/>
  <c r="C20" i="51"/>
  <c r="C21" i="51"/>
  <c r="C22" i="51"/>
  <c r="C23" i="51"/>
  <c r="C24" i="51"/>
  <c r="C25" i="51"/>
  <c r="C3" i="51"/>
  <c r="D6" i="108"/>
  <c r="D7" i="108"/>
  <c r="D8" i="108"/>
  <c r="D9" i="108"/>
  <c r="D10" i="108"/>
  <c r="D11" i="108"/>
  <c r="D12" i="108"/>
  <c r="D13" i="108"/>
  <c r="D14" i="108"/>
  <c r="D15" i="108"/>
  <c r="D16" i="108"/>
  <c r="D17" i="108"/>
  <c r="D18" i="108"/>
  <c r="D19" i="108"/>
  <c r="D20" i="108"/>
  <c r="D21" i="108"/>
  <c r="D22" i="108"/>
  <c r="D23" i="108"/>
  <c r="D24" i="108"/>
  <c r="D25" i="108"/>
  <c r="D26" i="108"/>
  <c r="D27" i="108"/>
  <c r="D28" i="108"/>
  <c r="D29" i="108"/>
  <c r="D30" i="108"/>
  <c r="D31" i="108"/>
  <c r="D32" i="108"/>
  <c r="D33" i="108"/>
  <c r="D34" i="108"/>
  <c r="D35" i="108"/>
  <c r="D36" i="108"/>
  <c r="D37" i="108"/>
  <c r="D38" i="108"/>
  <c r="D39" i="108"/>
  <c r="D40" i="108"/>
  <c r="D41" i="108"/>
  <c r="D42" i="108"/>
  <c r="D43" i="108"/>
  <c r="D44" i="108"/>
  <c r="D45" i="108"/>
  <c r="D46" i="108"/>
  <c r="D47" i="108"/>
  <c r="D48" i="108"/>
  <c r="D49" i="108"/>
  <c r="D50" i="108"/>
  <c r="D51" i="108"/>
  <c r="D52" i="108"/>
  <c r="D53" i="108"/>
  <c r="D54" i="108"/>
  <c r="D55" i="108"/>
  <c r="D56" i="108"/>
  <c r="D57" i="108"/>
  <c r="D58" i="108"/>
  <c r="D59" i="108"/>
  <c r="D60" i="108"/>
  <c r="D61" i="108"/>
  <c r="D62" i="108"/>
  <c r="D63" i="108"/>
  <c r="D64" i="108"/>
  <c r="D65" i="108"/>
  <c r="D66" i="108"/>
  <c r="D67" i="108"/>
  <c r="D68" i="108"/>
  <c r="D69" i="108"/>
  <c r="D70" i="108"/>
  <c r="D71" i="108"/>
  <c r="D72" i="108"/>
  <c r="D73" i="108"/>
  <c r="D74" i="108"/>
  <c r="D75" i="108"/>
  <c r="D76" i="108"/>
  <c r="D77" i="108"/>
  <c r="D78" i="108"/>
  <c r="D79" i="108"/>
  <c r="D80" i="108"/>
  <c r="D81" i="108"/>
  <c r="D82" i="108"/>
  <c r="D83" i="108"/>
  <c r="D84" i="108"/>
  <c r="D85" i="108"/>
  <c r="D86" i="108"/>
  <c r="D87" i="108"/>
  <c r="D88" i="108"/>
  <c r="D89" i="108"/>
  <c r="D90" i="108"/>
  <c r="D91" i="108"/>
  <c r="D92" i="108"/>
  <c r="D93" i="108"/>
  <c r="D94" i="108"/>
  <c r="D95" i="108"/>
  <c r="D5" i="108"/>
  <c r="D6" i="107"/>
  <c r="D7" i="107"/>
  <c r="D8" i="107"/>
  <c r="D9" i="107"/>
  <c r="D10" i="107"/>
  <c r="D11" i="107"/>
  <c r="D12" i="107"/>
  <c r="D13" i="107"/>
  <c r="D14" i="107"/>
  <c r="D15" i="107"/>
  <c r="D16" i="107"/>
  <c r="D17" i="107"/>
  <c r="D18" i="107"/>
  <c r="D19" i="107"/>
  <c r="D20" i="107"/>
  <c r="D21" i="107"/>
  <c r="D22" i="107"/>
  <c r="D23" i="107"/>
  <c r="D24" i="107"/>
  <c r="D25" i="107"/>
  <c r="D26" i="107"/>
  <c r="D27" i="107"/>
  <c r="D28" i="107"/>
  <c r="D29" i="107"/>
  <c r="D30" i="107"/>
  <c r="D31" i="107"/>
  <c r="D32" i="107"/>
  <c r="D33" i="107"/>
  <c r="D34" i="107"/>
  <c r="D35" i="107"/>
  <c r="D36" i="107"/>
  <c r="D37" i="107"/>
  <c r="D38" i="107"/>
  <c r="D39" i="107"/>
  <c r="D40" i="107"/>
  <c r="D41" i="107"/>
  <c r="D42" i="107"/>
  <c r="D43" i="107"/>
  <c r="D44" i="107"/>
  <c r="D45" i="107"/>
  <c r="D46" i="107"/>
  <c r="D47" i="107"/>
  <c r="D48" i="107"/>
  <c r="D49" i="107"/>
  <c r="D50" i="107"/>
  <c r="D51" i="107"/>
  <c r="D52" i="107"/>
  <c r="D53" i="107"/>
  <c r="D54" i="107"/>
  <c r="D55" i="107"/>
  <c r="D56" i="107"/>
  <c r="D57" i="107"/>
  <c r="D58" i="107"/>
  <c r="D59" i="107"/>
  <c r="D60" i="107"/>
  <c r="D61" i="107"/>
  <c r="D62" i="107"/>
  <c r="D63" i="107"/>
  <c r="D64" i="107"/>
  <c r="D65" i="107"/>
  <c r="D66" i="107"/>
  <c r="D67" i="107"/>
  <c r="D68" i="107"/>
  <c r="D69" i="107"/>
  <c r="D70" i="107"/>
  <c r="D71" i="107"/>
  <c r="D72" i="107"/>
  <c r="D73" i="107"/>
  <c r="D74" i="107"/>
  <c r="D75" i="107"/>
  <c r="D76" i="107"/>
  <c r="D77" i="107"/>
  <c r="D78" i="107"/>
  <c r="D79" i="107"/>
  <c r="D80" i="107"/>
  <c r="D81" i="107"/>
  <c r="D82" i="107"/>
  <c r="D83" i="107"/>
  <c r="D84" i="107"/>
  <c r="D85" i="107"/>
  <c r="D86" i="107"/>
  <c r="D87" i="107"/>
  <c r="D88" i="107"/>
  <c r="D89" i="107"/>
  <c r="D90" i="107"/>
  <c r="D91" i="107"/>
  <c r="D92" i="107"/>
  <c r="D93" i="107"/>
  <c r="D94" i="107"/>
  <c r="D5" i="107"/>
  <c r="D4" i="106"/>
  <c r="E16" i="121"/>
  <c r="F16" i="121" s="1"/>
  <c r="E76" i="121"/>
  <c r="F76" i="121" s="1"/>
  <c r="E48" i="121"/>
  <c r="F48" i="121" s="1"/>
  <c r="E20" i="121"/>
  <c r="F20" i="121" s="1"/>
  <c r="E29" i="121"/>
  <c r="F29" i="121" s="1"/>
  <c r="E55" i="121"/>
  <c r="F55" i="121" s="1"/>
  <c r="E38" i="121"/>
  <c r="F38" i="121" s="1"/>
  <c r="E15" i="121"/>
  <c r="F15" i="121" s="1"/>
  <c r="E30" i="121"/>
  <c r="F30" i="121" s="1"/>
  <c r="E44" i="121"/>
  <c r="F44" i="121" s="1"/>
  <c r="E31" i="121"/>
  <c r="F31" i="121" s="1"/>
  <c r="E81" i="121"/>
  <c r="F81" i="121" s="1"/>
  <c r="E90" i="121"/>
  <c r="F90" i="121" s="1"/>
  <c r="E93" i="121"/>
  <c r="F93" i="121" s="1"/>
  <c r="E26" i="121"/>
  <c r="F26" i="121" s="1"/>
  <c r="E18" i="121"/>
  <c r="F18" i="121" s="1"/>
  <c r="E7" i="121"/>
  <c r="F7" i="121" s="1"/>
  <c r="E56" i="121"/>
  <c r="F56" i="121" s="1"/>
  <c r="E11" i="121"/>
  <c r="F11" i="121" s="1"/>
  <c r="E75" i="121"/>
  <c r="F75" i="121" s="1"/>
  <c r="E58" i="121"/>
  <c r="F58" i="121" s="1"/>
  <c r="E23" i="121"/>
  <c r="F23" i="121" s="1"/>
  <c r="E40" i="121"/>
  <c r="F40" i="121" s="1"/>
  <c r="E17" i="121"/>
  <c r="F17" i="121" s="1"/>
  <c r="E14" i="121"/>
  <c r="F14" i="121" s="1"/>
  <c r="E49" i="121"/>
  <c r="F49" i="121" s="1"/>
  <c r="E33" i="121"/>
  <c r="F33" i="121" s="1"/>
  <c r="E27" i="121"/>
  <c r="F27" i="121" s="1"/>
  <c r="E45" i="121"/>
  <c r="F45" i="121" s="1"/>
  <c r="E36" i="121"/>
  <c r="F36" i="121" s="1"/>
  <c r="E46" i="121"/>
  <c r="F46" i="121" s="1"/>
  <c r="E43" i="121"/>
  <c r="F43" i="121" s="1"/>
  <c r="E12" i="121"/>
  <c r="F12" i="121" s="1"/>
  <c r="E21" i="121"/>
  <c r="F21" i="121" s="1"/>
  <c r="E47" i="121"/>
  <c r="F47" i="121" s="1"/>
  <c r="E35" i="121"/>
  <c r="F35" i="121" s="1"/>
  <c r="E34" i="121"/>
  <c r="F34" i="121" s="1"/>
  <c r="E65" i="121"/>
  <c r="F65" i="121" s="1"/>
  <c r="E52" i="121"/>
  <c r="F52" i="121" s="1"/>
  <c r="E32" i="121"/>
  <c r="F32" i="121" s="1"/>
  <c r="E13" i="121"/>
  <c r="F13" i="121" s="1"/>
  <c r="E8" i="121"/>
  <c r="F8" i="121" s="1"/>
  <c r="E19" i="121"/>
  <c r="F19" i="121" s="1"/>
  <c r="E24" i="121"/>
  <c r="F24" i="121" s="1"/>
  <c r="E59" i="121"/>
  <c r="F59" i="121" s="1"/>
  <c r="E42" i="121"/>
  <c r="F42" i="121" s="1"/>
  <c r="E54" i="121"/>
  <c r="F54" i="121" s="1"/>
  <c r="E57" i="121"/>
  <c r="F57" i="121" s="1"/>
  <c r="E51" i="121"/>
  <c r="F51" i="121" s="1"/>
  <c r="E63" i="121"/>
  <c r="F63" i="121" s="1"/>
  <c r="E41" i="121"/>
  <c r="F41" i="121" s="1"/>
  <c r="E10" i="121"/>
  <c r="F10" i="121" s="1"/>
  <c r="E39" i="121"/>
  <c r="F39" i="121" s="1"/>
  <c r="E67" i="121"/>
  <c r="F67" i="121" s="1"/>
  <c r="E53" i="121"/>
  <c r="F53" i="121" s="1"/>
  <c r="E22" i="121"/>
  <c r="F22" i="121" s="1"/>
  <c r="E60" i="121"/>
  <c r="F60" i="121" s="1"/>
  <c r="E74" i="121"/>
  <c r="F74" i="121" s="1"/>
  <c r="E77" i="121"/>
  <c r="F77" i="121" s="1"/>
  <c r="E78" i="121"/>
  <c r="F78" i="121" s="1"/>
  <c r="E87" i="121"/>
  <c r="F87" i="121" s="1"/>
  <c r="E79" i="121"/>
  <c r="F79" i="121" s="1"/>
  <c r="E85" i="121"/>
  <c r="F85" i="121" s="1"/>
  <c r="E88" i="121"/>
  <c r="F88" i="121" s="1"/>
  <c r="E89" i="121"/>
  <c r="F89" i="121" s="1"/>
  <c r="E62" i="121"/>
  <c r="F62" i="121" s="1"/>
  <c r="E86" i="121"/>
  <c r="F86" i="121" s="1"/>
  <c r="E70" i="121"/>
  <c r="F70" i="121" s="1"/>
  <c r="E84" i="121"/>
  <c r="F84" i="121" s="1"/>
  <c r="E91" i="121"/>
  <c r="F91" i="121" s="1"/>
  <c r="E92" i="121"/>
  <c r="F92" i="121" s="1"/>
  <c r="E82" i="121"/>
  <c r="F82" i="121" s="1"/>
  <c r="E71" i="121"/>
  <c r="F71" i="121" s="1"/>
  <c r="E72" i="121"/>
  <c r="F72" i="121" s="1"/>
  <c r="E69" i="121"/>
  <c r="F69" i="121" s="1"/>
  <c r="E50" i="121"/>
  <c r="F50" i="121" s="1"/>
  <c r="E73" i="121"/>
  <c r="F73" i="121" s="1"/>
  <c r="E61" i="121"/>
  <c r="F61" i="121" s="1"/>
  <c r="E68" i="121"/>
  <c r="F68" i="121" s="1"/>
  <c r="E80" i="121"/>
  <c r="F80" i="121" s="1"/>
  <c r="E64" i="121"/>
  <c r="F64" i="121" s="1"/>
  <c r="E83" i="121"/>
  <c r="F83" i="121" s="1"/>
  <c r="E66" i="121"/>
  <c r="F66" i="121" s="1"/>
  <c r="E28" i="121"/>
  <c r="F28" i="121" s="1"/>
  <c r="E25" i="121"/>
  <c r="F25" i="121" s="1"/>
  <c r="E5" i="121"/>
  <c r="F5" i="121" s="1"/>
  <c r="E37" i="121"/>
  <c r="F37" i="121" s="1"/>
  <c r="E6" i="121"/>
  <c r="F6" i="121" s="1"/>
  <c r="E105" i="121"/>
  <c r="F105" i="121" s="1"/>
  <c r="E112" i="121"/>
  <c r="F112" i="121" s="1"/>
  <c r="E115" i="121"/>
  <c r="F115" i="121" s="1"/>
  <c r="E94" i="121"/>
  <c r="F94" i="121" s="1"/>
  <c r="E111" i="121"/>
  <c r="F111" i="121" s="1"/>
  <c r="E104" i="121"/>
  <c r="F104" i="121" s="1"/>
  <c r="E106" i="121"/>
  <c r="F106" i="121" s="1"/>
  <c r="E117" i="121"/>
  <c r="F117" i="121" s="1"/>
  <c r="E103" i="121"/>
  <c r="F103" i="121" s="1"/>
  <c r="E100" i="121"/>
  <c r="F100" i="121" s="1"/>
  <c r="E98" i="121"/>
  <c r="F98" i="121" s="1"/>
  <c r="E109" i="121"/>
  <c r="F109" i="121" s="1"/>
  <c r="E101" i="121"/>
  <c r="F101" i="121" s="1"/>
  <c r="E97" i="121"/>
  <c r="F97" i="121" s="1"/>
  <c r="E113" i="121"/>
  <c r="F113" i="121" s="1"/>
  <c r="E114" i="121"/>
  <c r="F114" i="121" s="1"/>
  <c r="E95" i="121"/>
  <c r="F95" i="121" s="1"/>
  <c r="E102" i="121"/>
  <c r="F102" i="121" s="1"/>
  <c r="E99" i="121"/>
  <c r="F99" i="121" s="1"/>
  <c r="E108" i="121"/>
  <c r="F108" i="121" s="1"/>
  <c r="E107" i="121"/>
  <c r="F107" i="121" s="1"/>
  <c r="E110" i="121"/>
  <c r="F110" i="121" s="1"/>
  <c r="E96" i="121"/>
  <c r="F96" i="121" s="1"/>
  <c r="E116" i="121"/>
  <c r="F116" i="121" s="1"/>
  <c r="E9" i="121"/>
  <c r="F9" i="121" s="1"/>
  <c r="D56" i="112"/>
  <c r="D20" i="112"/>
  <c r="D48" i="112"/>
  <c r="D19" i="112"/>
  <c r="D28" i="112"/>
  <c r="D54" i="112"/>
  <c r="D39" i="112"/>
  <c r="D14" i="112"/>
  <c r="D31" i="112"/>
  <c r="D44" i="112"/>
  <c r="D33" i="112"/>
  <c r="D80" i="112"/>
  <c r="D89" i="112"/>
  <c r="D93" i="112"/>
  <c r="D26" i="112"/>
  <c r="D16" i="112"/>
  <c r="D6" i="112"/>
  <c r="D55" i="112"/>
  <c r="D32" i="112"/>
  <c r="D74" i="112"/>
  <c r="D57" i="112"/>
  <c r="D22" i="112"/>
  <c r="D21" i="112"/>
  <c r="D15" i="112"/>
  <c r="D13" i="112"/>
  <c r="D38" i="112"/>
  <c r="D34" i="112"/>
  <c r="D49" i="112"/>
  <c r="D43" i="112"/>
  <c r="D35" i="112"/>
  <c r="D47" i="112"/>
  <c r="D45" i="112"/>
  <c r="D10" i="112"/>
  <c r="D18" i="112"/>
  <c r="D46" i="112"/>
  <c r="D37" i="112"/>
  <c r="D36" i="112"/>
  <c r="D64" i="112"/>
  <c r="D51" i="112"/>
  <c r="D27" i="112"/>
  <c r="D11" i="112"/>
  <c r="D7" i="112"/>
  <c r="D17" i="112"/>
  <c r="D23" i="112"/>
  <c r="D58" i="112"/>
  <c r="D42" i="112"/>
  <c r="D53" i="112"/>
  <c r="D50" i="112"/>
  <c r="D62" i="112"/>
  <c r="D41" i="112"/>
  <c r="D9" i="112"/>
  <c r="D40" i="112"/>
  <c r="D66" i="112"/>
  <c r="D52" i="112"/>
  <c r="D59" i="112"/>
  <c r="D73" i="112"/>
  <c r="D76" i="112"/>
  <c r="D77" i="112"/>
  <c r="D86" i="112"/>
  <c r="D78" i="112"/>
  <c r="D84" i="112"/>
  <c r="D87" i="112"/>
  <c r="D88" i="112"/>
  <c r="D61" i="112"/>
  <c r="D85" i="112"/>
  <c r="D67" i="112"/>
  <c r="D83" i="112"/>
  <c r="D90" i="112"/>
  <c r="D91" i="112"/>
  <c r="D81" i="112"/>
  <c r="D70" i="112"/>
  <c r="D117" i="112"/>
  <c r="D75" i="112"/>
  <c r="D71" i="112"/>
  <c r="D68" i="112"/>
  <c r="D12" i="112"/>
  <c r="D72" i="112"/>
  <c r="D60" i="112"/>
  <c r="D69" i="112"/>
  <c r="D79" i="112"/>
  <c r="D63" i="112"/>
  <c r="D82" i="112"/>
  <c r="D65" i="112"/>
  <c r="D29" i="112"/>
  <c r="D24" i="112"/>
  <c r="D5" i="112"/>
  <c r="D30" i="112"/>
  <c r="D25" i="112"/>
  <c r="D104" i="112"/>
  <c r="D111" i="112"/>
  <c r="D114" i="112"/>
  <c r="D92" i="112"/>
  <c r="D110" i="112"/>
  <c r="D103" i="112"/>
  <c r="D105" i="112"/>
  <c r="D116" i="112"/>
  <c r="D102" i="112"/>
  <c r="D99" i="112"/>
  <c r="D97" i="112"/>
  <c r="D107" i="112"/>
  <c r="D100" i="112"/>
  <c r="D96" i="112"/>
  <c r="D112" i="112"/>
  <c r="D113" i="112"/>
  <c r="D94" i="112"/>
  <c r="D101" i="112"/>
  <c r="D98" i="112"/>
  <c r="D109" i="112"/>
  <c r="D106" i="112"/>
  <c r="D108" i="112"/>
  <c r="D95" i="112"/>
  <c r="D115" i="112"/>
  <c r="D8" i="112"/>
  <c r="D96" i="111"/>
  <c r="D45" i="111"/>
  <c r="D52" i="111"/>
  <c r="D103" i="111"/>
  <c r="D40" i="111"/>
  <c r="D66" i="111"/>
  <c r="D53" i="111"/>
  <c r="D90" i="111"/>
  <c r="D55" i="111"/>
  <c r="D115" i="111"/>
  <c r="D114" i="111"/>
  <c r="D116" i="111"/>
  <c r="D51" i="111"/>
  <c r="D42" i="111"/>
  <c r="D33" i="111"/>
  <c r="D104" i="111"/>
  <c r="D54" i="111"/>
  <c r="D113" i="111"/>
  <c r="D106" i="111"/>
  <c r="D49" i="111"/>
  <c r="D48" i="111"/>
  <c r="D41" i="111"/>
  <c r="D39" i="111"/>
  <c r="D64" i="111"/>
  <c r="D56" i="111"/>
  <c r="D81" i="111"/>
  <c r="D97" i="111"/>
  <c r="D57" i="111"/>
  <c r="D95" i="111"/>
  <c r="D93" i="111"/>
  <c r="D37" i="111"/>
  <c r="D44" i="111"/>
  <c r="D94" i="111"/>
  <c r="D62" i="111"/>
  <c r="D58" i="111"/>
  <c r="D110" i="111"/>
  <c r="D100" i="111"/>
  <c r="D111" i="111"/>
  <c r="D38" i="111"/>
  <c r="D34" i="111"/>
  <c r="D43" i="111"/>
  <c r="D50" i="111"/>
  <c r="D75" i="111"/>
  <c r="D107" i="111"/>
  <c r="D102" i="111"/>
  <c r="D105" i="111"/>
  <c r="D98" i="111"/>
  <c r="D109" i="111"/>
  <c r="D67" i="111"/>
  <c r="D46" i="111"/>
  <c r="D36" i="111"/>
  <c r="D99" i="111"/>
  <c r="D112" i="111"/>
  <c r="D101" i="111"/>
  <c r="D108" i="111"/>
  <c r="D74" i="111"/>
  <c r="D77" i="111"/>
  <c r="D78" i="111"/>
  <c r="D87" i="111"/>
  <c r="D79" i="111"/>
  <c r="D85" i="111"/>
  <c r="D88" i="111"/>
  <c r="D89" i="111"/>
  <c r="D61" i="111"/>
  <c r="D86" i="111"/>
  <c r="D68" i="111"/>
  <c r="D84" i="111"/>
  <c r="D91" i="111"/>
  <c r="D92" i="111"/>
  <c r="D82" i="111"/>
  <c r="D71" i="111"/>
  <c r="D60" i="111"/>
  <c r="D76" i="111"/>
  <c r="D72" i="111"/>
  <c r="D69" i="111"/>
  <c r="D47" i="111"/>
  <c r="D73" i="111"/>
  <c r="D59" i="111"/>
  <c r="D70" i="111"/>
  <c r="D80" i="111"/>
  <c r="D63" i="111"/>
  <c r="D83" i="111"/>
  <c r="D65" i="111"/>
  <c r="D27" i="111"/>
  <c r="D24" i="111"/>
  <c r="D5" i="111"/>
  <c r="D28" i="111"/>
  <c r="D23" i="111"/>
  <c r="D16" i="111"/>
  <c r="D25" i="111"/>
  <c r="D30" i="111"/>
  <c r="D6" i="111"/>
  <c r="D22" i="111"/>
  <c r="D15" i="111"/>
  <c r="D17" i="111"/>
  <c r="D32" i="111"/>
  <c r="D14" i="111"/>
  <c r="D11" i="111"/>
  <c r="D9" i="111"/>
  <c r="D20" i="111"/>
  <c r="D12" i="111"/>
  <c r="D8" i="111"/>
  <c r="D26" i="111"/>
  <c r="D29" i="111"/>
  <c r="D7" i="111"/>
  <c r="D13" i="111"/>
  <c r="D10" i="111"/>
  <c r="D19" i="111"/>
  <c r="D18" i="111"/>
  <c r="D21" i="111"/>
  <c r="D31" i="111"/>
  <c r="D35" i="111"/>
  <c r="D51" i="88"/>
  <c r="D52" i="88"/>
  <c r="D53" i="88"/>
  <c r="D54" i="88"/>
  <c r="D55" i="88"/>
  <c r="D56" i="88"/>
  <c r="D57" i="88"/>
  <c r="D58" i="88"/>
  <c r="D59" i="88"/>
  <c r="D60" i="88"/>
  <c r="D61" i="88"/>
  <c r="D62" i="88"/>
  <c r="D63" i="88"/>
  <c r="D64" i="88"/>
  <c r="D65" i="88"/>
  <c r="D66" i="88"/>
  <c r="D67" i="88"/>
  <c r="D68" i="88"/>
  <c r="D69" i="88"/>
  <c r="D70" i="88"/>
  <c r="AG144" i="76"/>
  <c r="AH144" i="76"/>
  <c r="C145" i="76"/>
  <c r="E145" i="76"/>
  <c r="G145" i="76"/>
  <c r="I145" i="76"/>
  <c r="K145" i="76"/>
  <c r="M145" i="76"/>
  <c r="O145" i="76"/>
  <c r="Q145" i="76"/>
  <c r="S145" i="76"/>
  <c r="U145" i="76"/>
  <c r="W145" i="76"/>
  <c r="Y145" i="76"/>
  <c r="AA145" i="76"/>
  <c r="AB145" i="76"/>
  <c r="AC145" i="76"/>
  <c r="AD145" i="76"/>
  <c r="AE145" i="76"/>
  <c r="AF145" i="76"/>
  <c r="AG145" i="76"/>
  <c r="AH145" i="76"/>
  <c r="C146" i="76"/>
  <c r="E146" i="76"/>
  <c r="G146" i="76"/>
  <c r="I146" i="76"/>
  <c r="K146" i="76"/>
  <c r="M146" i="76"/>
  <c r="O146" i="76"/>
  <c r="Q146" i="76"/>
  <c r="S146" i="76"/>
  <c r="U146" i="76"/>
  <c r="W146" i="76"/>
  <c r="Y146" i="76"/>
  <c r="AA146" i="76"/>
  <c r="AB146" i="76"/>
  <c r="AC146" i="76"/>
  <c r="AD146" i="76"/>
  <c r="AE146" i="76"/>
  <c r="AF146" i="76"/>
  <c r="AG146" i="76"/>
  <c r="AH146" i="76"/>
  <c r="C147" i="76"/>
  <c r="E147" i="76"/>
  <c r="G147" i="76"/>
  <c r="I147" i="76"/>
  <c r="K147" i="76"/>
  <c r="M147" i="76"/>
  <c r="O147" i="76"/>
  <c r="Q147" i="76"/>
  <c r="S147" i="76"/>
  <c r="U147" i="76"/>
  <c r="W147" i="76"/>
  <c r="Y147" i="76"/>
  <c r="AA147" i="76"/>
  <c r="AB147" i="76"/>
  <c r="AC147" i="76"/>
  <c r="AD147" i="76"/>
  <c r="AE147" i="76"/>
  <c r="AF147" i="76"/>
  <c r="AG147" i="76"/>
  <c r="AH147" i="76"/>
  <c r="C148" i="76"/>
  <c r="E148" i="76"/>
  <c r="G148" i="76"/>
  <c r="I148" i="76"/>
  <c r="K148" i="76"/>
  <c r="M148" i="76"/>
  <c r="O148" i="76"/>
  <c r="Q148" i="76"/>
  <c r="S148" i="76"/>
  <c r="U148" i="76"/>
  <c r="W148" i="76"/>
  <c r="Y148" i="76"/>
  <c r="AA148" i="76"/>
  <c r="AB148" i="76"/>
  <c r="AC148" i="76"/>
  <c r="AD148" i="76"/>
  <c r="AE148" i="76"/>
  <c r="AF148" i="76"/>
  <c r="AG148" i="76"/>
  <c r="AH148" i="76"/>
  <c r="D6" i="43"/>
  <c r="D7" i="43"/>
  <c r="D8" i="43"/>
  <c r="D5" i="43"/>
  <c r="D25" i="88"/>
  <c r="D20" i="88"/>
  <c r="D21" i="88"/>
  <c r="D24" i="88"/>
  <c r="D6" i="88"/>
  <c r="D5" i="88"/>
  <c r="D4" i="88"/>
  <c r="D15" i="88"/>
  <c r="D14" i="88"/>
  <c r="D11" i="88"/>
  <c r="D10" i="88"/>
  <c r="D18" i="88"/>
  <c r="D12" i="88"/>
  <c r="D9" i="88"/>
  <c r="D22" i="88"/>
  <c r="D23" i="88"/>
  <c r="D7" i="88"/>
  <c r="D13" i="88"/>
  <c r="D17" i="88"/>
  <c r="D16" i="88"/>
  <c r="D8" i="88"/>
  <c r="D19" i="88"/>
  <c r="D27" i="88"/>
  <c r="D28" i="88"/>
  <c r="D29" i="88"/>
  <c r="D30" i="88"/>
  <c r="D31" i="88"/>
  <c r="D32" i="88"/>
  <c r="D33" i="88"/>
  <c r="D34" i="88"/>
  <c r="D35" i="88"/>
  <c r="D36" i="88"/>
  <c r="D37" i="88"/>
  <c r="D38" i="88"/>
  <c r="D39" i="88"/>
  <c r="D40" i="88"/>
  <c r="D41" i="88"/>
  <c r="D42" i="88"/>
  <c r="D43" i="88"/>
  <c r="D44" i="88"/>
  <c r="D45" i="88"/>
  <c r="D46" i="88"/>
  <c r="D47" i="88"/>
  <c r="D48" i="88"/>
  <c r="D49" i="88"/>
  <c r="D50" i="88"/>
  <c r="D26" i="88"/>
  <c r="D48" i="41"/>
  <c r="D24" i="110"/>
  <c r="D38" i="41"/>
  <c r="D35" i="41"/>
  <c r="D50" i="41"/>
  <c r="D34" i="41"/>
  <c r="D80" i="41"/>
  <c r="D42" i="41"/>
  <c r="D54" i="41"/>
  <c r="D13" i="41"/>
  <c r="D10" i="41"/>
  <c r="D11" i="41"/>
  <c r="D6" i="41"/>
  <c r="D58" i="41"/>
  <c r="D91" i="41"/>
  <c r="D46" i="41"/>
  <c r="D74" i="41"/>
  <c r="D27" i="41"/>
  <c r="D51" i="41"/>
  <c r="D64" i="41"/>
  <c r="D66" i="41"/>
  <c r="D9" i="41"/>
  <c r="D62" i="41"/>
  <c r="D8" i="41"/>
  <c r="D94" i="41"/>
  <c r="D19" i="41"/>
  <c r="D18" i="41"/>
  <c r="D49" i="41"/>
  <c r="D36" i="41"/>
  <c r="D20" i="41"/>
  <c r="D14" i="41"/>
  <c r="D55" i="41"/>
  <c r="D56" i="41"/>
  <c r="D45" i="41"/>
  <c r="D33" i="41"/>
  <c r="D40" i="41"/>
  <c r="D39" i="41"/>
  <c r="D52" i="41"/>
  <c r="D44" i="41"/>
  <c r="D32" i="41"/>
  <c r="D53" i="41"/>
  <c r="D30" i="41"/>
  <c r="D57" i="41"/>
  <c r="D25" i="41"/>
  <c r="D31" i="41"/>
  <c r="D43" i="41"/>
  <c r="D15" i="41"/>
  <c r="D21" i="41"/>
  <c r="D7" i="41"/>
  <c r="D41" i="41"/>
  <c r="D17" i="41"/>
  <c r="D22" i="41"/>
  <c r="D16" i="41"/>
  <c r="D12" i="41"/>
  <c r="D5" i="41"/>
  <c r="D37" i="41"/>
  <c r="D76" i="41"/>
  <c r="D73" i="41"/>
  <c r="D78" i="41"/>
  <c r="D88" i="41"/>
  <c r="D77" i="41"/>
  <c r="D89" i="41"/>
  <c r="D86" i="41"/>
  <c r="D90" i="41"/>
  <c r="D61" i="41"/>
  <c r="D87" i="41"/>
  <c r="D67" i="41"/>
  <c r="D85" i="41"/>
  <c r="D92" i="41"/>
  <c r="D82" i="41"/>
  <c r="D83" i="41"/>
  <c r="D93" i="41"/>
  <c r="D81" i="41"/>
  <c r="D70" i="41"/>
  <c r="D60" i="41"/>
  <c r="D75" i="41"/>
  <c r="D71" i="41"/>
  <c r="D68" i="41"/>
  <c r="D47" i="41"/>
  <c r="D72" i="41"/>
  <c r="D59" i="41"/>
  <c r="D69" i="41"/>
  <c r="D79" i="41"/>
  <c r="D63" i="41"/>
  <c r="D84" i="41"/>
  <c r="D65" i="41"/>
  <c r="D28" i="41"/>
  <c r="D23" i="41"/>
  <c r="D4" i="41"/>
  <c r="D29" i="41"/>
  <c r="D24" i="41"/>
  <c r="D26" i="41"/>
  <c r="D19" i="39"/>
  <c r="D27" i="39"/>
  <c r="D53" i="39"/>
  <c r="D38" i="39"/>
  <c r="D14" i="39"/>
  <c r="D30" i="39"/>
  <c r="D45" i="39"/>
  <c r="D31" i="39"/>
  <c r="D82" i="39"/>
  <c r="D90" i="39"/>
  <c r="D93" i="39"/>
  <c r="D25" i="39"/>
  <c r="D16" i="39"/>
  <c r="D5" i="39"/>
  <c r="D54" i="39"/>
  <c r="D9" i="39"/>
  <c r="D77" i="39"/>
  <c r="D56" i="39"/>
  <c r="D22" i="39"/>
  <c r="D40" i="39"/>
  <c r="D15" i="39"/>
  <c r="D13" i="39"/>
  <c r="D48" i="39"/>
  <c r="D33" i="39"/>
  <c r="D26" i="39"/>
  <c r="D44" i="39"/>
  <c r="D35" i="39"/>
  <c r="D46" i="39"/>
  <c r="D43" i="39"/>
  <c r="D10" i="39"/>
  <c r="D4" i="39"/>
  <c r="D47" i="39"/>
  <c r="D36" i="39"/>
  <c r="D37" i="39"/>
  <c r="D64" i="39"/>
  <c r="D50" i="39"/>
  <c r="D12" i="39"/>
  <c r="D34" i="39"/>
  <c r="D6" i="39"/>
  <c r="D17" i="39"/>
  <c r="D21" i="39"/>
  <c r="D57" i="39"/>
  <c r="D42" i="39"/>
  <c r="D52" i="39"/>
  <c r="D55" i="39"/>
  <c r="D49" i="39"/>
  <c r="D62" i="39"/>
  <c r="D41" i="39"/>
  <c r="D8" i="39"/>
  <c r="D39" i="39"/>
  <c r="D66" i="39"/>
  <c r="D51" i="39"/>
  <c r="D20" i="39"/>
  <c r="D58" i="39"/>
  <c r="D78" i="39"/>
  <c r="D76" i="39"/>
  <c r="D79" i="39"/>
  <c r="D87" i="39"/>
  <c r="D80" i="39"/>
  <c r="D94" i="39"/>
  <c r="D86" i="39"/>
  <c r="D89" i="39"/>
  <c r="D61" i="39"/>
  <c r="D88" i="39"/>
  <c r="D67" i="39"/>
  <c r="D85" i="39"/>
  <c r="D91" i="39"/>
  <c r="D73" i="39"/>
  <c r="D74" i="39"/>
  <c r="D92" i="39"/>
  <c r="D83" i="39"/>
  <c r="D70" i="39"/>
  <c r="D60" i="39"/>
  <c r="D75" i="39"/>
  <c r="D71" i="39"/>
  <c r="D68" i="39"/>
  <c r="D11" i="39"/>
  <c r="D72" i="39"/>
  <c r="D59" i="39"/>
  <c r="D69" i="39"/>
  <c r="D81" i="39"/>
  <c r="D63" i="39"/>
  <c r="D84" i="39"/>
  <c r="D65" i="39"/>
  <c r="D28" i="39"/>
  <c r="D32" i="39"/>
  <c r="D24" i="39"/>
  <c r="D29" i="39"/>
  <c r="D23" i="39"/>
  <c r="D7" i="39"/>
  <c r="D29" i="110"/>
  <c r="D30" i="110"/>
  <c r="D83" i="110"/>
  <c r="D56" i="110"/>
  <c r="D80" i="110"/>
  <c r="D75" i="110"/>
  <c r="D55" i="110"/>
  <c r="D69" i="110"/>
  <c r="D19" i="110"/>
  <c r="D16" i="110"/>
  <c r="D18" i="110"/>
  <c r="D78" i="110"/>
  <c r="D45" i="110"/>
  <c r="D87" i="110"/>
  <c r="D70" i="110"/>
  <c r="D60" i="110"/>
  <c r="D52" i="110"/>
  <c r="D23" i="110"/>
  <c r="D27" i="110"/>
  <c r="D65" i="110"/>
  <c r="D73" i="110"/>
  <c r="D46" i="110"/>
  <c r="D57" i="110"/>
  <c r="D81" i="110"/>
  <c r="D44" i="110"/>
  <c r="D54" i="110"/>
  <c r="D63" i="110"/>
  <c r="D43" i="110"/>
  <c r="D40" i="110"/>
  <c r="D86" i="110"/>
  <c r="D59" i="110"/>
  <c r="D35" i="110"/>
  <c r="D72" i="110"/>
  <c r="D51" i="110"/>
  <c r="D66" i="110"/>
  <c r="D12" i="110"/>
  <c r="D85" i="110"/>
  <c r="D58" i="110"/>
  <c r="D76" i="110"/>
  <c r="D79" i="110"/>
  <c r="D42" i="110"/>
  <c r="D53" i="110"/>
  <c r="D32" i="110"/>
  <c r="D34" i="110"/>
  <c r="D68" i="110"/>
  <c r="D39" i="110"/>
  <c r="D48" i="110"/>
  <c r="D22" i="110"/>
  <c r="D77" i="110"/>
  <c r="D62" i="110"/>
  <c r="D49" i="110"/>
  <c r="D71" i="110"/>
  <c r="D38" i="110"/>
  <c r="D82" i="110"/>
  <c r="D64" i="110"/>
  <c r="D47" i="110"/>
  <c r="D10" i="110"/>
  <c r="D33" i="110"/>
  <c r="D28" i="110"/>
  <c r="D41" i="110"/>
  <c r="D7" i="110"/>
  <c r="D8" i="110"/>
  <c r="D9" i="110"/>
  <c r="D36" i="110"/>
  <c r="D31" i="110"/>
  <c r="D20" i="110"/>
  <c r="D6" i="110"/>
  <c r="D17" i="110"/>
  <c r="D4" i="110"/>
  <c r="D11" i="110"/>
  <c r="D50" i="110"/>
  <c r="D74" i="110"/>
  <c r="D67" i="110"/>
  <c r="D14" i="110"/>
  <c r="D13" i="110"/>
  <c r="D15" i="110"/>
  <c r="D21" i="110"/>
  <c r="D25" i="110"/>
  <c r="D84" i="110"/>
  <c r="D26" i="110"/>
  <c r="D37" i="110"/>
  <c r="D5" i="110"/>
  <c r="D92" i="110"/>
  <c r="D90" i="110"/>
  <c r="D88" i="110"/>
  <c r="D89" i="110"/>
  <c r="D93" i="110"/>
  <c r="D91" i="110"/>
  <c r="D61" i="110"/>
  <c r="D14" i="75"/>
  <c r="D15" i="75"/>
  <c r="D66" i="75"/>
  <c r="D16" i="75"/>
  <c r="D17" i="75"/>
  <c r="D18" i="75"/>
  <c r="D19" i="75"/>
  <c r="D20" i="75"/>
  <c r="D21" i="75"/>
  <c r="D22" i="75"/>
  <c r="D23" i="75"/>
  <c r="D24" i="75"/>
  <c r="D25" i="75"/>
  <c r="D26" i="75"/>
  <c r="D27" i="75"/>
  <c r="D28" i="75"/>
  <c r="D29" i="75"/>
  <c r="D32" i="75"/>
  <c r="D30" i="75"/>
  <c r="D31" i="75"/>
  <c r="D33" i="75"/>
  <c r="D34" i="75"/>
  <c r="D35" i="75"/>
  <c r="D36" i="75"/>
  <c r="D37" i="75"/>
  <c r="D38" i="75"/>
  <c r="D39" i="75"/>
  <c r="D40" i="75"/>
  <c r="D42" i="75"/>
  <c r="D41" i="75"/>
  <c r="D43" i="75"/>
  <c r="D44" i="75"/>
  <c r="D45" i="75"/>
  <c r="D46" i="75"/>
  <c r="D47" i="75"/>
  <c r="D48" i="75"/>
  <c r="D49" i="75"/>
  <c r="D50" i="75"/>
  <c r="D51" i="75"/>
  <c r="D52" i="75"/>
  <c r="D54" i="75"/>
  <c r="D55" i="75"/>
  <c r="D56" i="75"/>
  <c r="D53" i="75"/>
  <c r="D86" i="75"/>
  <c r="D57" i="75"/>
  <c r="D58" i="75"/>
  <c r="D59" i="75"/>
  <c r="D60" i="75"/>
  <c r="D61" i="75"/>
  <c r="D62" i="75"/>
  <c r="D63" i="75"/>
  <c r="D64" i="75"/>
  <c r="D65" i="75"/>
  <c r="D67" i="75"/>
  <c r="D68" i="75"/>
  <c r="D69" i="75"/>
  <c r="D70" i="75"/>
  <c r="D71" i="75"/>
  <c r="D72" i="75"/>
  <c r="D73" i="75"/>
  <c r="D74" i="75"/>
  <c r="D75" i="75"/>
  <c r="D76" i="75"/>
  <c r="D77" i="75"/>
  <c r="D78" i="75"/>
  <c r="D79" i="75"/>
  <c r="D80" i="75"/>
  <c r="D81" i="75"/>
  <c r="D84" i="75"/>
  <c r="D83" i="75"/>
  <c r="D82" i="75"/>
  <c r="D85" i="75"/>
  <c r="D87" i="75"/>
  <c r="D88" i="75"/>
  <c r="D89" i="75"/>
  <c r="D90" i="75"/>
  <c r="D91" i="75"/>
  <c r="D92" i="75"/>
  <c r="D4" i="75"/>
  <c r="D7" i="75"/>
  <c r="D8" i="75"/>
  <c r="D9" i="75"/>
  <c r="D10" i="75"/>
  <c r="D11" i="75"/>
  <c r="D12" i="75"/>
  <c r="D13" i="75"/>
  <c r="W105" i="88" l="1"/>
  <c r="K108" i="88"/>
  <c r="O110" i="88"/>
  <c r="T110" i="88"/>
  <c r="P110" i="88"/>
  <c r="R106" i="88"/>
  <c r="J110" i="88"/>
  <c r="N110" i="88"/>
  <c r="R110" i="88"/>
  <c r="Q104" i="88"/>
  <c r="T104" i="88"/>
  <c r="V110" i="88"/>
  <c r="Z110" i="88"/>
  <c r="G110" i="88"/>
  <c r="I110" i="88"/>
  <c r="S110" i="88"/>
  <c r="W110" i="88"/>
  <c r="W113" i="88" s="1"/>
  <c r="K113" i="88"/>
  <c r="H110" i="88"/>
  <c r="Q110" i="88"/>
  <c r="Y110" i="88"/>
  <c r="C110" i="88"/>
  <c r="F110" i="88"/>
  <c r="F113" i="88" s="1"/>
  <c r="D110" i="88"/>
  <c r="D113" i="88" s="1"/>
  <c r="R105" i="88"/>
  <c r="X110" i="88"/>
  <c r="T107" i="106"/>
  <c r="N107" i="106"/>
  <c r="O112" i="108"/>
  <c r="F109" i="108"/>
  <c r="E111" i="108"/>
  <c r="J112" i="108"/>
  <c r="U111" i="108"/>
  <c r="U112" i="108"/>
  <c r="L112" i="108"/>
  <c r="T110" i="108"/>
  <c r="F112" i="108"/>
  <c r="X111" i="108"/>
  <c r="V109" i="108"/>
  <c r="E109" i="108"/>
  <c r="G109" i="108"/>
  <c r="J110" i="108"/>
  <c r="L109" i="108"/>
  <c r="K111" i="108"/>
  <c r="P112" i="108"/>
  <c r="Q109" i="108"/>
  <c r="U109" i="108"/>
  <c r="Z110" i="108"/>
  <c r="E112" i="108"/>
  <c r="P110" i="108"/>
  <c r="R109" i="108"/>
  <c r="Q111" i="108"/>
  <c r="V112" i="108"/>
  <c r="G112" i="108"/>
  <c r="H109" i="108"/>
  <c r="V110" i="108"/>
  <c r="X109" i="108"/>
  <c r="K112" i="108"/>
  <c r="G111" i="108"/>
  <c r="L110" i="108"/>
  <c r="N109" i="108"/>
  <c r="M111" i="108"/>
  <c r="R112" i="108"/>
  <c r="Z109" i="108"/>
  <c r="W111" i="108"/>
  <c r="N111" i="108"/>
  <c r="R110" i="108"/>
  <c r="T109" i="108"/>
  <c r="S111" i="108"/>
  <c r="F111" i="108"/>
  <c r="H111" i="108"/>
  <c r="H110" i="108"/>
  <c r="J109" i="108"/>
  <c r="J114" i="108" s="1"/>
  <c r="I111" i="108"/>
  <c r="L111" i="108"/>
  <c r="N112" i="108"/>
  <c r="M109" i="108"/>
  <c r="P111" i="108"/>
  <c r="R111" i="108"/>
  <c r="V111" i="108"/>
  <c r="X112" i="108"/>
  <c r="W109" i="108"/>
  <c r="Y111" i="108"/>
  <c r="Q112" i="108"/>
  <c r="F110" i="108"/>
  <c r="I112" i="108"/>
  <c r="N110" i="108"/>
  <c r="P109" i="108"/>
  <c r="O111" i="108"/>
  <c r="T112" i="108"/>
  <c r="S109" i="108"/>
  <c r="X110" i="108"/>
  <c r="Y109" i="108"/>
  <c r="T111" i="108"/>
  <c r="M112" i="108"/>
  <c r="S112" i="108"/>
  <c r="W112" i="108"/>
  <c r="Z112" i="108"/>
  <c r="Z115" i="108" s="1"/>
  <c r="I109" i="108"/>
  <c r="K109" i="108"/>
  <c r="O109" i="108"/>
  <c r="E110" i="108"/>
  <c r="G110" i="108"/>
  <c r="I110" i="108"/>
  <c r="K110" i="108"/>
  <c r="M110" i="108"/>
  <c r="O110" i="108"/>
  <c r="Q110" i="108"/>
  <c r="S110" i="108"/>
  <c r="U110" i="108"/>
  <c r="W110" i="108"/>
  <c r="Y110" i="108"/>
  <c r="J111" i="108"/>
  <c r="Z111" i="108"/>
  <c r="H114" i="107"/>
  <c r="D112" i="107"/>
  <c r="F111" i="107"/>
  <c r="F113" i="107"/>
  <c r="F118" i="107" s="1"/>
  <c r="G111" i="107"/>
  <c r="G116" i="107" s="1"/>
  <c r="K114" i="107"/>
  <c r="M111" i="107"/>
  <c r="N113" i="107"/>
  <c r="N118" i="107" s="1"/>
  <c r="O111" i="107"/>
  <c r="W111" i="107"/>
  <c r="T112" i="107"/>
  <c r="S111" i="107"/>
  <c r="V112" i="107"/>
  <c r="C114" i="107"/>
  <c r="C118" i="107" s="1"/>
  <c r="S114" i="107"/>
  <c r="S116" i="107" s="1"/>
  <c r="H112" i="107"/>
  <c r="H117" i="107" s="1"/>
  <c r="C113" i="107"/>
  <c r="F112" i="107"/>
  <c r="L114" i="107"/>
  <c r="K111" i="107"/>
  <c r="N112" i="107"/>
  <c r="N117" i="107" s="1"/>
  <c r="V111" i="107"/>
  <c r="D114" i="107"/>
  <c r="D118" i="107" s="1"/>
  <c r="P112" i="107"/>
  <c r="P117" i="107" s="1"/>
  <c r="U112" i="107"/>
  <c r="E114" i="107"/>
  <c r="H111" i="107"/>
  <c r="H113" i="107"/>
  <c r="H118" i="107" s="1"/>
  <c r="M114" i="107"/>
  <c r="P111" i="107"/>
  <c r="P113" i="107"/>
  <c r="P118" i="107" s="1"/>
  <c r="V113" i="107"/>
  <c r="X112" i="107"/>
  <c r="X117" i="107" s="1"/>
  <c r="N114" i="107"/>
  <c r="C111" i="107"/>
  <c r="T113" i="107"/>
  <c r="R112" i="107"/>
  <c r="X113" i="107"/>
  <c r="X118" i="107" s="1"/>
  <c r="Z112" i="107"/>
  <c r="Z117" i="107" s="1"/>
  <c r="Q111" i="107"/>
  <c r="Q116" i="107" s="1"/>
  <c r="J111" i="107"/>
  <c r="J112" i="107"/>
  <c r="J117" i="107" s="1"/>
  <c r="O114" i="107"/>
  <c r="R111" i="107"/>
  <c r="R113" i="107"/>
  <c r="U114" i="107"/>
  <c r="Z113" i="107"/>
  <c r="Z118" i="107" s="1"/>
  <c r="R114" i="107"/>
  <c r="R117" i="107" s="1"/>
  <c r="Y111" i="107"/>
  <c r="Z111" i="107"/>
  <c r="Z116" i="107" s="1"/>
  <c r="L111" i="107"/>
  <c r="J113" i="107"/>
  <c r="J118" i="107" s="1"/>
  <c r="L112" i="107"/>
  <c r="W114" i="107"/>
  <c r="W116" i="107" s="1"/>
  <c r="T114" i="107"/>
  <c r="T117" i="107" s="1"/>
  <c r="I111" i="107"/>
  <c r="D113" i="107"/>
  <c r="L113" i="107"/>
  <c r="L118" i="107" s="1"/>
  <c r="T111" i="107"/>
  <c r="Y114" i="107"/>
  <c r="Y116" i="107" s="1"/>
  <c r="V114" i="107"/>
  <c r="V117" i="107" s="1"/>
  <c r="U117" i="107"/>
  <c r="U111" i="107"/>
  <c r="U116" i="107" s="1"/>
  <c r="C112" i="107"/>
  <c r="C117" i="107" s="1"/>
  <c r="I114" i="107"/>
  <c r="E111" i="107"/>
  <c r="E116" i="107" s="1"/>
  <c r="D111" i="107"/>
  <c r="N111" i="107"/>
  <c r="N116" i="107" s="1"/>
  <c r="X111" i="107"/>
  <c r="X116" i="107" s="1"/>
  <c r="E112" i="107"/>
  <c r="E117" i="107" s="1"/>
  <c r="G112" i="107"/>
  <c r="G117" i="107" s="1"/>
  <c r="I112" i="107"/>
  <c r="I117" i="107" s="1"/>
  <c r="K112" i="107"/>
  <c r="M112" i="107"/>
  <c r="O112" i="107"/>
  <c r="O117" i="107" s="1"/>
  <c r="Q112" i="107"/>
  <c r="Q117" i="107" s="1"/>
  <c r="S112" i="107"/>
  <c r="W112" i="107"/>
  <c r="Y112" i="107"/>
  <c r="E113" i="107"/>
  <c r="E118" i="107" s="1"/>
  <c r="G113" i="107"/>
  <c r="G118" i="107" s="1"/>
  <c r="I113" i="107"/>
  <c r="K113" i="107"/>
  <c r="M113" i="107"/>
  <c r="O113" i="107"/>
  <c r="Q113" i="107"/>
  <c r="Q118" i="107" s="1"/>
  <c r="S113" i="107"/>
  <c r="U113" i="107"/>
  <c r="W113" i="107"/>
  <c r="Y113" i="107"/>
  <c r="L113" i="88"/>
  <c r="J105" i="88"/>
  <c r="R104" i="88"/>
  <c r="Q105" i="88"/>
  <c r="Q113" i="88" s="1"/>
  <c r="Z104" i="88"/>
  <c r="F104" i="88"/>
  <c r="F108" i="88" s="1"/>
  <c r="P105" i="88"/>
  <c r="P113" i="88" s="1"/>
  <c r="Y105" i="88"/>
  <c r="Y113" i="88" s="1"/>
  <c r="E110" i="88"/>
  <c r="M110" i="88"/>
  <c r="U110" i="88"/>
  <c r="H104" i="88"/>
  <c r="H108" i="88" s="1"/>
  <c r="F105" i="88"/>
  <c r="S105" i="88"/>
  <c r="U105" i="88"/>
  <c r="M104" i="88"/>
  <c r="N104" i="88"/>
  <c r="H105" i="88"/>
  <c r="H113" i="88" s="1"/>
  <c r="J113" i="88"/>
  <c r="X104" i="88"/>
  <c r="X108" i="88" s="1"/>
  <c r="X105" i="88"/>
  <c r="J104" i="88"/>
  <c r="M105" i="88"/>
  <c r="O104" i="88"/>
  <c r="T105" i="88"/>
  <c r="T113" i="88" s="1"/>
  <c r="U104" i="88"/>
  <c r="U108" i="88" s="1"/>
  <c r="V104" i="88"/>
  <c r="D25" i="116"/>
  <c r="X25" i="116"/>
  <c r="E25" i="116"/>
  <c r="L25" i="116"/>
  <c r="M25" i="116"/>
  <c r="U25" i="116"/>
  <c r="G25" i="116"/>
  <c r="O25" i="116"/>
  <c r="W25" i="116"/>
  <c r="I25" i="116"/>
  <c r="Q25" i="116"/>
  <c r="Y25" i="116"/>
  <c r="R107" i="106"/>
  <c r="F107" i="106"/>
  <c r="V107" i="106"/>
  <c r="D109" i="106"/>
  <c r="F109" i="106"/>
  <c r="H109" i="106"/>
  <c r="J109" i="106"/>
  <c r="L109" i="106"/>
  <c r="N109" i="106"/>
  <c r="P109" i="106"/>
  <c r="R109" i="106"/>
  <c r="T109" i="106"/>
  <c r="V109" i="106"/>
  <c r="X109" i="106"/>
  <c r="Z109" i="106"/>
  <c r="H107" i="106"/>
  <c r="X107" i="106"/>
  <c r="D107" i="106"/>
  <c r="J107" i="106"/>
  <c r="Z107" i="106"/>
  <c r="L107" i="106"/>
  <c r="D108" i="106"/>
  <c r="F108" i="106"/>
  <c r="G109" i="106"/>
  <c r="H108" i="106"/>
  <c r="J108" i="106"/>
  <c r="L108" i="106"/>
  <c r="M108" i="106"/>
  <c r="O109" i="106"/>
  <c r="P108" i="106"/>
  <c r="R108" i="106"/>
  <c r="T108" i="106"/>
  <c r="S107" i="106"/>
  <c r="U108" i="106"/>
  <c r="W109" i="106"/>
  <c r="X108" i="106"/>
  <c r="Z108" i="106"/>
  <c r="K107" i="106"/>
  <c r="P107" i="106"/>
  <c r="C107" i="106"/>
  <c r="E108" i="106"/>
  <c r="C108" i="106"/>
  <c r="N108" i="106"/>
  <c r="V108" i="106"/>
  <c r="C109" i="106"/>
  <c r="E109" i="106"/>
  <c r="I107" i="106"/>
  <c r="K108" i="106"/>
  <c r="M109" i="106"/>
  <c r="Q107" i="106"/>
  <c r="S108" i="106"/>
  <c r="U109" i="106"/>
  <c r="Y107" i="106"/>
  <c r="G107" i="106"/>
  <c r="I108" i="106"/>
  <c r="K109" i="106"/>
  <c r="O107" i="106"/>
  <c r="Q108" i="106"/>
  <c r="S109" i="106"/>
  <c r="W107" i="106"/>
  <c r="Y108" i="106"/>
  <c r="E107" i="106"/>
  <c r="G108" i="106"/>
  <c r="I109" i="106"/>
  <c r="M107" i="106"/>
  <c r="O108" i="106"/>
  <c r="Q109" i="106"/>
  <c r="U107" i="106"/>
  <c r="W108" i="106"/>
  <c r="Y109" i="106"/>
  <c r="Y112" i="108"/>
  <c r="D111" i="108"/>
  <c r="D112" i="108"/>
  <c r="C109" i="108"/>
  <c r="D110" i="108"/>
  <c r="C110" i="108"/>
  <c r="D109" i="108"/>
  <c r="C111" i="108"/>
  <c r="C112" i="108"/>
  <c r="F117" i="107"/>
  <c r="H116" i="107"/>
  <c r="P116" i="107"/>
  <c r="V116" i="107"/>
  <c r="F116" i="107"/>
  <c r="J116" i="107"/>
  <c r="Y34" i="91"/>
  <c r="Y37" i="91" s="1"/>
  <c r="W34" i="91"/>
  <c r="W37" i="91" s="1"/>
  <c r="N34" i="91"/>
  <c r="N37" i="91" s="1"/>
  <c r="M34" i="91"/>
  <c r="M37" i="91" s="1"/>
  <c r="J34" i="91"/>
  <c r="H34" i="91"/>
  <c r="T37" i="91"/>
  <c r="H37" i="91"/>
  <c r="J37" i="91"/>
  <c r="D34" i="91"/>
  <c r="D37" i="91" s="1"/>
  <c r="C34" i="91"/>
  <c r="C37" i="91" s="1"/>
  <c r="Z37" i="91"/>
  <c r="L37" i="91"/>
  <c r="V106" i="88"/>
  <c r="V113" i="88" s="1"/>
  <c r="L108" i="88"/>
  <c r="Z105" i="88"/>
  <c r="Y104" i="88"/>
  <c r="Y108" i="88" s="1"/>
  <c r="W104" i="88"/>
  <c r="W108" i="88" s="1"/>
  <c r="V105" i="88"/>
  <c r="S104" i="88"/>
  <c r="O105" i="88"/>
  <c r="O113" i="88" s="1"/>
  <c r="P104" i="88"/>
  <c r="N105" i="88"/>
  <c r="I105" i="88"/>
  <c r="G105" i="88"/>
  <c r="G113" i="88" s="1"/>
  <c r="E105" i="88"/>
  <c r="I104" i="88"/>
  <c r="D105" i="88"/>
  <c r="G104" i="88"/>
  <c r="E104" i="88"/>
  <c r="C104" i="88"/>
  <c r="C105" i="88"/>
  <c r="C113" i="88" s="1"/>
  <c r="D104" i="88"/>
  <c r="C172" i="76"/>
  <c r="S108" i="88" l="1"/>
  <c r="M108" i="88"/>
  <c r="R113" i="88"/>
  <c r="T108" i="88"/>
  <c r="N113" i="88"/>
  <c r="J108" i="88"/>
  <c r="R108" i="88"/>
  <c r="I113" i="88"/>
  <c r="P108" i="88"/>
  <c r="Z108" i="88"/>
  <c r="S113" i="88"/>
  <c r="X113" i="88"/>
  <c r="V108" i="88"/>
  <c r="O108" i="88"/>
  <c r="N108" i="88"/>
  <c r="U113" i="88"/>
  <c r="X116" i="108"/>
  <c r="N114" i="108"/>
  <c r="F114" i="108"/>
  <c r="W114" i="108"/>
  <c r="I116" i="108"/>
  <c r="D114" i="108"/>
  <c r="T115" i="108"/>
  <c r="N116" i="108"/>
  <c r="I115" i="108"/>
  <c r="X114" i="108"/>
  <c r="G114" i="108"/>
  <c r="P115" i="108"/>
  <c r="T116" i="108"/>
  <c r="N115" i="108"/>
  <c r="P116" i="108"/>
  <c r="G116" i="108"/>
  <c r="Q114" i="108"/>
  <c r="Z114" i="108"/>
  <c r="T114" i="108"/>
  <c r="S116" i="108"/>
  <c r="P114" i="108"/>
  <c r="W115" i="108"/>
  <c r="G115" i="108"/>
  <c r="C114" i="108"/>
  <c r="X115" i="108"/>
  <c r="S117" i="107"/>
  <c r="K116" i="107"/>
  <c r="K118" i="107"/>
  <c r="C116" i="107"/>
  <c r="D116" i="107"/>
  <c r="D117" i="107"/>
  <c r="K117" i="107"/>
  <c r="R118" i="107"/>
  <c r="R116" i="107"/>
  <c r="M116" i="107"/>
  <c r="T116" i="107"/>
  <c r="L116" i="107"/>
  <c r="O116" i="107"/>
  <c r="T118" i="107"/>
  <c r="U118" i="107"/>
  <c r="S118" i="107"/>
  <c r="I116" i="107"/>
  <c r="Y118" i="107"/>
  <c r="W118" i="107"/>
  <c r="M117" i="107"/>
  <c r="Y117" i="107"/>
  <c r="L117" i="107"/>
  <c r="O118" i="107"/>
  <c r="W117" i="107"/>
  <c r="M118" i="107"/>
  <c r="V118" i="107"/>
  <c r="I118" i="107"/>
  <c r="M113" i="88"/>
  <c r="E108" i="88"/>
  <c r="Q108" i="88"/>
  <c r="Z113" i="88"/>
  <c r="E113" i="88"/>
  <c r="K114" i="108"/>
  <c r="K116" i="108"/>
  <c r="R114" i="108"/>
  <c r="E116" i="108"/>
  <c r="D116" i="108"/>
  <c r="U116" i="108"/>
  <c r="R115" i="108"/>
  <c r="Z116" i="108"/>
  <c r="J115" i="108"/>
  <c r="I114" i="108"/>
  <c r="S115" i="108"/>
  <c r="W116" i="108"/>
  <c r="R116" i="108"/>
  <c r="C115" i="108"/>
  <c r="F116" i="108"/>
  <c r="S114" i="108"/>
  <c r="J116" i="108"/>
  <c r="Y114" i="108"/>
  <c r="H115" i="108"/>
  <c r="M115" i="108"/>
  <c r="H116" i="108"/>
  <c r="V116" i="108"/>
  <c r="M116" i="108"/>
  <c r="H114" i="108"/>
  <c r="L116" i="108"/>
  <c r="D115" i="108"/>
  <c r="L114" i="108"/>
  <c r="Y115" i="108"/>
  <c r="Y116" i="108"/>
  <c r="V114" i="108"/>
  <c r="L115" i="108"/>
  <c r="O114" i="108"/>
  <c r="O115" i="108"/>
  <c r="V115" i="108"/>
  <c r="F115" i="108"/>
  <c r="O116" i="108"/>
  <c r="K115" i="108"/>
  <c r="C116" i="108"/>
  <c r="U115" i="108"/>
  <c r="U114" i="108"/>
  <c r="E115" i="108"/>
  <c r="E114" i="108"/>
  <c r="M114" i="108"/>
  <c r="Q115" i="108"/>
  <c r="Q116" i="108"/>
  <c r="I108" i="88"/>
  <c r="G108" i="88"/>
  <c r="D108" i="88"/>
  <c r="C108" i="88"/>
  <c r="E35" i="122" l="1"/>
  <c r="G35" i="122"/>
  <c r="I35" i="122"/>
  <c r="K35" i="122"/>
  <c r="M35" i="122"/>
  <c r="O35" i="122"/>
  <c r="Q35" i="122"/>
  <c r="S35" i="122"/>
  <c r="U35" i="122"/>
  <c r="W35" i="122"/>
  <c r="Y35" i="122"/>
  <c r="AA35" i="122"/>
  <c r="AB35" i="122"/>
  <c r="AC35" i="122"/>
  <c r="AD35" i="122"/>
  <c r="AE35" i="122"/>
  <c r="AF35" i="122"/>
  <c r="AG35" i="122"/>
  <c r="AH35" i="122"/>
  <c r="C35" i="122"/>
  <c r="D35" i="122" s="1"/>
  <c r="E34" i="122"/>
  <c r="G34" i="122"/>
  <c r="I34" i="122"/>
  <c r="K34" i="122"/>
  <c r="M34" i="122"/>
  <c r="O34" i="122"/>
  <c r="Q34" i="122"/>
  <c r="S34" i="122"/>
  <c r="U34" i="122"/>
  <c r="W34" i="122"/>
  <c r="Y34" i="122"/>
  <c r="AA34" i="122"/>
  <c r="AB34" i="122"/>
  <c r="AC34" i="122"/>
  <c r="AD34" i="122"/>
  <c r="AE34" i="122"/>
  <c r="AF34" i="122"/>
  <c r="AG34" i="122"/>
  <c r="AH34" i="122"/>
  <c r="C34" i="122"/>
  <c r="D34" i="122" s="1"/>
  <c r="E17" i="116"/>
  <c r="F17" i="116" s="1"/>
  <c r="G17" i="116"/>
  <c r="H17" i="116" s="1"/>
  <c r="I17" i="116"/>
  <c r="J17" i="116" s="1"/>
  <c r="K17" i="116"/>
  <c r="L17" i="116" s="1"/>
  <c r="M17" i="116"/>
  <c r="N17" i="116" s="1"/>
  <c r="O17" i="116"/>
  <c r="P17" i="116" s="1"/>
  <c r="Q17" i="116"/>
  <c r="R17" i="116" s="1"/>
  <c r="S17" i="116"/>
  <c r="T17" i="116" s="1"/>
  <c r="U17" i="116"/>
  <c r="V17" i="116" s="1"/>
  <c r="W17" i="116"/>
  <c r="X17" i="116" s="1"/>
  <c r="Y17" i="116"/>
  <c r="Z17" i="116" s="1"/>
  <c r="AA17" i="116"/>
  <c r="AB17" i="116"/>
  <c r="AC17" i="116"/>
  <c r="AD17" i="116"/>
  <c r="AE17" i="116"/>
  <c r="AF17" i="116"/>
  <c r="AG17" i="116"/>
  <c r="AH17" i="116"/>
  <c r="C17" i="116"/>
  <c r="D17" i="116" s="1"/>
  <c r="E16" i="116"/>
  <c r="F16" i="116" s="1"/>
  <c r="G16" i="116"/>
  <c r="H16" i="116" s="1"/>
  <c r="I16" i="116"/>
  <c r="J16" i="116" s="1"/>
  <c r="K16" i="116"/>
  <c r="L16" i="116" s="1"/>
  <c r="M16" i="116"/>
  <c r="N16" i="116" s="1"/>
  <c r="O16" i="116"/>
  <c r="P16" i="116" s="1"/>
  <c r="Q16" i="116"/>
  <c r="R16" i="116" s="1"/>
  <c r="S16" i="116"/>
  <c r="T16" i="116" s="1"/>
  <c r="U16" i="116"/>
  <c r="V16" i="116" s="1"/>
  <c r="W16" i="116"/>
  <c r="X16" i="116" s="1"/>
  <c r="Y16" i="116"/>
  <c r="Z16" i="116" s="1"/>
  <c r="AA16" i="116"/>
  <c r="AB16" i="116"/>
  <c r="AC16" i="116"/>
  <c r="AD16" i="116"/>
  <c r="AE16" i="116"/>
  <c r="AF16" i="116"/>
  <c r="AG16" i="116"/>
  <c r="AH16" i="116"/>
  <c r="C16" i="116"/>
  <c r="D16" i="116" s="1"/>
  <c r="C28" i="123" l="1"/>
  <c r="V24" i="123"/>
  <c r="U24" i="123"/>
  <c r="T24" i="123"/>
  <c r="S24" i="123"/>
  <c r="R24" i="123"/>
  <c r="Q24" i="123"/>
  <c r="P24" i="123"/>
  <c r="O24" i="123"/>
  <c r="N24" i="123"/>
  <c r="M24" i="123"/>
  <c r="L24" i="123"/>
  <c r="K24" i="123"/>
  <c r="J24" i="123"/>
  <c r="I24" i="123"/>
  <c r="H24" i="123"/>
  <c r="G24" i="123"/>
  <c r="F24" i="123"/>
  <c r="E24" i="123"/>
  <c r="D24" i="123"/>
  <c r="C24" i="123"/>
  <c r="V23" i="123"/>
  <c r="U23" i="123"/>
  <c r="T23" i="123"/>
  <c r="S23" i="123"/>
  <c r="R23" i="123"/>
  <c r="Q23" i="123"/>
  <c r="P23" i="123"/>
  <c r="O23" i="123"/>
  <c r="N23" i="123"/>
  <c r="M23" i="123"/>
  <c r="L23" i="123"/>
  <c r="K23" i="123"/>
  <c r="J23" i="123"/>
  <c r="I23" i="123"/>
  <c r="H23" i="123"/>
  <c r="G23" i="123"/>
  <c r="F23" i="123"/>
  <c r="E23" i="123"/>
  <c r="D23" i="123"/>
  <c r="C23" i="123"/>
  <c r="V22" i="123"/>
  <c r="U22" i="123"/>
  <c r="T22" i="123"/>
  <c r="S22" i="123"/>
  <c r="R22" i="123"/>
  <c r="Q22" i="123"/>
  <c r="P22" i="123"/>
  <c r="O22" i="123"/>
  <c r="N22" i="123"/>
  <c r="M22" i="123"/>
  <c r="L22" i="123"/>
  <c r="K22" i="123"/>
  <c r="J22" i="123"/>
  <c r="I22" i="123"/>
  <c r="H22" i="123"/>
  <c r="G22" i="123"/>
  <c r="F22" i="123"/>
  <c r="E22" i="123"/>
  <c r="D22" i="123"/>
  <c r="C22" i="123"/>
  <c r="V21" i="123"/>
  <c r="U21" i="123"/>
  <c r="T21" i="123"/>
  <c r="S21" i="123"/>
  <c r="R21" i="123"/>
  <c r="Q21" i="123"/>
  <c r="P21" i="123"/>
  <c r="O21" i="123"/>
  <c r="N21" i="123"/>
  <c r="M21" i="123"/>
  <c r="L21" i="123"/>
  <c r="K21" i="123"/>
  <c r="J21" i="123"/>
  <c r="I21" i="123"/>
  <c r="H21" i="123"/>
  <c r="G21" i="123"/>
  <c r="F21" i="123"/>
  <c r="E21" i="123"/>
  <c r="D21" i="123"/>
  <c r="C21" i="123"/>
  <c r="V20" i="123"/>
  <c r="U20" i="123"/>
  <c r="T20" i="123"/>
  <c r="S20" i="123"/>
  <c r="R20" i="123"/>
  <c r="Q20" i="123"/>
  <c r="P20" i="123"/>
  <c r="O20" i="123"/>
  <c r="N20" i="123"/>
  <c r="M20" i="123"/>
  <c r="L20" i="123"/>
  <c r="K20" i="123"/>
  <c r="J20" i="123"/>
  <c r="I20" i="123"/>
  <c r="H20" i="123"/>
  <c r="G20" i="123"/>
  <c r="F20" i="123"/>
  <c r="E20" i="123"/>
  <c r="D20" i="123"/>
  <c r="C20" i="123"/>
  <c r="V19" i="123"/>
  <c r="U19" i="123"/>
  <c r="T19" i="123"/>
  <c r="S19" i="123"/>
  <c r="R19" i="123"/>
  <c r="Q19" i="123"/>
  <c r="P19" i="123"/>
  <c r="O19" i="123"/>
  <c r="N19" i="123"/>
  <c r="M19" i="123"/>
  <c r="L19" i="123"/>
  <c r="K19" i="123"/>
  <c r="J19" i="123"/>
  <c r="I19" i="123"/>
  <c r="H19" i="123"/>
  <c r="G19" i="123"/>
  <c r="F19" i="123"/>
  <c r="E19" i="123"/>
  <c r="D19" i="123"/>
  <c r="C19" i="123"/>
  <c r="V18" i="123"/>
  <c r="U18" i="123"/>
  <c r="T18" i="123"/>
  <c r="S18" i="123"/>
  <c r="R18" i="123"/>
  <c r="Q18" i="123"/>
  <c r="P18" i="123"/>
  <c r="O18" i="123"/>
  <c r="N18" i="123"/>
  <c r="M18" i="123"/>
  <c r="L18" i="123"/>
  <c r="K18" i="123"/>
  <c r="J18" i="123"/>
  <c r="I18" i="123"/>
  <c r="H18" i="123"/>
  <c r="G18" i="123"/>
  <c r="F18" i="123"/>
  <c r="E18" i="123"/>
  <c r="D18" i="123"/>
  <c r="C18" i="123"/>
  <c r="V17" i="123"/>
  <c r="U17" i="123"/>
  <c r="T17" i="123"/>
  <c r="S17" i="123"/>
  <c r="R17" i="123"/>
  <c r="Q17" i="123"/>
  <c r="P17" i="123"/>
  <c r="O17" i="123"/>
  <c r="N17" i="123"/>
  <c r="M17" i="123"/>
  <c r="L17" i="123"/>
  <c r="K17" i="123"/>
  <c r="J17" i="123"/>
  <c r="I17" i="123"/>
  <c r="H17" i="123"/>
  <c r="G17" i="123"/>
  <c r="F17" i="123"/>
  <c r="E17" i="123"/>
  <c r="D17" i="123"/>
  <c r="C17" i="123"/>
  <c r="C28" i="122"/>
  <c r="AH24" i="122"/>
  <c r="AG24" i="122"/>
  <c r="AF24" i="122"/>
  <c r="AE24" i="122"/>
  <c r="AD24" i="122"/>
  <c r="AC24" i="122"/>
  <c r="AB24" i="122"/>
  <c r="AA24" i="122"/>
  <c r="Y24" i="122"/>
  <c r="W24" i="122"/>
  <c r="U24" i="122"/>
  <c r="S24" i="122"/>
  <c r="Q24" i="122"/>
  <c r="O24" i="122"/>
  <c r="M24" i="122"/>
  <c r="K24" i="122"/>
  <c r="I24" i="122"/>
  <c r="G24" i="122"/>
  <c r="E24" i="122"/>
  <c r="C24" i="122"/>
  <c r="AH23" i="122"/>
  <c r="AG23" i="122"/>
  <c r="AF23" i="122"/>
  <c r="AE23" i="122"/>
  <c r="AD23" i="122"/>
  <c r="AC23" i="122"/>
  <c r="AB23" i="122"/>
  <c r="AA23" i="122"/>
  <c r="Y23" i="122"/>
  <c r="W23" i="122"/>
  <c r="U23" i="122"/>
  <c r="S23" i="122"/>
  <c r="Q23" i="122"/>
  <c r="O23" i="122"/>
  <c r="M23" i="122"/>
  <c r="K23" i="122"/>
  <c r="I23" i="122"/>
  <c r="G23" i="122"/>
  <c r="E23" i="122"/>
  <c r="C23" i="122"/>
  <c r="AH22" i="122"/>
  <c r="AG22" i="122"/>
  <c r="AF22" i="122"/>
  <c r="AE22" i="122"/>
  <c r="AD22" i="122"/>
  <c r="AC22" i="122"/>
  <c r="AB22" i="122"/>
  <c r="AA22" i="122"/>
  <c r="Y22" i="122"/>
  <c r="W22" i="122"/>
  <c r="U22" i="122"/>
  <c r="S22" i="122"/>
  <c r="Q22" i="122"/>
  <c r="O22" i="122"/>
  <c r="M22" i="122"/>
  <c r="K22" i="122"/>
  <c r="I22" i="122"/>
  <c r="G22" i="122"/>
  <c r="E22" i="122"/>
  <c r="C22" i="122"/>
  <c r="AH21" i="122"/>
  <c r="AG21" i="122"/>
  <c r="AF21" i="122"/>
  <c r="AE21" i="122"/>
  <c r="AD21" i="122"/>
  <c r="AC21" i="122"/>
  <c r="AB21" i="122"/>
  <c r="AA21" i="122"/>
  <c r="Y21" i="122"/>
  <c r="W21" i="122"/>
  <c r="U21" i="122"/>
  <c r="S21" i="122"/>
  <c r="Q21" i="122"/>
  <c r="O21" i="122"/>
  <c r="M21" i="122"/>
  <c r="K21" i="122"/>
  <c r="I21" i="122"/>
  <c r="G21" i="122"/>
  <c r="E21" i="122"/>
  <c r="C21" i="122"/>
  <c r="AH20" i="122"/>
  <c r="AG20" i="122"/>
  <c r="AF20" i="122"/>
  <c r="AE20" i="122"/>
  <c r="AD20" i="122"/>
  <c r="AC20" i="122"/>
  <c r="AB20" i="122"/>
  <c r="AA20" i="122"/>
  <c r="Y20" i="122"/>
  <c r="W20" i="122"/>
  <c r="U20" i="122"/>
  <c r="S20" i="122"/>
  <c r="Q20" i="122"/>
  <c r="O20" i="122"/>
  <c r="M20" i="122"/>
  <c r="K20" i="122"/>
  <c r="I20" i="122"/>
  <c r="G20" i="122"/>
  <c r="E20" i="122"/>
  <c r="C20" i="122"/>
  <c r="AH19" i="122"/>
  <c r="AG19" i="122"/>
  <c r="AF19" i="122"/>
  <c r="AE19" i="122"/>
  <c r="AD19" i="122"/>
  <c r="AC19" i="122"/>
  <c r="AB19" i="122"/>
  <c r="AA19" i="122"/>
  <c r="Y19" i="122"/>
  <c r="W19" i="122"/>
  <c r="U19" i="122"/>
  <c r="S19" i="122"/>
  <c r="Q19" i="122"/>
  <c r="O19" i="122"/>
  <c r="M19" i="122"/>
  <c r="K19" i="122"/>
  <c r="I19" i="122"/>
  <c r="G19" i="122"/>
  <c r="E19" i="122"/>
  <c r="C19" i="122"/>
  <c r="AH18" i="122"/>
  <c r="AG18" i="122"/>
  <c r="AF18" i="122"/>
  <c r="AE18" i="122"/>
  <c r="AD18" i="122"/>
  <c r="AC18" i="122"/>
  <c r="AB18" i="122"/>
  <c r="AA18" i="122"/>
  <c r="Y18" i="122"/>
  <c r="W18" i="122"/>
  <c r="U18" i="122"/>
  <c r="S18" i="122"/>
  <c r="Q18" i="122"/>
  <c r="O18" i="122"/>
  <c r="M18" i="122"/>
  <c r="K18" i="122"/>
  <c r="I18" i="122"/>
  <c r="G18" i="122"/>
  <c r="E18" i="122"/>
  <c r="C18" i="122"/>
  <c r="AH17" i="122"/>
  <c r="AG17" i="122"/>
  <c r="AF17" i="122"/>
  <c r="AE17" i="122"/>
  <c r="AD17" i="122"/>
  <c r="AC17" i="122"/>
  <c r="AB17" i="122"/>
  <c r="AA17" i="122"/>
  <c r="Y17" i="122"/>
  <c r="W17" i="122"/>
  <c r="U17" i="122"/>
  <c r="S17" i="122"/>
  <c r="Q17" i="122"/>
  <c r="O17" i="122"/>
  <c r="M17" i="122"/>
  <c r="K17" i="122"/>
  <c r="I17" i="122"/>
  <c r="G17" i="122"/>
  <c r="E17" i="122"/>
  <c r="C17" i="122"/>
  <c r="C130" i="111"/>
  <c r="E130" i="111"/>
  <c r="C131" i="111"/>
  <c r="E131" i="111"/>
  <c r="I173" i="76"/>
  <c r="I172" i="76"/>
  <c r="G173" i="76"/>
  <c r="G172" i="76"/>
  <c r="C173" i="76"/>
  <c r="J135" i="121"/>
  <c r="J134" i="121"/>
  <c r="D135" i="121"/>
  <c r="D134" i="121"/>
  <c r="E132" i="112"/>
  <c r="E131" i="112"/>
  <c r="C132" i="112"/>
  <c r="C131" i="112"/>
  <c r="E168" i="76"/>
  <c r="D130" i="121"/>
  <c r="D129" i="121"/>
  <c r="D131" i="121"/>
  <c r="C23" i="117"/>
  <c r="AU128" i="121"/>
  <c r="AT128" i="121"/>
  <c r="AS128" i="121"/>
  <c r="AR128" i="121"/>
  <c r="AQ128" i="121"/>
  <c r="AP128" i="121"/>
  <c r="AO128" i="121"/>
  <c r="AN128" i="121"/>
  <c r="AK128" i="121"/>
  <c r="AH128" i="121"/>
  <c r="AE128" i="121"/>
  <c r="AB128" i="121"/>
  <c r="Y128" i="121"/>
  <c r="V128" i="121"/>
  <c r="S128" i="121"/>
  <c r="P128" i="121"/>
  <c r="M128" i="121"/>
  <c r="J128" i="121"/>
  <c r="G128" i="121"/>
  <c r="D128" i="121"/>
  <c r="AU127" i="121"/>
  <c r="AT127" i="121"/>
  <c r="AS127" i="121"/>
  <c r="AR127" i="121"/>
  <c r="AQ127" i="121"/>
  <c r="AP127" i="121"/>
  <c r="AO127" i="121"/>
  <c r="AN127" i="121"/>
  <c r="AK127" i="121"/>
  <c r="AH127" i="121"/>
  <c r="AE127" i="121"/>
  <c r="AB127" i="121"/>
  <c r="Y127" i="121"/>
  <c r="V127" i="121"/>
  <c r="S127" i="121"/>
  <c r="P127" i="121"/>
  <c r="M127" i="121"/>
  <c r="J127" i="121"/>
  <c r="G127" i="121"/>
  <c r="D127" i="121"/>
  <c r="AU126" i="121"/>
  <c r="AT126" i="121"/>
  <c r="AS126" i="121"/>
  <c r="AR126" i="121"/>
  <c r="AQ126" i="121"/>
  <c r="AP126" i="121"/>
  <c r="AO126" i="121"/>
  <c r="AN126" i="121"/>
  <c r="AK126" i="121"/>
  <c r="AH126" i="121"/>
  <c r="AE126" i="121"/>
  <c r="AB126" i="121"/>
  <c r="Y126" i="121"/>
  <c r="V126" i="121"/>
  <c r="S126" i="121"/>
  <c r="P126" i="121"/>
  <c r="M126" i="121"/>
  <c r="J126" i="121"/>
  <c r="G126" i="121"/>
  <c r="D126" i="121"/>
  <c r="AU125" i="121"/>
  <c r="AT125" i="121"/>
  <c r="AS125" i="121"/>
  <c r="AR125" i="121"/>
  <c r="AQ125" i="121"/>
  <c r="AP125" i="121"/>
  <c r="AO125" i="121"/>
  <c r="AN125" i="121"/>
  <c r="AK125" i="121"/>
  <c r="AH125" i="121"/>
  <c r="AE125" i="121"/>
  <c r="AB125" i="121"/>
  <c r="Y125" i="121"/>
  <c r="V125" i="121"/>
  <c r="S125" i="121"/>
  <c r="P125" i="121"/>
  <c r="M125" i="121"/>
  <c r="J125" i="121"/>
  <c r="G125" i="121"/>
  <c r="D125" i="121"/>
  <c r="AU124" i="121"/>
  <c r="AT124" i="121"/>
  <c r="AS124" i="121"/>
  <c r="AR124" i="121"/>
  <c r="AQ124" i="121"/>
  <c r="AP124" i="121"/>
  <c r="AO124" i="121"/>
  <c r="AN124" i="121"/>
  <c r="AK124" i="121"/>
  <c r="AH124" i="121"/>
  <c r="AE124" i="121"/>
  <c r="AB124" i="121"/>
  <c r="Y124" i="121"/>
  <c r="V124" i="121"/>
  <c r="S124" i="121"/>
  <c r="P124" i="121"/>
  <c r="M124" i="121"/>
  <c r="J124" i="121"/>
  <c r="G124" i="121"/>
  <c r="D124" i="121"/>
  <c r="AU123" i="121"/>
  <c r="AT123" i="121"/>
  <c r="AS123" i="121"/>
  <c r="AR123" i="121"/>
  <c r="AQ123" i="121"/>
  <c r="AP123" i="121"/>
  <c r="AO123" i="121"/>
  <c r="AN123" i="121"/>
  <c r="AK123" i="121"/>
  <c r="AH123" i="121"/>
  <c r="AE123" i="121"/>
  <c r="AB123" i="121"/>
  <c r="Y123" i="121"/>
  <c r="V123" i="121"/>
  <c r="S123" i="121"/>
  <c r="P123" i="121"/>
  <c r="M123" i="121"/>
  <c r="J123" i="121"/>
  <c r="G123" i="121"/>
  <c r="D123" i="121"/>
  <c r="AU122" i="121"/>
  <c r="AT122" i="121"/>
  <c r="AS122" i="121"/>
  <c r="AR122" i="121"/>
  <c r="AQ122" i="121"/>
  <c r="AP122" i="121"/>
  <c r="AO122" i="121"/>
  <c r="AN122" i="121"/>
  <c r="AK122" i="121"/>
  <c r="AH122" i="121"/>
  <c r="AE122" i="121"/>
  <c r="AB122" i="121"/>
  <c r="Y122" i="121"/>
  <c r="V122" i="121"/>
  <c r="S122" i="121"/>
  <c r="P122" i="121"/>
  <c r="M122" i="121"/>
  <c r="J122" i="121"/>
  <c r="G122" i="121"/>
  <c r="D122" i="121"/>
  <c r="AU121" i="121"/>
  <c r="AT121" i="121"/>
  <c r="AS121" i="121"/>
  <c r="AR121" i="121"/>
  <c r="AQ121" i="121"/>
  <c r="AP121" i="121"/>
  <c r="AO121" i="121"/>
  <c r="AN121" i="121"/>
  <c r="AK121" i="121"/>
  <c r="AH121" i="121"/>
  <c r="AE121" i="121"/>
  <c r="AB121" i="121"/>
  <c r="Y121" i="121"/>
  <c r="V121" i="121"/>
  <c r="S121" i="121"/>
  <c r="P121" i="121"/>
  <c r="M121" i="121"/>
  <c r="J121" i="121"/>
  <c r="G121" i="121"/>
  <c r="D121" i="121"/>
  <c r="T52" i="118"/>
  <c r="S52" i="118"/>
  <c r="R52" i="118"/>
  <c r="Q52" i="118"/>
  <c r="P52" i="118"/>
  <c r="O52" i="118"/>
  <c r="N52" i="118"/>
  <c r="L52" i="118"/>
  <c r="K52" i="118"/>
  <c r="J52" i="118"/>
  <c r="I52" i="118"/>
  <c r="H52" i="118"/>
  <c r="G52" i="118"/>
  <c r="F52" i="118"/>
  <c r="E52" i="118"/>
  <c r="D52" i="118"/>
  <c r="C52" i="118"/>
  <c r="T51" i="118"/>
  <c r="S51" i="118"/>
  <c r="R51" i="118"/>
  <c r="Q51" i="118"/>
  <c r="P51" i="118"/>
  <c r="O51" i="118"/>
  <c r="N51" i="118"/>
  <c r="L51" i="118"/>
  <c r="K51" i="118"/>
  <c r="J51" i="118"/>
  <c r="I51" i="118"/>
  <c r="H51" i="118"/>
  <c r="G51" i="118"/>
  <c r="F51" i="118"/>
  <c r="E51" i="118"/>
  <c r="D51" i="118"/>
  <c r="C51" i="118"/>
  <c r="T50" i="118"/>
  <c r="S50" i="118"/>
  <c r="R50" i="118"/>
  <c r="Q50" i="118"/>
  <c r="P50" i="118"/>
  <c r="O50" i="118"/>
  <c r="N50" i="118"/>
  <c r="L50" i="118"/>
  <c r="K50" i="118"/>
  <c r="J50" i="118"/>
  <c r="I50" i="118"/>
  <c r="H50" i="118"/>
  <c r="G50" i="118"/>
  <c r="F50" i="118"/>
  <c r="E50" i="118"/>
  <c r="D50" i="118"/>
  <c r="C50" i="118"/>
  <c r="T49" i="118"/>
  <c r="S49" i="118"/>
  <c r="R49" i="118"/>
  <c r="Q49" i="118"/>
  <c r="P49" i="118"/>
  <c r="O49" i="118"/>
  <c r="N49" i="118"/>
  <c r="L49" i="118"/>
  <c r="K49" i="118"/>
  <c r="J49" i="118"/>
  <c r="I49" i="118"/>
  <c r="H49" i="118"/>
  <c r="G49" i="118"/>
  <c r="F49" i="118"/>
  <c r="E49" i="118"/>
  <c r="D49" i="118"/>
  <c r="C49" i="118"/>
  <c r="T48" i="118"/>
  <c r="S48" i="118"/>
  <c r="R48" i="118"/>
  <c r="Q48" i="118"/>
  <c r="P48" i="118"/>
  <c r="O48" i="118"/>
  <c r="N48" i="118"/>
  <c r="L48" i="118"/>
  <c r="K48" i="118"/>
  <c r="J48" i="118"/>
  <c r="I48" i="118"/>
  <c r="H48" i="118"/>
  <c r="G48" i="118"/>
  <c r="F48" i="118"/>
  <c r="E48" i="118"/>
  <c r="D48" i="118"/>
  <c r="C48" i="118"/>
  <c r="T47" i="118"/>
  <c r="S47" i="118"/>
  <c r="R47" i="118"/>
  <c r="Q47" i="118"/>
  <c r="P47" i="118"/>
  <c r="O47" i="118"/>
  <c r="N47" i="118"/>
  <c r="L47" i="118"/>
  <c r="K47" i="118"/>
  <c r="J47" i="118"/>
  <c r="I47" i="118"/>
  <c r="H47" i="118"/>
  <c r="G47" i="118"/>
  <c r="F47" i="118"/>
  <c r="E47" i="118"/>
  <c r="D47" i="118"/>
  <c r="C47" i="118"/>
  <c r="V36" i="118"/>
  <c r="U36" i="118"/>
  <c r="T36" i="118"/>
  <c r="S36" i="118"/>
  <c r="R36" i="118"/>
  <c r="Q36" i="118"/>
  <c r="P36" i="118"/>
  <c r="O36" i="118"/>
  <c r="N36" i="118"/>
  <c r="M36" i="118"/>
  <c r="L36" i="118"/>
  <c r="K36" i="118"/>
  <c r="J36" i="118"/>
  <c r="I36" i="118"/>
  <c r="H36" i="118"/>
  <c r="G36" i="118"/>
  <c r="F36" i="118"/>
  <c r="E36" i="118"/>
  <c r="D36" i="118"/>
  <c r="C36" i="118"/>
  <c r="V35" i="118"/>
  <c r="U35" i="118"/>
  <c r="T35" i="118"/>
  <c r="S35" i="118"/>
  <c r="R35" i="118"/>
  <c r="Q35" i="118"/>
  <c r="P35" i="118"/>
  <c r="O35" i="118"/>
  <c r="N35" i="118"/>
  <c r="M35" i="118"/>
  <c r="L35" i="118"/>
  <c r="K35" i="118"/>
  <c r="J35" i="118"/>
  <c r="I35" i="118"/>
  <c r="H35" i="118"/>
  <c r="G35" i="118"/>
  <c r="F35" i="118"/>
  <c r="E35" i="118"/>
  <c r="D35" i="118"/>
  <c r="C35" i="118"/>
  <c r="V34" i="118"/>
  <c r="U34" i="118"/>
  <c r="T34" i="118"/>
  <c r="S34" i="118"/>
  <c r="R34" i="118"/>
  <c r="Q34" i="118"/>
  <c r="P34" i="118"/>
  <c r="O34" i="118"/>
  <c r="N34" i="118"/>
  <c r="M34" i="118"/>
  <c r="L34" i="118"/>
  <c r="K34" i="118"/>
  <c r="J34" i="118"/>
  <c r="I34" i="118"/>
  <c r="H34" i="118"/>
  <c r="G34" i="118"/>
  <c r="F34" i="118"/>
  <c r="E34" i="118"/>
  <c r="D34" i="118"/>
  <c r="C34" i="118"/>
  <c r="V33" i="118"/>
  <c r="U33" i="118"/>
  <c r="T33" i="118"/>
  <c r="S33" i="118"/>
  <c r="R33" i="118"/>
  <c r="Q33" i="118"/>
  <c r="P33" i="118"/>
  <c r="O33" i="118"/>
  <c r="N33" i="118"/>
  <c r="M33" i="118"/>
  <c r="L33" i="118"/>
  <c r="K33" i="118"/>
  <c r="J33" i="118"/>
  <c r="I33" i="118"/>
  <c r="H33" i="118"/>
  <c r="G33" i="118"/>
  <c r="F33" i="118"/>
  <c r="E33" i="118"/>
  <c r="D33" i="118"/>
  <c r="C33" i="118"/>
  <c r="V32" i="118"/>
  <c r="U32" i="118"/>
  <c r="T32" i="118"/>
  <c r="S32" i="118"/>
  <c r="R32" i="118"/>
  <c r="Q32" i="118"/>
  <c r="P32" i="118"/>
  <c r="O32" i="118"/>
  <c r="N32" i="118"/>
  <c r="M32" i="118"/>
  <c r="L32" i="118"/>
  <c r="K32" i="118"/>
  <c r="J32" i="118"/>
  <c r="I32" i="118"/>
  <c r="H32" i="118"/>
  <c r="G32" i="118"/>
  <c r="F32" i="118"/>
  <c r="E32" i="118"/>
  <c r="D32" i="118"/>
  <c r="C32" i="118"/>
  <c r="V31" i="118"/>
  <c r="U31" i="118"/>
  <c r="T31" i="118"/>
  <c r="S31" i="118"/>
  <c r="R31" i="118"/>
  <c r="Q31" i="118"/>
  <c r="P31" i="118"/>
  <c r="O31" i="118"/>
  <c r="N31" i="118"/>
  <c r="M31" i="118"/>
  <c r="L31" i="118"/>
  <c r="K31" i="118"/>
  <c r="J31" i="118"/>
  <c r="I31" i="118"/>
  <c r="H31" i="118"/>
  <c r="G31" i="118"/>
  <c r="F31" i="118"/>
  <c r="E31" i="118"/>
  <c r="D31" i="118"/>
  <c r="C31" i="118"/>
  <c r="C90" i="88"/>
  <c r="E90" i="88"/>
  <c r="G90" i="88"/>
  <c r="I90" i="88"/>
  <c r="K90" i="88"/>
  <c r="M90" i="88"/>
  <c r="O90" i="88"/>
  <c r="Q90" i="88"/>
  <c r="S90" i="88"/>
  <c r="U90" i="88"/>
  <c r="W90" i="88"/>
  <c r="Y90" i="88"/>
  <c r="AA90" i="88"/>
  <c r="AB90" i="88"/>
  <c r="AC90" i="88"/>
  <c r="AD90" i="88"/>
  <c r="AE90" i="88"/>
  <c r="AF90" i="88"/>
  <c r="AG90" i="88"/>
  <c r="AH90" i="88"/>
  <c r="C91" i="88"/>
  <c r="E91" i="88"/>
  <c r="G91" i="88"/>
  <c r="I91" i="88"/>
  <c r="K91" i="88"/>
  <c r="M91" i="88"/>
  <c r="O91" i="88"/>
  <c r="Q91" i="88"/>
  <c r="S91" i="88"/>
  <c r="U91" i="88"/>
  <c r="W91" i="88"/>
  <c r="Y91" i="88"/>
  <c r="AA91" i="88"/>
  <c r="AB91" i="88"/>
  <c r="AC91" i="88"/>
  <c r="AD91" i="88"/>
  <c r="AE91" i="88"/>
  <c r="AF91" i="88"/>
  <c r="AG91" i="88"/>
  <c r="AH91" i="88"/>
  <c r="M135" i="121" l="1"/>
  <c r="M134" i="121"/>
  <c r="G132" i="112"/>
  <c r="G131" i="112"/>
  <c r="G130" i="111"/>
  <c r="G131" i="111"/>
  <c r="V21" i="117"/>
  <c r="U21" i="117"/>
  <c r="T21" i="117"/>
  <c r="S21" i="117"/>
  <c r="R21" i="117"/>
  <c r="Q21" i="117"/>
  <c r="P21" i="117"/>
  <c r="O21" i="117"/>
  <c r="N21" i="117"/>
  <c r="M21" i="117"/>
  <c r="L21" i="117"/>
  <c r="K21" i="117"/>
  <c r="J21" i="117"/>
  <c r="I21" i="117"/>
  <c r="H21" i="117"/>
  <c r="G21" i="117"/>
  <c r="F21" i="117"/>
  <c r="E21" i="117"/>
  <c r="D21" i="117"/>
  <c r="C21" i="117"/>
  <c r="V20" i="117"/>
  <c r="U20" i="117"/>
  <c r="T20" i="117"/>
  <c r="S20" i="117"/>
  <c r="R20" i="117"/>
  <c r="Q20" i="117"/>
  <c r="P20" i="117"/>
  <c r="O20" i="117"/>
  <c r="N20" i="117"/>
  <c r="M20" i="117"/>
  <c r="L20" i="117"/>
  <c r="K20" i="117"/>
  <c r="J20" i="117"/>
  <c r="I20" i="117"/>
  <c r="H20" i="117"/>
  <c r="G20" i="117"/>
  <c r="F20" i="117"/>
  <c r="E20" i="117"/>
  <c r="D20" i="117"/>
  <c r="C20" i="117"/>
  <c r="V19" i="117"/>
  <c r="U19" i="117"/>
  <c r="T19" i="117"/>
  <c r="S19" i="117"/>
  <c r="R19" i="117"/>
  <c r="Q19" i="117"/>
  <c r="P19" i="117"/>
  <c r="O19" i="117"/>
  <c r="N19" i="117"/>
  <c r="M19" i="117"/>
  <c r="L19" i="117"/>
  <c r="K19" i="117"/>
  <c r="J19" i="117"/>
  <c r="I19" i="117"/>
  <c r="H19" i="117"/>
  <c r="G19" i="117"/>
  <c r="F19" i="117"/>
  <c r="E19" i="117"/>
  <c r="D19" i="117"/>
  <c r="C19" i="117"/>
  <c r="V18" i="117"/>
  <c r="U18" i="117"/>
  <c r="T18" i="117"/>
  <c r="S18" i="117"/>
  <c r="R18" i="117"/>
  <c r="Q18" i="117"/>
  <c r="P18" i="117"/>
  <c r="O18" i="117"/>
  <c r="N18" i="117"/>
  <c r="M18" i="117"/>
  <c r="L18" i="117"/>
  <c r="K18" i="117"/>
  <c r="J18" i="117"/>
  <c r="I18" i="117"/>
  <c r="H18" i="117"/>
  <c r="G18" i="117"/>
  <c r="F18" i="117"/>
  <c r="E18" i="117"/>
  <c r="D18" i="117"/>
  <c r="C18" i="117"/>
  <c r="V17" i="117"/>
  <c r="U17" i="117"/>
  <c r="T17" i="117"/>
  <c r="S17" i="117"/>
  <c r="R17" i="117"/>
  <c r="Q17" i="117"/>
  <c r="P17" i="117"/>
  <c r="O17" i="117"/>
  <c r="N17" i="117"/>
  <c r="M17" i="117"/>
  <c r="L17" i="117"/>
  <c r="K17" i="117"/>
  <c r="J17" i="117"/>
  <c r="I17" i="117"/>
  <c r="H17" i="117"/>
  <c r="G17" i="117"/>
  <c r="F17" i="117"/>
  <c r="E17" i="117"/>
  <c r="D17" i="117"/>
  <c r="C17" i="117"/>
  <c r="V16" i="117"/>
  <c r="U16" i="117"/>
  <c r="T16" i="117"/>
  <c r="S16" i="117"/>
  <c r="R16" i="117"/>
  <c r="Q16" i="117"/>
  <c r="P16" i="117"/>
  <c r="O16" i="117"/>
  <c r="N16" i="117"/>
  <c r="M16" i="117"/>
  <c r="L16" i="117"/>
  <c r="K16" i="117"/>
  <c r="J16" i="117"/>
  <c r="I16" i="117"/>
  <c r="H16" i="117"/>
  <c r="G16" i="117"/>
  <c r="F16" i="117"/>
  <c r="E16" i="117"/>
  <c r="D16" i="117"/>
  <c r="C16" i="117"/>
  <c r="V15" i="117"/>
  <c r="U15" i="117"/>
  <c r="T15" i="117"/>
  <c r="S15" i="117"/>
  <c r="R15" i="117"/>
  <c r="Q15" i="117"/>
  <c r="P15" i="117"/>
  <c r="O15" i="117"/>
  <c r="N15" i="117"/>
  <c r="M15" i="117"/>
  <c r="L15" i="117"/>
  <c r="K15" i="117"/>
  <c r="J15" i="117"/>
  <c r="I15" i="117"/>
  <c r="H15" i="117"/>
  <c r="G15" i="117"/>
  <c r="F15" i="117"/>
  <c r="E15" i="117"/>
  <c r="D15" i="117"/>
  <c r="C15" i="117"/>
  <c r="V14" i="117"/>
  <c r="U14" i="117"/>
  <c r="T14" i="117"/>
  <c r="S14" i="117"/>
  <c r="R14" i="117"/>
  <c r="Q14" i="117"/>
  <c r="P14" i="117"/>
  <c r="O14" i="117"/>
  <c r="N14" i="117"/>
  <c r="M14" i="117"/>
  <c r="L14" i="117"/>
  <c r="K14" i="117"/>
  <c r="J14" i="117"/>
  <c r="I14" i="117"/>
  <c r="H14" i="117"/>
  <c r="G14" i="117"/>
  <c r="F14" i="117"/>
  <c r="E14" i="117"/>
  <c r="D14" i="117"/>
  <c r="C14" i="117"/>
  <c r="C65" i="115"/>
  <c r="V60" i="115"/>
  <c r="U60" i="115"/>
  <c r="T60" i="115"/>
  <c r="S60" i="115"/>
  <c r="R60" i="115"/>
  <c r="Q60" i="115"/>
  <c r="P60" i="115"/>
  <c r="O60" i="115"/>
  <c r="N60" i="115"/>
  <c r="M60" i="115"/>
  <c r="L60" i="115"/>
  <c r="K60" i="115"/>
  <c r="J60" i="115"/>
  <c r="I60" i="115"/>
  <c r="H60" i="115"/>
  <c r="G60" i="115"/>
  <c r="F60" i="115"/>
  <c r="E60" i="115"/>
  <c r="D60" i="115"/>
  <c r="C60" i="115"/>
  <c r="P59" i="115"/>
  <c r="O59" i="115"/>
  <c r="V58" i="115"/>
  <c r="U58" i="115"/>
  <c r="T58" i="115"/>
  <c r="S58" i="115"/>
  <c r="R58" i="115"/>
  <c r="Q58" i="115"/>
  <c r="P58" i="115"/>
  <c r="O58" i="115"/>
  <c r="N58" i="115"/>
  <c r="M58" i="115"/>
  <c r="L58" i="115"/>
  <c r="K58" i="115"/>
  <c r="J58" i="115"/>
  <c r="I58" i="115"/>
  <c r="H58" i="115"/>
  <c r="G58" i="115"/>
  <c r="F58" i="115"/>
  <c r="E58" i="115"/>
  <c r="D58" i="115"/>
  <c r="C58" i="115"/>
  <c r="V57" i="115"/>
  <c r="U57" i="115"/>
  <c r="T57" i="115"/>
  <c r="S57" i="115"/>
  <c r="R57" i="115"/>
  <c r="Q57" i="115"/>
  <c r="P57" i="115"/>
  <c r="O57" i="115"/>
  <c r="N57" i="115"/>
  <c r="M57" i="115"/>
  <c r="L57" i="115"/>
  <c r="K57" i="115"/>
  <c r="J57" i="115"/>
  <c r="I57" i="115"/>
  <c r="H57" i="115"/>
  <c r="G57" i="115"/>
  <c r="F57" i="115"/>
  <c r="E57" i="115"/>
  <c r="D57" i="115"/>
  <c r="C57" i="115"/>
  <c r="C128" i="112"/>
  <c r="C126" i="112"/>
  <c r="C124" i="112"/>
  <c r="C122" i="112"/>
  <c r="E66" i="115" l="1"/>
  <c r="I70" i="115"/>
  <c r="M66" i="115"/>
  <c r="Q70" i="115"/>
  <c r="F70" i="115"/>
  <c r="J70" i="115"/>
  <c r="N70" i="115"/>
  <c r="U66" i="115"/>
  <c r="R70" i="115"/>
  <c r="C64" i="115"/>
  <c r="G70" i="115"/>
  <c r="O70" i="115"/>
  <c r="K64" i="115"/>
  <c r="S64" i="115"/>
  <c r="E65" i="115"/>
  <c r="I64" i="115"/>
  <c r="M65" i="115"/>
  <c r="Q65" i="115"/>
  <c r="U64" i="115"/>
  <c r="V70" i="115"/>
  <c r="D70" i="115"/>
  <c r="H70" i="115"/>
  <c r="L70" i="115"/>
  <c r="P70" i="115"/>
  <c r="T70" i="115"/>
  <c r="Q64" i="115"/>
  <c r="I65" i="115"/>
  <c r="G64" i="115"/>
  <c r="O64" i="115"/>
  <c r="G65" i="115"/>
  <c r="K65" i="115"/>
  <c r="O65" i="115"/>
  <c r="S65" i="115"/>
  <c r="C66" i="115"/>
  <c r="G66" i="115"/>
  <c r="K66" i="115"/>
  <c r="O66" i="115"/>
  <c r="S66" i="115"/>
  <c r="C67" i="115"/>
  <c r="G67" i="115"/>
  <c r="K67" i="115"/>
  <c r="O67" i="115"/>
  <c r="S67" i="115"/>
  <c r="C69" i="115"/>
  <c r="G69" i="115"/>
  <c r="K69" i="115"/>
  <c r="O69" i="115"/>
  <c r="S69" i="115"/>
  <c r="C70" i="115"/>
  <c r="K70" i="115"/>
  <c r="S70" i="115"/>
  <c r="M64" i="115"/>
  <c r="D64" i="115"/>
  <c r="H64" i="115"/>
  <c r="L64" i="115"/>
  <c r="P64" i="115"/>
  <c r="T64" i="115"/>
  <c r="D65" i="115"/>
  <c r="H65" i="115"/>
  <c r="L65" i="115"/>
  <c r="P65" i="115"/>
  <c r="T65" i="115"/>
  <c r="D66" i="115"/>
  <c r="H66" i="115"/>
  <c r="L66" i="115"/>
  <c r="P66" i="115"/>
  <c r="T66" i="115"/>
  <c r="D67" i="115"/>
  <c r="H67" i="115"/>
  <c r="L67" i="115"/>
  <c r="P67" i="115"/>
  <c r="T67" i="115"/>
  <c r="D69" i="115"/>
  <c r="H69" i="115"/>
  <c r="L69" i="115"/>
  <c r="P69" i="115"/>
  <c r="T69" i="115"/>
  <c r="E64" i="115"/>
  <c r="U65" i="115"/>
  <c r="I66" i="115"/>
  <c r="Q66" i="115"/>
  <c r="E67" i="115"/>
  <c r="I67" i="115"/>
  <c r="M67" i="115"/>
  <c r="Q67" i="115"/>
  <c r="U67" i="115"/>
  <c r="E69" i="115"/>
  <c r="I69" i="115"/>
  <c r="M69" i="115"/>
  <c r="Q69" i="115"/>
  <c r="U69" i="115"/>
  <c r="E70" i="115"/>
  <c r="M70" i="115"/>
  <c r="U70" i="115"/>
  <c r="F64" i="115"/>
  <c r="J64" i="115"/>
  <c r="N64" i="115"/>
  <c r="R64" i="115"/>
  <c r="V64" i="115"/>
  <c r="F65" i="115"/>
  <c r="J65" i="115"/>
  <c r="N65" i="115"/>
  <c r="R65" i="115"/>
  <c r="V65" i="115"/>
  <c r="F66" i="115"/>
  <c r="J66" i="115"/>
  <c r="N66" i="115"/>
  <c r="R66" i="115"/>
  <c r="V66" i="115"/>
  <c r="F67" i="115"/>
  <c r="J67" i="115"/>
  <c r="N67" i="115"/>
  <c r="R67" i="115"/>
  <c r="V67" i="115"/>
  <c r="F69" i="115"/>
  <c r="J69" i="115"/>
  <c r="N69" i="115"/>
  <c r="R69" i="115"/>
  <c r="V69" i="115"/>
  <c r="E120" i="111"/>
  <c r="G120" i="111"/>
  <c r="I120" i="111"/>
  <c r="K120" i="111"/>
  <c r="M120" i="111"/>
  <c r="O120" i="111"/>
  <c r="Q120" i="111"/>
  <c r="S120" i="111"/>
  <c r="U120" i="111"/>
  <c r="W120" i="111"/>
  <c r="Y120" i="111"/>
  <c r="AA120" i="111"/>
  <c r="AB120" i="111"/>
  <c r="AC120" i="111"/>
  <c r="AD120" i="111"/>
  <c r="AE120" i="111"/>
  <c r="AF120" i="111"/>
  <c r="AG120" i="111"/>
  <c r="AH120" i="111"/>
  <c r="E121" i="111"/>
  <c r="G121" i="111"/>
  <c r="I121" i="111"/>
  <c r="K121" i="111"/>
  <c r="M121" i="111"/>
  <c r="O121" i="111"/>
  <c r="Q121" i="111"/>
  <c r="S121" i="111"/>
  <c r="U121" i="111"/>
  <c r="W121" i="111"/>
  <c r="Y121" i="111"/>
  <c r="AA121" i="111"/>
  <c r="AB121" i="111"/>
  <c r="AC121" i="111"/>
  <c r="AD121" i="111"/>
  <c r="AE121" i="111"/>
  <c r="AF121" i="111"/>
  <c r="AG121" i="111"/>
  <c r="AH121" i="111"/>
  <c r="E122" i="111"/>
  <c r="G122" i="111"/>
  <c r="I122" i="111"/>
  <c r="K122" i="111"/>
  <c r="M122" i="111"/>
  <c r="O122" i="111"/>
  <c r="Q122" i="111"/>
  <c r="S122" i="111"/>
  <c r="U122" i="111"/>
  <c r="W122" i="111"/>
  <c r="Y122" i="111"/>
  <c r="AA122" i="111"/>
  <c r="AB122" i="111"/>
  <c r="AC122" i="111"/>
  <c r="AD122" i="111"/>
  <c r="AE122" i="111"/>
  <c r="AF122" i="111"/>
  <c r="AG122" i="111"/>
  <c r="AH122" i="111"/>
  <c r="E123" i="111"/>
  <c r="G123" i="111"/>
  <c r="I123" i="111"/>
  <c r="K123" i="111"/>
  <c r="M123" i="111"/>
  <c r="O123" i="111"/>
  <c r="Q123" i="111"/>
  <c r="S123" i="111"/>
  <c r="U123" i="111"/>
  <c r="W123" i="111"/>
  <c r="Y123" i="111"/>
  <c r="AA123" i="111"/>
  <c r="AB123" i="111"/>
  <c r="AC123" i="111"/>
  <c r="AD123" i="111"/>
  <c r="AE123" i="111"/>
  <c r="AF123" i="111"/>
  <c r="AG123" i="111"/>
  <c r="AH123" i="111"/>
  <c r="E124" i="111"/>
  <c r="G124" i="111"/>
  <c r="I124" i="111"/>
  <c r="K124" i="111"/>
  <c r="M124" i="111"/>
  <c r="O124" i="111"/>
  <c r="Q124" i="111"/>
  <c r="S124" i="111"/>
  <c r="U124" i="111"/>
  <c r="W124" i="111"/>
  <c r="Y124" i="111"/>
  <c r="AA124" i="111"/>
  <c r="AB124" i="111"/>
  <c r="AC124" i="111"/>
  <c r="AD124" i="111"/>
  <c r="AE124" i="111"/>
  <c r="AF124" i="111"/>
  <c r="AG124" i="111"/>
  <c r="AH124" i="111"/>
  <c r="E125" i="111"/>
  <c r="G125" i="111"/>
  <c r="I125" i="111"/>
  <c r="K125" i="111"/>
  <c r="M125" i="111"/>
  <c r="O125" i="111"/>
  <c r="Q125" i="111"/>
  <c r="S125" i="111"/>
  <c r="U125" i="111"/>
  <c r="W125" i="111"/>
  <c r="Y125" i="111"/>
  <c r="AA125" i="111"/>
  <c r="AB125" i="111"/>
  <c r="AC125" i="111"/>
  <c r="AD125" i="111"/>
  <c r="AE125" i="111"/>
  <c r="AF125" i="111"/>
  <c r="AG125" i="111"/>
  <c r="AH125" i="111"/>
  <c r="E126" i="111"/>
  <c r="G126" i="111"/>
  <c r="I126" i="111"/>
  <c r="K126" i="111"/>
  <c r="M126" i="111"/>
  <c r="O126" i="111"/>
  <c r="Q126" i="111"/>
  <c r="S126" i="111"/>
  <c r="U126" i="111"/>
  <c r="W126" i="111"/>
  <c r="Y126" i="111"/>
  <c r="AA126" i="111"/>
  <c r="AB126" i="111"/>
  <c r="AC126" i="111"/>
  <c r="AD126" i="111"/>
  <c r="AE126" i="111"/>
  <c r="AF126" i="111"/>
  <c r="AG126" i="111"/>
  <c r="AH126" i="111"/>
  <c r="E127" i="111"/>
  <c r="G127" i="111"/>
  <c r="I127" i="111"/>
  <c r="K127" i="111"/>
  <c r="M127" i="111"/>
  <c r="O127" i="111"/>
  <c r="Q127" i="111"/>
  <c r="S127" i="111"/>
  <c r="U127" i="111"/>
  <c r="W127" i="111"/>
  <c r="Y127" i="111"/>
  <c r="AA127" i="111"/>
  <c r="AB127" i="111"/>
  <c r="AC127" i="111"/>
  <c r="AD127" i="111"/>
  <c r="AE127" i="111"/>
  <c r="AF127" i="111"/>
  <c r="AG127" i="111"/>
  <c r="AH127" i="111"/>
  <c r="C121" i="111"/>
  <c r="C123" i="111"/>
  <c r="C125" i="111"/>
  <c r="C127" i="111"/>
  <c r="E121" i="112"/>
  <c r="G121" i="112"/>
  <c r="I121" i="112"/>
  <c r="K121" i="112"/>
  <c r="M121" i="112"/>
  <c r="O121" i="112"/>
  <c r="Q121" i="112"/>
  <c r="S121" i="112"/>
  <c r="U121" i="112"/>
  <c r="W121" i="112"/>
  <c r="Y121" i="112"/>
  <c r="AA121" i="112"/>
  <c r="AB121" i="112"/>
  <c r="AC121" i="112"/>
  <c r="AD121" i="112"/>
  <c r="AE121" i="112"/>
  <c r="AF121" i="112"/>
  <c r="AG121" i="112"/>
  <c r="AH121" i="112"/>
  <c r="E122" i="112"/>
  <c r="G122" i="112"/>
  <c r="I122" i="112"/>
  <c r="K122" i="112"/>
  <c r="M122" i="112"/>
  <c r="O122" i="112"/>
  <c r="Q122" i="112"/>
  <c r="S122" i="112"/>
  <c r="U122" i="112"/>
  <c r="W122" i="112"/>
  <c r="Y122" i="112"/>
  <c r="AA122" i="112"/>
  <c r="AB122" i="112"/>
  <c r="AC122" i="112"/>
  <c r="AD122" i="112"/>
  <c r="AE122" i="112"/>
  <c r="AF122" i="112"/>
  <c r="AG122" i="112"/>
  <c r="AH122" i="112"/>
  <c r="E123" i="112"/>
  <c r="G123" i="112"/>
  <c r="I123" i="112"/>
  <c r="K123" i="112"/>
  <c r="M123" i="112"/>
  <c r="O123" i="112"/>
  <c r="Q123" i="112"/>
  <c r="S123" i="112"/>
  <c r="U123" i="112"/>
  <c r="W123" i="112"/>
  <c r="Y123" i="112"/>
  <c r="AA123" i="112"/>
  <c r="AB123" i="112"/>
  <c r="AC123" i="112"/>
  <c r="AD123" i="112"/>
  <c r="AE123" i="112"/>
  <c r="AF123" i="112"/>
  <c r="AG123" i="112"/>
  <c r="AH123" i="112"/>
  <c r="E124" i="112"/>
  <c r="G124" i="112"/>
  <c r="I124" i="112"/>
  <c r="K124" i="112"/>
  <c r="M124" i="112"/>
  <c r="O124" i="112"/>
  <c r="Q124" i="112"/>
  <c r="S124" i="112"/>
  <c r="U124" i="112"/>
  <c r="W124" i="112"/>
  <c r="Y124" i="112"/>
  <c r="AA124" i="112"/>
  <c r="AB124" i="112"/>
  <c r="AC124" i="112"/>
  <c r="AD124" i="112"/>
  <c r="AE124" i="112"/>
  <c r="AF124" i="112"/>
  <c r="AG124" i="112"/>
  <c r="AH124" i="112"/>
  <c r="E125" i="112"/>
  <c r="G125" i="112"/>
  <c r="I125" i="112"/>
  <c r="K125" i="112"/>
  <c r="M125" i="112"/>
  <c r="O125" i="112"/>
  <c r="Q125" i="112"/>
  <c r="S125" i="112"/>
  <c r="U125" i="112"/>
  <c r="W125" i="112"/>
  <c r="Y125" i="112"/>
  <c r="AA125" i="112"/>
  <c r="AB125" i="112"/>
  <c r="AC125" i="112"/>
  <c r="AD125" i="112"/>
  <c r="AE125" i="112"/>
  <c r="AF125" i="112"/>
  <c r="AG125" i="112"/>
  <c r="AH125" i="112"/>
  <c r="E126" i="112"/>
  <c r="G126" i="112"/>
  <c r="I126" i="112"/>
  <c r="K126" i="112"/>
  <c r="M126" i="112"/>
  <c r="O126" i="112"/>
  <c r="Q126" i="112"/>
  <c r="S126" i="112"/>
  <c r="U126" i="112"/>
  <c r="W126" i="112"/>
  <c r="Y126" i="112"/>
  <c r="AA126" i="112"/>
  <c r="AB126" i="112"/>
  <c r="AC126" i="112"/>
  <c r="AD126" i="112"/>
  <c r="AE126" i="112"/>
  <c r="AF126" i="112"/>
  <c r="AG126" i="112"/>
  <c r="AH126" i="112"/>
  <c r="E127" i="112"/>
  <c r="G127" i="112"/>
  <c r="I127" i="112"/>
  <c r="K127" i="112"/>
  <c r="M127" i="112"/>
  <c r="O127" i="112"/>
  <c r="Q127" i="112"/>
  <c r="S127" i="112"/>
  <c r="U127" i="112"/>
  <c r="W127" i="112"/>
  <c r="Y127" i="112"/>
  <c r="AA127" i="112"/>
  <c r="AB127" i="112"/>
  <c r="AC127" i="112"/>
  <c r="AD127" i="112"/>
  <c r="AE127" i="112"/>
  <c r="AF127" i="112"/>
  <c r="AG127" i="112"/>
  <c r="AH127" i="112"/>
  <c r="E128" i="112"/>
  <c r="G128" i="112"/>
  <c r="I128" i="112"/>
  <c r="K128" i="112"/>
  <c r="M128" i="112"/>
  <c r="O128" i="112"/>
  <c r="Q128" i="112"/>
  <c r="S128" i="112"/>
  <c r="U128" i="112"/>
  <c r="W128" i="112"/>
  <c r="Y128" i="112"/>
  <c r="AA128" i="112"/>
  <c r="AB128" i="112"/>
  <c r="AC128" i="112"/>
  <c r="AD128" i="112"/>
  <c r="AE128" i="112"/>
  <c r="AF128" i="112"/>
  <c r="AG128" i="112"/>
  <c r="AH128" i="112"/>
  <c r="C127" i="112"/>
  <c r="C125" i="112"/>
  <c r="C123" i="112"/>
  <c r="C121" i="112"/>
  <c r="C126" i="111"/>
  <c r="C124" i="111"/>
  <c r="C122" i="111"/>
  <c r="C120" i="111"/>
  <c r="E33" i="43" l="1"/>
  <c r="G33" i="43"/>
  <c r="I33" i="43"/>
  <c r="K33" i="43"/>
  <c r="M33" i="43"/>
  <c r="O33" i="43"/>
  <c r="Q33" i="43"/>
  <c r="S33" i="43"/>
  <c r="U33" i="43"/>
  <c r="Y33" i="43"/>
  <c r="AA33" i="43"/>
  <c r="AB33" i="43"/>
  <c r="AC33" i="43"/>
  <c r="AD33" i="43"/>
  <c r="AE33" i="43"/>
  <c r="AF33" i="43"/>
  <c r="E34" i="43"/>
  <c r="G34" i="43"/>
  <c r="I34" i="43"/>
  <c r="K34" i="43"/>
  <c r="M34" i="43"/>
  <c r="O34" i="43"/>
  <c r="Q34" i="43"/>
  <c r="S34" i="43"/>
  <c r="U34" i="43"/>
  <c r="Y34" i="43"/>
  <c r="AA34" i="43"/>
  <c r="AB34" i="43"/>
  <c r="AC34" i="43"/>
  <c r="AD34" i="43"/>
  <c r="AE34" i="43"/>
  <c r="AF34" i="43"/>
  <c r="E35" i="43"/>
  <c r="G35" i="43"/>
  <c r="I35" i="43"/>
  <c r="K35" i="43"/>
  <c r="M35" i="43"/>
  <c r="O35" i="43"/>
  <c r="Q35" i="43"/>
  <c r="S35" i="43"/>
  <c r="U35" i="43"/>
  <c r="Y35" i="43"/>
  <c r="AA35" i="43"/>
  <c r="AB35" i="43"/>
  <c r="AC35" i="43"/>
  <c r="AD35" i="43"/>
  <c r="AE35" i="43"/>
  <c r="AF35" i="43"/>
  <c r="C35" i="43"/>
  <c r="C34" i="43"/>
  <c r="C33" i="43"/>
  <c r="C32" i="43"/>
  <c r="Q30" i="43"/>
  <c r="E30" i="43"/>
  <c r="G30" i="43"/>
  <c r="I30" i="43"/>
  <c r="K30" i="43"/>
  <c r="M30" i="43"/>
  <c r="O30" i="43"/>
  <c r="S30" i="43"/>
  <c r="U30" i="43"/>
  <c r="Y30" i="43"/>
  <c r="AA30" i="43"/>
  <c r="AB30" i="43"/>
  <c r="AC30" i="43"/>
  <c r="AD30" i="43"/>
  <c r="AE30" i="43"/>
  <c r="AF30" i="43"/>
  <c r="E31" i="43"/>
  <c r="G31" i="43"/>
  <c r="I31" i="43"/>
  <c r="K31" i="43"/>
  <c r="M31" i="43"/>
  <c r="O31" i="43"/>
  <c r="Q31" i="43"/>
  <c r="S31" i="43"/>
  <c r="U31" i="43"/>
  <c r="Y31" i="43"/>
  <c r="AA31" i="43"/>
  <c r="AB31" i="43"/>
  <c r="AC31" i="43"/>
  <c r="AD31" i="43"/>
  <c r="AE31" i="43"/>
  <c r="AF31" i="43"/>
  <c r="E32" i="43"/>
  <c r="G32" i="43"/>
  <c r="I32" i="43"/>
  <c r="K32" i="43"/>
  <c r="M32" i="43"/>
  <c r="O32" i="43"/>
  <c r="Q32" i="43"/>
  <c r="S32" i="43"/>
  <c r="U32" i="43"/>
  <c r="Y32" i="43"/>
  <c r="AA32" i="43"/>
  <c r="AB32" i="43"/>
  <c r="AC32" i="43"/>
  <c r="AD32" i="43"/>
  <c r="AE32" i="43"/>
  <c r="AF32" i="43"/>
  <c r="C31" i="43"/>
  <c r="C30" i="43"/>
  <c r="C29" i="90"/>
  <c r="M125" i="32" l="1"/>
  <c r="C125" i="32"/>
  <c r="Y30" i="91" l="1"/>
  <c r="W30" i="91"/>
  <c r="U30" i="91"/>
  <c r="S30" i="91"/>
  <c r="Q30" i="91"/>
  <c r="O30" i="91"/>
  <c r="M30" i="91"/>
  <c r="K30" i="91"/>
  <c r="I30" i="91"/>
  <c r="G30" i="91"/>
  <c r="E30" i="91"/>
  <c r="C60" i="50"/>
  <c r="C124" i="33"/>
  <c r="C30" i="91"/>
  <c r="W29" i="90"/>
  <c r="U29" i="90"/>
  <c r="S29" i="90"/>
  <c r="Q29" i="90"/>
  <c r="O29" i="90"/>
  <c r="M29" i="90"/>
  <c r="K29" i="90"/>
  <c r="I29" i="90"/>
  <c r="G29" i="90"/>
  <c r="E29" i="90"/>
  <c r="D29" i="90"/>
  <c r="C28" i="90"/>
  <c r="C120" i="32"/>
  <c r="C113" i="32"/>
  <c r="D113" i="32"/>
  <c r="E113" i="32"/>
  <c r="F113" i="32"/>
  <c r="G113" i="32"/>
  <c r="H113" i="32"/>
  <c r="I113" i="32"/>
  <c r="J113" i="32"/>
  <c r="K113" i="32"/>
  <c r="L113" i="32"/>
  <c r="M113" i="32"/>
  <c r="C111" i="32"/>
  <c r="K172" i="76" l="1"/>
  <c r="O172" i="76" s="1"/>
  <c r="K173" i="76"/>
  <c r="O173" i="76" s="1"/>
  <c r="C159" i="76"/>
  <c r="C100" i="108"/>
  <c r="E100" i="108"/>
  <c r="G100" i="108"/>
  <c r="I100" i="108"/>
  <c r="K100" i="108"/>
  <c r="M100" i="108"/>
  <c r="O100" i="108"/>
  <c r="Q100" i="108"/>
  <c r="S100" i="108"/>
  <c r="U100" i="108"/>
  <c r="W100" i="108"/>
  <c r="Y100" i="108"/>
  <c r="AA100" i="108"/>
  <c r="AB100" i="108"/>
  <c r="AC100" i="108"/>
  <c r="AD100" i="108"/>
  <c r="AE100" i="108"/>
  <c r="AF100" i="108"/>
  <c r="AG100" i="108"/>
  <c r="AH100" i="108"/>
  <c r="C101" i="108"/>
  <c r="E101" i="108"/>
  <c r="G101" i="108"/>
  <c r="I101" i="108"/>
  <c r="K101" i="108"/>
  <c r="M101" i="108"/>
  <c r="O101" i="108"/>
  <c r="Q101" i="108"/>
  <c r="S101" i="108"/>
  <c r="U101" i="108"/>
  <c r="W101" i="108"/>
  <c r="Y101" i="108"/>
  <c r="AA101" i="108"/>
  <c r="AB101" i="108"/>
  <c r="AC101" i="108"/>
  <c r="AD101" i="108"/>
  <c r="AE101" i="108"/>
  <c r="AF101" i="108"/>
  <c r="AG101" i="108"/>
  <c r="AH101" i="108"/>
  <c r="C102" i="108"/>
  <c r="E102" i="108"/>
  <c r="G102" i="108"/>
  <c r="I102" i="108"/>
  <c r="K102" i="108"/>
  <c r="M102" i="108"/>
  <c r="O102" i="108"/>
  <c r="Q102" i="108"/>
  <c r="S102" i="108"/>
  <c r="U102" i="108"/>
  <c r="W102" i="108"/>
  <c r="Y102" i="108"/>
  <c r="AA102" i="108"/>
  <c r="AB102" i="108"/>
  <c r="AC102" i="108"/>
  <c r="AD102" i="108"/>
  <c r="AE102" i="108"/>
  <c r="AF102" i="108"/>
  <c r="AG102" i="108"/>
  <c r="AH102" i="108"/>
  <c r="C103" i="108"/>
  <c r="E103" i="108"/>
  <c r="G103" i="108"/>
  <c r="I103" i="108"/>
  <c r="K103" i="108"/>
  <c r="M103" i="108"/>
  <c r="O103" i="108"/>
  <c r="Q103" i="108"/>
  <c r="S103" i="108"/>
  <c r="U103" i="108"/>
  <c r="W103" i="108"/>
  <c r="Y103" i="108"/>
  <c r="AA103" i="108"/>
  <c r="AB103" i="108"/>
  <c r="AC103" i="108"/>
  <c r="AD103" i="108"/>
  <c r="AE103" i="108"/>
  <c r="AF103" i="108"/>
  <c r="AG103" i="108"/>
  <c r="AH103" i="108"/>
  <c r="C104" i="108"/>
  <c r="E104" i="108"/>
  <c r="G104" i="108"/>
  <c r="I104" i="108"/>
  <c r="K104" i="108"/>
  <c r="M104" i="108"/>
  <c r="O104" i="108"/>
  <c r="Q104" i="108"/>
  <c r="S104" i="108"/>
  <c r="U104" i="108"/>
  <c r="W104" i="108"/>
  <c r="Y104" i="108"/>
  <c r="AA104" i="108"/>
  <c r="AB104" i="108"/>
  <c r="AC104" i="108"/>
  <c r="AD104" i="108"/>
  <c r="AE104" i="108"/>
  <c r="AF104" i="108"/>
  <c r="AG104" i="108"/>
  <c r="AH104" i="108"/>
  <c r="C105" i="108"/>
  <c r="E105" i="108"/>
  <c r="G105" i="108"/>
  <c r="I105" i="108"/>
  <c r="K105" i="108"/>
  <c r="M105" i="108"/>
  <c r="O105" i="108"/>
  <c r="Q105" i="108"/>
  <c r="S105" i="108"/>
  <c r="U105" i="108"/>
  <c r="W105" i="108"/>
  <c r="Y105" i="108"/>
  <c r="AA105" i="108"/>
  <c r="AB105" i="108"/>
  <c r="AC105" i="108"/>
  <c r="AD105" i="108"/>
  <c r="AE105" i="108"/>
  <c r="AF105" i="108"/>
  <c r="AG105" i="108"/>
  <c r="AH105" i="108"/>
  <c r="C106" i="108"/>
  <c r="E106" i="108"/>
  <c r="G106" i="108"/>
  <c r="I106" i="108"/>
  <c r="K106" i="108"/>
  <c r="M106" i="108"/>
  <c r="O106" i="108"/>
  <c r="Q106" i="108"/>
  <c r="S106" i="108"/>
  <c r="U106" i="108"/>
  <c r="W106" i="108"/>
  <c r="Y106" i="108"/>
  <c r="AA106" i="108"/>
  <c r="AB106" i="108"/>
  <c r="AC106" i="108"/>
  <c r="AD106" i="108"/>
  <c r="AE106" i="108"/>
  <c r="AF106" i="108"/>
  <c r="AG106" i="108"/>
  <c r="AH106" i="108"/>
  <c r="C107" i="108"/>
  <c r="E107" i="108"/>
  <c r="G107" i="108"/>
  <c r="I107" i="108"/>
  <c r="K107" i="108"/>
  <c r="M107" i="108"/>
  <c r="O107" i="108"/>
  <c r="Q107" i="108"/>
  <c r="S107" i="108"/>
  <c r="U107" i="108"/>
  <c r="W107" i="108"/>
  <c r="Y107" i="108"/>
  <c r="AA107" i="108"/>
  <c r="AB107" i="108"/>
  <c r="AC107" i="108"/>
  <c r="AD107" i="108"/>
  <c r="AE107" i="108"/>
  <c r="AF107" i="108"/>
  <c r="AG107" i="108"/>
  <c r="AH107" i="108"/>
  <c r="C100" i="107"/>
  <c r="E100" i="107"/>
  <c r="G100" i="107"/>
  <c r="I100" i="107"/>
  <c r="K100" i="107"/>
  <c r="M100" i="107"/>
  <c r="O100" i="107"/>
  <c r="Q100" i="107"/>
  <c r="S100" i="107"/>
  <c r="U100" i="107"/>
  <c r="Y100" i="107"/>
  <c r="AA100" i="107"/>
  <c r="AB100" i="107"/>
  <c r="AC100" i="107"/>
  <c r="AD100" i="107"/>
  <c r="AE100" i="107"/>
  <c r="AF100" i="107"/>
  <c r="AG100" i="107"/>
  <c r="AH100" i="107"/>
  <c r="C101" i="107"/>
  <c r="E101" i="107"/>
  <c r="G101" i="107"/>
  <c r="I101" i="107"/>
  <c r="K101" i="107"/>
  <c r="M101" i="107"/>
  <c r="O101" i="107"/>
  <c r="Q101" i="107"/>
  <c r="S101" i="107"/>
  <c r="U101" i="107"/>
  <c r="Y101" i="107"/>
  <c r="AA101" i="107"/>
  <c r="AB101" i="107"/>
  <c r="AC101" i="107"/>
  <c r="AD101" i="107"/>
  <c r="AE101" i="107"/>
  <c r="AF101" i="107"/>
  <c r="AG101" i="107"/>
  <c r="AH101" i="107"/>
  <c r="C102" i="107"/>
  <c r="E102" i="107"/>
  <c r="G102" i="107"/>
  <c r="I102" i="107"/>
  <c r="K102" i="107"/>
  <c r="M102" i="107"/>
  <c r="O102" i="107"/>
  <c r="Q102" i="107"/>
  <c r="S102" i="107"/>
  <c r="U102" i="107"/>
  <c r="Y102" i="107"/>
  <c r="AA102" i="107"/>
  <c r="AB102" i="107"/>
  <c r="AC102" i="107"/>
  <c r="AD102" i="107"/>
  <c r="AE102" i="107"/>
  <c r="AF102" i="107"/>
  <c r="AG102" i="107"/>
  <c r="AH102" i="107"/>
  <c r="C103" i="107"/>
  <c r="E103" i="107"/>
  <c r="G103" i="107"/>
  <c r="I103" i="107"/>
  <c r="K103" i="107"/>
  <c r="M103" i="107"/>
  <c r="O103" i="107"/>
  <c r="Q103" i="107"/>
  <c r="S103" i="107"/>
  <c r="U103" i="107"/>
  <c r="Y103" i="107"/>
  <c r="AA103" i="107"/>
  <c r="AB103" i="107"/>
  <c r="AC103" i="107"/>
  <c r="AD103" i="107"/>
  <c r="AE103" i="107"/>
  <c r="AF103" i="107"/>
  <c r="AG103" i="107"/>
  <c r="AH103" i="107"/>
  <c r="C104" i="107"/>
  <c r="E104" i="107"/>
  <c r="G104" i="107"/>
  <c r="I104" i="107"/>
  <c r="K104" i="107"/>
  <c r="M104" i="107"/>
  <c r="O104" i="107"/>
  <c r="Q104" i="107"/>
  <c r="S104" i="107"/>
  <c r="U104" i="107"/>
  <c r="Y104" i="107"/>
  <c r="AA104" i="107"/>
  <c r="AB104" i="107"/>
  <c r="AC104" i="107"/>
  <c r="AD104" i="107"/>
  <c r="AE104" i="107"/>
  <c r="AF104" i="107"/>
  <c r="AG104" i="107"/>
  <c r="AH104" i="107"/>
  <c r="C105" i="107"/>
  <c r="E105" i="107"/>
  <c r="G105" i="107"/>
  <c r="I105" i="107"/>
  <c r="K105" i="107"/>
  <c r="M105" i="107"/>
  <c r="O105" i="107"/>
  <c r="Q105" i="107"/>
  <c r="S105" i="107"/>
  <c r="U105" i="107"/>
  <c r="Y105" i="107"/>
  <c r="AA105" i="107"/>
  <c r="AB105" i="107"/>
  <c r="AC105" i="107"/>
  <c r="AD105" i="107"/>
  <c r="AE105" i="107"/>
  <c r="AF105" i="107"/>
  <c r="AG105" i="107"/>
  <c r="AH105" i="107"/>
  <c r="C106" i="107"/>
  <c r="E106" i="107"/>
  <c r="G106" i="107"/>
  <c r="I106" i="107"/>
  <c r="K106" i="107"/>
  <c r="M106" i="107"/>
  <c r="O106" i="107"/>
  <c r="Q106" i="107"/>
  <c r="S106" i="107"/>
  <c r="U106" i="107"/>
  <c r="Y106" i="107"/>
  <c r="AA106" i="107"/>
  <c r="AB106" i="107"/>
  <c r="AC106" i="107"/>
  <c r="AD106" i="107"/>
  <c r="AE106" i="107"/>
  <c r="AF106" i="107"/>
  <c r="AG106" i="107"/>
  <c r="AH106" i="107"/>
  <c r="C107" i="107"/>
  <c r="E107" i="107"/>
  <c r="G107" i="107"/>
  <c r="I107" i="107"/>
  <c r="K107" i="107"/>
  <c r="M107" i="107"/>
  <c r="O107" i="107"/>
  <c r="Q107" i="107"/>
  <c r="S107" i="107"/>
  <c r="U107" i="107"/>
  <c r="Y107" i="107"/>
  <c r="AA107" i="107"/>
  <c r="AB107" i="107"/>
  <c r="AC107" i="107"/>
  <c r="AD107" i="107"/>
  <c r="AE107" i="107"/>
  <c r="AF107" i="107"/>
  <c r="AG107" i="107"/>
  <c r="AH107" i="107"/>
  <c r="C98" i="106"/>
  <c r="E98" i="106"/>
  <c r="G98" i="106"/>
  <c r="I98" i="106"/>
  <c r="K98" i="106"/>
  <c r="M98" i="106"/>
  <c r="O98" i="106"/>
  <c r="Q98" i="106"/>
  <c r="S98" i="106"/>
  <c r="U98" i="106"/>
  <c r="W98" i="106"/>
  <c r="Y98" i="106"/>
  <c r="AA98" i="106"/>
  <c r="AB98" i="106"/>
  <c r="AC98" i="106"/>
  <c r="AD98" i="106"/>
  <c r="AE98" i="106"/>
  <c r="AF98" i="106"/>
  <c r="AG98" i="106"/>
  <c r="AH98" i="106"/>
  <c r="C99" i="106"/>
  <c r="E99" i="106"/>
  <c r="G99" i="106"/>
  <c r="I99" i="106"/>
  <c r="K99" i="106"/>
  <c r="M99" i="106"/>
  <c r="O99" i="106"/>
  <c r="Q99" i="106"/>
  <c r="S99" i="106"/>
  <c r="U99" i="106"/>
  <c r="W99" i="106"/>
  <c r="Y99" i="106"/>
  <c r="AA99" i="106"/>
  <c r="AB99" i="106"/>
  <c r="AC99" i="106"/>
  <c r="AD99" i="106"/>
  <c r="AE99" i="106"/>
  <c r="AF99" i="106"/>
  <c r="AG99" i="106"/>
  <c r="AH99" i="106"/>
  <c r="C100" i="106"/>
  <c r="E100" i="106"/>
  <c r="G100" i="106"/>
  <c r="I100" i="106"/>
  <c r="K100" i="106"/>
  <c r="M100" i="106"/>
  <c r="O100" i="106"/>
  <c r="Q100" i="106"/>
  <c r="S100" i="106"/>
  <c r="U100" i="106"/>
  <c r="W100" i="106"/>
  <c r="Y100" i="106"/>
  <c r="AA100" i="106"/>
  <c r="AB100" i="106"/>
  <c r="AC100" i="106"/>
  <c r="AD100" i="106"/>
  <c r="AE100" i="106"/>
  <c r="AF100" i="106"/>
  <c r="AG100" i="106"/>
  <c r="AH100" i="106"/>
  <c r="C101" i="106"/>
  <c r="E101" i="106"/>
  <c r="G101" i="106"/>
  <c r="I101" i="106"/>
  <c r="K101" i="106"/>
  <c r="M101" i="106"/>
  <c r="O101" i="106"/>
  <c r="Q101" i="106"/>
  <c r="S101" i="106"/>
  <c r="U101" i="106"/>
  <c r="W101" i="106"/>
  <c r="Y101" i="106"/>
  <c r="AA101" i="106"/>
  <c r="AB101" i="106"/>
  <c r="AC101" i="106"/>
  <c r="AD101" i="106"/>
  <c r="AE101" i="106"/>
  <c r="AF101" i="106"/>
  <c r="AG101" i="106"/>
  <c r="AH101" i="106"/>
  <c r="C102" i="106"/>
  <c r="E102" i="106"/>
  <c r="G102" i="106"/>
  <c r="I102" i="106"/>
  <c r="K102" i="106"/>
  <c r="M102" i="106"/>
  <c r="O102" i="106"/>
  <c r="Q102" i="106"/>
  <c r="S102" i="106"/>
  <c r="U102" i="106"/>
  <c r="W102" i="106"/>
  <c r="Y102" i="106"/>
  <c r="AA102" i="106"/>
  <c r="AB102" i="106"/>
  <c r="AC102" i="106"/>
  <c r="AD102" i="106"/>
  <c r="AE102" i="106"/>
  <c r="AF102" i="106"/>
  <c r="AG102" i="106"/>
  <c r="AH102" i="106"/>
  <c r="C103" i="106"/>
  <c r="E103" i="106"/>
  <c r="G103" i="106"/>
  <c r="I103" i="106"/>
  <c r="K103" i="106"/>
  <c r="M103" i="106"/>
  <c r="O103" i="106"/>
  <c r="Q103" i="106"/>
  <c r="S103" i="106"/>
  <c r="U103" i="106"/>
  <c r="W103" i="106"/>
  <c r="Y103" i="106"/>
  <c r="AA103" i="106"/>
  <c r="AB103" i="106"/>
  <c r="AC103" i="106"/>
  <c r="AD103" i="106"/>
  <c r="AE103" i="106"/>
  <c r="AF103" i="106"/>
  <c r="AG103" i="106"/>
  <c r="AH103" i="106"/>
  <c r="C104" i="106"/>
  <c r="E104" i="106"/>
  <c r="G104" i="106"/>
  <c r="I104" i="106"/>
  <c r="K104" i="106"/>
  <c r="M104" i="106"/>
  <c r="O104" i="106"/>
  <c r="Q104" i="106"/>
  <c r="S104" i="106"/>
  <c r="U104" i="106"/>
  <c r="W104" i="106"/>
  <c r="Y104" i="106"/>
  <c r="AA104" i="106"/>
  <c r="AB104" i="106"/>
  <c r="AC104" i="106"/>
  <c r="AD104" i="106"/>
  <c r="AE104" i="106"/>
  <c r="AF104" i="106"/>
  <c r="AG104" i="106"/>
  <c r="AH104" i="106"/>
  <c r="C105" i="106"/>
  <c r="E105" i="106"/>
  <c r="G105" i="106"/>
  <c r="I105" i="106"/>
  <c r="K105" i="106"/>
  <c r="M105" i="106"/>
  <c r="O105" i="106"/>
  <c r="Q105" i="106"/>
  <c r="S105" i="106"/>
  <c r="U105" i="106"/>
  <c r="W105" i="106"/>
  <c r="Y105" i="106"/>
  <c r="AA105" i="106"/>
  <c r="AB105" i="106"/>
  <c r="AC105" i="106"/>
  <c r="AD105" i="106"/>
  <c r="AE105" i="106"/>
  <c r="AF105" i="106"/>
  <c r="AG105" i="106"/>
  <c r="AH105" i="106"/>
  <c r="C101" i="105"/>
  <c r="D101" i="105"/>
  <c r="E101" i="105"/>
  <c r="F101" i="105"/>
  <c r="G101" i="105"/>
  <c r="H101" i="105"/>
  <c r="I101" i="105"/>
  <c r="J101" i="105"/>
  <c r="K101" i="105"/>
  <c r="L101" i="105"/>
  <c r="M101" i="105"/>
  <c r="N101" i="105"/>
  <c r="O101" i="105"/>
  <c r="P101" i="105"/>
  <c r="Q101" i="105"/>
  <c r="R101" i="105"/>
  <c r="S101" i="105"/>
  <c r="T101" i="105"/>
  <c r="U101" i="105"/>
  <c r="V101" i="105"/>
  <c r="C102" i="105"/>
  <c r="D102" i="105"/>
  <c r="E102" i="105"/>
  <c r="F102" i="105"/>
  <c r="G102" i="105"/>
  <c r="H102" i="105"/>
  <c r="I102" i="105"/>
  <c r="J102" i="105"/>
  <c r="K102" i="105"/>
  <c r="L102" i="105"/>
  <c r="M102" i="105"/>
  <c r="N102" i="105"/>
  <c r="O102" i="105"/>
  <c r="P102" i="105"/>
  <c r="Q102" i="105"/>
  <c r="R102" i="105"/>
  <c r="S102" i="105"/>
  <c r="T102" i="105"/>
  <c r="U102" i="105"/>
  <c r="V102" i="105"/>
  <c r="C103" i="105"/>
  <c r="D103" i="105"/>
  <c r="E103" i="105"/>
  <c r="F103" i="105"/>
  <c r="G103" i="105"/>
  <c r="H103" i="105"/>
  <c r="I103" i="105"/>
  <c r="J103" i="105"/>
  <c r="K103" i="105"/>
  <c r="L103" i="105"/>
  <c r="M103" i="105"/>
  <c r="N103" i="105"/>
  <c r="O103" i="105"/>
  <c r="P103" i="105"/>
  <c r="Q103" i="105"/>
  <c r="R103" i="105"/>
  <c r="S103" i="105"/>
  <c r="T103" i="105"/>
  <c r="U103" i="105"/>
  <c r="V103" i="105"/>
  <c r="C104" i="105"/>
  <c r="D104" i="105"/>
  <c r="E104" i="105"/>
  <c r="F104" i="105"/>
  <c r="G104" i="105"/>
  <c r="H104" i="105"/>
  <c r="I104" i="105"/>
  <c r="J104" i="105"/>
  <c r="K104" i="105"/>
  <c r="L104" i="105"/>
  <c r="M104" i="105"/>
  <c r="N104" i="105"/>
  <c r="O104" i="105"/>
  <c r="P104" i="105"/>
  <c r="Q104" i="105"/>
  <c r="R104" i="105"/>
  <c r="S104" i="105"/>
  <c r="T104" i="105"/>
  <c r="U104" i="105"/>
  <c r="V104" i="105"/>
  <c r="C105" i="105"/>
  <c r="D105" i="105"/>
  <c r="E105" i="105"/>
  <c r="F105" i="105"/>
  <c r="G105" i="105"/>
  <c r="H105" i="105"/>
  <c r="I105" i="105"/>
  <c r="J105" i="105"/>
  <c r="K105" i="105"/>
  <c r="L105" i="105"/>
  <c r="M105" i="105"/>
  <c r="N105" i="105"/>
  <c r="O105" i="105"/>
  <c r="P105" i="105"/>
  <c r="Q105" i="105"/>
  <c r="R105" i="105"/>
  <c r="S105" i="105"/>
  <c r="T105" i="105"/>
  <c r="U105" i="105"/>
  <c r="V105" i="105"/>
  <c r="C106" i="105"/>
  <c r="D106" i="105"/>
  <c r="E106" i="105"/>
  <c r="F106" i="105"/>
  <c r="G106" i="105"/>
  <c r="H106" i="105"/>
  <c r="I106" i="105"/>
  <c r="J106" i="105"/>
  <c r="K106" i="105"/>
  <c r="L106" i="105"/>
  <c r="M106" i="105"/>
  <c r="N106" i="105"/>
  <c r="O106" i="105"/>
  <c r="P106" i="105"/>
  <c r="Q106" i="105"/>
  <c r="R106" i="105"/>
  <c r="S106" i="105"/>
  <c r="T106" i="105"/>
  <c r="U106" i="105"/>
  <c r="V106" i="105"/>
  <c r="C107" i="105"/>
  <c r="D107" i="105"/>
  <c r="E107" i="105"/>
  <c r="F107" i="105"/>
  <c r="G107" i="105"/>
  <c r="H107" i="105"/>
  <c r="I107" i="105"/>
  <c r="J107" i="105"/>
  <c r="K107" i="105"/>
  <c r="L107" i="105"/>
  <c r="M107" i="105"/>
  <c r="N107" i="105"/>
  <c r="O107" i="105"/>
  <c r="P107" i="105"/>
  <c r="Q107" i="105"/>
  <c r="R107" i="105"/>
  <c r="S107" i="105"/>
  <c r="T107" i="105"/>
  <c r="U107" i="105"/>
  <c r="V107" i="105"/>
  <c r="C108" i="105"/>
  <c r="D108" i="105"/>
  <c r="E108" i="105"/>
  <c r="F108" i="105"/>
  <c r="G108" i="105"/>
  <c r="H108" i="105"/>
  <c r="I108" i="105"/>
  <c r="J108" i="105"/>
  <c r="K108" i="105"/>
  <c r="L108" i="105"/>
  <c r="M108" i="105"/>
  <c r="N108" i="105"/>
  <c r="O108" i="105"/>
  <c r="P108" i="105"/>
  <c r="Q108" i="105"/>
  <c r="R108" i="105"/>
  <c r="S108" i="105"/>
  <c r="T108" i="105"/>
  <c r="U108" i="105"/>
  <c r="V108" i="105"/>
  <c r="C29" i="91" l="1"/>
  <c r="E29" i="91"/>
  <c r="G29" i="91"/>
  <c r="I29" i="91"/>
  <c r="K29" i="91"/>
  <c r="M29" i="91"/>
  <c r="O29" i="91"/>
  <c r="Q29" i="91"/>
  <c r="S29" i="91"/>
  <c r="U29" i="91"/>
  <c r="W29" i="91"/>
  <c r="Y29" i="91"/>
  <c r="AA29" i="91"/>
  <c r="AB29" i="91"/>
  <c r="AC29" i="91"/>
  <c r="AD29" i="91"/>
  <c r="AE29" i="91"/>
  <c r="AF29" i="91"/>
  <c r="AG29" i="91"/>
  <c r="AH29" i="91"/>
  <c r="AA30" i="91"/>
  <c r="AB30" i="91"/>
  <c r="AC30" i="91"/>
  <c r="AD30" i="91"/>
  <c r="AE30" i="91"/>
  <c r="AF30" i="91"/>
  <c r="AG30" i="91"/>
  <c r="AH30" i="91"/>
  <c r="D28" i="90"/>
  <c r="E28" i="90"/>
  <c r="G28" i="90"/>
  <c r="I28" i="90"/>
  <c r="K28" i="90"/>
  <c r="M28" i="90"/>
  <c r="O28" i="90"/>
  <c r="Q28" i="90"/>
  <c r="S28" i="90"/>
  <c r="U28" i="90"/>
  <c r="W28" i="90"/>
  <c r="Y28" i="90"/>
  <c r="AA28" i="90"/>
  <c r="AB28" i="90"/>
  <c r="AC28" i="90"/>
  <c r="AD28" i="90"/>
  <c r="AE28" i="90"/>
  <c r="AF28" i="90"/>
  <c r="AG28" i="90"/>
  <c r="Y29" i="90"/>
  <c r="AA29" i="90"/>
  <c r="AB29" i="90"/>
  <c r="AC29" i="90"/>
  <c r="AD29" i="90"/>
  <c r="AE29" i="90"/>
  <c r="AF29" i="90"/>
  <c r="AG29" i="90"/>
  <c r="C92" i="88"/>
  <c r="E92" i="88"/>
  <c r="G92" i="88"/>
  <c r="I92" i="88"/>
  <c r="K92" i="88"/>
  <c r="M92" i="88"/>
  <c r="O92" i="88"/>
  <c r="Q92" i="88"/>
  <c r="S92" i="88"/>
  <c r="U92" i="88"/>
  <c r="W92" i="88"/>
  <c r="Y92" i="88"/>
  <c r="AA92" i="88"/>
  <c r="AB92" i="88"/>
  <c r="AC92" i="88"/>
  <c r="AD92" i="88"/>
  <c r="AE92" i="88"/>
  <c r="AF92" i="88"/>
  <c r="AG92" i="88"/>
  <c r="AH92" i="88"/>
  <c r="C93" i="88"/>
  <c r="E93" i="88"/>
  <c r="G93" i="88"/>
  <c r="I93" i="88"/>
  <c r="K93" i="88"/>
  <c r="M93" i="88"/>
  <c r="O93" i="88"/>
  <c r="Q93" i="88"/>
  <c r="S93" i="88"/>
  <c r="U93" i="88"/>
  <c r="W93" i="88"/>
  <c r="Y93" i="88"/>
  <c r="AA93" i="88"/>
  <c r="AB93" i="88"/>
  <c r="AC93" i="88"/>
  <c r="AD93" i="88"/>
  <c r="AE93" i="88"/>
  <c r="AF93" i="88"/>
  <c r="AG93" i="88"/>
  <c r="AH93" i="88"/>
  <c r="C94" i="88"/>
  <c r="E94" i="88"/>
  <c r="G94" i="88"/>
  <c r="I94" i="88"/>
  <c r="K94" i="88"/>
  <c r="M94" i="88"/>
  <c r="O94" i="88"/>
  <c r="Q94" i="88"/>
  <c r="S94" i="88"/>
  <c r="U94" i="88"/>
  <c r="W94" i="88"/>
  <c r="Y94" i="88"/>
  <c r="AA94" i="88"/>
  <c r="AB94" i="88"/>
  <c r="AC94" i="88"/>
  <c r="AD94" i="88"/>
  <c r="AE94" i="88"/>
  <c r="AF94" i="88"/>
  <c r="AG94" i="88"/>
  <c r="AH94" i="88"/>
  <c r="C95" i="88"/>
  <c r="E95" i="88"/>
  <c r="G95" i="88"/>
  <c r="I95" i="88"/>
  <c r="K95" i="88"/>
  <c r="M95" i="88"/>
  <c r="O95" i="88"/>
  <c r="Q95" i="88"/>
  <c r="S95" i="88"/>
  <c r="U95" i="88"/>
  <c r="W95" i="88"/>
  <c r="Y95" i="88"/>
  <c r="AA95" i="88"/>
  <c r="AB95" i="88"/>
  <c r="AC95" i="88"/>
  <c r="AD95" i="88"/>
  <c r="AE95" i="88"/>
  <c r="AF95" i="88"/>
  <c r="AG95" i="88"/>
  <c r="AH95" i="88"/>
  <c r="C97" i="88"/>
  <c r="E97" i="88"/>
  <c r="G97" i="88"/>
  <c r="I97" i="88"/>
  <c r="K97" i="88"/>
  <c r="M97" i="88"/>
  <c r="O97" i="88"/>
  <c r="Q97" i="88"/>
  <c r="S97" i="88"/>
  <c r="U97" i="88"/>
  <c r="W97" i="88"/>
  <c r="Y97" i="88"/>
  <c r="AA97" i="88"/>
  <c r="AB97" i="88"/>
  <c r="AC97" i="88"/>
  <c r="AD97" i="88"/>
  <c r="AE97" i="88"/>
  <c r="AF97" i="88"/>
  <c r="AG97" i="88"/>
  <c r="AH97" i="88"/>
  <c r="C98" i="88"/>
  <c r="E98" i="88"/>
  <c r="G98" i="88"/>
  <c r="I98" i="88"/>
  <c r="K98" i="88"/>
  <c r="M98" i="88"/>
  <c r="O98" i="88"/>
  <c r="Q98" i="88"/>
  <c r="S98" i="88"/>
  <c r="U98" i="88"/>
  <c r="W98" i="88"/>
  <c r="Y98" i="88"/>
  <c r="AA98" i="88"/>
  <c r="AB98" i="88"/>
  <c r="AC98" i="88"/>
  <c r="AD98" i="88"/>
  <c r="AE98" i="88"/>
  <c r="AF98" i="88"/>
  <c r="AG98" i="88"/>
  <c r="AH98" i="88"/>
  <c r="C99" i="88"/>
  <c r="E99" i="88"/>
  <c r="G99" i="88"/>
  <c r="I99" i="88"/>
  <c r="K99" i="88"/>
  <c r="M99" i="88"/>
  <c r="O99" i="88"/>
  <c r="Q99" i="88"/>
  <c r="S99" i="88"/>
  <c r="U99" i="88"/>
  <c r="W99" i="88"/>
  <c r="Y99" i="88"/>
  <c r="AA99" i="88"/>
  <c r="AB99" i="88"/>
  <c r="AC99" i="88"/>
  <c r="AD99" i="88"/>
  <c r="AE99" i="88"/>
  <c r="AF99" i="88"/>
  <c r="AG99" i="88"/>
  <c r="AH99" i="88"/>
  <c r="C100" i="88"/>
  <c r="E100" i="88"/>
  <c r="G100" i="88"/>
  <c r="I100" i="88"/>
  <c r="K100" i="88"/>
  <c r="M100" i="88"/>
  <c r="O100" i="88"/>
  <c r="Q100" i="88"/>
  <c r="S100" i="88"/>
  <c r="U100" i="88"/>
  <c r="W100" i="88"/>
  <c r="Y100" i="88"/>
  <c r="AA100" i="88"/>
  <c r="AB100" i="88"/>
  <c r="AC100" i="88"/>
  <c r="AD100" i="88"/>
  <c r="AE100" i="88"/>
  <c r="AF100" i="88"/>
  <c r="AG100" i="88"/>
  <c r="AH100" i="88"/>
  <c r="C101" i="88"/>
  <c r="E101" i="88"/>
  <c r="G101" i="88"/>
  <c r="I101" i="88"/>
  <c r="K101" i="88"/>
  <c r="M101" i="88"/>
  <c r="O101" i="88"/>
  <c r="Q101" i="88"/>
  <c r="S101" i="88"/>
  <c r="U101" i="88"/>
  <c r="W101" i="88"/>
  <c r="Y101" i="88"/>
  <c r="AA101" i="88"/>
  <c r="AB101" i="88"/>
  <c r="AC101" i="88"/>
  <c r="AD101" i="88"/>
  <c r="AE101" i="88"/>
  <c r="AF101" i="88"/>
  <c r="AG101" i="88"/>
  <c r="AH101" i="88"/>
  <c r="C102" i="88"/>
  <c r="E102" i="88"/>
  <c r="G102" i="88"/>
  <c r="I102" i="88"/>
  <c r="K102" i="88"/>
  <c r="M102" i="88"/>
  <c r="O102" i="88"/>
  <c r="Q102" i="88"/>
  <c r="S102" i="88"/>
  <c r="U102" i="88"/>
  <c r="W102" i="88"/>
  <c r="Y102" i="88"/>
  <c r="AA102" i="88"/>
  <c r="AB102" i="88"/>
  <c r="AC102" i="88"/>
  <c r="AD102" i="88"/>
  <c r="AE102" i="88"/>
  <c r="AF102" i="88"/>
  <c r="AG102" i="88"/>
  <c r="AH102" i="88"/>
  <c r="S158" i="89" l="1"/>
  <c r="H158" i="89"/>
  <c r="E157" i="89"/>
  <c r="N157" i="89"/>
  <c r="Q158" i="89"/>
  <c r="L158" i="89"/>
  <c r="D158" i="89"/>
  <c r="K157" i="89"/>
  <c r="C157" i="89"/>
  <c r="J156" i="89"/>
  <c r="N158" i="89"/>
  <c r="F157" i="89"/>
  <c r="R158" i="89"/>
  <c r="J158" i="89"/>
  <c r="L156" i="89"/>
  <c r="D156" i="89"/>
  <c r="K155" i="89"/>
  <c r="F156" i="89"/>
  <c r="N156" i="89"/>
  <c r="Q157" i="89"/>
  <c r="I158" i="89"/>
  <c r="E158" i="89"/>
  <c r="E156" i="89"/>
  <c r="Q156" i="89"/>
  <c r="I155" i="89"/>
  <c r="G158" i="89"/>
  <c r="F158" i="89"/>
  <c r="K158" i="89"/>
  <c r="C155" i="89"/>
  <c r="J157" i="89"/>
  <c r="T155" i="89"/>
  <c r="R156" i="89"/>
  <c r="C158" i="89"/>
  <c r="T156" i="89"/>
  <c r="I156" i="89"/>
  <c r="S155" i="89"/>
  <c r="H155" i="89"/>
  <c r="T157" i="89"/>
  <c r="I157" i="89"/>
  <c r="S156" i="89"/>
  <c r="H156" i="89"/>
  <c r="R155" i="89"/>
  <c r="G155" i="89"/>
  <c r="T158" i="89"/>
  <c r="S157" i="89"/>
  <c r="H157" i="89"/>
  <c r="G156" i="89"/>
  <c r="Q155" i="89"/>
  <c r="F155" i="89"/>
  <c r="R157" i="89"/>
  <c r="G157" i="89"/>
  <c r="N155" i="89"/>
  <c r="E155" i="89"/>
  <c r="L155" i="89"/>
  <c r="D155" i="89"/>
  <c r="L157" i="89"/>
  <c r="D157" i="89"/>
  <c r="K156" i="89"/>
  <c r="C156" i="89"/>
  <c r="J155" i="89"/>
  <c r="V19" i="77" l="1"/>
  <c r="U19" i="77"/>
  <c r="T19" i="77"/>
  <c r="S19" i="77"/>
  <c r="R19" i="77"/>
  <c r="Q19" i="77"/>
  <c r="P19" i="77"/>
  <c r="O19" i="77"/>
  <c r="N19" i="77"/>
  <c r="M19" i="77"/>
  <c r="L19" i="77"/>
  <c r="K19" i="77"/>
  <c r="J19" i="77"/>
  <c r="I19" i="77"/>
  <c r="H19" i="77"/>
  <c r="G19" i="77"/>
  <c r="F19" i="77"/>
  <c r="E19" i="77"/>
  <c r="D19" i="77"/>
  <c r="C19" i="77"/>
  <c r="V18" i="77"/>
  <c r="U18" i="77"/>
  <c r="T18" i="77"/>
  <c r="S18" i="77"/>
  <c r="R18" i="77"/>
  <c r="Q18" i="77"/>
  <c r="P18" i="77"/>
  <c r="O18" i="77"/>
  <c r="N18" i="77"/>
  <c r="M18" i="77"/>
  <c r="L18" i="77"/>
  <c r="K18" i="77"/>
  <c r="J18" i="77"/>
  <c r="I18" i="77"/>
  <c r="H18" i="77"/>
  <c r="G18" i="77"/>
  <c r="F18" i="77"/>
  <c r="E18" i="77"/>
  <c r="D18" i="77"/>
  <c r="C18" i="77"/>
  <c r="AB164" i="76"/>
  <c r="AA164" i="76"/>
  <c r="AB163" i="76"/>
  <c r="AA163" i="76"/>
  <c r="AB161" i="76"/>
  <c r="AA161" i="76"/>
  <c r="AB160" i="76"/>
  <c r="AA160" i="76"/>
  <c r="AB159" i="76"/>
  <c r="AA159" i="76"/>
  <c r="AB158" i="76"/>
  <c r="AA158" i="76"/>
  <c r="AB157" i="76"/>
  <c r="AA157" i="76"/>
  <c r="AB156" i="76"/>
  <c r="AA156" i="76"/>
  <c r="AB155" i="76"/>
  <c r="AA155" i="76"/>
  <c r="AB154" i="76"/>
  <c r="AA154" i="76"/>
  <c r="AH151" i="76"/>
  <c r="AG151" i="76"/>
  <c r="AF152" i="76"/>
  <c r="AE152" i="76"/>
  <c r="AD152" i="76"/>
  <c r="AC152" i="76"/>
  <c r="AB152" i="76"/>
  <c r="AA152" i="76"/>
  <c r="Y152" i="76"/>
  <c r="W152" i="76"/>
  <c r="U152" i="76"/>
  <c r="S152" i="76"/>
  <c r="Q152" i="76"/>
  <c r="O152" i="76"/>
  <c r="M152" i="76"/>
  <c r="K152" i="76"/>
  <c r="I152" i="76"/>
  <c r="G152" i="76"/>
  <c r="E152" i="76"/>
  <c r="C152" i="76"/>
  <c r="AH150" i="76"/>
  <c r="AG150" i="76"/>
  <c r="AF151" i="76"/>
  <c r="AE151" i="76"/>
  <c r="AD151" i="76"/>
  <c r="AC151" i="76"/>
  <c r="AB151" i="76"/>
  <c r="AA151" i="76"/>
  <c r="Y151" i="76"/>
  <c r="W151" i="76"/>
  <c r="U151" i="76"/>
  <c r="S151" i="76"/>
  <c r="Q151" i="76"/>
  <c r="O151" i="76"/>
  <c r="M151" i="76"/>
  <c r="K151" i="76"/>
  <c r="I151" i="76"/>
  <c r="G151" i="76"/>
  <c r="E151" i="76"/>
  <c r="C151" i="76"/>
  <c r="AH149" i="76"/>
  <c r="AG149" i="76"/>
  <c r="AF150" i="76"/>
  <c r="AE150" i="76"/>
  <c r="AD150" i="76"/>
  <c r="AC150" i="76"/>
  <c r="AB150" i="76"/>
  <c r="AA150" i="76"/>
  <c r="Y150" i="76"/>
  <c r="W150" i="76"/>
  <c r="U150" i="76"/>
  <c r="S150" i="76"/>
  <c r="Q150" i="76"/>
  <c r="O150" i="76"/>
  <c r="M150" i="76"/>
  <c r="K150" i="76"/>
  <c r="I150" i="76"/>
  <c r="G150" i="76"/>
  <c r="E150" i="76"/>
  <c r="C150" i="76"/>
  <c r="AF149" i="76"/>
  <c r="AE149" i="76"/>
  <c r="AD149" i="76"/>
  <c r="AC149" i="76"/>
  <c r="AB149" i="76"/>
  <c r="AA149" i="76"/>
  <c r="Y149" i="76"/>
  <c r="W149" i="76"/>
  <c r="U149" i="76"/>
  <c r="S149" i="76"/>
  <c r="Q149" i="76"/>
  <c r="O149" i="76"/>
  <c r="M149" i="76"/>
  <c r="K149" i="76"/>
  <c r="I149" i="76"/>
  <c r="G149" i="76"/>
  <c r="E149" i="76"/>
  <c r="C149" i="76"/>
  <c r="C160" i="76" l="1"/>
  <c r="S163" i="76"/>
  <c r="K163" i="76"/>
  <c r="AC163" i="76"/>
  <c r="G164" i="76"/>
  <c r="W164" i="76"/>
  <c r="S156" i="76"/>
  <c r="AD163" i="76"/>
  <c r="M163" i="76"/>
  <c r="Y164" i="76"/>
  <c r="C156" i="76"/>
  <c r="C154" i="76"/>
  <c r="C163" i="76"/>
  <c r="O163" i="76"/>
  <c r="Q163" i="76"/>
  <c r="AF164" i="76"/>
  <c r="S154" i="76"/>
  <c r="AE164" i="76"/>
  <c r="S164" i="76"/>
  <c r="K161" i="76"/>
  <c r="C164" i="76"/>
  <c r="AG163" i="76"/>
  <c r="E164" i="76"/>
  <c r="U164" i="76"/>
  <c r="AH163" i="76"/>
  <c r="S160" i="76"/>
  <c r="C158" i="76"/>
  <c r="I164" i="76"/>
  <c r="S158" i="76"/>
  <c r="AE154" i="76"/>
  <c r="AE156" i="76"/>
  <c r="E154" i="76"/>
  <c r="U154" i="76"/>
  <c r="AF154" i="76"/>
  <c r="M155" i="76"/>
  <c r="E156" i="76"/>
  <c r="U156" i="76"/>
  <c r="AF156" i="76"/>
  <c r="M157" i="76"/>
  <c r="E158" i="76"/>
  <c r="U158" i="76"/>
  <c r="AF158" i="76"/>
  <c r="M159" i="76"/>
  <c r="E160" i="76"/>
  <c r="U160" i="76"/>
  <c r="AF160" i="76"/>
  <c r="M161" i="76"/>
  <c r="E163" i="76"/>
  <c r="U163" i="76"/>
  <c r="AF163" i="76"/>
  <c r="M164" i="76"/>
  <c r="K159" i="76"/>
  <c r="G154" i="76"/>
  <c r="W154" i="76"/>
  <c r="AG153" i="76"/>
  <c r="O155" i="76"/>
  <c r="AC155" i="76"/>
  <c r="G156" i="76"/>
  <c r="W156" i="76"/>
  <c r="AG155" i="76"/>
  <c r="O157" i="76"/>
  <c r="AC157" i="76"/>
  <c r="G158" i="76"/>
  <c r="W158" i="76"/>
  <c r="AG157" i="76"/>
  <c r="O159" i="76"/>
  <c r="AC159" i="76"/>
  <c r="G160" i="76"/>
  <c r="W160" i="76"/>
  <c r="AG159" i="76"/>
  <c r="O161" i="76"/>
  <c r="AC161" i="76"/>
  <c r="G163" i="76"/>
  <c r="W163" i="76"/>
  <c r="AG162" i="76"/>
  <c r="O164" i="76"/>
  <c r="AC164" i="76"/>
  <c r="K155" i="76"/>
  <c r="K157" i="76"/>
  <c r="AE158" i="76"/>
  <c r="AE160" i="76"/>
  <c r="AE163" i="76"/>
  <c r="I154" i="76"/>
  <c r="Y154" i="76"/>
  <c r="AH153" i="76"/>
  <c r="Q155" i="76"/>
  <c r="AD155" i="76"/>
  <c r="I156" i="76"/>
  <c r="Y156" i="76"/>
  <c r="AH155" i="76"/>
  <c r="Q157" i="76"/>
  <c r="AD157" i="76"/>
  <c r="I158" i="76"/>
  <c r="Y158" i="76"/>
  <c r="AH157" i="76"/>
  <c r="Q159" i="76"/>
  <c r="AD159" i="76"/>
  <c r="I160" i="76"/>
  <c r="Y160" i="76"/>
  <c r="AH159" i="76"/>
  <c r="Q161" i="76"/>
  <c r="AD161" i="76"/>
  <c r="I163" i="76"/>
  <c r="Y163" i="76"/>
  <c r="AH162" i="76"/>
  <c r="Q164" i="76"/>
  <c r="AD164" i="76"/>
  <c r="K164" i="76"/>
  <c r="K154" i="76"/>
  <c r="C155" i="76"/>
  <c r="S155" i="76"/>
  <c r="AE155" i="76"/>
  <c r="K156" i="76"/>
  <c r="C157" i="76"/>
  <c r="S157" i="76"/>
  <c r="AE157" i="76"/>
  <c r="K158" i="76"/>
  <c r="S159" i="76"/>
  <c r="AE159" i="76"/>
  <c r="K160" i="76"/>
  <c r="C161" i="76"/>
  <c r="S161" i="76"/>
  <c r="AE161" i="76"/>
  <c r="M154" i="76"/>
  <c r="E155" i="76"/>
  <c r="U155" i="76"/>
  <c r="AF155" i="76"/>
  <c r="M156" i="76"/>
  <c r="E157" i="76"/>
  <c r="U157" i="76"/>
  <c r="AF157" i="76"/>
  <c r="M158" i="76"/>
  <c r="E159" i="76"/>
  <c r="U159" i="76"/>
  <c r="AF159" i="76"/>
  <c r="M160" i="76"/>
  <c r="E161" i="76"/>
  <c r="U161" i="76"/>
  <c r="AF161" i="76"/>
  <c r="O154" i="76"/>
  <c r="AC154" i="76"/>
  <c r="G155" i="76"/>
  <c r="W155" i="76"/>
  <c r="AG154" i="76"/>
  <c r="O156" i="76"/>
  <c r="AC156" i="76"/>
  <c r="G157" i="76"/>
  <c r="W157" i="76"/>
  <c r="AG156" i="76"/>
  <c r="O158" i="76"/>
  <c r="AC158" i="76"/>
  <c r="G159" i="76"/>
  <c r="W159" i="76"/>
  <c r="AG158" i="76"/>
  <c r="O160" i="76"/>
  <c r="AC160" i="76"/>
  <c r="G161" i="76"/>
  <c r="W161" i="76"/>
  <c r="AG160" i="76"/>
  <c r="Q154" i="76"/>
  <c r="AD154" i="76"/>
  <c r="I155" i="76"/>
  <c r="Y155" i="76"/>
  <c r="AH154" i="76"/>
  <c r="Q156" i="76"/>
  <c r="AD156" i="76"/>
  <c r="I157" i="76"/>
  <c r="Y157" i="76"/>
  <c r="AH156" i="76"/>
  <c r="Q158" i="76"/>
  <c r="AD158" i="76"/>
  <c r="I159" i="76"/>
  <c r="Y159" i="76"/>
  <c r="AH158" i="76"/>
  <c r="Q160" i="76"/>
  <c r="AD160" i="76"/>
  <c r="I161" i="76"/>
  <c r="Y161" i="76"/>
  <c r="AH160" i="76"/>
  <c r="D31" i="51" l="1"/>
  <c r="F31" i="51"/>
  <c r="H31" i="51"/>
  <c r="J31" i="51"/>
  <c r="L31" i="51"/>
  <c r="N31" i="51"/>
  <c r="P31" i="51"/>
  <c r="R31" i="51"/>
  <c r="T31" i="51"/>
  <c r="V31" i="51"/>
  <c r="X31" i="51"/>
  <c r="Z31" i="51"/>
  <c r="AA31" i="51"/>
  <c r="AB31" i="51"/>
  <c r="AC31" i="51"/>
  <c r="AD31" i="51"/>
  <c r="AE31" i="51"/>
  <c r="AF31" i="51"/>
  <c r="AG31" i="51"/>
  <c r="D32" i="51"/>
  <c r="F32" i="51"/>
  <c r="H32" i="51"/>
  <c r="J32" i="51"/>
  <c r="L32" i="51"/>
  <c r="N32" i="51"/>
  <c r="P32" i="51"/>
  <c r="R32" i="51"/>
  <c r="T32" i="51"/>
  <c r="V32" i="51"/>
  <c r="X32" i="51"/>
  <c r="Z32" i="51"/>
  <c r="AA32" i="51"/>
  <c r="AB32" i="51"/>
  <c r="AC32" i="51"/>
  <c r="AD32" i="51"/>
  <c r="AE32" i="51"/>
  <c r="AF32" i="51"/>
  <c r="AG32" i="51"/>
  <c r="B31" i="51"/>
  <c r="B32" i="51"/>
  <c r="U108" i="68" l="1"/>
  <c r="T108" i="68"/>
  <c r="S108" i="68"/>
  <c r="R108" i="68"/>
  <c r="Q108" i="68"/>
  <c r="P108" i="68"/>
  <c r="O108" i="68"/>
  <c r="N108" i="68"/>
  <c r="M108" i="68"/>
  <c r="L108" i="68"/>
  <c r="K108" i="68"/>
  <c r="J108" i="68"/>
  <c r="I108" i="68"/>
  <c r="H108" i="68"/>
  <c r="G108" i="68"/>
  <c r="F108" i="68"/>
  <c r="E108" i="68"/>
  <c r="D108" i="68"/>
  <c r="C108" i="68"/>
  <c r="B108" i="68"/>
  <c r="U107" i="68"/>
  <c r="T107" i="68"/>
  <c r="S107" i="68"/>
  <c r="R107" i="68"/>
  <c r="Q107" i="68"/>
  <c r="P107" i="68"/>
  <c r="O107" i="68"/>
  <c r="N107" i="68"/>
  <c r="M107" i="68"/>
  <c r="L107" i="68"/>
  <c r="K107" i="68"/>
  <c r="J107" i="68"/>
  <c r="I107" i="68"/>
  <c r="H107" i="68"/>
  <c r="G107" i="68"/>
  <c r="F107" i="68"/>
  <c r="E107" i="68"/>
  <c r="D107" i="68"/>
  <c r="C107" i="68"/>
  <c r="B107" i="68"/>
  <c r="I109" i="1" l="1"/>
  <c r="D123" i="34"/>
  <c r="E123" i="34"/>
  <c r="F123" i="34"/>
  <c r="G123" i="34"/>
  <c r="H123" i="34"/>
  <c r="I123" i="34"/>
  <c r="J123" i="34"/>
  <c r="K123" i="34"/>
  <c r="L123" i="34"/>
  <c r="M123" i="34"/>
  <c r="N123" i="34"/>
  <c r="O123" i="34"/>
  <c r="P123" i="34"/>
  <c r="Q123" i="34"/>
  <c r="R123" i="34"/>
  <c r="S123" i="34"/>
  <c r="T123" i="34"/>
  <c r="U123" i="34"/>
  <c r="V123" i="34"/>
  <c r="D124" i="34"/>
  <c r="E124" i="34"/>
  <c r="F124" i="34"/>
  <c r="G124" i="34"/>
  <c r="H124" i="34"/>
  <c r="I124" i="34"/>
  <c r="J124" i="34"/>
  <c r="K124" i="34"/>
  <c r="L124" i="34"/>
  <c r="M124" i="34"/>
  <c r="N124" i="34"/>
  <c r="O124" i="34"/>
  <c r="P124" i="34"/>
  <c r="Q124" i="34"/>
  <c r="R124" i="34"/>
  <c r="S124" i="34"/>
  <c r="T124" i="34"/>
  <c r="U124" i="34"/>
  <c r="V124" i="34"/>
  <c r="C124" i="34"/>
  <c r="C123" i="34"/>
  <c r="D121" i="33"/>
  <c r="E121" i="33"/>
  <c r="F121" i="33"/>
  <c r="G121" i="33"/>
  <c r="H121" i="33"/>
  <c r="I121" i="33"/>
  <c r="J121" i="33"/>
  <c r="K121" i="33"/>
  <c r="L121" i="33"/>
  <c r="M121" i="33"/>
  <c r="N121" i="33"/>
  <c r="O121" i="33"/>
  <c r="P121" i="33"/>
  <c r="Q121" i="33"/>
  <c r="R121" i="33"/>
  <c r="S121" i="33"/>
  <c r="T121" i="33"/>
  <c r="U121" i="33"/>
  <c r="V121" i="33"/>
  <c r="D122" i="33"/>
  <c r="E122" i="33"/>
  <c r="F122" i="33"/>
  <c r="G122" i="33"/>
  <c r="H122" i="33"/>
  <c r="I122" i="33"/>
  <c r="J122" i="33"/>
  <c r="K122" i="33"/>
  <c r="L122" i="33"/>
  <c r="M122" i="33"/>
  <c r="N122" i="33"/>
  <c r="O122" i="33"/>
  <c r="P122" i="33"/>
  <c r="Q122" i="33"/>
  <c r="R122" i="33"/>
  <c r="S122" i="33"/>
  <c r="T122" i="33"/>
  <c r="U122" i="33"/>
  <c r="V122" i="33"/>
  <c r="C122" i="33"/>
  <c r="C121" i="33"/>
  <c r="D112" i="40"/>
  <c r="E112" i="40"/>
  <c r="F112" i="40"/>
  <c r="G112" i="40"/>
  <c r="H112" i="40"/>
  <c r="I112" i="40"/>
  <c r="J112" i="40"/>
  <c r="K112" i="40"/>
  <c r="L112" i="40"/>
  <c r="M112" i="40"/>
  <c r="N112" i="40"/>
  <c r="O112" i="40"/>
  <c r="P112" i="40"/>
  <c r="Q112" i="40"/>
  <c r="R112" i="40"/>
  <c r="S112" i="40"/>
  <c r="T112" i="40"/>
  <c r="U112" i="40"/>
  <c r="V112" i="40"/>
  <c r="D113" i="40"/>
  <c r="E113" i="40"/>
  <c r="F113" i="40"/>
  <c r="G113" i="40"/>
  <c r="H113" i="40"/>
  <c r="I113" i="40"/>
  <c r="J113" i="40"/>
  <c r="K113" i="40"/>
  <c r="L113" i="40"/>
  <c r="M113" i="40"/>
  <c r="N113" i="40"/>
  <c r="O113" i="40"/>
  <c r="P113" i="40"/>
  <c r="Q113" i="40"/>
  <c r="R113" i="40"/>
  <c r="S113" i="40"/>
  <c r="T113" i="40"/>
  <c r="U113" i="40"/>
  <c r="V113" i="40"/>
  <c r="C113" i="40"/>
  <c r="C112" i="40"/>
  <c r="E98" i="41"/>
  <c r="G98" i="41"/>
  <c r="I98" i="41"/>
  <c r="K98" i="41"/>
  <c r="M98" i="41"/>
  <c r="O98" i="41"/>
  <c r="Q98" i="41"/>
  <c r="S98" i="41"/>
  <c r="U98" i="41"/>
  <c r="W98" i="41"/>
  <c r="Y98" i="41"/>
  <c r="AA98" i="41"/>
  <c r="AB98" i="41"/>
  <c r="AC98" i="41"/>
  <c r="AD98" i="41"/>
  <c r="AE98" i="41"/>
  <c r="AF98" i="41"/>
  <c r="AG98" i="41"/>
  <c r="AH98" i="41"/>
  <c r="E99" i="41"/>
  <c r="G99" i="41"/>
  <c r="I99" i="41"/>
  <c r="K99" i="41"/>
  <c r="M99" i="41"/>
  <c r="O99" i="41"/>
  <c r="Q99" i="41"/>
  <c r="S99" i="41"/>
  <c r="U99" i="41"/>
  <c r="W99" i="41"/>
  <c r="Y99" i="41"/>
  <c r="AA99" i="41"/>
  <c r="AB99" i="41"/>
  <c r="AC99" i="41"/>
  <c r="AD99" i="41"/>
  <c r="AE99" i="41"/>
  <c r="AF99" i="41"/>
  <c r="AG99" i="41"/>
  <c r="AH99" i="41"/>
  <c r="C99" i="41"/>
  <c r="C98" i="41"/>
  <c r="E98" i="39"/>
  <c r="G98" i="39"/>
  <c r="I98" i="39"/>
  <c r="K98" i="39"/>
  <c r="M98" i="39"/>
  <c r="O98" i="39"/>
  <c r="Q98" i="39"/>
  <c r="S98" i="39"/>
  <c r="U98" i="39"/>
  <c r="W98" i="39"/>
  <c r="Y98" i="39"/>
  <c r="AA98" i="39"/>
  <c r="AB98" i="39"/>
  <c r="AC98" i="39"/>
  <c r="AD98" i="39"/>
  <c r="AE98" i="39"/>
  <c r="AF98" i="39"/>
  <c r="AG98" i="39"/>
  <c r="AH98" i="39"/>
  <c r="E99" i="39"/>
  <c r="G99" i="39"/>
  <c r="I99" i="39"/>
  <c r="K99" i="39"/>
  <c r="M99" i="39"/>
  <c r="O99" i="39"/>
  <c r="Q99" i="39"/>
  <c r="S99" i="39"/>
  <c r="U99" i="39"/>
  <c r="W99" i="39"/>
  <c r="Y99" i="39"/>
  <c r="AA99" i="39"/>
  <c r="AB99" i="39"/>
  <c r="AC99" i="39"/>
  <c r="AD99" i="39"/>
  <c r="AE99" i="39"/>
  <c r="AF99" i="39"/>
  <c r="AG99" i="39"/>
  <c r="AH99" i="39"/>
  <c r="C99" i="39"/>
  <c r="C98" i="39"/>
  <c r="D104" i="38"/>
  <c r="E104" i="38"/>
  <c r="F104" i="38"/>
  <c r="G104" i="38"/>
  <c r="H104" i="38"/>
  <c r="I104" i="38"/>
  <c r="J104" i="38"/>
  <c r="K104" i="38"/>
  <c r="L104" i="38"/>
  <c r="M104" i="38"/>
  <c r="N104" i="38"/>
  <c r="O104" i="38"/>
  <c r="P104" i="38"/>
  <c r="Q104" i="38"/>
  <c r="R104" i="38"/>
  <c r="S104" i="38"/>
  <c r="T104" i="38"/>
  <c r="U104" i="38"/>
  <c r="V104" i="38"/>
  <c r="D105" i="38"/>
  <c r="E105" i="38"/>
  <c r="F105" i="38"/>
  <c r="G105" i="38"/>
  <c r="H105" i="38"/>
  <c r="I105" i="38"/>
  <c r="J105" i="38"/>
  <c r="K105" i="38"/>
  <c r="L105" i="38"/>
  <c r="M105" i="38"/>
  <c r="N105" i="38"/>
  <c r="O105" i="38"/>
  <c r="P105" i="38"/>
  <c r="Q105" i="38"/>
  <c r="R105" i="38"/>
  <c r="S105" i="38"/>
  <c r="T105" i="38"/>
  <c r="U105" i="38"/>
  <c r="V105" i="38"/>
  <c r="C105" i="38"/>
  <c r="C104" i="38"/>
  <c r="D108" i="1"/>
  <c r="E108" i="1"/>
  <c r="F108" i="1"/>
  <c r="G108" i="1"/>
  <c r="H108" i="1"/>
  <c r="I108" i="1"/>
  <c r="J108" i="1"/>
  <c r="K108" i="1"/>
  <c r="L108" i="1"/>
  <c r="M108" i="1"/>
  <c r="N108" i="1"/>
  <c r="O108" i="1"/>
  <c r="P108" i="1"/>
  <c r="Q108" i="1"/>
  <c r="R108" i="1"/>
  <c r="S108" i="1"/>
  <c r="T108" i="1"/>
  <c r="U108" i="1"/>
  <c r="V108" i="1"/>
  <c r="D109" i="1"/>
  <c r="E109" i="1"/>
  <c r="F109" i="1"/>
  <c r="G109" i="1"/>
  <c r="H109" i="1"/>
  <c r="J109" i="1"/>
  <c r="K109" i="1"/>
  <c r="L109" i="1"/>
  <c r="M109" i="1"/>
  <c r="N109" i="1"/>
  <c r="O109" i="1"/>
  <c r="P109" i="1"/>
  <c r="Q109" i="1"/>
  <c r="R109" i="1"/>
  <c r="S109" i="1"/>
  <c r="T109" i="1"/>
  <c r="U109" i="1"/>
  <c r="V109" i="1"/>
  <c r="C109" i="1"/>
  <c r="C108" i="1"/>
  <c r="C115" i="32" l="1"/>
  <c r="D117" i="32"/>
  <c r="E117" i="32"/>
  <c r="F117" i="32"/>
  <c r="G117" i="32"/>
  <c r="H117" i="32"/>
  <c r="I117" i="32"/>
  <c r="J117" i="32"/>
  <c r="K117" i="32"/>
  <c r="L117" i="32"/>
  <c r="M117" i="32"/>
  <c r="N117" i="32"/>
  <c r="O117" i="32"/>
  <c r="P117" i="32"/>
  <c r="Q117" i="32"/>
  <c r="R117" i="32"/>
  <c r="S117" i="32"/>
  <c r="T117" i="32"/>
  <c r="U117" i="32"/>
  <c r="V117" i="32"/>
  <c r="D118" i="32"/>
  <c r="E118" i="32"/>
  <c r="F118" i="32"/>
  <c r="G118" i="32"/>
  <c r="H118" i="32"/>
  <c r="I118" i="32"/>
  <c r="J118" i="32"/>
  <c r="K118" i="32"/>
  <c r="L118" i="32"/>
  <c r="M118" i="32"/>
  <c r="N118" i="32"/>
  <c r="O118" i="32"/>
  <c r="P118" i="32"/>
  <c r="Q118" i="32"/>
  <c r="R118" i="32"/>
  <c r="S118" i="32"/>
  <c r="T118" i="32"/>
  <c r="U118" i="32"/>
  <c r="V118" i="32"/>
  <c r="D119" i="32"/>
  <c r="E119" i="32"/>
  <c r="F119" i="32"/>
  <c r="G119" i="32"/>
  <c r="H119" i="32"/>
  <c r="I119" i="32"/>
  <c r="J119" i="32"/>
  <c r="K119" i="32"/>
  <c r="L119" i="32"/>
  <c r="M119" i="32"/>
  <c r="N119" i="32"/>
  <c r="O119" i="32"/>
  <c r="P119" i="32"/>
  <c r="Q119" i="32"/>
  <c r="R119" i="32"/>
  <c r="S119" i="32"/>
  <c r="T119" i="32"/>
  <c r="U119" i="32"/>
  <c r="V119" i="32"/>
  <c r="D120" i="32"/>
  <c r="E120" i="32"/>
  <c r="F120" i="32"/>
  <c r="G120" i="32"/>
  <c r="H120" i="32"/>
  <c r="I120" i="32"/>
  <c r="J120" i="32"/>
  <c r="K120" i="32"/>
  <c r="L120" i="32"/>
  <c r="M120" i="32"/>
  <c r="N120" i="32"/>
  <c r="O120" i="32"/>
  <c r="P120" i="32"/>
  <c r="Q120" i="32"/>
  <c r="R120" i="32"/>
  <c r="S120" i="32"/>
  <c r="T120" i="32"/>
  <c r="U120" i="32"/>
  <c r="V120" i="32"/>
  <c r="D121" i="32"/>
  <c r="E121" i="32"/>
  <c r="F121" i="32"/>
  <c r="G121" i="32"/>
  <c r="H121" i="32"/>
  <c r="I121" i="32"/>
  <c r="J121" i="32"/>
  <c r="K121" i="32"/>
  <c r="L121" i="32"/>
  <c r="M121" i="32"/>
  <c r="N121" i="32"/>
  <c r="O121" i="32"/>
  <c r="P121" i="32"/>
  <c r="Q121" i="32"/>
  <c r="R121" i="32"/>
  <c r="S121" i="32"/>
  <c r="T121" i="32"/>
  <c r="U121" i="32"/>
  <c r="V121" i="32"/>
  <c r="D122" i="32"/>
  <c r="E122" i="32"/>
  <c r="F122" i="32"/>
  <c r="G122" i="32"/>
  <c r="H122" i="32"/>
  <c r="I122" i="32"/>
  <c r="J122" i="32"/>
  <c r="K122" i="32"/>
  <c r="L122" i="32"/>
  <c r="M122" i="32"/>
  <c r="N122" i="32"/>
  <c r="O122" i="32"/>
  <c r="P122" i="32"/>
  <c r="Q122" i="32"/>
  <c r="R122" i="32"/>
  <c r="S122" i="32"/>
  <c r="T122" i="32"/>
  <c r="U122" i="32"/>
  <c r="V122" i="32"/>
  <c r="D125" i="32"/>
  <c r="E125" i="32"/>
  <c r="F125" i="32"/>
  <c r="G125" i="32"/>
  <c r="H125" i="32"/>
  <c r="I125" i="32"/>
  <c r="J125" i="32"/>
  <c r="K125" i="32"/>
  <c r="L125" i="32"/>
  <c r="N125" i="32"/>
  <c r="O125" i="32"/>
  <c r="P125" i="32"/>
  <c r="Q125" i="32"/>
  <c r="R125" i="32"/>
  <c r="S125" i="32"/>
  <c r="T125" i="32"/>
  <c r="U125" i="32"/>
  <c r="V125" i="32"/>
  <c r="D126" i="32"/>
  <c r="E126" i="32"/>
  <c r="F126" i="32"/>
  <c r="G126" i="32"/>
  <c r="H126" i="32"/>
  <c r="I126" i="32"/>
  <c r="J126" i="32"/>
  <c r="K126" i="32"/>
  <c r="L126" i="32"/>
  <c r="M126" i="32"/>
  <c r="N126" i="32"/>
  <c r="O126" i="32"/>
  <c r="P126" i="32"/>
  <c r="Q126" i="32"/>
  <c r="R126" i="32"/>
  <c r="S126" i="32"/>
  <c r="T126" i="32"/>
  <c r="U126" i="32"/>
  <c r="V126" i="32"/>
  <c r="C126" i="32"/>
  <c r="C122" i="32"/>
  <c r="C121" i="32"/>
  <c r="C119" i="32"/>
  <c r="C118" i="32"/>
  <c r="C117" i="32"/>
  <c r="C114" i="32"/>
  <c r="D110" i="32"/>
  <c r="E110" i="32"/>
  <c r="F110" i="32"/>
  <c r="G110" i="32"/>
  <c r="H110" i="32"/>
  <c r="I110" i="32"/>
  <c r="J110" i="32"/>
  <c r="K110" i="32"/>
  <c r="L110" i="32"/>
  <c r="M110" i="32"/>
  <c r="N110" i="32"/>
  <c r="O110" i="32"/>
  <c r="P110" i="32"/>
  <c r="Q110" i="32"/>
  <c r="R110" i="32"/>
  <c r="S110" i="32"/>
  <c r="T110" i="32"/>
  <c r="U110" i="32"/>
  <c r="V110" i="32"/>
  <c r="D111" i="32"/>
  <c r="E111" i="32"/>
  <c r="F111" i="32"/>
  <c r="G111" i="32"/>
  <c r="H111" i="32"/>
  <c r="I111" i="32"/>
  <c r="J111" i="32"/>
  <c r="K111" i="32"/>
  <c r="L111" i="32"/>
  <c r="M111" i="32"/>
  <c r="N111" i="32"/>
  <c r="O111" i="32"/>
  <c r="P111" i="32"/>
  <c r="Q111" i="32"/>
  <c r="R111" i="32"/>
  <c r="S111" i="32"/>
  <c r="T111" i="32"/>
  <c r="U111" i="32"/>
  <c r="V111" i="32"/>
  <c r="D112" i="32"/>
  <c r="E112" i="32"/>
  <c r="F112" i="32"/>
  <c r="G112" i="32"/>
  <c r="H112" i="32"/>
  <c r="I112" i="32"/>
  <c r="J112" i="32"/>
  <c r="K112" i="32"/>
  <c r="L112" i="32"/>
  <c r="M112" i="32"/>
  <c r="N112" i="32"/>
  <c r="O112" i="32"/>
  <c r="P112" i="32"/>
  <c r="Q112" i="32"/>
  <c r="R112" i="32"/>
  <c r="S112" i="32"/>
  <c r="T112" i="32"/>
  <c r="U112" i="32"/>
  <c r="V112" i="32"/>
  <c r="N113" i="32"/>
  <c r="O113" i="32"/>
  <c r="P113" i="32"/>
  <c r="Q113" i="32"/>
  <c r="R113" i="32"/>
  <c r="S113" i="32"/>
  <c r="T113" i="32"/>
  <c r="U113" i="32"/>
  <c r="V113" i="32"/>
  <c r="D114" i="32"/>
  <c r="E114" i="32"/>
  <c r="F114" i="32"/>
  <c r="G114" i="32"/>
  <c r="H114" i="32"/>
  <c r="I114" i="32"/>
  <c r="J114" i="32"/>
  <c r="K114" i="32"/>
  <c r="L114" i="32"/>
  <c r="M114" i="32"/>
  <c r="N114" i="32"/>
  <c r="O114" i="32"/>
  <c r="P114" i="32"/>
  <c r="Q114" i="32"/>
  <c r="R114" i="32"/>
  <c r="S114" i="32"/>
  <c r="T114" i="32"/>
  <c r="U114" i="32"/>
  <c r="V114" i="32"/>
  <c r="D115" i="32"/>
  <c r="E115" i="32"/>
  <c r="F115" i="32"/>
  <c r="G115" i="32"/>
  <c r="H115" i="32"/>
  <c r="I115" i="32"/>
  <c r="J115" i="32"/>
  <c r="K115" i="32"/>
  <c r="L115" i="32"/>
  <c r="M115" i="32"/>
  <c r="N115" i="32"/>
  <c r="O115" i="32"/>
  <c r="P115" i="32"/>
  <c r="Q115" i="32"/>
  <c r="R115" i="32"/>
  <c r="S115" i="32"/>
  <c r="T115" i="32"/>
  <c r="U115" i="32"/>
  <c r="V115" i="32"/>
  <c r="C112" i="32"/>
  <c r="C110" i="32"/>
  <c r="C113" i="1" l="1"/>
  <c r="C15" i="43" l="1"/>
  <c r="C14" i="43"/>
  <c r="E14" i="43"/>
  <c r="G14" i="43"/>
  <c r="I14" i="43"/>
  <c r="K14" i="43"/>
  <c r="M14" i="43"/>
  <c r="O14" i="43"/>
  <c r="Q14" i="43"/>
  <c r="S14" i="43"/>
  <c r="U14" i="43"/>
  <c r="W14" i="43"/>
  <c r="Y14" i="43"/>
  <c r="AA14" i="43"/>
  <c r="AB14" i="43"/>
  <c r="AC14" i="43"/>
  <c r="AD14" i="43"/>
  <c r="AE14" i="43"/>
  <c r="AF14" i="43"/>
  <c r="AG14" i="43"/>
  <c r="AH14" i="43"/>
  <c r="E15" i="43"/>
  <c r="G15" i="43"/>
  <c r="I15" i="43"/>
  <c r="K15" i="43"/>
  <c r="M15" i="43"/>
  <c r="O15" i="43"/>
  <c r="Q15" i="43"/>
  <c r="S15" i="43"/>
  <c r="U15" i="43"/>
  <c r="W15" i="43"/>
  <c r="Y15" i="43"/>
  <c r="AA15" i="43"/>
  <c r="AB15" i="43"/>
  <c r="AC15" i="43"/>
  <c r="AD15" i="43"/>
  <c r="AE15" i="43"/>
  <c r="AF15" i="43"/>
  <c r="AG15" i="43"/>
  <c r="AH15" i="43"/>
  <c r="C26" i="59" l="1"/>
  <c r="C25" i="59"/>
  <c r="D25" i="59"/>
  <c r="E25" i="59"/>
  <c r="F25" i="59"/>
  <c r="G25" i="59"/>
  <c r="H25" i="59"/>
  <c r="I25" i="59"/>
  <c r="J25" i="59"/>
  <c r="K25" i="59"/>
  <c r="L25" i="59"/>
  <c r="M25" i="59"/>
  <c r="N25" i="59"/>
  <c r="O25" i="59"/>
  <c r="P25" i="59"/>
  <c r="Q25" i="59"/>
  <c r="R25" i="59"/>
  <c r="S25" i="59"/>
  <c r="T25" i="59"/>
  <c r="U25" i="59"/>
  <c r="V25" i="59"/>
  <c r="D26" i="59"/>
  <c r="E26" i="59"/>
  <c r="F26" i="59"/>
  <c r="G26" i="59"/>
  <c r="H26" i="59"/>
  <c r="I26" i="59"/>
  <c r="J26" i="59"/>
  <c r="K26" i="59"/>
  <c r="L26" i="59"/>
  <c r="M26" i="59"/>
  <c r="N26" i="59"/>
  <c r="O26" i="59"/>
  <c r="P26" i="59"/>
  <c r="Q26" i="59"/>
  <c r="R26" i="59"/>
  <c r="S26" i="59"/>
  <c r="T26" i="59"/>
  <c r="U26" i="59"/>
  <c r="V26" i="59"/>
  <c r="E16" i="43" l="1"/>
  <c r="G16" i="43"/>
  <c r="I16" i="43"/>
  <c r="K16" i="43"/>
  <c r="M16" i="43"/>
  <c r="O16" i="43"/>
  <c r="Q16" i="43"/>
  <c r="S16" i="43"/>
  <c r="U16" i="43"/>
  <c r="W16" i="43"/>
  <c r="Y16" i="43"/>
  <c r="AA16" i="43"/>
  <c r="AB16" i="43"/>
  <c r="AC16" i="43"/>
  <c r="AD16" i="43"/>
  <c r="AE16" i="43"/>
  <c r="AF16" i="43"/>
  <c r="AG16" i="43"/>
  <c r="AH16" i="43"/>
  <c r="E17" i="43"/>
  <c r="G17" i="43"/>
  <c r="I17" i="43"/>
  <c r="K17" i="43"/>
  <c r="M17" i="43"/>
  <c r="O17" i="43"/>
  <c r="Q17" i="43"/>
  <c r="S17" i="43"/>
  <c r="U17" i="43"/>
  <c r="W17" i="43"/>
  <c r="Y17" i="43"/>
  <c r="AA17" i="43"/>
  <c r="AB17" i="43"/>
  <c r="AC17" i="43"/>
  <c r="AD17" i="43"/>
  <c r="AE17" i="43"/>
  <c r="AF17" i="43"/>
  <c r="AG17" i="43"/>
  <c r="AH17" i="43"/>
  <c r="C16" i="43"/>
  <c r="C17" i="43"/>
  <c r="D51" i="65" l="1"/>
  <c r="E51" i="65"/>
  <c r="F51" i="65"/>
  <c r="G51" i="65"/>
  <c r="H51" i="65"/>
  <c r="I51" i="65"/>
  <c r="J51" i="65"/>
  <c r="K51" i="65"/>
  <c r="L51" i="65"/>
  <c r="M51" i="65"/>
  <c r="N51" i="65"/>
  <c r="O51" i="65"/>
  <c r="P51" i="65"/>
  <c r="Q51" i="65"/>
  <c r="R51" i="65"/>
  <c r="S51" i="65"/>
  <c r="T51" i="65"/>
  <c r="U51" i="65"/>
  <c r="V51" i="65"/>
  <c r="C51" i="65"/>
  <c r="C152" i="28"/>
  <c r="D50" i="65"/>
  <c r="E50" i="65"/>
  <c r="F50" i="65"/>
  <c r="G50" i="65"/>
  <c r="H50" i="65"/>
  <c r="I50" i="65"/>
  <c r="J50" i="65"/>
  <c r="K50" i="65"/>
  <c r="L50" i="65"/>
  <c r="M50" i="65"/>
  <c r="N50" i="65"/>
  <c r="O50" i="65"/>
  <c r="P50" i="65"/>
  <c r="Q50" i="65"/>
  <c r="R50" i="65"/>
  <c r="S50" i="65"/>
  <c r="T50" i="65"/>
  <c r="U50" i="65"/>
  <c r="V50" i="65"/>
  <c r="C50" i="65"/>
  <c r="D114" i="40" l="1"/>
  <c r="E114" i="40"/>
  <c r="F114" i="40"/>
  <c r="G114" i="40"/>
  <c r="H114" i="40"/>
  <c r="I114" i="40"/>
  <c r="J114" i="40"/>
  <c r="K114" i="40"/>
  <c r="L114" i="40"/>
  <c r="M114" i="40"/>
  <c r="N114" i="40"/>
  <c r="O114" i="40"/>
  <c r="P114" i="40"/>
  <c r="Q114" i="40"/>
  <c r="R114" i="40"/>
  <c r="S114" i="40"/>
  <c r="T114" i="40"/>
  <c r="U114" i="40"/>
  <c r="V114" i="40"/>
  <c r="D115" i="40"/>
  <c r="E115" i="40"/>
  <c r="F115" i="40"/>
  <c r="G115" i="40"/>
  <c r="H115" i="40"/>
  <c r="I115" i="40"/>
  <c r="J115" i="40"/>
  <c r="K115" i="40"/>
  <c r="L115" i="40"/>
  <c r="M115" i="40"/>
  <c r="N115" i="40"/>
  <c r="O115" i="40"/>
  <c r="P115" i="40"/>
  <c r="Q115" i="40"/>
  <c r="R115" i="40"/>
  <c r="S115" i="40"/>
  <c r="T115" i="40"/>
  <c r="U115" i="40"/>
  <c r="V115" i="40"/>
  <c r="D116" i="40"/>
  <c r="E116" i="40"/>
  <c r="F116" i="40"/>
  <c r="G116" i="40"/>
  <c r="H116" i="40"/>
  <c r="I116" i="40"/>
  <c r="J116" i="40"/>
  <c r="K116" i="40"/>
  <c r="L116" i="40"/>
  <c r="M116" i="40"/>
  <c r="N116" i="40"/>
  <c r="O116" i="40"/>
  <c r="P116" i="40"/>
  <c r="Q116" i="40"/>
  <c r="R116" i="40"/>
  <c r="S116" i="40"/>
  <c r="T116" i="40"/>
  <c r="U116" i="40"/>
  <c r="V116" i="40"/>
  <c r="D117" i="40"/>
  <c r="E117" i="40"/>
  <c r="F117" i="40"/>
  <c r="G117" i="40"/>
  <c r="H117" i="40"/>
  <c r="I117" i="40"/>
  <c r="J117" i="40"/>
  <c r="K117" i="40"/>
  <c r="L117" i="40"/>
  <c r="M117" i="40"/>
  <c r="N117" i="40"/>
  <c r="O117" i="40"/>
  <c r="P117" i="40"/>
  <c r="Q117" i="40"/>
  <c r="R117" i="40"/>
  <c r="S117" i="40"/>
  <c r="T117" i="40"/>
  <c r="U117" i="40"/>
  <c r="V117" i="40"/>
  <c r="C117" i="40"/>
  <c r="C115" i="40"/>
  <c r="C116" i="40"/>
  <c r="C114" i="40"/>
  <c r="C144" i="28" l="1"/>
  <c r="D144" i="28"/>
  <c r="E144" i="28"/>
  <c r="F144" i="28"/>
  <c r="G144" i="28"/>
  <c r="H144" i="28"/>
  <c r="I144" i="28"/>
  <c r="J144" i="28"/>
  <c r="K144" i="28"/>
  <c r="L144" i="28"/>
  <c r="M144" i="28"/>
  <c r="N144" i="28"/>
  <c r="Q144" i="28"/>
  <c r="R144" i="28"/>
  <c r="S144" i="28"/>
  <c r="T144" i="28"/>
  <c r="U144" i="28"/>
  <c r="V144" i="28"/>
  <c r="C145" i="28"/>
  <c r="D145" i="28"/>
  <c r="E145" i="28"/>
  <c r="F145" i="28"/>
  <c r="G145" i="28"/>
  <c r="H145" i="28"/>
  <c r="I145" i="28"/>
  <c r="J145" i="28"/>
  <c r="K145" i="28"/>
  <c r="L145" i="28"/>
  <c r="M145" i="28"/>
  <c r="N145" i="28"/>
  <c r="Q145" i="28"/>
  <c r="R145" i="28"/>
  <c r="S145" i="28"/>
  <c r="T145" i="28"/>
  <c r="U145" i="28"/>
  <c r="V145" i="28"/>
  <c r="C147" i="28"/>
  <c r="D147" i="28"/>
  <c r="E147" i="28"/>
  <c r="F147" i="28"/>
  <c r="G147" i="28"/>
  <c r="H147" i="28"/>
  <c r="I147" i="28"/>
  <c r="J147" i="28"/>
  <c r="K147" i="28"/>
  <c r="L147" i="28"/>
  <c r="M147" i="28"/>
  <c r="N147" i="28"/>
  <c r="Q147" i="28"/>
  <c r="R147" i="28"/>
  <c r="S147" i="28"/>
  <c r="T147" i="28"/>
  <c r="U147" i="28"/>
  <c r="V147" i="28"/>
  <c r="D170" i="28" l="1"/>
  <c r="E170" i="28"/>
  <c r="F170" i="28"/>
  <c r="G170" i="28"/>
  <c r="H170" i="28"/>
  <c r="I170" i="28"/>
  <c r="J170" i="28"/>
  <c r="K170" i="28"/>
  <c r="L170" i="28"/>
  <c r="M170" i="28"/>
  <c r="N170" i="28"/>
  <c r="O170" i="28"/>
  <c r="P170" i="28"/>
  <c r="Q170" i="28"/>
  <c r="R170" i="28"/>
  <c r="S170" i="28"/>
  <c r="T170" i="28"/>
  <c r="U170" i="28"/>
  <c r="V170" i="28"/>
  <c r="C170" i="28"/>
  <c r="C167" i="28"/>
  <c r="D169" i="28"/>
  <c r="E169" i="28"/>
  <c r="F169" i="28"/>
  <c r="G169" i="28"/>
  <c r="H169" i="28"/>
  <c r="I169" i="28"/>
  <c r="J169" i="28"/>
  <c r="K169" i="28"/>
  <c r="L169" i="28"/>
  <c r="M169" i="28"/>
  <c r="N169" i="28"/>
  <c r="O169" i="28"/>
  <c r="P169" i="28"/>
  <c r="Q169" i="28"/>
  <c r="R169" i="28"/>
  <c r="S169" i="28"/>
  <c r="T169" i="28"/>
  <c r="U169" i="28"/>
  <c r="V169" i="28"/>
  <c r="C169" i="28"/>
  <c r="C65" i="47" l="1"/>
  <c r="C64" i="47" l="1"/>
  <c r="E19" i="43" l="1"/>
  <c r="G19" i="43"/>
  <c r="I19" i="43"/>
  <c r="K19" i="43"/>
  <c r="M19" i="43"/>
  <c r="O19" i="43"/>
  <c r="Q19" i="43"/>
  <c r="S19" i="43"/>
  <c r="U19" i="43"/>
  <c r="W19" i="43"/>
  <c r="Y19" i="43"/>
  <c r="AA19" i="43"/>
  <c r="AB19" i="43"/>
  <c r="AC19" i="43"/>
  <c r="AD19" i="43"/>
  <c r="AE19" i="43"/>
  <c r="AF19" i="43"/>
  <c r="AG19" i="43"/>
  <c r="AH19" i="43"/>
  <c r="C19" i="43"/>
  <c r="E18" i="43"/>
  <c r="G18" i="43"/>
  <c r="I18" i="43"/>
  <c r="K18" i="43"/>
  <c r="M18" i="43"/>
  <c r="O18" i="43"/>
  <c r="Q18" i="43"/>
  <c r="S18" i="43"/>
  <c r="U18" i="43"/>
  <c r="W18" i="43"/>
  <c r="Y18" i="43"/>
  <c r="AA18" i="43"/>
  <c r="AB18" i="43"/>
  <c r="AC18" i="43"/>
  <c r="AD18" i="43"/>
  <c r="AE18" i="43"/>
  <c r="AF18" i="43"/>
  <c r="AG18" i="43"/>
  <c r="AH18" i="43"/>
  <c r="C18" i="43"/>
  <c r="C128" i="33" l="1"/>
  <c r="AH101" i="39"/>
  <c r="D64" i="47" l="1"/>
  <c r="E64" i="47"/>
  <c r="F64" i="47"/>
  <c r="G64" i="47"/>
  <c r="H64" i="47"/>
  <c r="I64" i="47"/>
  <c r="J64" i="47"/>
  <c r="K64" i="47"/>
  <c r="L64" i="47"/>
  <c r="M64" i="47"/>
  <c r="N64" i="47"/>
  <c r="O64" i="47"/>
  <c r="P64" i="47"/>
  <c r="Q64" i="47"/>
  <c r="R64" i="47"/>
  <c r="S64" i="47"/>
  <c r="T64" i="47"/>
  <c r="U64" i="47"/>
  <c r="V64" i="47"/>
  <c r="D65" i="47"/>
  <c r="E65" i="47"/>
  <c r="F65" i="47"/>
  <c r="G65" i="47"/>
  <c r="H65" i="47"/>
  <c r="I65" i="47"/>
  <c r="J65" i="47"/>
  <c r="K65" i="47"/>
  <c r="L65" i="47"/>
  <c r="M65" i="47"/>
  <c r="N65" i="47"/>
  <c r="O65" i="47"/>
  <c r="P65" i="47"/>
  <c r="Q65" i="47"/>
  <c r="R65" i="47"/>
  <c r="S65" i="47"/>
  <c r="T65" i="47"/>
  <c r="U65" i="47"/>
  <c r="V65" i="47"/>
  <c r="D66" i="47"/>
  <c r="E66" i="47"/>
  <c r="F66" i="47"/>
  <c r="G66" i="47"/>
  <c r="H66" i="47"/>
  <c r="I66" i="47"/>
  <c r="J66" i="47"/>
  <c r="K66" i="47"/>
  <c r="L66" i="47"/>
  <c r="M66" i="47"/>
  <c r="N66" i="47"/>
  <c r="O66" i="47"/>
  <c r="P66" i="47"/>
  <c r="Q66" i="47"/>
  <c r="R66" i="47"/>
  <c r="S66" i="47"/>
  <c r="T66" i="47"/>
  <c r="U66" i="47"/>
  <c r="V66" i="47"/>
  <c r="D67" i="47"/>
  <c r="E67" i="47"/>
  <c r="F67" i="47"/>
  <c r="G67" i="47"/>
  <c r="H67" i="47"/>
  <c r="I67" i="47"/>
  <c r="J67" i="47"/>
  <c r="K67" i="47"/>
  <c r="L67" i="47"/>
  <c r="M67" i="47"/>
  <c r="N67" i="47"/>
  <c r="O67" i="47"/>
  <c r="P67" i="47"/>
  <c r="Q67" i="47"/>
  <c r="R67" i="47"/>
  <c r="S67" i="47"/>
  <c r="T67" i="47"/>
  <c r="U67" i="47"/>
  <c r="V67" i="47"/>
  <c r="D68" i="47"/>
  <c r="E68" i="47"/>
  <c r="F68" i="47"/>
  <c r="G68" i="47"/>
  <c r="H68" i="47"/>
  <c r="I68" i="47"/>
  <c r="J68" i="47"/>
  <c r="K68" i="47"/>
  <c r="L68" i="47"/>
  <c r="M68" i="47"/>
  <c r="N68" i="47"/>
  <c r="O68" i="47"/>
  <c r="P68" i="47"/>
  <c r="Q68" i="47"/>
  <c r="R68" i="47"/>
  <c r="S68" i="47"/>
  <c r="T68" i="47"/>
  <c r="U68" i="47"/>
  <c r="V68" i="47"/>
  <c r="D69" i="47"/>
  <c r="E69" i="47"/>
  <c r="F69" i="47"/>
  <c r="G69" i="47"/>
  <c r="H69" i="47"/>
  <c r="I69" i="47"/>
  <c r="J69" i="47"/>
  <c r="K69" i="47"/>
  <c r="L69" i="47"/>
  <c r="M69" i="47"/>
  <c r="N69" i="47"/>
  <c r="O69" i="47"/>
  <c r="P69" i="47"/>
  <c r="Q69" i="47"/>
  <c r="R69" i="47"/>
  <c r="S69" i="47"/>
  <c r="T69" i="47"/>
  <c r="U69" i="47"/>
  <c r="V69" i="47"/>
  <c r="C69" i="47"/>
  <c r="C68" i="47"/>
  <c r="C67" i="47"/>
  <c r="C66" i="47"/>
  <c r="D151" i="28"/>
  <c r="E151" i="28"/>
  <c r="F151" i="28"/>
  <c r="G151" i="28"/>
  <c r="H151" i="28"/>
  <c r="I151" i="28"/>
  <c r="J151" i="28"/>
  <c r="K151" i="28"/>
  <c r="L151" i="28"/>
  <c r="M151" i="28"/>
  <c r="N151" i="28"/>
  <c r="O151" i="28"/>
  <c r="P151" i="28"/>
  <c r="Q151" i="28"/>
  <c r="R151" i="28"/>
  <c r="S151" i="28"/>
  <c r="T151" i="28"/>
  <c r="U151" i="28"/>
  <c r="V151" i="28"/>
  <c r="D152" i="28"/>
  <c r="E152" i="28"/>
  <c r="F152" i="28"/>
  <c r="G152" i="28"/>
  <c r="H152" i="28"/>
  <c r="I152" i="28"/>
  <c r="J152" i="28"/>
  <c r="K152" i="28"/>
  <c r="L152" i="28"/>
  <c r="M152" i="28"/>
  <c r="N152" i="28"/>
  <c r="O152" i="28"/>
  <c r="P152" i="28"/>
  <c r="Q152" i="28"/>
  <c r="R152" i="28"/>
  <c r="S152" i="28"/>
  <c r="T152" i="28"/>
  <c r="U152" i="28"/>
  <c r="V152" i="28"/>
  <c r="D153" i="28"/>
  <c r="E153" i="28"/>
  <c r="F153" i="28"/>
  <c r="G153" i="28"/>
  <c r="H153" i="28"/>
  <c r="I153" i="28"/>
  <c r="J153" i="28"/>
  <c r="K153" i="28"/>
  <c r="L153" i="28"/>
  <c r="M153" i="28"/>
  <c r="N153" i="28"/>
  <c r="O153" i="28"/>
  <c r="P153" i="28"/>
  <c r="Q153" i="28"/>
  <c r="R153" i="28"/>
  <c r="S153" i="28"/>
  <c r="T153" i="28"/>
  <c r="U153" i="28"/>
  <c r="V153" i="28"/>
  <c r="D154" i="28"/>
  <c r="E154" i="28"/>
  <c r="F154" i="28"/>
  <c r="G154" i="28"/>
  <c r="H154" i="28"/>
  <c r="I154" i="28"/>
  <c r="J154" i="28"/>
  <c r="K154" i="28"/>
  <c r="L154" i="28"/>
  <c r="M154" i="28"/>
  <c r="N154" i="28"/>
  <c r="O154" i="28"/>
  <c r="P154" i="28"/>
  <c r="Q154" i="28"/>
  <c r="R154" i="28"/>
  <c r="S154" i="28"/>
  <c r="T154" i="28"/>
  <c r="U154" i="28"/>
  <c r="V154" i="28"/>
  <c r="D155" i="28"/>
  <c r="E155" i="28"/>
  <c r="F155" i="28"/>
  <c r="G155" i="28"/>
  <c r="H155" i="28"/>
  <c r="I155" i="28"/>
  <c r="J155" i="28"/>
  <c r="K155" i="28"/>
  <c r="L155" i="28"/>
  <c r="M155" i="28"/>
  <c r="N155" i="28"/>
  <c r="O155" i="28"/>
  <c r="P155" i="28"/>
  <c r="Q155" i="28"/>
  <c r="R155" i="28"/>
  <c r="S155" i="28"/>
  <c r="T155" i="28"/>
  <c r="U155" i="28"/>
  <c r="V155" i="28"/>
  <c r="D156" i="28"/>
  <c r="E156" i="28"/>
  <c r="F156" i="28"/>
  <c r="G156" i="28"/>
  <c r="H156" i="28"/>
  <c r="I156" i="28"/>
  <c r="J156" i="28"/>
  <c r="K156" i="28"/>
  <c r="L156" i="28"/>
  <c r="M156" i="28"/>
  <c r="N156" i="28"/>
  <c r="O156" i="28"/>
  <c r="P156" i="28"/>
  <c r="Q156" i="28"/>
  <c r="R156" i="28"/>
  <c r="S156" i="28"/>
  <c r="T156" i="28"/>
  <c r="U156" i="28"/>
  <c r="V156" i="28"/>
  <c r="D157" i="28"/>
  <c r="E157" i="28"/>
  <c r="F157" i="28"/>
  <c r="G157" i="28"/>
  <c r="H157" i="28"/>
  <c r="I157" i="28"/>
  <c r="J157" i="28"/>
  <c r="K157" i="28"/>
  <c r="L157" i="28"/>
  <c r="M157" i="28"/>
  <c r="N157" i="28"/>
  <c r="O157" i="28"/>
  <c r="P157" i="28"/>
  <c r="Q157" i="28"/>
  <c r="R157" i="28"/>
  <c r="S157" i="28"/>
  <c r="T157" i="28"/>
  <c r="U157" i="28"/>
  <c r="V157" i="28"/>
  <c r="D158" i="28"/>
  <c r="E158" i="28"/>
  <c r="F158" i="28"/>
  <c r="G158" i="28"/>
  <c r="H158" i="28"/>
  <c r="I158" i="28"/>
  <c r="J158" i="28"/>
  <c r="K158" i="28"/>
  <c r="L158" i="28"/>
  <c r="M158" i="28"/>
  <c r="N158" i="28"/>
  <c r="O158" i="28"/>
  <c r="P158" i="28"/>
  <c r="Q158" i="28"/>
  <c r="R158" i="28"/>
  <c r="S158" i="28"/>
  <c r="T158" i="28"/>
  <c r="U158" i="28"/>
  <c r="V158" i="28"/>
  <c r="C158" i="28"/>
  <c r="C157" i="28"/>
  <c r="C156" i="28"/>
  <c r="C155" i="28"/>
  <c r="C154" i="28"/>
  <c r="C153" i="28"/>
  <c r="C151" i="28"/>
  <c r="D160" i="28"/>
  <c r="G161" i="28"/>
  <c r="I160" i="28"/>
  <c r="N162" i="28"/>
  <c r="R160" i="28"/>
  <c r="T160" i="28"/>
  <c r="U164" i="28"/>
  <c r="E161" i="28"/>
  <c r="G160" i="28"/>
  <c r="I163" i="28"/>
  <c r="M162" i="28"/>
  <c r="S162" i="28"/>
  <c r="U162" i="28"/>
  <c r="C164" i="28"/>
  <c r="AE59" i="50" l="1"/>
  <c r="AE60" i="50"/>
  <c r="AA59" i="50"/>
  <c r="AA60" i="50"/>
  <c r="S59" i="50"/>
  <c r="S60" i="50"/>
  <c r="K59" i="50"/>
  <c r="K60" i="50"/>
  <c r="C59" i="50"/>
  <c r="AH60" i="50"/>
  <c r="AH59" i="50"/>
  <c r="AD60" i="50"/>
  <c r="AD59" i="50"/>
  <c r="Y60" i="50"/>
  <c r="Y59" i="50"/>
  <c r="Q60" i="50"/>
  <c r="Q59" i="50"/>
  <c r="I60" i="50"/>
  <c r="I59" i="50"/>
  <c r="AG60" i="50"/>
  <c r="AG59" i="50"/>
  <c r="AC60" i="50"/>
  <c r="AC59" i="50"/>
  <c r="W60" i="50"/>
  <c r="W59" i="50"/>
  <c r="O60" i="50"/>
  <c r="O59" i="50"/>
  <c r="G60" i="50"/>
  <c r="G59" i="50"/>
  <c r="AF60" i="50"/>
  <c r="AF59" i="50"/>
  <c r="AB60" i="50"/>
  <c r="AB59" i="50"/>
  <c r="U60" i="50"/>
  <c r="U59" i="50"/>
  <c r="M60" i="50"/>
  <c r="M59" i="50"/>
  <c r="E60" i="50"/>
  <c r="E59" i="50"/>
  <c r="AD61" i="50"/>
  <c r="AD64" i="50"/>
  <c r="AD65" i="50"/>
  <c r="AD62" i="50"/>
  <c r="I61" i="50"/>
  <c r="I64" i="50"/>
  <c r="I62" i="50"/>
  <c r="I65" i="50"/>
  <c r="AC65" i="50"/>
  <c r="AC62" i="50"/>
  <c r="AC61" i="50"/>
  <c r="AC64" i="50"/>
  <c r="O65" i="50"/>
  <c r="O62" i="50"/>
  <c r="O61" i="50"/>
  <c r="O64" i="50"/>
  <c r="AF64" i="50"/>
  <c r="AF61" i="50"/>
  <c r="AF65" i="50"/>
  <c r="AF62" i="50"/>
  <c r="AB64" i="50"/>
  <c r="AB62" i="50"/>
  <c r="AB61" i="50"/>
  <c r="AB65" i="50"/>
  <c r="U64" i="50"/>
  <c r="U61" i="50"/>
  <c r="U65" i="50"/>
  <c r="U62" i="50"/>
  <c r="M64" i="50"/>
  <c r="M62" i="50"/>
  <c r="M61" i="50"/>
  <c r="M65" i="50"/>
  <c r="E64" i="50"/>
  <c r="E61" i="50"/>
  <c r="E62" i="50"/>
  <c r="E65" i="50"/>
  <c r="AH61" i="50"/>
  <c r="AH62" i="50"/>
  <c r="AH65" i="50"/>
  <c r="AH64" i="50"/>
  <c r="Y61" i="50"/>
  <c r="Y64" i="50"/>
  <c r="Y62" i="50"/>
  <c r="Y65" i="50"/>
  <c r="Q61" i="50"/>
  <c r="Q64" i="50"/>
  <c r="Q65" i="50"/>
  <c r="Q62" i="50"/>
  <c r="AG65" i="50"/>
  <c r="AG64" i="50"/>
  <c r="AG62" i="50"/>
  <c r="AG61" i="50"/>
  <c r="W65" i="50"/>
  <c r="W64" i="50"/>
  <c r="W62" i="50"/>
  <c r="W61" i="50"/>
  <c r="G65" i="50"/>
  <c r="G64" i="50"/>
  <c r="G62" i="50"/>
  <c r="G61" i="50"/>
  <c r="AE62" i="50"/>
  <c r="AE64" i="50"/>
  <c r="AE61" i="50"/>
  <c r="AE65" i="50"/>
  <c r="AA62" i="50"/>
  <c r="AA65" i="50"/>
  <c r="AA61" i="50"/>
  <c r="AA64" i="50"/>
  <c r="S62" i="50"/>
  <c r="S61" i="50"/>
  <c r="S65" i="50"/>
  <c r="S64" i="50"/>
  <c r="K62" i="50"/>
  <c r="K65" i="50"/>
  <c r="K61" i="50"/>
  <c r="K64" i="50"/>
  <c r="C61" i="50"/>
  <c r="C65" i="50"/>
  <c r="C64" i="50"/>
  <c r="C62" i="50"/>
  <c r="C163" i="28"/>
  <c r="R167" i="28"/>
  <c r="E167" i="28"/>
  <c r="T165" i="28"/>
  <c r="E165" i="28"/>
  <c r="S163" i="28"/>
  <c r="E163" i="28"/>
  <c r="G162" i="28"/>
  <c r="R161" i="28"/>
  <c r="P166" i="28"/>
  <c r="H163" i="28"/>
  <c r="D165" i="28"/>
  <c r="S160" i="28"/>
  <c r="K162" i="28"/>
  <c r="U167" i="28"/>
  <c r="K167" i="28"/>
  <c r="D167" i="28"/>
  <c r="S165" i="28"/>
  <c r="K163" i="28"/>
  <c r="T162" i="28"/>
  <c r="D162" i="28"/>
  <c r="N161" i="28"/>
  <c r="C161" i="28"/>
  <c r="C160" i="28"/>
  <c r="O164" i="28"/>
  <c r="K161" i="28"/>
  <c r="C165" i="28"/>
  <c r="T167" i="28"/>
  <c r="I167" i="28"/>
  <c r="G166" i="28"/>
  <c r="M165" i="28"/>
  <c r="I164" i="28"/>
  <c r="T161" i="28"/>
  <c r="M161" i="28"/>
  <c r="R162" i="28"/>
  <c r="N163" i="28"/>
  <c r="J162" i="28"/>
  <c r="F160" i="28"/>
  <c r="U166" i="28"/>
  <c r="M163" i="28"/>
  <c r="I162" i="28"/>
  <c r="E160" i="28"/>
  <c r="C162" i="28"/>
  <c r="C166" i="28"/>
  <c r="S167" i="28"/>
  <c r="G167" i="28"/>
  <c r="U165" i="28"/>
  <c r="G165" i="28"/>
  <c r="G164" i="28"/>
  <c r="G163" i="28"/>
  <c r="S161" i="28"/>
  <c r="V161" i="28"/>
  <c r="U163" i="28"/>
  <c r="U161" i="28"/>
  <c r="U160" i="28"/>
  <c r="Q160" i="28"/>
  <c r="P160" i="28"/>
  <c r="O163" i="28"/>
  <c r="O161" i="28"/>
  <c r="O160" i="28"/>
  <c r="N164" i="28"/>
  <c r="N160" i="28"/>
  <c r="N166" i="28"/>
  <c r="N167" i="28"/>
  <c r="N165" i="28"/>
  <c r="M167" i="28"/>
  <c r="M160" i="28"/>
  <c r="L161" i="28"/>
  <c r="K164" i="28"/>
  <c r="K160" i="28"/>
  <c r="K165" i="28"/>
  <c r="J164" i="28"/>
  <c r="J160" i="28"/>
  <c r="J166" i="28"/>
  <c r="J165" i="28"/>
  <c r="J161" i="28"/>
  <c r="J163" i="28"/>
  <c r="J167" i="28"/>
  <c r="H166" i="28"/>
  <c r="H167" i="28"/>
  <c r="H165" i="28"/>
  <c r="H162" i="28"/>
  <c r="H161" i="28"/>
  <c r="H164" i="28"/>
  <c r="H160" i="28"/>
  <c r="F162" i="28"/>
  <c r="F165" i="28"/>
  <c r="F163" i="28"/>
  <c r="F161" i="28"/>
  <c r="F167" i="28"/>
  <c r="F166" i="28"/>
  <c r="F164" i="28"/>
  <c r="D164" i="28"/>
  <c r="D163" i="28"/>
  <c r="D161" i="28"/>
  <c r="D166" i="28"/>
  <c r="V166" i="28"/>
  <c r="V165" i="28"/>
  <c r="V160" i="28"/>
  <c r="V163" i="28"/>
  <c r="V167" i="28"/>
  <c r="V164" i="28"/>
  <c r="V162" i="28"/>
  <c r="T164" i="28"/>
  <c r="T163" i="28"/>
  <c r="T166" i="28"/>
  <c r="S166" i="28"/>
  <c r="S164" i="28"/>
  <c r="R166" i="28"/>
  <c r="R165" i="28"/>
  <c r="R163" i="28"/>
  <c r="R164" i="28"/>
  <c r="Q163" i="28"/>
  <c r="Q165" i="28"/>
  <c r="Q162" i="28"/>
  <c r="Q167" i="28"/>
  <c r="Q166" i="28"/>
  <c r="Q164" i="28"/>
  <c r="Q161" i="28"/>
  <c r="P162" i="28"/>
  <c r="P167" i="28"/>
  <c r="P161" i="28"/>
  <c r="P165" i="28"/>
  <c r="P164" i="28"/>
  <c r="P163" i="28"/>
  <c r="O167" i="28"/>
  <c r="O165" i="28"/>
  <c r="O166" i="28"/>
  <c r="O162" i="28"/>
  <c r="M166" i="28"/>
  <c r="M164" i="28"/>
  <c r="L166" i="28"/>
  <c r="L165" i="28"/>
  <c r="L163" i="28"/>
  <c r="L167" i="28"/>
  <c r="L160" i="28"/>
  <c r="L164" i="28"/>
  <c r="L162" i="28"/>
  <c r="K166" i="28"/>
  <c r="I166" i="28"/>
  <c r="I161" i="28"/>
  <c r="I165" i="28"/>
  <c r="E166" i="28"/>
  <c r="E162" i="28"/>
  <c r="E164" i="28"/>
  <c r="V130" i="34"/>
  <c r="U130" i="34"/>
  <c r="T130" i="34"/>
  <c r="S130" i="34"/>
  <c r="R130" i="34"/>
  <c r="Q130" i="34"/>
  <c r="P130" i="34"/>
  <c r="O130" i="34"/>
  <c r="N130" i="34"/>
  <c r="M130" i="34"/>
  <c r="L130" i="34"/>
  <c r="K130" i="34"/>
  <c r="J130" i="34"/>
  <c r="I130" i="34"/>
  <c r="H130" i="34"/>
  <c r="G130" i="34"/>
  <c r="F130" i="34"/>
  <c r="E130" i="34"/>
  <c r="D130" i="34"/>
  <c r="C130" i="34"/>
  <c r="V129" i="34"/>
  <c r="U129" i="34"/>
  <c r="T129" i="34"/>
  <c r="S129" i="34"/>
  <c r="R129" i="34"/>
  <c r="Q129" i="34"/>
  <c r="P129" i="34"/>
  <c r="O129" i="34"/>
  <c r="N129" i="34"/>
  <c r="M129" i="34"/>
  <c r="L129" i="34"/>
  <c r="K129" i="34"/>
  <c r="J129" i="34"/>
  <c r="I129" i="34"/>
  <c r="H129" i="34"/>
  <c r="G129" i="34"/>
  <c r="F129" i="34"/>
  <c r="E129" i="34"/>
  <c r="D129" i="34"/>
  <c r="C129" i="34"/>
  <c r="V128" i="34"/>
  <c r="U128" i="34"/>
  <c r="T128" i="34"/>
  <c r="S128" i="34"/>
  <c r="R128" i="34"/>
  <c r="Q128" i="34"/>
  <c r="P128" i="34"/>
  <c r="O128" i="34"/>
  <c r="N128" i="34"/>
  <c r="M128" i="34"/>
  <c r="L128" i="34"/>
  <c r="K128" i="34"/>
  <c r="J128" i="34"/>
  <c r="I128" i="34"/>
  <c r="H128" i="34"/>
  <c r="G128" i="34"/>
  <c r="F128" i="34"/>
  <c r="E128" i="34"/>
  <c r="D128" i="34"/>
  <c r="C128" i="34"/>
  <c r="V127" i="34"/>
  <c r="U127" i="34"/>
  <c r="T127" i="34"/>
  <c r="S127" i="34"/>
  <c r="R127" i="34"/>
  <c r="Q127" i="34"/>
  <c r="P127" i="34"/>
  <c r="O127" i="34"/>
  <c r="N127" i="34"/>
  <c r="M127" i="34"/>
  <c r="L127" i="34"/>
  <c r="K127" i="34"/>
  <c r="J127" i="34"/>
  <c r="I127" i="34"/>
  <c r="H127" i="34"/>
  <c r="G127" i="34"/>
  <c r="F127" i="34"/>
  <c r="E127" i="34"/>
  <c r="D127" i="34"/>
  <c r="C127" i="34"/>
  <c r="V126" i="34"/>
  <c r="U126" i="34"/>
  <c r="T126" i="34"/>
  <c r="S126" i="34"/>
  <c r="R126" i="34"/>
  <c r="Q126" i="34"/>
  <c r="P126" i="34"/>
  <c r="O126" i="34"/>
  <c r="N126" i="34"/>
  <c r="M126" i="34"/>
  <c r="L126" i="34"/>
  <c r="K126" i="34"/>
  <c r="J126" i="34"/>
  <c r="I126" i="34"/>
  <c r="H126" i="34"/>
  <c r="G126" i="34"/>
  <c r="F126" i="34"/>
  <c r="E126" i="34"/>
  <c r="D126" i="34"/>
  <c r="C126" i="34"/>
  <c r="V125" i="34"/>
  <c r="U125" i="34"/>
  <c r="T125" i="34"/>
  <c r="S125" i="34"/>
  <c r="R125" i="34"/>
  <c r="Q125" i="34"/>
  <c r="P125" i="34"/>
  <c r="O125" i="34"/>
  <c r="N125" i="34"/>
  <c r="M125" i="34"/>
  <c r="L125" i="34"/>
  <c r="K125" i="34"/>
  <c r="J125" i="34"/>
  <c r="I125" i="34"/>
  <c r="H125" i="34"/>
  <c r="G125" i="34"/>
  <c r="F125" i="34"/>
  <c r="E125" i="34"/>
  <c r="D125" i="34"/>
  <c r="C125" i="34"/>
  <c r="D123" i="33"/>
  <c r="E123" i="33"/>
  <c r="F123" i="33"/>
  <c r="G123" i="33"/>
  <c r="H123" i="33"/>
  <c r="I123" i="33"/>
  <c r="J123" i="33"/>
  <c r="K123" i="33"/>
  <c r="L123" i="33"/>
  <c r="M123" i="33"/>
  <c r="N123" i="33"/>
  <c r="O123" i="33"/>
  <c r="P123" i="33"/>
  <c r="Q123" i="33"/>
  <c r="R123" i="33"/>
  <c r="S123" i="33"/>
  <c r="T123" i="33"/>
  <c r="U123" i="33"/>
  <c r="V123" i="33"/>
  <c r="D124" i="33"/>
  <c r="E124" i="33"/>
  <c r="F124" i="33"/>
  <c r="G124" i="33"/>
  <c r="H124" i="33"/>
  <c r="I124" i="33"/>
  <c r="J124" i="33"/>
  <c r="K124" i="33"/>
  <c r="L124" i="33"/>
  <c r="M124" i="33"/>
  <c r="N124" i="33"/>
  <c r="O124" i="33"/>
  <c r="P124" i="33"/>
  <c r="Q124" i="33"/>
  <c r="R124" i="33"/>
  <c r="S124" i="33"/>
  <c r="T124" i="33"/>
  <c r="U124" i="33"/>
  <c r="V124" i="33"/>
  <c r="D125" i="33"/>
  <c r="E125" i="33"/>
  <c r="F125" i="33"/>
  <c r="G125" i="33"/>
  <c r="H125" i="33"/>
  <c r="I125" i="33"/>
  <c r="J125" i="33"/>
  <c r="K125" i="33"/>
  <c r="L125" i="33"/>
  <c r="M125" i="33"/>
  <c r="N125" i="33"/>
  <c r="O125" i="33"/>
  <c r="P125" i="33"/>
  <c r="Q125" i="33"/>
  <c r="R125" i="33"/>
  <c r="S125" i="33"/>
  <c r="T125" i="33"/>
  <c r="U125" i="33"/>
  <c r="V125" i="33"/>
  <c r="D126" i="33"/>
  <c r="E126" i="33"/>
  <c r="F126" i="33"/>
  <c r="G126" i="33"/>
  <c r="H126" i="33"/>
  <c r="I126" i="33"/>
  <c r="J126" i="33"/>
  <c r="K126" i="33"/>
  <c r="L126" i="33"/>
  <c r="M126" i="33"/>
  <c r="N126" i="33"/>
  <c r="O126" i="33"/>
  <c r="P126" i="33"/>
  <c r="Q126" i="33"/>
  <c r="R126" i="33"/>
  <c r="S126" i="33"/>
  <c r="T126" i="33"/>
  <c r="U126" i="33"/>
  <c r="V126" i="33"/>
  <c r="D127" i="33"/>
  <c r="E127" i="33"/>
  <c r="F127" i="33"/>
  <c r="G127" i="33"/>
  <c r="H127" i="33"/>
  <c r="I127" i="33"/>
  <c r="J127" i="33"/>
  <c r="K127" i="33"/>
  <c r="L127" i="33"/>
  <c r="M127" i="33"/>
  <c r="N127" i="33"/>
  <c r="O127" i="33"/>
  <c r="P127" i="33"/>
  <c r="Q127" i="33"/>
  <c r="R127" i="33"/>
  <c r="S127" i="33"/>
  <c r="T127" i="33"/>
  <c r="U127" i="33"/>
  <c r="V127" i="33"/>
  <c r="D128" i="33"/>
  <c r="E128" i="33"/>
  <c r="F128" i="33"/>
  <c r="G128" i="33"/>
  <c r="H128" i="33"/>
  <c r="I128" i="33"/>
  <c r="J128" i="33"/>
  <c r="K128" i="33"/>
  <c r="L128" i="33"/>
  <c r="M128" i="33"/>
  <c r="N128" i="33"/>
  <c r="O128" i="33"/>
  <c r="P128" i="33"/>
  <c r="Q128" i="33"/>
  <c r="R128" i="33"/>
  <c r="S128" i="33"/>
  <c r="T128" i="33"/>
  <c r="U128" i="33"/>
  <c r="V128" i="33"/>
  <c r="C127" i="33"/>
  <c r="C125" i="33"/>
  <c r="C126" i="33"/>
  <c r="C123" i="33"/>
  <c r="D118" i="61" l="1"/>
  <c r="E118" i="61"/>
  <c r="F118" i="61"/>
  <c r="G118" i="61"/>
  <c r="H118" i="61"/>
  <c r="I118" i="61"/>
  <c r="J118" i="61"/>
  <c r="K118" i="61"/>
  <c r="L118" i="61"/>
  <c r="M118" i="61"/>
  <c r="N118" i="61"/>
  <c r="O118" i="61"/>
  <c r="P118" i="61"/>
  <c r="Q118" i="61"/>
  <c r="R118" i="61"/>
  <c r="S118" i="61"/>
  <c r="T118" i="61"/>
  <c r="U118" i="61"/>
  <c r="V118" i="61"/>
  <c r="W118" i="61"/>
  <c r="X118" i="61"/>
  <c r="D119" i="61"/>
  <c r="E119" i="61"/>
  <c r="F119" i="61"/>
  <c r="G119" i="61"/>
  <c r="H119" i="61"/>
  <c r="I119" i="61"/>
  <c r="J119" i="61"/>
  <c r="K119" i="61"/>
  <c r="L119" i="61"/>
  <c r="M119" i="61"/>
  <c r="N119" i="61"/>
  <c r="O119" i="61"/>
  <c r="P119" i="61"/>
  <c r="Q119" i="61"/>
  <c r="R119" i="61"/>
  <c r="S119" i="61"/>
  <c r="T119" i="61"/>
  <c r="U119" i="61"/>
  <c r="V119" i="61"/>
  <c r="W119" i="61"/>
  <c r="X119" i="61"/>
  <c r="D120" i="61"/>
  <c r="E120" i="61"/>
  <c r="F120" i="61"/>
  <c r="G120" i="61"/>
  <c r="H120" i="61"/>
  <c r="I120" i="61"/>
  <c r="J120" i="61"/>
  <c r="K120" i="61"/>
  <c r="L120" i="61"/>
  <c r="M120" i="61"/>
  <c r="N120" i="61"/>
  <c r="O120" i="61"/>
  <c r="P120" i="61"/>
  <c r="Q120" i="61"/>
  <c r="R120" i="61"/>
  <c r="S120" i="61"/>
  <c r="T120" i="61"/>
  <c r="U120" i="61"/>
  <c r="V120" i="61"/>
  <c r="W120" i="61"/>
  <c r="X120" i="61"/>
  <c r="D121" i="61"/>
  <c r="E121" i="61"/>
  <c r="F121" i="61"/>
  <c r="G121" i="61"/>
  <c r="H121" i="61"/>
  <c r="I121" i="61"/>
  <c r="J121" i="61"/>
  <c r="K121" i="61"/>
  <c r="L121" i="61"/>
  <c r="M121" i="61"/>
  <c r="N121" i="61"/>
  <c r="O121" i="61"/>
  <c r="P121" i="61"/>
  <c r="Q121" i="61"/>
  <c r="R121" i="61"/>
  <c r="S121" i="61"/>
  <c r="T121" i="61"/>
  <c r="U121" i="61"/>
  <c r="V121" i="61"/>
  <c r="W121" i="61"/>
  <c r="X121" i="61"/>
  <c r="D122" i="61"/>
  <c r="E122" i="61"/>
  <c r="F122" i="61"/>
  <c r="G122" i="61"/>
  <c r="H122" i="61"/>
  <c r="I122" i="61"/>
  <c r="J122" i="61"/>
  <c r="K122" i="61"/>
  <c r="L122" i="61"/>
  <c r="M122" i="61"/>
  <c r="N122" i="61"/>
  <c r="O122" i="61"/>
  <c r="P122" i="61"/>
  <c r="Q122" i="61"/>
  <c r="R122" i="61"/>
  <c r="S122" i="61"/>
  <c r="T122" i="61"/>
  <c r="U122" i="61"/>
  <c r="V122" i="61"/>
  <c r="W122" i="61"/>
  <c r="X122" i="61"/>
  <c r="D123" i="61"/>
  <c r="E123" i="61"/>
  <c r="F123" i="61"/>
  <c r="G123" i="61"/>
  <c r="H123" i="61"/>
  <c r="I123" i="61"/>
  <c r="J123" i="61"/>
  <c r="K123" i="61"/>
  <c r="L123" i="61"/>
  <c r="M123" i="61"/>
  <c r="N123" i="61"/>
  <c r="O123" i="61"/>
  <c r="P123" i="61"/>
  <c r="Q123" i="61"/>
  <c r="R123" i="61"/>
  <c r="S123" i="61"/>
  <c r="T123" i="61"/>
  <c r="U123" i="61"/>
  <c r="V123" i="61"/>
  <c r="W123" i="61"/>
  <c r="X123" i="61"/>
  <c r="D124" i="61"/>
  <c r="E124" i="61"/>
  <c r="F124" i="61"/>
  <c r="G124" i="61"/>
  <c r="H124" i="61"/>
  <c r="I124" i="61"/>
  <c r="J124" i="61"/>
  <c r="K124" i="61"/>
  <c r="L124" i="61"/>
  <c r="M124" i="61"/>
  <c r="N124" i="61"/>
  <c r="O124" i="61"/>
  <c r="P124" i="61"/>
  <c r="Q124" i="61"/>
  <c r="R124" i="61"/>
  <c r="S124" i="61"/>
  <c r="T124" i="61"/>
  <c r="U124" i="61"/>
  <c r="V124" i="61"/>
  <c r="W124" i="61"/>
  <c r="X124" i="61"/>
  <c r="D125" i="61"/>
  <c r="E125" i="61"/>
  <c r="F125" i="61"/>
  <c r="G125" i="61"/>
  <c r="H125" i="61"/>
  <c r="I125" i="61"/>
  <c r="J125" i="61"/>
  <c r="K125" i="61"/>
  <c r="L125" i="61"/>
  <c r="M125" i="61"/>
  <c r="N125" i="61"/>
  <c r="O125" i="61"/>
  <c r="P125" i="61"/>
  <c r="Q125" i="61"/>
  <c r="R125" i="61"/>
  <c r="S125" i="61"/>
  <c r="T125" i="61"/>
  <c r="U125" i="61"/>
  <c r="V125" i="61"/>
  <c r="W125" i="61"/>
  <c r="X125" i="61"/>
  <c r="D28" i="58" l="1"/>
  <c r="E28" i="58"/>
  <c r="F28" i="58"/>
  <c r="G28" i="58"/>
  <c r="H28" i="58"/>
  <c r="I28" i="58"/>
  <c r="J28" i="58"/>
  <c r="K28" i="58"/>
  <c r="L28" i="58"/>
  <c r="M28" i="58"/>
  <c r="N28" i="58"/>
  <c r="O28" i="58"/>
  <c r="P28" i="58"/>
  <c r="Q28" i="58"/>
  <c r="R28" i="58"/>
  <c r="S28" i="58"/>
  <c r="T28" i="58"/>
  <c r="U28" i="58"/>
  <c r="V28" i="58"/>
  <c r="W28" i="58"/>
  <c r="X28" i="58"/>
  <c r="C28" i="58"/>
  <c r="D5" i="58"/>
  <c r="E5" i="58"/>
  <c r="F5" i="58"/>
  <c r="G5" i="58"/>
  <c r="H5" i="58"/>
  <c r="I5" i="58"/>
  <c r="J5" i="58"/>
  <c r="K5" i="58"/>
  <c r="L5" i="58"/>
  <c r="M5" i="58"/>
  <c r="N5" i="58"/>
  <c r="O5" i="58"/>
  <c r="P5" i="58"/>
  <c r="Q5" i="58"/>
  <c r="R5" i="58"/>
  <c r="S5" i="58"/>
  <c r="T5" i="58"/>
  <c r="U5" i="58"/>
  <c r="V5" i="58"/>
  <c r="W5" i="58"/>
  <c r="X5" i="58"/>
  <c r="D6" i="58"/>
  <c r="E6" i="58"/>
  <c r="F6" i="58"/>
  <c r="G6" i="58"/>
  <c r="H6" i="58"/>
  <c r="I6" i="58"/>
  <c r="J6" i="58"/>
  <c r="K6" i="58"/>
  <c r="L6" i="58"/>
  <c r="M6" i="58"/>
  <c r="N6" i="58"/>
  <c r="O6" i="58"/>
  <c r="P6" i="58"/>
  <c r="Q6" i="58"/>
  <c r="R6" i="58"/>
  <c r="S6" i="58"/>
  <c r="T6" i="58"/>
  <c r="U6" i="58"/>
  <c r="V6" i="58"/>
  <c r="W6" i="58"/>
  <c r="X6" i="58"/>
  <c r="D7" i="58"/>
  <c r="E7" i="58"/>
  <c r="F7" i="58"/>
  <c r="G7" i="58"/>
  <c r="H7" i="58"/>
  <c r="I7" i="58"/>
  <c r="J7" i="58"/>
  <c r="K7" i="58"/>
  <c r="L7" i="58"/>
  <c r="M7" i="58"/>
  <c r="N7" i="58"/>
  <c r="O7" i="58"/>
  <c r="P7" i="58"/>
  <c r="Q7" i="58"/>
  <c r="R7" i="58"/>
  <c r="S7" i="58"/>
  <c r="T7" i="58"/>
  <c r="U7" i="58"/>
  <c r="V7" i="58"/>
  <c r="W7" i="58"/>
  <c r="X7" i="58"/>
  <c r="D8" i="58"/>
  <c r="E8" i="58"/>
  <c r="F8" i="58"/>
  <c r="G8" i="58"/>
  <c r="H8" i="58"/>
  <c r="I8" i="58"/>
  <c r="J8" i="58"/>
  <c r="K8" i="58"/>
  <c r="L8" i="58"/>
  <c r="M8" i="58"/>
  <c r="N8" i="58"/>
  <c r="O8" i="58"/>
  <c r="P8" i="58"/>
  <c r="Q8" i="58"/>
  <c r="R8" i="58"/>
  <c r="S8" i="58"/>
  <c r="T8" i="58"/>
  <c r="U8" i="58"/>
  <c r="V8" i="58"/>
  <c r="W8" i="58"/>
  <c r="X8" i="58"/>
  <c r="D9" i="58"/>
  <c r="E9" i="58"/>
  <c r="F9" i="58"/>
  <c r="G9" i="58"/>
  <c r="H9" i="58"/>
  <c r="I9" i="58"/>
  <c r="J9" i="58"/>
  <c r="K9" i="58"/>
  <c r="L9" i="58"/>
  <c r="M9" i="58"/>
  <c r="N9" i="58"/>
  <c r="O9" i="58"/>
  <c r="P9" i="58"/>
  <c r="Q9" i="58"/>
  <c r="R9" i="58"/>
  <c r="S9" i="58"/>
  <c r="T9" i="58"/>
  <c r="U9" i="58"/>
  <c r="V9" i="58"/>
  <c r="W9" i="58"/>
  <c r="X9" i="58"/>
  <c r="D10" i="58"/>
  <c r="E10" i="58"/>
  <c r="F10" i="58"/>
  <c r="G10" i="58"/>
  <c r="H10" i="58"/>
  <c r="I10" i="58"/>
  <c r="J10" i="58"/>
  <c r="K10" i="58"/>
  <c r="L10" i="58"/>
  <c r="M10" i="58"/>
  <c r="N10" i="58"/>
  <c r="O10" i="58"/>
  <c r="P10" i="58"/>
  <c r="Q10" i="58"/>
  <c r="R10" i="58"/>
  <c r="S10" i="58"/>
  <c r="T10" i="58"/>
  <c r="U10" i="58"/>
  <c r="V10" i="58"/>
  <c r="W10" i="58"/>
  <c r="X10" i="58"/>
  <c r="D11" i="58"/>
  <c r="E11" i="58"/>
  <c r="F11" i="58"/>
  <c r="G11" i="58"/>
  <c r="H11" i="58"/>
  <c r="I11" i="58"/>
  <c r="J11" i="58"/>
  <c r="K11" i="58"/>
  <c r="L11" i="58"/>
  <c r="M11" i="58"/>
  <c r="N11" i="58"/>
  <c r="O11" i="58"/>
  <c r="P11" i="58"/>
  <c r="Q11" i="58"/>
  <c r="R11" i="58"/>
  <c r="S11" i="58"/>
  <c r="T11" i="58"/>
  <c r="U11" i="58"/>
  <c r="V11" i="58"/>
  <c r="W11" i="58"/>
  <c r="X11" i="58"/>
  <c r="D12" i="58"/>
  <c r="E12" i="58"/>
  <c r="F12" i="58"/>
  <c r="G12" i="58"/>
  <c r="H12" i="58"/>
  <c r="I12" i="58"/>
  <c r="J12" i="58"/>
  <c r="K12" i="58"/>
  <c r="L12" i="58"/>
  <c r="M12" i="58"/>
  <c r="N12" i="58"/>
  <c r="O12" i="58"/>
  <c r="P12" i="58"/>
  <c r="Q12" i="58"/>
  <c r="R12" i="58"/>
  <c r="S12" i="58"/>
  <c r="T12" i="58"/>
  <c r="U12" i="58"/>
  <c r="V12" i="58"/>
  <c r="W12" i="58"/>
  <c r="X12" i="58"/>
  <c r="D13" i="58"/>
  <c r="E13" i="58"/>
  <c r="F13" i="58"/>
  <c r="G13" i="58"/>
  <c r="H13" i="58"/>
  <c r="I13" i="58"/>
  <c r="J13" i="58"/>
  <c r="K13" i="58"/>
  <c r="L13" i="58"/>
  <c r="M13" i="58"/>
  <c r="N13" i="58"/>
  <c r="O13" i="58"/>
  <c r="P13" i="58"/>
  <c r="Q13" i="58"/>
  <c r="R13" i="58"/>
  <c r="S13" i="58"/>
  <c r="T13" i="58"/>
  <c r="U13" i="58"/>
  <c r="V13" i="58"/>
  <c r="W13" i="58"/>
  <c r="X13" i="58"/>
  <c r="D14" i="58"/>
  <c r="E14" i="58"/>
  <c r="F14" i="58"/>
  <c r="G14" i="58"/>
  <c r="H14" i="58"/>
  <c r="I14" i="58"/>
  <c r="J14" i="58"/>
  <c r="K14" i="58"/>
  <c r="L14" i="58"/>
  <c r="M14" i="58"/>
  <c r="N14" i="58"/>
  <c r="O14" i="58"/>
  <c r="P14" i="58"/>
  <c r="Q14" i="58"/>
  <c r="R14" i="58"/>
  <c r="S14" i="58"/>
  <c r="T14" i="58"/>
  <c r="U14" i="58"/>
  <c r="V14" i="58"/>
  <c r="W14" i="58"/>
  <c r="X14" i="58"/>
  <c r="D15" i="58"/>
  <c r="E15" i="58"/>
  <c r="F15" i="58"/>
  <c r="G15" i="58"/>
  <c r="H15" i="58"/>
  <c r="I15" i="58"/>
  <c r="J15" i="58"/>
  <c r="K15" i="58"/>
  <c r="L15" i="58"/>
  <c r="M15" i="58"/>
  <c r="N15" i="58"/>
  <c r="O15" i="58"/>
  <c r="P15" i="58"/>
  <c r="Q15" i="58"/>
  <c r="R15" i="58"/>
  <c r="S15" i="58"/>
  <c r="T15" i="58"/>
  <c r="U15" i="58"/>
  <c r="V15" i="58"/>
  <c r="W15" i="58"/>
  <c r="X15" i="58"/>
  <c r="D16" i="58"/>
  <c r="E16" i="58"/>
  <c r="F16" i="58"/>
  <c r="G16" i="58"/>
  <c r="H16" i="58"/>
  <c r="I16" i="58"/>
  <c r="J16" i="58"/>
  <c r="K16" i="58"/>
  <c r="L16" i="58"/>
  <c r="M16" i="58"/>
  <c r="N16" i="58"/>
  <c r="O16" i="58"/>
  <c r="P16" i="58"/>
  <c r="Q16" i="58"/>
  <c r="R16" i="58"/>
  <c r="S16" i="58"/>
  <c r="T16" i="58"/>
  <c r="U16" i="58"/>
  <c r="V16" i="58"/>
  <c r="W16" i="58"/>
  <c r="X16" i="58"/>
  <c r="D17" i="58"/>
  <c r="E17" i="58"/>
  <c r="F17" i="58"/>
  <c r="G17" i="58"/>
  <c r="H17" i="58"/>
  <c r="I17" i="58"/>
  <c r="J17" i="58"/>
  <c r="K17" i="58"/>
  <c r="L17" i="58"/>
  <c r="M17" i="58"/>
  <c r="N17" i="58"/>
  <c r="O17" i="58"/>
  <c r="P17" i="58"/>
  <c r="Q17" i="58"/>
  <c r="R17" i="58"/>
  <c r="S17" i="58"/>
  <c r="T17" i="58"/>
  <c r="U17" i="58"/>
  <c r="V17" i="58"/>
  <c r="W17" i="58"/>
  <c r="X17" i="58"/>
  <c r="D18" i="58"/>
  <c r="E18" i="58"/>
  <c r="F18" i="58"/>
  <c r="G18" i="58"/>
  <c r="H18" i="58"/>
  <c r="I18" i="58"/>
  <c r="J18" i="58"/>
  <c r="K18" i="58"/>
  <c r="L18" i="58"/>
  <c r="M18" i="58"/>
  <c r="N18" i="58"/>
  <c r="O18" i="58"/>
  <c r="P18" i="58"/>
  <c r="Q18" i="58"/>
  <c r="R18" i="58"/>
  <c r="S18" i="58"/>
  <c r="T18" i="58"/>
  <c r="U18" i="58"/>
  <c r="V18" i="58"/>
  <c r="W18" i="58"/>
  <c r="X18" i="58"/>
  <c r="D19" i="58"/>
  <c r="E19" i="58"/>
  <c r="F19" i="58"/>
  <c r="G19" i="58"/>
  <c r="H19" i="58"/>
  <c r="I19" i="58"/>
  <c r="J19" i="58"/>
  <c r="K19" i="58"/>
  <c r="L19" i="58"/>
  <c r="M19" i="58"/>
  <c r="N19" i="58"/>
  <c r="O19" i="58"/>
  <c r="P19" i="58"/>
  <c r="Q19" i="58"/>
  <c r="R19" i="58"/>
  <c r="S19" i="58"/>
  <c r="T19" i="58"/>
  <c r="U19" i="58"/>
  <c r="V19" i="58"/>
  <c r="W19" i="58"/>
  <c r="X19" i="58"/>
  <c r="D20" i="58"/>
  <c r="E20" i="58"/>
  <c r="F20" i="58"/>
  <c r="G20" i="58"/>
  <c r="H20" i="58"/>
  <c r="I20" i="58"/>
  <c r="J20" i="58"/>
  <c r="K20" i="58"/>
  <c r="L20" i="58"/>
  <c r="M20" i="58"/>
  <c r="N20" i="58"/>
  <c r="O20" i="58"/>
  <c r="P20" i="58"/>
  <c r="Q20" i="58"/>
  <c r="R20" i="58"/>
  <c r="S20" i="58"/>
  <c r="T20" i="58"/>
  <c r="U20" i="58"/>
  <c r="V20" i="58"/>
  <c r="W20" i="58"/>
  <c r="X20" i="58"/>
  <c r="D21" i="58"/>
  <c r="E21" i="58"/>
  <c r="F21" i="58"/>
  <c r="G21" i="58"/>
  <c r="H21" i="58"/>
  <c r="I21" i="58"/>
  <c r="J21" i="58"/>
  <c r="K21" i="58"/>
  <c r="L21" i="58"/>
  <c r="M21" i="58"/>
  <c r="N21" i="58"/>
  <c r="O21" i="58"/>
  <c r="P21" i="58"/>
  <c r="Q21" i="58"/>
  <c r="R21" i="58"/>
  <c r="S21" i="58"/>
  <c r="T21" i="58"/>
  <c r="U21" i="58"/>
  <c r="V21" i="58"/>
  <c r="W21" i="58"/>
  <c r="X21" i="58"/>
  <c r="D22" i="58"/>
  <c r="E22" i="58"/>
  <c r="F22" i="58"/>
  <c r="G22" i="58"/>
  <c r="H22" i="58"/>
  <c r="I22" i="58"/>
  <c r="J22" i="58"/>
  <c r="K22" i="58"/>
  <c r="L22" i="58"/>
  <c r="M22" i="58"/>
  <c r="N22" i="58"/>
  <c r="O22" i="58"/>
  <c r="P22" i="58"/>
  <c r="Q22" i="58"/>
  <c r="R22" i="58"/>
  <c r="S22" i="58"/>
  <c r="T22" i="58"/>
  <c r="U22" i="58"/>
  <c r="V22" i="58"/>
  <c r="W22" i="58"/>
  <c r="X22" i="58"/>
  <c r="D23" i="58"/>
  <c r="E23" i="58"/>
  <c r="F23" i="58"/>
  <c r="G23" i="58"/>
  <c r="H23" i="58"/>
  <c r="I23" i="58"/>
  <c r="J23" i="58"/>
  <c r="K23" i="58"/>
  <c r="L23" i="58"/>
  <c r="M23" i="58"/>
  <c r="N23" i="58"/>
  <c r="O23" i="58"/>
  <c r="P23" i="58"/>
  <c r="Q23" i="58"/>
  <c r="R23" i="58"/>
  <c r="S23" i="58"/>
  <c r="T23" i="58"/>
  <c r="U23" i="58"/>
  <c r="V23" i="58"/>
  <c r="W23" i="58"/>
  <c r="X23" i="58"/>
  <c r="D24" i="58"/>
  <c r="E24" i="58"/>
  <c r="F24" i="58"/>
  <c r="G24" i="58"/>
  <c r="H24" i="58"/>
  <c r="I24" i="58"/>
  <c r="J24" i="58"/>
  <c r="K24" i="58"/>
  <c r="L24" i="58"/>
  <c r="M24" i="58"/>
  <c r="N24" i="58"/>
  <c r="O24" i="58"/>
  <c r="P24" i="58"/>
  <c r="Q24" i="58"/>
  <c r="R24" i="58"/>
  <c r="S24" i="58"/>
  <c r="T24" i="58"/>
  <c r="U24" i="58"/>
  <c r="V24" i="58"/>
  <c r="W24" i="58"/>
  <c r="X24" i="58"/>
  <c r="D25" i="58"/>
  <c r="E25" i="58"/>
  <c r="F25" i="58"/>
  <c r="G25" i="58"/>
  <c r="H25" i="58"/>
  <c r="I25" i="58"/>
  <c r="J25" i="58"/>
  <c r="K25" i="58"/>
  <c r="L25" i="58"/>
  <c r="M25" i="58"/>
  <c r="N25" i="58"/>
  <c r="O25" i="58"/>
  <c r="P25" i="58"/>
  <c r="Q25" i="58"/>
  <c r="R25" i="58"/>
  <c r="S25" i="58"/>
  <c r="T25" i="58"/>
  <c r="U25" i="58"/>
  <c r="V25" i="58"/>
  <c r="W25" i="58"/>
  <c r="X25" i="58"/>
  <c r="D26" i="58"/>
  <c r="E26" i="58"/>
  <c r="F26" i="58"/>
  <c r="G26" i="58"/>
  <c r="H26" i="58"/>
  <c r="I26" i="58"/>
  <c r="J26" i="58"/>
  <c r="K26" i="58"/>
  <c r="L26" i="58"/>
  <c r="M26" i="58"/>
  <c r="N26" i="58"/>
  <c r="O26" i="58"/>
  <c r="P26" i="58"/>
  <c r="Q26" i="58"/>
  <c r="R26" i="58"/>
  <c r="S26" i="58"/>
  <c r="T26" i="58"/>
  <c r="U26" i="58"/>
  <c r="V26" i="58"/>
  <c r="W26" i="58"/>
  <c r="X26" i="58"/>
  <c r="D27" i="58"/>
  <c r="E27" i="58"/>
  <c r="F27" i="58"/>
  <c r="G27" i="58"/>
  <c r="H27" i="58"/>
  <c r="I27" i="58"/>
  <c r="J27" i="58"/>
  <c r="K27" i="58"/>
  <c r="L27" i="58"/>
  <c r="M27" i="58"/>
  <c r="N27" i="58"/>
  <c r="O27" i="58"/>
  <c r="P27" i="58"/>
  <c r="Q27" i="58"/>
  <c r="R27" i="58"/>
  <c r="S27" i="58"/>
  <c r="T27" i="58"/>
  <c r="U27" i="58"/>
  <c r="V27" i="58"/>
  <c r="W27" i="58"/>
  <c r="X27" i="58"/>
  <c r="D29" i="58"/>
  <c r="E29" i="58"/>
  <c r="F29" i="58"/>
  <c r="G29" i="58"/>
  <c r="H29" i="58"/>
  <c r="I29" i="58"/>
  <c r="J29" i="58"/>
  <c r="K29" i="58"/>
  <c r="L29" i="58"/>
  <c r="M29" i="58"/>
  <c r="N29" i="58"/>
  <c r="O29" i="58"/>
  <c r="P29" i="58"/>
  <c r="Q29" i="58"/>
  <c r="R29" i="58"/>
  <c r="S29" i="58"/>
  <c r="T29" i="58"/>
  <c r="U29" i="58"/>
  <c r="V29" i="58"/>
  <c r="W29" i="58"/>
  <c r="X29" i="58"/>
  <c r="D30" i="58"/>
  <c r="E30" i="58"/>
  <c r="F30" i="58"/>
  <c r="G30" i="58"/>
  <c r="H30" i="58"/>
  <c r="I30" i="58"/>
  <c r="J30" i="58"/>
  <c r="K30" i="58"/>
  <c r="L30" i="58"/>
  <c r="M30" i="58"/>
  <c r="N30" i="58"/>
  <c r="O30" i="58"/>
  <c r="P30" i="58"/>
  <c r="Q30" i="58"/>
  <c r="R30" i="58"/>
  <c r="S30" i="58"/>
  <c r="T30" i="58"/>
  <c r="U30" i="58"/>
  <c r="V30" i="58"/>
  <c r="W30" i="58"/>
  <c r="X30" i="58"/>
  <c r="D31" i="58"/>
  <c r="E31" i="58"/>
  <c r="F31" i="58"/>
  <c r="G31" i="58"/>
  <c r="H31" i="58"/>
  <c r="I31" i="58"/>
  <c r="J31" i="58"/>
  <c r="K31" i="58"/>
  <c r="L31" i="58"/>
  <c r="M31" i="58"/>
  <c r="N31" i="58"/>
  <c r="O31" i="58"/>
  <c r="P31" i="58"/>
  <c r="Q31" i="58"/>
  <c r="R31" i="58"/>
  <c r="S31" i="58"/>
  <c r="T31" i="58"/>
  <c r="U31" i="58"/>
  <c r="V31" i="58"/>
  <c r="W31" i="58"/>
  <c r="X31" i="58"/>
  <c r="D32" i="58"/>
  <c r="E32" i="58"/>
  <c r="F32" i="58"/>
  <c r="G32" i="58"/>
  <c r="H32" i="58"/>
  <c r="I32" i="58"/>
  <c r="J32" i="58"/>
  <c r="K32" i="58"/>
  <c r="L32" i="58"/>
  <c r="M32" i="58"/>
  <c r="N32" i="58"/>
  <c r="O32" i="58"/>
  <c r="P32" i="58"/>
  <c r="Q32" i="58"/>
  <c r="R32" i="58"/>
  <c r="S32" i="58"/>
  <c r="T32" i="58"/>
  <c r="U32" i="58"/>
  <c r="V32" i="58"/>
  <c r="W32" i="58"/>
  <c r="X32" i="58"/>
  <c r="D33" i="58"/>
  <c r="E33" i="58"/>
  <c r="F33" i="58"/>
  <c r="G33" i="58"/>
  <c r="H33" i="58"/>
  <c r="I33" i="58"/>
  <c r="J33" i="58"/>
  <c r="K33" i="58"/>
  <c r="L33" i="58"/>
  <c r="M33" i="58"/>
  <c r="N33" i="58"/>
  <c r="O33" i="58"/>
  <c r="P33" i="58"/>
  <c r="Q33" i="58"/>
  <c r="R33" i="58"/>
  <c r="S33" i="58"/>
  <c r="T33" i="58"/>
  <c r="U33" i="58"/>
  <c r="V33" i="58"/>
  <c r="W33" i="58"/>
  <c r="X33" i="58"/>
  <c r="D34" i="58"/>
  <c r="E34" i="58"/>
  <c r="F34" i="58"/>
  <c r="G34" i="58"/>
  <c r="H34" i="58"/>
  <c r="I34" i="58"/>
  <c r="J34" i="58"/>
  <c r="K34" i="58"/>
  <c r="L34" i="58"/>
  <c r="M34" i="58"/>
  <c r="N34" i="58"/>
  <c r="O34" i="58"/>
  <c r="P34" i="58"/>
  <c r="Q34" i="58"/>
  <c r="R34" i="58"/>
  <c r="S34" i="58"/>
  <c r="T34" i="58"/>
  <c r="U34" i="58"/>
  <c r="V34" i="58"/>
  <c r="W34" i="58"/>
  <c r="X34" i="58"/>
  <c r="D35" i="58"/>
  <c r="E35" i="58"/>
  <c r="F35" i="58"/>
  <c r="G35" i="58"/>
  <c r="H35" i="58"/>
  <c r="I35" i="58"/>
  <c r="J35" i="58"/>
  <c r="K35" i="58"/>
  <c r="L35" i="58"/>
  <c r="M35" i="58"/>
  <c r="N35" i="58"/>
  <c r="O35" i="58"/>
  <c r="P35" i="58"/>
  <c r="Q35" i="58"/>
  <c r="R35" i="58"/>
  <c r="S35" i="58"/>
  <c r="T35" i="58"/>
  <c r="U35" i="58"/>
  <c r="V35" i="58"/>
  <c r="W35" i="58"/>
  <c r="X35" i="58"/>
  <c r="D36" i="58"/>
  <c r="E36" i="58"/>
  <c r="F36" i="58"/>
  <c r="G36" i="58"/>
  <c r="H36" i="58"/>
  <c r="I36" i="58"/>
  <c r="J36" i="58"/>
  <c r="K36" i="58"/>
  <c r="L36" i="58"/>
  <c r="M36" i="58"/>
  <c r="N36" i="58"/>
  <c r="O36" i="58"/>
  <c r="P36" i="58"/>
  <c r="Q36" i="58"/>
  <c r="R36" i="58"/>
  <c r="S36" i="58"/>
  <c r="T36" i="58"/>
  <c r="U36" i="58"/>
  <c r="V36" i="58"/>
  <c r="W36" i="58"/>
  <c r="X36" i="58"/>
  <c r="D37" i="58"/>
  <c r="E37" i="58"/>
  <c r="F37" i="58"/>
  <c r="G37" i="58"/>
  <c r="H37" i="58"/>
  <c r="I37" i="58"/>
  <c r="J37" i="58"/>
  <c r="K37" i="58"/>
  <c r="L37" i="58"/>
  <c r="M37" i="58"/>
  <c r="N37" i="58"/>
  <c r="O37" i="58"/>
  <c r="P37" i="58"/>
  <c r="Q37" i="58"/>
  <c r="R37" i="58"/>
  <c r="S37" i="58"/>
  <c r="T37" i="58"/>
  <c r="U37" i="58"/>
  <c r="V37" i="58"/>
  <c r="W37" i="58"/>
  <c r="X37" i="58"/>
  <c r="D38" i="58"/>
  <c r="E38" i="58"/>
  <c r="F38" i="58"/>
  <c r="G38" i="58"/>
  <c r="H38" i="58"/>
  <c r="I38" i="58"/>
  <c r="J38" i="58"/>
  <c r="K38" i="58"/>
  <c r="L38" i="58"/>
  <c r="M38" i="58"/>
  <c r="N38" i="58"/>
  <c r="O38" i="58"/>
  <c r="P38" i="58"/>
  <c r="Q38" i="58"/>
  <c r="R38" i="58"/>
  <c r="S38" i="58"/>
  <c r="T38" i="58"/>
  <c r="U38" i="58"/>
  <c r="V38" i="58"/>
  <c r="W38" i="58"/>
  <c r="X38" i="58"/>
  <c r="D39" i="58"/>
  <c r="E39" i="58"/>
  <c r="F39" i="58"/>
  <c r="G39" i="58"/>
  <c r="H39" i="58"/>
  <c r="I39" i="58"/>
  <c r="J39" i="58"/>
  <c r="K39" i="58"/>
  <c r="L39" i="58"/>
  <c r="M39" i="58"/>
  <c r="N39" i="58"/>
  <c r="O39" i="58"/>
  <c r="P39" i="58"/>
  <c r="Q39" i="58"/>
  <c r="R39" i="58"/>
  <c r="S39" i="58"/>
  <c r="T39" i="58"/>
  <c r="U39" i="58"/>
  <c r="V39" i="58"/>
  <c r="W39" i="58"/>
  <c r="X39" i="58"/>
  <c r="D40" i="58"/>
  <c r="E40" i="58"/>
  <c r="F40" i="58"/>
  <c r="G40" i="58"/>
  <c r="H40" i="58"/>
  <c r="I40" i="58"/>
  <c r="J40" i="58"/>
  <c r="K40" i="58"/>
  <c r="L40" i="58"/>
  <c r="M40" i="58"/>
  <c r="N40" i="58"/>
  <c r="O40" i="58"/>
  <c r="P40" i="58"/>
  <c r="Q40" i="58"/>
  <c r="R40" i="58"/>
  <c r="S40" i="58"/>
  <c r="T40" i="58"/>
  <c r="U40" i="58"/>
  <c r="V40" i="58"/>
  <c r="W40" i="58"/>
  <c r="X40" i="58"/>
  <c r="D41" i="58"/>
  <c r="E41" i="58"/>
  <c r="F41" i="58"/>
  <c r="G41" i="58"/>
  <c r="H41" i="58"/>
  <c r="I41" i="58"/>
  <c r="J41" i="58"/>
  <c r="K41" i="58"/>
  <c r="L41" i="58"/>
  <c r="M41" i="58"/>
  <c r="N41" i="58"/>
  <c r="O41" i="58"/>
  <c r="P41" i="58"/>
  <c r="Q41" i="58"/>
  <c r="R41" i="58"/>
  <c r="S41" i="58"/>
  <c r="T41" i="58"/>
  <c r="U41" i="58"/>
  <c r="V41" i="58"/>
  <c r="W41" i="58"/>
  <c r="X41" i="58"/>
  <c r="D42" i="58"/>
  <c r="E42" i="58"/>
  <c r="F42" i="58"/>
  <c r="G42" i="58"/>
  <c r="H42" i="58"/>
  <c r="I42" i="58"/>
  <c r="J42" i="58"/>
  <c r="K42" i="58"/>
  <c r="L42" i="58"/>
  <c r="M42" i="58"/>
  <c r="N42" i="58"/>
  <c r="O42" i="58"/>
  <c r="P42" i="58"/>
  <c r="Q42" i="58"/>
  <c r="R42" i="58"/>
  <c r="S42" i="58"/>
  <c r="T42" i="58"/>
  <c r="U42" i="58"/>
  <c r="V42" i="58"/>
  <c r="W42" i="58"/>
  <c r="X42" i="58"/>
  <c r="D43" i="58"/>
  <c r="E43" i="58"/>
  <c r="F43" i="58"/>
  <c r="G43" i="58"/>
  <c r="H43" i="58"/>
  <c r="I43" i="58"/>
  <c r="J43" i="58"/>
  <c r="K43" i="58"/>
  <c r="L43" i="58"/>
  <c r="M43" i="58"/>
  <c r="N43" i="58"/>
  <c r="O43" i="58"/>
  <c r="P43" i="58"/>
  <c r="Q43" i="58"/>
  <c r="R43" i="58"/>
  <c r="S43" i="58"/>
  <c r="T43" i="58"/>
  <c r="U43" i="58"/>
  <c r="V43" i="58"/>
  <c r="W43" i="58"/>
  <c r="X43" i="58"/>
  <c r="D44" i="58"/>
  <c r="E44" i="58"/>
  <c r="F44" i="58"/>
  <c r="G44" i="58"/>
  <c r="H44" i="58"/>
  <c r="I44" i="58"/>
  <c r="J44" i="58"/>
  <c r="K44" i="58"/>
  <c r="L44" i="58"/>
  <c r="M44" i="58"/>
  <c r="N44" i="58"/>
  <c r="O44" i="58"/>
  <c r="P44" i="58"/>
  <c r="Q44" i="58"/>
  <c r="R44" i="58"/>
  <c r="S44" i="58"/>
  <c r="T44" i="58"/>
  <c r="U44" i="58"/>
  <c r="V44" i="58"/>
  <c r="W44" i="58"/>
  <c r="X44" i="58"/>
  <c r="D45" i="58"/>
  <c r="E45" i="58"/>
  <c r="F45" i="58"/>
  <c r="G45" i="58"/>
  <c r="H45" i="58"/>
  <c r="I45" i="58"/>
  <c r="J45" i="58"/>
  <c r="K45" i="58"/>
  <c r="L45" i="58"/>
  <c r="M45" i="58"/>
  <c r="N45" i="58"/>
  <c r="O45" i="58"/>
  <c r="P45" i="58"/>
  <c r="Q45" i="58"/>
  <c r="R45" i="58"/>
  <c r="S45" i="58"/>
  <c r="T45" i="58"/>
  <c r="U45" i="58"/>
  <c r="V45" i="58"/>
  <c r="W45" i="58"/>
  <c r="X45" i="58"/>
  <c r="D46" i="58"/>
  <c r="E46" i="58"/>
  <c r="F46" i="58"/>
  <c r="G46" i="58"/>
  <c r="H46" i="58"/>
  <c r="I46" i="58"/>
  <c r="J46" i="58"/>
  <c r="K46" i="58"/>
  <c r="L46" i="58"/>
  <c r="M46" i="58"/>
  <c r="N46" i="58"/>
  <c r="O46" i="58"/>
  <c r="P46" i="58"/>
  <c r="Q46" i="58"/>
  <c r="R46" i="58"/>
  <c r="S46" i="58"/>
  <c r="T46" i="58"/>
  <c r="U46" i="58"/>
  <c r="V46" i="58"/>
  <c r="W46" i="58"/>
  <c r="X46" i="58"/>
  <c r="D47" i="58"/>
  <c r="E47" i="58"/>
  <c r="F47" i="58"/>
  <c r="G47" i="58"/>
  <c r="H47" i="58"/>
  <c r="I47" i="58"/>
  <c r="J47" i="58"/>
  <c r="K47" i="58"/>
  <c r="L47" i="58"/>
  <c r="M47" i="58"/>
  <c r="N47" i="58"/>
  <c r="O47" i="58"/>
  <c r="P47" i="58"/>
  <c r="Q47" i="58"/>
  <c r="R47" i="58"/>
  <c r="S47" i="58"/>
  <c r="T47" i="58"/>
  <c r="U47" i="58"/>
  <c r="V47" i="58"/>
  <c r="W47" i="58"/>
  <c r="X47" i="58"/>
  <c r="D48" i="58"/>
  <c r="E48" i="58"/>
  <c r="F48" i="58"/>
  <c r="G48" i="58"/>
  <c r="H48" i="58"/>
  <c r="I48" i="58"/>
  <c r="J48" i="58"/>
  <c r="K48" i="58"/>
  <c r="L48" i="58"/>
  <c r="M48" i="58"/>
  <c r="N48" i="58"/>
  <c r="O48" i="58"/>
  <c r="P48" i="58"/>
  <c r="Q48" i="58"/>
  <c r="R48" i="58"/>
  <c r="S48" i="58"/>
  <c r="T48" i="58"/>
  <c r="U48" i="58"/>
  <c r="V48" i="58"/>
  <c r="W48" i="58"/>
  <c r="X48" i="58"/>
  <c r="D49" i="58"/>
  <c r="E49" i="58"/>
  <c r="F49" i="58"/>
  <c r="G49" i="58"/>
  <c r="H49" i="58"/>
  <c r="I49" i="58"/>
  <c r="J49" i="58"/>
  <c r="K49" i="58"/>
  <c r="L49" i="58"/>
  <c r="M49" i="58"/>
  <c r="N49" i="58"/>
  <c r="O49" i="58"/>
  <c r="P49" i="58"/>
  <c r="Q49" i="58"/>
  <c r="R49" i="58"/>
  <c r="S49" i="58"/>
  <c r="T49" i="58"/>
  <c r="U49" i="58"/>
  <c r="V49" i="58"/>
  <c r="W49" i="58"/>
  <c r="X49" i="58"/>
  <c r="D50" i="58"/>
  <c r="E50" i="58"/>
  <c r="F50" i="58"/>
  <c r="G50" i="58"/>
  <c r="H50" i="58"/>
  <c r="I50" i="58"/>
  <c r="J50" i="58"/>
  <c r="K50" i="58"/>
  <c r="L50" i="58"/>
  <c r="M50" i="58"/>
  <c r="N50" i="58"/>
  <c r="O50" i="58"/>
  <c r="P50" i="58"/>
  <c r="Q50" i="58"/>
  <c r="R50" i="58"/>
  <c r="S50" i="58"/>
  <c r="T50" i="58"/>
  <c r="U50" i="58"/>
  <c r="V50" i="58"/>
  <c r="W50" i="58"/>
  <c r="X50" i="58"/>
  <c r="D51" i="58"/>
  <c r="E51" i="58"/>
  <c r="F51" i="58"/>
  <c r="G51" i="58"/>
  <c r="H51" i="58"/>
  <c r="I51" i="58"/>
  <c r="J51" i="58"/>
  <c r="K51" i="58"/>
  <c r="L51" i="58"/>
  <c r="M51" i="58"/>
  <c r="N51" i="58"/>
  <c r="O51" i="58"/>
  <c r="P51" i="58"/>
  <c r="Q51" i="58"/>
  <c r="R51" i="58"/>
  <c r="S51" i="58"/>
  <c r="T51" i="58"/>
  <c r="U51" i="58"/>
  <c r="V51" i="58"/>
  <c r="W51" i="58"/>
  <c r="X51" i="58"/>
  <c r="D52" i="58"/>
  <c r="E52" i="58"/>
  <c r="F52" i="58"/>
  <c r="G52" i="58"/>
  <c r="H52" i="58"/>
  <c r="I52" i="58"/>
  <c r="J52" i="58"/>
  <c r="K52" i="58"/>
  <c r="L52" i="58"/>
  <c r="M52" i="58"/>
  <c r="N52" i="58"/>
  <c r="O52" i="58"/>
  <c r="P52" i="58"/>
  <c r="Q52" i="58"/>
  <c r="R52" i="58"/>
  <c r="S52" i="58"/>
  <c r="T52" i="58"/>
  <c r="U52" i="58"/>
  <c r="V52" i="58"/>
  <c r="W52" i="58"/>
  <c r="X52" i="58"/>
  <c r="D53" i="58"/>
  <c r="E53" i="58"/>
  <c r="F53" i="58"/>
  <c r="G53" i="58"/>
  <c r="H53" i="58"/>
  <c r="I53" i="58"/>
  <c r="J53" i="58"/>
  <c r="K53" i="58"/>
  <c r="L53" i="58"/>
  <c r="M53" i="58"/>
  <c r="N53" i="58"/>
  <c r="O53" i="58"/>
  <c r="P53" i="58"/>
  <c r="Q53" i="58"/>
  <c r="R53" i="58"/>
  <c r="S53" i="58"/>
  <c r="T53" i="58"/>
  <c r="U53" i="58"/>
  <c r="V53" i="58"/>
  <c r="W53" i="58"/>
  <c r="X53" i="58"/>
  <c r="D54" i="58"/>
  <c r="E54" i="58"/>
  <c r="F54" i="58"/>
  <c r="G54" i="58"/>
  <c r="H54" i="58"/>
  <c r="I54" i="58"/>
  <c r="J54" i="58"/>
  <c r="K54" i="58"/>
  <c r="L54" i="58"/>
  <c r="M54" i="58"/>
  <c r="N54" i="58"/>
  <c r="O54" i="58"/>
  <c r="P54" i="58"/>
  <c r="Q54" i="58"/>
  <c r="R54" i="58"/>
  <c r="S54" i="58"/>
  <c r="T54" i="58"/>
  <c r="U54" i="58"/>
  <c r="V54" i="58"/>
  <c r="W54" i="58"/>
  <c r="X54" i="58"/>
  <c r="D55" i="58"/>
  <c r="E55" i="58"/>
  <c r="F55" i="58"/>
  <c r="G55" i="58"/>
  <c r="H55" i="58"/>
  <c r="I55" i="58"/>
  <c r="J55" i="58"/>
  <c r="K55" i="58"/>
  <c r="L55" i="58"/>
  <c r="M55" i="58"/>
  <c r="N55" i="58"/>
  <c r="O55" i="58"/>
  <c r="P55" i="58"/>
  <c r="Q55" i="58"/>
  <c r="R55" i="58"/>
  <c r="S55" i="58"/>
  <c r="T55" i="58"/>
  <c r="U55" i="58"/>
  <c r="V55" i="58"/>
  <c r="W55" i="58"/>
  <c r="X55" i="58"/>
  <c r="D56" i="58"/>
  <c r="E56" i="58"/>
  <c r="F56" i="58"/>
  <c r="G56" i="58"/>
  <c r="H56" i="58"/>
  <c r="I56" i="58"/>
  <c r="J56" i="58"/>
  <c r="K56" i="58"/>
  <c r="L56" i="58"/>
  <c r="M56" i="58"/>
  <c r="N56" i="58"/>
  <c r="O56" i="58"/>
  <c r="P56" i="58"/>
  <c r="Q56" i="58"/>
  <c r="R56" i="58"/>
  <c r="S56" i="58"/>
  <c r="T56" i="58"/>
  <c r="U56" i="58"/>
  <c r="V56" i="58"/>
  <c r="W56" i="58"/>
  <c r="X56" i="58"/>
  <c r="D57" i="58"/>
  <c r="E57" i="58"/>
  <c r="F57" i="58"/>
  <c r="G57" i="58"/>
  <c r="H57" i="58"/>
  <c r="I57" i="58"/>
  <c r="J57" i="58"/>
  <c r="K57" i="58"/>
  <c r="L57" i="58"/>
  <c r="M57" i="58"/>
  <c r="N57" i="58"/>
  <c r="O57" i="58"/>
  <c r="P57" i="58"/>
  <c r="Q57" i="58"/>
  <c r="R57" i="58"/>
  <c r="S57" i="58"/>
  <c r="T57" i="58"/>
  <c r="U57" i="58"/>
  <c r="V57" i="58"/>
  <c r="W57" i="58"/>
  <c r="X57" i="58"/>
  <c r="D58" i="58"/>
  <c r="E58" i="58"/>
  <c r="F58" i="58"/>
  <c r="G58" i="58"/>
  <c r="H58" i="58"/>
  <c r="I58" i="58"/>
  <c r="J58" i="58"/>
  <c r="K58" i="58"/>
  <c r="L58" i="58"/>
  <c r="M58" i="58"/>
  <c r="N58" i="58"/>
  <c r="O58" i="58"/>
  <c r="P58" i="58"/>
  <c r="Q58" i="58"/>
  <c r="R58" i="58"/>
  <c r="S58" i="58"/>
  <c r="T58" i="58"/>
  <c r="U58" i="58"/>
  <c r="V58" i="58"/>
  <c r="W58" i="58"/>
  <c r="X58" i="58"/>
  <c r="D59" i="58"/>
  <c r="E59" i="58"/>
  <c r="F59" i="58"/>
  <c r="G59" i="58"/>
  <c r="H59" i="58"/>
  <c r="I59" i="58"/>
  <c r="J59" i="58"/>
  <c r="K59" i="58"/>
  <c r="L59" i="58"/>
  <c r="M59" i="58"/>
  <c r="N59" i="58"/>
  <c r="O59" i="58"/>
  <c r="P59" i="58"/>
  <c r="Q59" i="58"/>
  <c r="R59" i="58"/>
  <c r="S59" i="58"/>
  <c r="T59" i="58"/>
  <c r="U59" i="58"/>
  <c r="V59" i="58"/>
  <c r="W59" i="58"/>
  <c r="X59" i="58"/>
  <c r="D60" i="58"/>
  <c r="E60" i="58"/>
  <c r="F60" i="58"/>
  <c r="G60" i="58"/>
  <c r="H60" i="58"/>
  <c r="I60" i="58"/>
  <c r="J60" i="58"/>
  <c r="K60" i="58"/>
  <c r="L60" i="58"/>
  <c r="M60" i="58"/>
  <c r="N60" i="58"/>
  <c r="O60" i="58"/>
  <c r="P60" i="58"/>
  <c r="Q60" i="58"/>
  <c r="R60" i="58"/>
  <c r="S60" i="58"/>
  <c r="T60" i="58"/>
  <c r="U60" i="58"/>
  <c r="V60" i="58"/>
  <c r="W60" i="58"/>
  <c r="X60" i="58"/>
  <c r="D61" i="58"/>
  <c r="E61" i="58"/>
  <c r="F61" i="58"/>
  <c r="G61" i="58"/>
  <c r="H61" i="58"/>
  <c r="I61" i="58"/>
  <c r="J61" i="58"/>
  <c r="K61" i="58"/>
  <c r="L61" i="58"/>
  <c r="M61" i="58"/>
  <c r="N61" i="58"/>
  <c r="O61" i="58"/>
  <c r="P61" i="58"/>
  <c r="Q61" i="58"/>
  <c r="R61" i="58"/>
  <c r="S61" i="58"/>
  <c r="T61" i="58"/>
  <c r="U61" i="58"/>
  <c r="V61" i="58"/>
  <c r="W61" i="58"/>
  <c r="X61" i="58"/>
  <c r="D62" i="58"/>
  <c r="E62" i="58"/>
  <c r="F62" i="58"/>
  <c r="G62" i="58"/>
  <c r="H62" i="58"/>
  <c r="I62" i="58"/>
  <c r="J62" i="58"/>
  <c r="K62" i="58"/>
  <c r="L62" i="58"/>
  <c r="M62" i="58"/>
  <c r="N62" i="58"/>
  <c r="O62" i="58"/>
  <c r="P62" i="58"/>
  <c r="Q62" i="58"/>
  <c r="R62" i="58"/>
  <c r="S62" i="58"/>
  <c r="T62" i="58"/>
  <c r="U62" i="58"/>
  <c r="V62" i="58"/>
  <c r="W62" i="58"/>
  <c r="X62" i="58"/>
  <c r="D63" i="58"/>
  <c r="E63" i="58"/>
  <c r="F63" i="58"/>
  <c r="G63" i="58"/>
  <c r="H63" i="58"/>
  <c r="I63" i="58"/>
  <c r="J63" i="58"/>
  <c r="K63" i="58"/>
  <c r="L63" i="58"/>
  <c r="M63" i="58"/>
  <c r="N63" i="58"/>
  <c r="O63" i="58"/>
  <c r="P63" i="58"/>
  <c r="Q63" i="58"/>
  <c r="R63" i="58"/>
  <c r="S63" i="58"/>
  <c r="T63" i="58"/>
  <c r="U63" i="58"/>
  <c r="V63" i="58"/>
  <c r="W63" i="58"/>
  <c r="X63" i="58"/>
  <c r="D64" i="58"/>
  <c r="E64" i="58"/>
  <c r="F64" i="58"/>
  <c r="G64" i="58"/>
  <c r="H64" i="58"/>
  <c r="I64" i="58"/>
  <c r="J64" i="58"/>
  <c r="K64" i="58"/>
  <c r="L64" i="58"/>
  <c r="M64" i="58"/>
  <c r="N64" i="58"/>
  <c r="O64" i="58"/>
  <c r="P64" i="58"/>
  <c r="Q64" i="58"/>
  <c r="R64" i="58"/>
  <c r="S64" i="58"/>
  <c r="T64" i="58"/>
  <c r="U64" i="58"/>
  <c r="V64" i="58"/>
  <c r="W64" i="58"/>
  <c r="X64" i="58"/>
  <c r="D65" i="58"/>
  <c r="E65" i="58"/>
  <c r="F65" i="58"/>
  <c r="G65" i="58"/>
  <c r="H65" i="58"/>
  <c r="I65" i="58"/>
  <c r="J65" i="58"/>
  <c r="K65" i="58"/>
  <c r="L65" i="58"/>
  <c r="M65" i="58"/>
  <c r="N65" i="58"/>
  <c r="O65" i="58"/>
  <c r="P65" i="58"/>
  <c r="Q65" i="58"/>
  <c r="R65" i="58"/>
  <c r="S65" i="58"/>
  <c r="T65" i="58"/>
  <c r="U65" i="58"/>
  <c r="V65" i="58"/>
  <c r="W65" i="58"/>
  <c r="X65" i="58"/>
  <c r="D66" i="58"/>
  <c r="E66" i="58"/>
  <c r="F66" i="58"/>
  <c r="G66" i="58"/>
  <c r="H66" i="58"/>
  <c r="I66" i="58"/>
  <c r="J66" i="58"/>
  <c r="K66" i="58"/>
  <c r="L66" i="58"/>
  <c r="M66" i="58"/>
  <c r="N66" i="58"/>
  <c r="O66" i="58"/>
  <c r="P66" i="58"/>
  <c r="Q66" i="58"/>
  <c r="R66" i="58"/>
  <c r="S66" i="58"/>
  <c r="T66" i="58"/>
  <c r="U66" i="58"/>
  <c r="V66" i="58"/>
  <c r="W66" i="58"/>
  <c r="X66" i="58"/>
  <c r="D67" i="58"/>
  <c r="E67" i="58"/>
  <c r="F67" i="58"/>
  <c r="G67" i="58"/>
  <c r="H67" i="58"/>
  <c r="I67" i="58"/>
  <c r="J67" i="58"/>
  <c r="K67" i="58"/>
  <c r="L67" i="58"/>
  <c r="M67" i="58"/>
  <c r="N67" i="58"/>
  <c r="O67" i="58"/>
  <c r="P67" i="58"/>
  <c r="Q67" i="58"/>
  <c r="R67" i="58"/>
  <c r="S67" i="58"/>
  <c r="T67" i="58"/>
  <c r="U67" i="58"/>
  <c r="V67" i="58"/>
  <c r="W67" i="58"/>
  <c r="X67" i="58"/>
  <c r="D68" i="58"/>
  <c r="E68" i="58"/>
  <c r="F68" i="58"/>
  <c r="G68" i="58"/>
  <c r="H68" i="58"/>
  <c r="I68" i="58"/>
  <c r="J68" i="58"/>
  <c r="K68" i="58"/>
  <c r="L68" i="58"/>
  <c r="M68" i="58"/>
  <c r="N68" i="58"/>
  <c r="O68" i="58"/>
  <c r="P68" i="58"/>
  <c r="Q68" i="58"/>
  <c r="R68" i="58"/>
  <c r="S68" i="58"/>
  <c r="T68" i="58"/>
  <c r="U68" i="58"/>
  <c r="V68" i="58"/>
  <c r="W68" i="58"/>
  <c r="X68" i="58"/>
  <c r="D69" i="58"/>
  <c r="E69" i="58"/>
  <c r="F69" i="58"/>
  <c r="G69" i="58"/>
  <c r="H69" i="58"/>
  <c r="I69" i="58"/>
  <c r="J69" i="58"/>
  <c r="K69" i="58"/>
  <c r="L69" i="58"/>
  <c r="M69" i="58"/>
  <c r="N69" i="58"/>
  <c r="O69" i="58"/>
  <c r="P69" i="58"/>
  <c r="Q69" i="58"/>
  <c r="R69" i="58"/>
  <c r="S69" i="58"/>
  <c r="T69" i="58"/>
  <c r="U69" i="58"/>
  <c r="V69" i="58"/>
  <c r="W69" i="58"/>
  <c r="X69" i="58"/>
  <c r="D70" i="58"/>
  <c r="E70" i="58"/>
  <c r="F70" i="58"/>
  <c r="G70" i="58"/>
  <c r="H70" i="58"/>
  <c r="I70" i="58"/>
  <c r="J70" i="58"/>
  <c r="K70" i="58"/>
  <c r="L70" i="58"/>
  <c r="M70" i="58"/>
  <c r="N70" i="58"/>
  <c r="O70" i="58"/>
  <c r="P70" i="58"/>
  <c r="Q70" i="58"/>
  <c r="R70" i="58"/>
  <c r="S70" i="58"/>
  <c r="T70" i="58"/>
  <c r="U70" i="58"/>
  <c r="V70" i="58"/>
  <c r="W70" i="58"/>
  <c r="X70" i="58"/>
  <c r="D71" i="58"/>
  <c r="E71" i="58"/>
  <c r="F71" i="58"/>
  <c r="G71" i="58"/>
  <c r="H71" i="58"/>
  <c r="I71" i="58"/>
  <c r="J71" i="58"/>
  <c r="K71" i="58"/>
  <c r="L71" i="58"/>
  <c r="M71" i="58"/>
  <c r="N71" i="58"/>
  <c r="O71" i="58"/>
  <c r="P71" i="58"/>
  <c r="Q71" i="58"/>
  <c r="R71" i="58"/>
  <c r="S71" i="58"/>
  <c r="T71" i="58"/>
  <c r="U71" i="58"/>
  <c r="V71" i="58"/>
  <c r="W71" i="58"/>
  <c r="X71" i="58"/>
  <c r="D72" i="58"/>
  <c r="E72" i="58"/>
  <c r="F72" i="58"/>
  <c r="G72" i="58"/>
  <c r="H72" i="58"/>
  <c r="I72" i="58"/>
  <c r="J72" i="58"/>
  <c r="K72" i="58"/>
  <c r="L72" i="58"/>
  <c r="M72" i="58"/>
  <c r="N72" i="58"/>
  <c r="O72" i="58"/>
  <c r="P72" i="58"/>
  <c r="Q72" i="58"/>
  <c r="R72" i="58"/>
  <c r="S72" i="58"/>
  <c r="T72" i="58"/>
  <c r="U72" i="58"/>
  <c r="V72" i="58"/>
  <c r="W72" i="58"/>
  <c r="X72" i="58"/>
  <c r="D73" i="58"/>
  <c r="E73" i="58"/>
  <c r="F73" i="58"/>
  <c r="G73" i="58"/>
  <c r="H73" i="58"/>
  <c r="I73" i="58"/>
  <c r="J73" i="58"/>
  <c r="K73" i="58"/>
  <c r="L73" i="58"/>
  <c r="M73" i="58"/>
  <c r="N73" i="58"/>
  <c r="O73" i="58"/>
  <c r="P73" i="58"/>
  <c r="Q73" i="58"/>
  <c r="R73" i="58"/>
  <c r="S73" i="58"/>
  <c r="T73" i="58"/>
  <c r="U73" i="58"/>
  <c r="V73" i="58"/>
  <c r="W73" i="58"/>
  <c r="X73" i="58"/>
  <c r="D74" i="58"/>
  <c r="E74" i="58"/>
  <c r="F74" i="58"/>
  <c r="G74" i="58"/>
  <c r="H74" i="58"/>
  <c r="I74" i="58"/>
  <c r="J74" i="58"/>
  <c r="K74" i="58"/>
  <c r="L74" i="58"/>
  <c r="M74" i="58"/>
  <c r="N74" i="58"/>
  <c r="O74" i="58"/>
  <c r="P74" i="58"/>
  <c r="Q74" i="58"/>
  <c r="R74" i="58"/>
  <c r="S74" i="58"/>
  <c r="T74" i="58"/>
  <c r="U74" i="58"/>
  <c r="V74" i="58"/>
  <c r="W74" i="58"/>
  <c r="X74" i="58"/>
  <c r="D75" i="58"/>
  <c r="E75" i="58"/>
  <c r="F75" i="58"/>
  <c r="G75" i="58"/>
  <c r="H75" i="58"/>
  <c r="I75" i="58"/>
  <c r="J75" i="58"/>
  <c r="K75" i="58"/>
  <c r="L75" i="58"/>
  <c r="M75" i="58"/>
  <c r="N75" i="58"/>
  <c r="O75" i="58"/>
  <c r="P75" i="58"/>
  <c r="Q75" i="58"/>
  <c r="R75" i="58"/>
  <c r="S75" i="58"/>
  <c r="T75" i="58"/>
  <c r="U75" i="58"/>
  <c r="V75" i="58"/>
  <c r="W75" i="58"/>
  <c r="X75" i="58"/>
  <c r="D76" i="58"/>
  <c r="E76" i="58"/>
  <c r="F76" i="58"/>
  <c r="G76" i="58"/>
  <c r="H76" i="58"/>
  <c r="I76" i="58"/>
  <c r="J76" i="58"/>
  <c r="K76" i="58"/>
  <c r="L76" i="58"/>
  <c r="M76" i="58"/>
  <c r="N76" i="58"/>
  <c r="O76" i="58"/>
  <c r="P76" i="58"/>
  <c r="Q76" i="58"/>
  <c r="R76" i="58"/>
  <c r="S76" i="58"/>
  <c r="T76" i="58"/>
  <c r="U76" i="58"/>
  <c r="V76" i="58"/>
  <c r="W76" i="58"/>
  <c r="X76" i="58"/>
  <c r="D77" i="58"/>
  <c r="E77" i="58"/>
  <c r="F77" i="58"/>
  <c r="G77" i="58"/>
  <c r="H77" i="58"/>
  <c r="I77" i="58"/>
  <c r="J77" i="58"/>
  <c r="K77" i="58"/>
  <c r="L77" i="58"/>
  <c r="M77" i="58"/>
  <c r="N77" i="58"/>
  <c r="O77" i="58"/>
  <c r="P77" i="58"/>
  <c r="Q77" i="58"/>
  <c r="R77" i="58"/>
  <c r="S77" i="58"/>
  <c r="T77" i="58"/>
  <c r="U77" i="58"/>
  <c r="V77" i="58"/>
  <c r="W77" i="58"/>
  <c r="X77" i="58"/>
  <c r="D78" i="58"/>
  <c r="E78" i="58"/>
  <c r="F78" i="58"/>
  <c r="G78" i="58"/>
  <c r="H78" i="58"/>
  <c r="I78" i="58"/>
  <c r="J78" i="58"/>
  <c r="K78" i="58"/>
  <c r="L78" i="58"/>
  <c r="M78" i="58"/>
  <c r="N78" i="58"/>
  <c r="O78" i="58"/>
  <c r="P78" i="58"/>
  <c r="Q78" i="58"/>
  <c r="R78" i="58"/>
  <c r="S78" i="58"/>
  <c r="T78" i="58"/>
  <c r="U78" i="58"/>
  <c r="V78" i="58"/>
  <c r="W78" i="58"/>
  <c r="X78" i="58"/>
  <c r="D79" i="58"/>
  <c r="E79" i="58"/>
  <c r="F79" i="58"/>
  <c r="G79" i="58"/>
  <c r="H79" i="58"/>
  <c r="I79" i="58"/>
  <c r="J79" i="58"/>
  <c r="K79" i="58"/>
  <c r="L79" i="58"/>
  <c r="M79" i="58"/>
  <c r="N79" i="58"/>
  <c r="O79" i="58"/>
  <c r="P79" i="58"/>
  <c r="Q79" i="58"/>
  <c r="R79" i="58"/>
  <c r="S79" i="58"/>
  <c r="T79" i="58"/>
  <c r="U79" i="58"/>
  <c r="V79" i="58"/>
  <c r="W79" i="58"/>
  <c r="X79" i="58"/>
  <c r="D80" i="58"/>
  <c r="E80" i="58"/>
  <c r="F80" i="58"/>
  <c r="G80" i="58"/>
  <c r="H80" i="58"/>
  <c r="I80" i="58"/>
  <c r="J80" i="58"/>
  <c r="K80" i="58"/>
  <c r="L80" i="58"/>
  <c r="M80" i="58"/>
  <c r="N80" i="58"/>
  <c r="O80" i="58"/>
  <c r="P80" i="58"/>
  <c r="Q80" i="58"/>
  <c r="R80" i="58"/>
  <c r="S80" i="58"/>
  <c r="T80" i="58"/>
  <c r="U80" i="58"/>
  <c r="V80" i="58"/>
  <c r="W80" i="58"/>
  <c r="X80" i="58"/>
  <c r="D81" i="58"/>
  <c r="E81" i="58"/>
  <c r="F81" i="58"/>
  <c r="G81" i="58"/>
  <c r="H81" i="58"/>
  <c r="I81" i="58"/>
  <c r="J81" i="58"/>
  <c r="K81" i="58"/>
  <c r="L81" i="58"/>
  <c r="M81" i="58"/>
  <c r="N81" i="58"/>
  <c r="O81" i="58"/>
  <c r="P81" i="58"/>
  <c r="Q81" i="58"/>
  <c r="R81" i="58"/>
  <c r="S81" i="58"/>
  <c r="T81" i="58"/>
  <c r="U81" i="58"/>
  <c r="V81" i="58"/>
  <c r="W81" i="58"/>
  <c r="X81" i="58"/>
  <c r="D82" i="58"/>
  <c r="E82" i="58"/>
  <c r="F82" i="58"/>
  <c r="G82" i="58"/>
  <c r="H82" i="58"/>
  <c r="I82" i="58"/>
  <c r="J82" i="58"/>
  <c r="K82" i="58"/>
  <c r="L82" i="58"/>
  <c r="M82" i="58"/>
  <c r="N82" i="58"/>
  <c r="O82" i="58"/>
  <c r="P82" i="58"/>
  <c r="Q82" i="58"/>
  <c r="R82" i="58"/>
  <c r="S82" i="58"/>
  <c r="T82" i="58"/>
  <c r="U82" i="58"/>
  <c r="V82" i="58"/>
  <c r="W82" i="58"/>
  <c r="X82" i="58"/>
  <c r="D83" i="58"/>
  <c r="E83" i="58"/>
  <c r="F83" i="58"/>
  <c r="G83" i="58"/>
  <c r="H83" i="58"/>
  <c r="I83" i="58"/>
  <c r="J83" i="58"/>
  <c r="K83" i="58"/>
  <c r="L83" i="58"/>
  <c r="M83" i="58"/>
  <c r="N83" i="58"/>
  <c r="O83" i="58"/>
  <c r="P83" i="58"/>
  <c r="Q83" i="58"/>
  <c r="R83" i="58"/>
  <c r="S83" i="58"/>
  <c r="T83" i="58"/>
  <c r="U83" i="58"/>
  <c r="V83" i="58"/>
  <c r="W83" i="58"/>
  <c r="X83" i="58"/>
  <c r="D84" i="58"/>
  <c r="E84" i="58"/>
  <c r="F84" i="58"/>
  <c r="G84" i="58"/>
  <c r="H84" i="58"/>
  <c r="I84" i="58"/>
  <c r="J84" i="58"/>
  <c r="K84" i="58"/>
  <c r="L84" i="58"/>
  <c r="M84" i="58"/>
  <c r="N84" i="58"/>
  <c r="O84" i="58"/>
  <c r="P84" i="58"/>
  <c r="Q84" i="58"/>
  <c r="R84" i="58"/>
  <c r="S84" i="58"/>
  <c r="T84" i="58"/>
  <c r="U84" i="58"/>
  <c r="V84" i="58"/>
  <c r="W84" i="58"/>
  <c r="X84" i="58"/>
  <c r="D85" i="58"/>
  <c r="E85" i="58"/>
  <c r="F85" i="58"/>
  <c r="G85" i="58"/>
  <c r="H85" i="58"/>
  <c r="I85" i="58"/>
  <c r="J85" i="58"/>
  <c r="K85" i="58"/>
  <c r="L85" i="58"/>
  <c r="M85" i="58"/>
  <c r="N85" i="58"/>
  <c r="O85" i="58"/>
  <c r="P85" i="58"/>
  <c r="Q85" i="58"/>
  <c r="R85" i="58"/>
  <c r="S85" i="58"/>
  <c r="T85" i="58"/>
  <c r="U85" i="58"/>
  <c r="V85" i="58"/>
  <c r="W85" i="58"/>
  <c r="X85" i="58"/>
  <c r="D86" i="58"/>
  <c r="E86" i="58"/>
  <c r="F86" i="58"/>
  <c r="G86" i="58"/>
  <c r="H86" i="58"/>
  <c r="I86" i="58"/>
  <c r="J86" i="58"/>
  <c r="K86" i="58"/>
  <c r="L86" i="58"/>
  <c r="M86" i="58"/>
  <c r="N86" i="58"/>
  <c r="O86" i="58"/>
  <c r="P86" i="58"/>
  <c r="Q86" i="58"/>
  <c r="R86" i="58"/>
  <c r="S86" i="58"/>
  <c r="T86" i="58"/>
  <c r="U86" i="58"/>
  <c r="V86" i="58"/>
  <c r="W86" i="58"/>
  <c r="X86" i="58"/>
  <c r="D87" i="58"/>
  <c r="E87" i="58"/>
  <c r="F87" i="58"/>
  <c r="G87" i="58"/>
  <c r="H87" i="58"/>
  <c r="I87" i="58"/>
  <c r="J87" i="58"/>
  <c r="K87" i="58"/>
  <c r="L87" i="58"/>
  <c r="M87" i="58"/>
  <c r="N87" i="58"/>
  <c r="O87" i="58"/>
  <c r="P87" i="58"/>
  <c r="Q87" i="58"/>
  <c r="R87" i="58"/>
  <c r="S87" i="58"/>
  <c r="T87" i="58"/>
  <c r="U87" i="58"/>
  <c r="V87" i="58"/>
  <c r="W87" i="58"/>
  <c r="X87" i="58"/>
  <c r="D88" i="58"/>
  <c r="E88" i="58"/>
  <c r="F88" i="58"/>
  <c r="G88" i="58"/>
  <c r="H88" i="58"/>
  <c r="I88" i="58"/>
  <c r="J88" i="58"/>
  <c r="K88" i="58"/>
  <c r="L88" i="58"/>
  <c r="M88" i="58"/>
  <c r="N88" i="58"/>
  <c r="O88" i="58"/>
  <c r="P88" i="58"/>
  <c r="Q88" i="58"/>
  <c r="R88" i="58"/>
  <c r="S88" i="58"/>
  <c r="T88" i="58"/>
  <c r="U88" i="58"/>
  <c r="V88" i="58"/>
  <c r="W88" i="58"/>
  <c r="X88" i="58"/>
  <c r="D89" i="58"/>
  <c r="E89" i="58"/>
  <c r="F89" i="58"/>
  <c r="G89" i="58"/>
  <c r="H89" i="58"/>
  <c r="I89" i="58"/>
  <c r="J89" i="58"/>
  <c r="K89" i="58"/>
  <c r="L89" i="58"/>
  <c r="M89" i="58"/>
  <c r="N89" i="58"/>
  <c r="O89" i="58"/>
  <c r="P89" i="58"/>
  <c r="Q89" i="58"/>
  <c r="R89" i="58"/>
  <c r="S89" i="58"/>
  <c r="T89" i="58"/>
  <c r="U89" i="58"/>
  <c r="V89" i="58"/>
  <c r="W89" i="58"/>
  <c r="X89" i="58"/>
  <c r="D90" i="58"/>
  <c r="E90" i="58"/>
  <c r="F90" i="58"/>
  <c r="G90" i="58"/>
  <c r="H90" i="58"/>
  <c r="I90" i="58"/>
  <c r="J90" i="58"/>
  <c r="K90" i="58"/>
  <c r="L90" i="58"/>
  <c r="M90" i="58"/>
  <c r="N90" i="58"/>
  <c r="O90" i="58"/>
  <c r="P90" i="58"/>
  <c r="Q90" i="58"/>
  <c r="R90" i="58"/>
  <c r="S90" i="58"/>
  <c r="T90" i="58"/>
  <c r="U90" i="58"/>
  <c r="V90" i="58"/>
  <c r="W90" i="58"/>
  <c r="X90" i="58"/>
  <c r="D91" i="58"/>
  <c r="E91" i="58"/>
  <c r="F91" i="58"/>
  <c r="G91" i="58"/>
  <c r="H91" i="58"/>
  <c r="I91" i="58"/>
  <c r="J91" i="58"/>
  <c r="K91" i="58"/>
  <c r="L91" i="58"/>
  <c r="M91" i="58"/>
  <c r="N91" i="58"/>
  <c r="O91" i="58"/>
  <c r="P91" i="58"/>
  <c r="Q91" i="58"/>
  <c r="R91" i="58"/>
  <c r="S91" i="58"/>
  <c r="T91" i="58"/>
  <c r="U91" i="58"/>
  <c r="V91" i="58"/>
  <c r="W91" i="58"/>
  <c r="X91" i="58"/>
  <c r="D92" i="58"/>
  <c r="E92" i="58"/>
  <c r="F92" i="58"/>
  <c r="G92" i="58"/>
  <c r="H92" i="58"/>
  <c r="I92" i="58"/>
  <c r="J92" i="58"/>
  <c r="K92" i="58"/>
  <c r="L92" i="58"/>
  <c r="M92" i="58"/>
  <c r="N92" i="58"/>
  <c r="O92" i="58"/>
  <c r="P92" i="58"/>
  <c r="Q92" i="58"/>
  <c r="R92" i="58"/>
  <c r="S92" i="58"/>
  <c r="T92" i="58"/>
  <c r="U92" i="58"/>
  <c r="V92" i="58"/>
  <c r="W92" i="58"/>
  <c r="X92" i="58"/>
  <c r="D93" i="58"/>
  <c r="E93" i="58"/>
  <c r="F93" i="58"/>
  <c r="G93" i="58"/>
  <c r="H93" i="58"/>
  <c r="I93" i="58"/>
  <c r="J93" i="58"/>
  <c r="K93" i="58"/>
  <c r="L93" i="58"/>
  <c r="M93" i="58"/>
  <c r="N93" i="58"/>
  <c r="O93" i="58"/>
  <c r="P93" i="58"/>
  <c r="Q93" i="58"/>
  <c r="R93" i="58"/>
  <c r="S93" i="58"/>
  <c r="T93" i="58"/>
  <c r="U93" i="58"/>
  <c r="V93" i="58"/>
  <c r="W93" i="58"/>
  <c r="X93" i="58"/>
  <c r="D94" i="58"/>
  <c r="E94" i="58"/>
  <c r="F94" i="58"/>
  <c r="G94" i="58"/>
  <c r="H94" i="58"/>
  <c r="I94" i="58"/>
  <c r="J94" i="58"/>
  <c r="K94" i="58"/>
  <c r="L94" i="58"/>
  <c r="M94" i="58"/>
  <c r="N94" i="58"/>
  <c r="O94" i="58"/>
  <c r="P94" i="58"/>
  <c r="Q94" i="58"/>
  <c r="R94" i="58"/>
  <c r="S94" i="58"/>
  <c r="T94" i="58"/>
  <c r="U94" i="58"/>
  <c r="V94" i="58"/>
  <c r="W94" i="58"/>
  <c r="X94" i="58"/>
  <c r="D95" i="58"/>
  <c r="E95" i="58"/>
  <c r="F95" i="58"/>
  <c r="G95" i="58"/>
  <c r="H95" i="58"/>
  <c r="I95" i="58"/>
  <c r="J95" i="58"/>
  <c r="K95" i="58"/>
  <c r="L95" i="58"/>
  <c r="M95" i="58"/>
  <c r="N95" i="58"/>
  <c r="O95" i="58"/>
  <c r="P95" i="58"/>
  <c r="Q95" i="58"/>
  <c r="R95" i="58"/>
  <c r="S95" i="58"/>
  <c r="T95" i="58"/>
  <c r="U95" i="58"/>
  <c r="V95" i="58"/>
  <c r="W95" i="58"/>
  <c r="X95" i="58"/>
  <c r="D96" i="58"/>
  <c r="E96" i="58"/>
  <c r="F96" i="58"/>
  <c r="G96" i="58"/>
  <c r="H96" i="58"/>
  <c r="I96" i="58"/>
  <c r="J96" i="58"/>
  <c r="K96" i="58"/>
  <c r="L96" i="58"/>
  <c r="M96" i="58"/>
  <c r="N96" i="58"/>
  <c r="O96" i="58"/>
  <c r="P96" i="58"/>
  <c r="Q96" i="58"/>
  <c r="R96" i="58"/>
  <c r="S96" i="58"/>
  <c r="T96" i="58"/>
  <c r="U96" i="58"/>
  <c r="V96" i="58"/>
  <c r="W96" i="58"/>
  <c r="X96" i="58"/>
  <c r="D97" i="58"/>
  <c r="E97" i="58"/>
  <c r="F97" i="58"/>
  <c r="G97" i="58"/>
  <c r="H97" i="58"/>
  <c r="I97" i="58"/>
  <c r="J97" i="58"/>
  <c r="K97" i="58"/>
  <c r="L97" i="58"/>
  <c r="M97" i="58"/>
  <c r="N97" i="58"/>
  <c r="O97" i="58"/>
  <c r="P97" i="58"/>
  <c r="Q97" i="58"/>
  <c r="R97" i="58"/>
  <c r="S97" i="58"/>
  <c r="T97" i="58"/>
  <c r="U97" i="58"/>
  <c r="V97" i="58"/>
  <c r="W97" i="58"/>
  <c r="X97" i="58"/>
  <c r="D98" i="58"/>
  <c r="E98" i="58"/>
  <c r="F98" i="58"/>
  <c r="G98" i="58"/>
  <c r="H98" i="58"/>
  <c r="I98" i="58"/>
  <c r="J98" i="58"/>
  <c r="K98" i="58"/>
  <c r="L98" i="58"/>
  <c r="M98" i="58"/>
  <c r="N98" i="58"/>
  <c r="O98" i="58"/>
  <c r="P98" i="58"/>
  <c r="Q98" i="58"/>
  <c r="R98" i="58"/>
  <c r="S98" i="58"/>
  <c r="T98" i="58"/>
  <c r="U98" i="58"/>
  <c r="V98" i="58"/>
  <c r="W98" i="58"/>
  <c r="X98" i="58"/>
  <c r="D99" i="58"/>
  <c r="E99" i="58"/>
  <c r="F99" i="58"/>
  <c r="G99" i="58"/>
  <c r="H99" i="58"/>
  <c r="I99" i="58"/>
  <c r="J99" i="58"/>
  <c r="K99" i="58"/>
  <c r="L99" i="58"/>
  <c r="M99" i="58"/>
  <c r="N99" i="58"/>
  <c r="O99" i="58"/>
  <c r="P99" i="58"/>
  <c r="Q99" i="58"/>
  <c r="R99" i="58"/>
  <c r="S99" i="58"/>
  <c r="T99" i="58"/>
  <c r="U99" i="58"/>
  <c r="V99" i="58"/>
  <c r="W99" i="58"/>
  <c r="X99" i="58"/>
  <c r="D185" i="55"/>
  <c r="E185" i="55"/>
  <c r="F185" i="55"/>
  <c r="G185" i="55"/>
  <c r="H185" i="55"/>
  <c r="I185" i="55"/>
  <c r="J185" i="55"/>
  <c r="K185" i="55"/>
  <c r="L185" i="55"/>
  <c r="M185" i="55"/>
  <c r="N185" i="55"/>
  <c r="O185" i="55"/>
  <c r="P185" i="55"/>
  <c r="Q185" i="55"/>
  <c r="R185" i="55"/>
  <c r="S185" i="55"/>
  <c r="T185" i="55"/>
  <c r="U185" i="55"/>
  <c r="V185" i="55"/>
  <c r="W185" i="55"/>
  <c r="X185" i="55"/>
  <c r="D186" i="55"/>
  <c r="E186" i="55"/>
  <c r="F186" i="55"/>
  <c r="G186" i="55"/>
  <c r="H186" i="55"/>
  <c r="I186" i="55"/>
  <c r="J186" i="55"/>
  <c r="K186" i="55"/>
  <c r="L186" i="55"/>
  <c r="M186" i="55"/>
  <c r="N186" i="55"/>
  <c r="O186" i="55"/>
  <c r="P186" i="55"/>
  <c r="Q186" i="55"/>
  <c r="R186" i="55"/>
  <c r="S186" i="55"/>
  <c r="T186" i="55"/>
  <c r="U186" i="55"/>
  <c r="V186" i="55"/>
  <c r="W186" i="55"/>
  <c r="X186" i="55"/>
  <c r="R103" i="57"/>
  <c r="S103" i="57"/>
  <c r="T103" i="57"/>
  <c r="U103" i="57"/>
  <c r="V103" i="57"/>
  <c r="W103" i="57"/>
  <c r="X103" i="57"/>
  <c r="R104" i="57"/>
  <c r="S104" i="57"/>
  <c r="T104" i="57"/>
  <c r="U104" i="57"/>
  <c r="V104" i="57"/>
  <c r="W104" i="57"/>
  <c r="X104" i="57"/>
  <c r="R105" i="57"/>
  <c r="S105" i="57"/>
  <c r="T105" i="57"/>
  <c r="U105" i="57"/>
  <c r="V105" i="57"/>
  <c r="W105" i="57"/>
  <c r="X105" i="57"/>
  <c r="R106" i="57"/>
  <c r="S106" i="57"/>
  <c r="T106" i="57"/>
  <c r="U106" i="57"/>
  <c r="V106" i="57"/>
  <c r="W106" i="57"/>
  <c r="X106" i="57"/>
  <c r="R107" i="57"/>
  <c r="S107" i="57"/>
  <c r="T107" i="57"/>
  <c r="U107" i="57"/>
  <c r="V107" i="57"/>
  <c r="W107" i="57"/>
  <c r="X107" i="57"/>
  <c r="R108" i="57"/>
  <c r="S108" i="57"/>
  <c r="T108" i="57"/>
  <c r="U108" i="57"/>
  <c r="V108" i="57"/>
  <c r="W108" i="57"/>
  <c r="X108" i="57"/>
  <c r="R109" i="57"/>
  <c r="S109" i="57"/>
  <c r="T109" i="57"/>
  <c r="U109" i="57"/>
  <c r="V109" i="57"/>
  <c r="W109" i="57"/>
  <c r="X109" i="57"/>
  <c r="R110" i="57"/>
  <c r="S110" i="57"/>
  <c r="T110" i="57"/>
  <c r="U110" i="57"/>
  <c r="V110" i="57"/>
  <c r="W110" i="57"/>
  <c r="X110" i="57"/>
  <c r="R111" i="57"/>
  <c r="S111" i="57"/>
  <c r="T111" i="57"/>
  <c r="U111" i="57"/>
  <c r="V111" i="57"/>
  <c r="W111" i="57"/>
  <c r="X111" i="57"/>
  <c r="R112" i="57"/>
  <c r="S112" i="57"/>
  <c r="T112" i="57"/>
  <c r="U112" i="57"/>
  <c r="V112" i="57"/>
  <c r="W112" i="57"/>
  <c r="X112" i="57"/>
  <c r="R113" i="57"/>
  <c r="S113" i="57"/>
  <c r="T113" i="57"/>
  <c r="U113" i="57"/>
  <c r="V113" i="57"/>
  <c r="W113" i="57"/>
  <c r="X113" i="57"/>
  <c r="R114" i="57"/>
  <c r="S114" i="57"/>
  <c r="T114" i="57"/>
  <c r="U114" i="57"/>
  <c r="V114" i="57"/>
  <c r="W114" i="57"/>
  <c r="X114" i="57"/>
  <c r="R115" i="57"/>
  <c r="S115" i="57"/>
  <c r="T115" i="57"/>
  <c r="U115" i="57"/>
  <c r="V115" i="57"/>
  <c r="W115" i="57"/>
  <c r="X115" i="57"/>
  <c r="R116" i="57"/>
  <c r="S116" i="57"/>
  <c r="T116" i="57"/>
  <c r="U116" i="57"/>
  <c r="V116" i="57"/>
  <c r="W116" i="57"/>
  <c r="X116" i="57"/>
  <c r="R117" i="57"/>
  <c r="S117" i="57"/>
  <c r="T117" i="57"/>
  <c r="U117" i="57"/>
  <c r="V117" i="57"/>
  <c r="W117" i="57"/>
  <c r="X117" i="57"/>
  <c r="D5" i="57"/>
  <c r="E5" i="57"/>
  <c r="F5" i="57"/>
  <c r="G5" i="57"/>
  <c r="H5" i="57"/>
  <c r="I5" i="57"/>
  <c r="J5" i="57"/>
  <c r="K5" i="57"/>
  <c r="L5" i="57"/>
  <c r="M5" i="57"/>
  <c r="N5" i="57"/>
  <c r="O5" i="57"/>
  <c r="P5" i="57"/>
  <c r="Q5" i="57"/>
  <c r="R5" i="57"/>
  <c r="S5" i="57"/>
  <c r="T5" i="57"/>
  <c r="U5" i="57"/>
  <c r="V5" i="57"/>
  <c r="W5" i="57"/>
  <c r="X5" i="57"/>
  <c r="D6" i="57"/>
  <c r="E6" i="57"/>
  <c r="F6" i="57"/>
  <c r="G6" i="57"/>
  <c r="H6" i="57"/>
  <c r="I6" i="57"/>
  <c r="J6" i="57"/>
  <c r="K6" i="57"/>
  <c r="L6" i="57"/>
  <c r="M6" i="57"/>
  <c r="N6" i="57"/>
  <c r="O6" i="57"/>
  <c r="P6" i="57"/>
  <c r="Q6" i="57"/>
  <c r="R6" i="57"/>
  <c r="S6" i="57"/>
  <c r="T6" i="57"/>
  <c r="U6" i="57"/>
  <c r="V6" i="57"/>
  <c r="W6" i="57"/>
  <c r="X6" i="57"/>
  <c r="D7" i="57"/>
  <c r="E7" i="57"/>
  <c r="F7" i="57"/>
  <c r="G7" i="57"/>
  <c r="H7" i="57"/>
  <c r="I7" i="57"/>
  <c r="J7" i="57"/>
  <c r="K7" i="57"/>
  <c r="L7" i="57"/>
  <c r="M7" i="57"/>
  <c r="N7" i="57"/>
  <c r="O7" i="57"/>
  <c r="P7" i="57"/>
  <c r="Q7" i="57"/>
  <c r="R7" i="57"/>
  <c r="S7" i="57"/>
  <c r="T7" i="57"/>
  <c r="U7" i="57"/>
  <c r="V7" i="57"/>
  <c r="W7" i="57"/>
  <c r="X7" i="57"/>
  <c r="D8" i="57"/>
  <c r="E8" i="57"/>
  <c r="F8" i="57"/>
  <c r="G8" i="57"/>
  <c r="H8" i="57"/>
  <c r="I8" i="57"/>
  <c r="J8" i="57"/>
  <c r="K8" i="57"/>
  <c r="L8" i="57"/>
  <c r="M8" i="57"/>
  <c r="N8" i="57"/>
  <c r="O8" i="57"/>
  <c r="P8" i="57"/>
  <c r="Q8" i="57"/>
  <c r="R8" i="57"/>
  <c r="S8" i="57"/>
  <c r="T8" i="57"/>
  <c r="U8" i="57"/>
  <c r="V8" i="57"/>
  <c r="W8" i="57"/>
  <c r="X8" i="57"/>
  <c r="D9" i="57"/>
  <c r="E9" i="57"/>
  <c r="F9" i="57"/>
  <c r="G9" i="57"/>
  <c r="H9" i="57"/>
  <c r="I9" i="57"/>
  <c r="J9" i="57"/>
  <c r="K9" i="57"/>
  <c r="L9" i="57"/>
  <c r="M9" i="57"/>
  <c r="N9" i="57"/>
  <c r="O9" i="57"/>
  <c r="P9" i="57"/>
  <c r="Q9" i="57"/>
  <c r="R9" i="57"/>
  <c r="S9" i="57"/>
  <c r="T9" i="57"/>
  <c r="U9" i="57"/>
  <c r="V9" i="57"/>
  <c r="W9" i="57"/>
  <c r="X9" i="57"/>
  <c r="D10" i="57"/>
  <c r="E10" i="57"/>
  <c r="F10" i="57"/>
  <c r="G10" i="57"/>
  <c r="H10" i="57"/>
  <c r="I10" i="57"/>
  <c r="J10" i="57"/>
  <c r="K10" i="57"/>
  <c r="L10" i="57"/>
  <c r="M10" i="57"/>
  <c r="N10" i="57"/>
  <c r="O10" i="57"/>
  <c r="P10" i="57"/>
  <c r="Q10" i="57"/>
  <c r="R10" i="57"/>
  <c r="S10" i="57"/>
  <c r="T10" i="57"/>
  <c r="U10" i="57"/>
  <c r="V10" i="57"/>
  <c r="W10" i="57"/>
  <c r="X10" i="57"/>
  <c r="D11" i="57"/>
  <c r="E11" i="57"/>
  <c r="F11" i="57"/>
  <c r="G11" i="57"/>
  <c r="H11" i="57"/>
  <c r="I11" i="57"/>
  <c r="J11" i="57"/>
  <c r="K11" i="57"/>
  <c r="L11" i="57"/>
  <c r="M11" i="57"/>
  <c r="N11" i="57"/>
  <c r="O11" i="57"/>
  <c r="P11" i="57"/>
  <c r="Q11" i="57"/>
  <c r="R11" i="57"/>
  <c r="S11" i="57"/>
  <c r="T11" i="57"/>
  <c r="U11" i="57"/>
  <c r="V11" i="57"/>
  <c r="W11" i="57"/>
  <c r="X11" i="57"/>
  <c r="D12" i="57"/>
  <c r="E12" i="57"/>
  <c r="F12" i="57"/>
  <c r="G12" i="57"/>
  <c r="H12" i="57"/>
  <c r="I12" i="57"/>
  <c r="J12" i="57"/>
  <c r="K12" i="57"/>
  <c r="L12" i="57"/>
  <c r="M12" i="57"/>
  <c r="N12" i="57"/>
  <c r="O12" i="57"/>
  <c r="P12" i="57"/>
  <c r="Q12" i="57"/>
  <c r="R12" i="57"/>
  <c r="S12" i="57"/>
  <c r="T12" i="57"/>
  <c r="U12" i="57"/>
  <c r="V12" i="57"/>
  <c r="W12" i="57"/>
  <c r="X12" i="57"/>
  <c r="D13" i="57"/>
  <c r="E13" i="57"/>
  <c r="F13" i="57"/>
  <c r="G13" i="57"/>
  <c r="H13" i="57"/>
  <c r="I13" i="57"/>
  <c r="J13" i="57"/>
  <c r="K13" i="57"/>
  <c r="L13" i="57"/>
  <c r="M13" i="57"/>
  <c r="N13" i="57"/>
  <c r="O13" i="57"/>
  <c r="P13" i="57"/>
  <c r="Q13" i="57"/>
  <c r="R13" i="57"/>
  <c r="S13" i="57"/>
  <c r="T13" i="57"/>
  <c r="U13" i="57"/>
  <c r="V13" i="57"/>
  <c r="W13" i="57"/>
  <c r="X13" i="57"/>
  <c r="D14" i="57"/>
  <c r="E14" i="57"/>
  <c r="F14" i="57"/>
  <c r="G14" i="57"/>
  <c r="H14" i="57"/>
  <c r="I14" i="57"/>
  <c r="J14" i="57"/>
  <c r="K14" i="57"/>
  <c r="L14" i="57"/>
  <c r="M14" i="57"/>
  <c r="N14" i="57"/>
  <c r="O14" i="57"/>
  <c r="P14" i="57"/>
  <c r="Q14" i="57"/>
  <c r="R14" i="57"/>
  <c r="S14" i="57"/>
  <c r="T14" i="57"/>
  <c r="U14" i="57"/>
  <c r="V14" i="57"/>
  <c r="W14" i="57"/>
  <c r="X14" i="57"/>
  <c r="D15" i="57"/>
  <c r="E15" i="57"/>
  <c r="F15" i="57"/>
  <c r="G15" i="57"/>
  <c r="H15" i="57"/>
  <c r="I15" i="57"/>
  <c r="J15" i="57"/>
  <c r="K15" i="57"/>
  <c r="L15" i="57"/>
  <c r="M15" i="57"/>
  <c r="N15" i="57"/>
  <c r="O15" i="57"/>
  <c r="P15" i="57"/>
  <c r="Q15" i="57"/>
  <c r="R15" i="57"/>
  <c r="S15" i="57"/>
  <c r="T15" i="57"/>
  <c r="U15" i="57"/>
  <c r="V15" i="57"/>
  <c r="W15" i="57"/>
  <c r="X15" i="57"/>
  <c r="D16" i="57"/>
  <c r="E16" i="57"/>
  <c r="F16" i="57"/>
  <c r="G16" i="57"/>
  <c r="H16" i="57"/>
  <c r="I16" i="57"/>
  <c r="J16" i="57"/>
  <c r="K16" i="57"/>
  <c r="L16" i="57"/>
  <c r="M16" i="57"/>
  <c r="N16" i="57"/>
  <c r="O16" i="57"/>
  <c r="P16" i="57"/>
  <c r="Q16" i="57"/>
  <c r="R16" i="57"/>
  <c r="S16" i="57"/>
  <c r="T16" i="57"/>
  <c r="U16" i="57"/>
  <c r="V16" i="57"/>
  <c r="W16" i="57"/>
  <c r="X16" i="57"/>
  <c r="D17" i="57"/>
  <c r="E17" i="57"/>
  <c r="F17" i="57"/>
  <c r="G17" i="57"/>
  <c r="H17" i="57"/>
  <c r="I17" i="57"/>
  <c r="J17" i="57"/>
  <c r="K17" i="57"/>
  <c r="L17" i="57"/>
  <c r="M17" i="57"/>
  <c r="N17" i="57"/>
  <c r="O17" i="57"/>
  <c r="P17" i="57"/>
  <c r="Q17" i="57"/>
  <c r="R17" i="57"/>
  <c r="S17" i="57"/>
  <c r="T17" i="57"/>
  <c r="U17" i="57"/>
  <c r="V17" i="57"/>
  <c r="W17" i="57"/>
  <c r="X17" i="57"/>
  <c r="D18" i="57"/>
  <c r="E18" i="57"/>
  <c r="F18" i="57"/>
  <c r="G18" i="57"/>
  <c r="H18" i="57"/>
  <c r="I18" i="57"/>
  <c r="J18" i="57"/>
  <c r="K18" i="57"/>
  <c r="L18" i="57"/>
  <c r="M18" i="57"/>
  <c r="N18" i="57"/>
  <c r="O18" i="57"/>
  <c r="P18" i="57"/>
  <c r="Q18" i="57"/>
  <c r="R18" i="57"/>
  <c r="S18" i="57"/>
  <c r="T18" i="57"/>
  <c r="U18" i="57"/>
  <c r="V18" i="57"/>
  <c r="W18" i="57"/>
  <c r="X18" i="57"/>
  <c r="D19" i="57"/>
  <c r="E19" i="57"/>
  <c r="F19" i="57"/>
  <c r="G19" i="57"/>
  <c r="H19" i="57"/>
  <c r="I19" i="57"/>
  <c r="J19" i="57"/>
  <c r="K19" i="57"/>
  <c r="L19" i="57"/>
  <c r="M19" i="57"/>
  <c r="N19" i="57"/>
  <c r="O19" i="57"/>
  <c r="P19" i="57"/>
  <c r="Q19" i="57"/>
  <c r="R19" i="57"/>
  <c r="S19" i="57"/>
  <c r="T19" i="57"/>
  <c r="U19" i="57"/>
  <c r="V19" i="57"/>
  <c r="W19" i="57"/>
  <c r="X19" i="57"/>
  <c r="D20" i="57"/>
  <c r="E20" i="57"/>
  <c r="F20" i="57"/>
  <c r="G20" i="57"/>
  <c r="H20" i="57"/>
  <c r="I20" i="57"/>
  <c r="J20" i="57"/>
  <c r="K20" i="57"/>
  <c r="L20" i="57"/>
  <c r="M20" i="57"/>
  <c r="N20" i="57"/>
  <c r="O20" i="57"/>
  <c r="P20" i="57"/>
  <c r="Q20" i="57"/>
  <c r="R20" i="57"/>
  <c r="S20" i="57"/>
  <c r="T20" i="57"/>
  <c r="U20" i="57"/>
  <c r="V20" i="57"/>
  <c r="W20" i="57"/>
  <c r="X20" i="57"/>
  <c r="D21" i="57"/>
  <c r="E21" i="57"/>
  <c r="F21" i="57"/>
  <c r="G21" i="57"/>
  <c r="H21" i="57"/>
  <c r="I21" i="57"/>
  <c r="J21" i="57"/>
  <c r="K21" i="57"/>
  <c r="L21" i="57"/>
  <c r="M21" i="57"/>
  <c r="N21" i="57"/>
  <c r="O21" i="57"/>
  <c r="P21" i="57"/>
  <c r="Q21" i="57"/>
  <c r="R21" i="57"/>
  <c r="S21" i="57"/>
  <c r="T21" i="57"/>
  <c r="U21" i="57"/>
  <c r="V21" i="57"/>
  <c r="W21" i="57"/>
  <c r="X21" i="57"/>
  <c r="D22" i="57"/>
  <c r="E22" i="57"/>
  <c r="F22" i="57"/>
  <c r="G22" i="57"/>
  <c r="H22" i="57"/>
  <c r="I22" i="57"/>
  <c r="J22" i="57"/>
  <c r="K22" i="57"/>
  <c r="L22" i="57"/>
  <c r="M22" i="57"/>
  <c r="N22" i="57"/>
  <c r="O22" i="57"/>
  <c r="P22" i="57"/>
  <c r="Q22" i="57"/>
  <c r="R22" i="57"/>
  <c r="S22" i="57"/>
  <c r="T22" i="57"/>
  <c r="U22" i="57"/>
  <c r="V22" i="57"/>
  <c r="W22" i="57"/>
  <c r="X22" i="57"/>
  <c r="D23" i="57"/>
  <c r="E23" i="57"/>
  <c r="F23" i="57"/>
  <c r="G23" i="57"/>
  <c r="H23" i="57"/>
  <c r="I23" i="57"/>
  <c r="J23" i="57"/>
  <c r="K23" i="57"/>
  <c r="L23" i="57"/>
  <c r="M23" i="57"/>
  <c r="N23" i="57"/>
  <c r="O23" i="57"/>
  <c r="P23" i="57"/>
  <c r="Q23" i="57"/>
  <c r="R23" i="57"/>
  <c r="S23" i="57"/>
  <c r="T23" i="57"/>
  <c r="U23" i="57"/>
  <c r="V23" i="57"/>
  <c r="W23" i="57"/>
  <c r="X23" i="57"/>
  <c r="D24" i="57"/>
  <c r="E24" i="57"/>
  <c r="F24" i="57"/>
  <c r="G24" i="57"/>
  <c r="H24" i="57"/>
  <c r="I24" i="57"/>
  <c r="J24" i="57"/>
  <c r="K24" i="57"/>
  <c r="L24" i="57"/>
  <c r="M24" i="57"/>
  <c r="N24" i="57"/>
  <c r="O24" i="57"/>
  <c r="P24" i="57"/>
  <c r="Q24" i="57"/>
  <c r="R24" i="57"/>
  <c r="S24" i="57"/>
  <c r="T24" i="57"/>
  <c r="U24" i="57"/>
  <c r="V24" i="57"/>
  <c r="W24" i="57"/>
  <c r="X24" i="57"/>
  <c r="D25" i="57"/>
  <c r="E25" i="57"/>
  <c r="F25" i="57"/>
  <c r="G25" i="57"/>
  <c r="H25" i="57"/>
  <c r="I25" i="57"/>
  <c r="J25" i="57"/>
  <c r="K25" i="57"/>
  <c r="L25" i="57"/>
  <c r="M25" i="57"/>
  <c r="N25" i="57"/>
  <c r="O25" i="57"/>
  <c r="P25" i="57"/>
  <c r="Q25" i="57"/>
  <c r="R25" i="57"/>
  <c r="S25" i="57"/>
  <c r="T25" i="57"/>
  <c r="U25" i="57"/>
  <c r="V25" i="57"/>
  <c r="W25" i="57"/>
  <c r="X25" i="57"/>
  <c r="D26" i="57"/>
  <c r="E26" i="57"/>
  <c r="F26" i="57"/>
  <c r="G26" i="57"/>
  <c r="H26" i="57"/>
  <c r="I26" i="57"/>
  <c r="J26" i="57"/>
  <c r="K26" i="57"/>
  <c r="L26" i="57"/>
  <c r="M26" i="57"/>
  <c r="N26" i="57"/>
  <c r="O26" i="57"/>
  <c r="P26" i="57"/>
  <c r="Q26" i="57"/>
  <c r="R26" i="57"/>
  <c r="S26" i="57"/>
  <c r="T26" i="57"/>
  <c r="U26" i="57"/>
  <c r="V26" i="57"/>
  <c r="W26" i="57"/>
  <c r="X26" i="57"/>
  <c r="D27" i="57"/>
  <c r="E27" i="57"/>
  <c r="F27" i="57"/>
  <c r="G27" i="57"/>
  <c r="H27" i="57"/>
  <c r="I27" i="57"/>
  <c r="J27" i="57"/>
  <c r="K27" i="57"/>
  <c r="L27" i="57"/>
  <c r="M27" i="57"/>
  <c r="N27" i="57"/>
  <c r="O27" i="57"/>
  <c r="P27" i="57"/>
  <c r="Q27" i="57"/>
  <c r="R27" i="57"/>
  <c r="S27" i="57"/>
  <c r="T27" i="57"/>
  <c r="U27" i="57"/>
  <c r="V27" i="57"/>
  <c r="W27" i="57"/>
  <c r="X27" i="57"/>
  <c r="D28" i="57"/>
  <c r="E28" i="57"/>
  <c r="F28" i="57"/>
  <c r="G28" i="57"/>
  <c r="H28" i="57"/>
  <c r="I28" i="57"/>
  <c r="J28" i="57"/>
  <c r="K28" i="57"/>
  <c r="L28" i="57"/>
  <c r="M28" i="57"/>
  <c r="N28" i="57"/>
  <c r="O28" i="57"/>
  <c r="P28" i="57"/>
  <c r="Q28" i="57"/>
  <c r="R28" i="57"/>
  <c r="S28" i="57"/>
  <c r="T28" i="57"/>
  <c r="U28" i="57"/>
  <c r="V28" i="57"/>
  <c r="W28" i="57"/>
  <c r="X28" i="57"/>
  <c r="D29" i="57"/>
  <c r="E29" i="57"/>
  <c r="F29" i="57"/>
  <c r="G29" i="57"/>
  <c r="H29" i="57"/>
  <c r="I29" i="57"/>
  <c r="J29" i="57"/>
  <c r="K29" i="57"/>
  <c r="L29" i="57"/>
  <c r="M29" i="57"/>
  <c r="N29" i="57"/>
  <c r="O29" i="57"/>
  <c r="P29" i="57"/>
  <c r="Q29" i="57"/>
  <c r="R29" i="57"/>
  <c r="S29" i="57"/>
  <c r="T29" i="57"/>
  <c r="U29" i="57"/>
  <c r="V29" i="57"/>
  <c r="W29" i="57"/>
  <c r="X29" i="57"/>
  <c r="D30" i="57"/>
  <c r="E30" i="57"/>
  <c r="F30" i="57"/>
  <c r="G30" i="57"/>
  <c r="H30" i="57"/>
  <c r="I30" i="57"/>
  <c r="J30" i="57"/>
  <c r="K30" i="57"/>
  <c r="L30" i="57"/>
  <c r="M30" i="57"/>
  <c r="N30" i="57"/>
  <c r="O30" i="57"/>
  <c r="P30" i="57"/>
  <c r="Q30" i="57"/>
  <c r="R30" i="57"/>
  <c r="S30" i="57"/>
  <c r="T30" i="57"/>
  <c r="U30" i="57"/>
  <c r="V30" i="57"/>
  <c r="W30" i="57"/>
  <c r="X30" i="57"/>
  <c r="D31" i="57"/>
  <c r="E31" i="57"/>
  <c r="F31" i="57"/>
  <c r="G31" i="57"/>
  <c r="H31" i="57"/>
  <c r="I31" i="57"/>
  <c r="J31" i="57"/>
  <c r="K31" i="57"/>
  <c r="L31" i="57"/>
  <c r="M31" i="57"/>
  <c r="N31" i="57"/>
  <c r="O31" i="57"/>
  <c r="P31" i="57"/>
  <c r="Q31" i="57"/>
  <c r="R31" i="57"/>
  <c r="S31" i="57"/>
  <c r="T31" i="57"/>
  <c r="U31" i="57"/>
  <c r="V31" i="57"/>
  <c r="W31" i="57"/>
  <c r="X31" i="57"/>
  <c r="D32" i="57"/>
  <c r="E32" i="57"/>
  <c r="F32" i="57"/>
  <c r="G32" i="57"/>
  <c r="H32" i="57"/>
  <c r="I32" i="57"/>
  <c r="J32" i="57"/>
  <c r="K32" i="57"/>
  <c r="L32" i="57"/>
  <c r="M32" i="57"/>
  <c r="N32" i="57"/>
  <c r="O32" i="57"/>
  <c r="P32" i="57"/>
  <c r="Q32" i="57"/>
  <c r="R32" i="57"/>
  <c r="S32" i="57"/>
  <c r="T32" i="57"/>
  <c r="U32" i="57"/>
  <c r="V32" i="57"/>
  <c r="W32" i="57"/>
  <c r="X32" i="57"/>
  <c r="D33" i="57"/>
  <c r="E33" i="57"/>
  <c r="F33" i="57"/>
  <c r="G33" i="57"/>
  <c r="H33" i="57"/>
  <c r="I33" i="57"/>
  <c r="J33" i="57"/>
  <c r="K33" i="57"/>
  <c r="L33" i="57"/>
  <c r="M33" i="57"/>
  <c r="N33" i="57"/>
  <c r="O33" i="57"/>
  <c r="P33" i="57"/>
  <c r="Q33" i="57"/>
  <c r="R33" i="57"/>
  <c r="S33" i="57"/>
  <c r="T33" i="57"/>
  <c r="U33" i="57"/>
  <c r="V33" i="57"/>
  <c r="W33" i="57"/>
  <c r="X33" i="57"/>
  <c r="D34" i="57"/>
  <c r="E34" i="57"/>
  <c r="F34" i="57"/>
  <c r="G34" i="57"/>
  <c r="H34" i="57"/>
  <c r="I34" i="57"/>
  <c r="J34" i="57"/>
  <c r="K34" i="57"/>
  <c r="L34" i="57"/>
  <c r="M34" i="57"/>
  <c r="N34" i="57"/>
  <c r="O34" i="57"/>
  <c r="P34" i="57"/>
  <c r="Q34" i="57"/>
  <c r="R34" i="57"/>
  <c r="S34" i="57"/>
  <c r="T34" i="57"/>
  <c r="U34" i="57"/>
  <c r="V34" i="57"/>
  <c r="W34" i="57"/>
  <c r="X34" i="57"/>
  <c r="D35" i="57"/>
  <c r="E35" i="57"/>
  <c r="F35" i="57"/>
  <c r="G35" i="57"/>
  <c r="H35" i="57"/>
  <c r="I35" i="57"/>
  <c r="J35" i="57"/>
  <c r="K35" i="57"/>
  <c r="L35" i="57"/>
  <c r="M35" i="57"/>
  <c r="N35" i="57"/>
  <c r="O35" i="57"/>
  <c r="P35" i="57"/>
  <c r="Q35" i="57"/>
  <c r="R35" i="57"/>
  <c r="S35" i="57"/>
  <c r="T35" i="57"/>
  <c r="U35" i="57"/>
  <c r="V35" i="57"/>
  <c r="W35" i="57"/>
  <c r="X35" i="57"/>
  <c r="D36" i="57"/>
  <c r="E36" i="57"/>
  <c r="F36" i="57"/>
  <c r="G36" i="57"/>
  <c r="H36" i="57"/>
  <c r="I36" i="57"/>
  <c r="J36" i="57"/>
  <c r="K36" i="57"/>
  <c r="L36" i="57"/>
  <c r="M36" i="57"/>
  <c r="N36" i="57"/>
  <c r="O36" i="57"/>
  <c r="P36" i="57"/>
  <c r="Q36" i="57"/>
  <c r="R36" i="57"/>
  <c r="S36" i="57"/>
  <c r="T36" i="57"/>
  <c r="U36" i="57"/>
  <c r="V36" i="57"/>
  <c r="W36" i="57"/>
  <c r="X36" i="57"/>
  <c r="D37" i="57"/>
  <c r="E37" i="57"/>
  <c r="F37" i="57"/>
  <c r="G37" i="57"/>
  <c r="H37" i="57"/>
  <c r="I37" i="57"/>
  <c r="J37" i="57"/>
  <c r="K37" i="57"/>
  <c r="L37" i="57"/>
  <c r="M37" i="57"/>
  <c r="N37" i="57"/>
  <c r="O37" i="57"/>
  <c r="P37" i="57"/>
  <c r="Q37" i="57"/>
  <c r="R37" i="57"/>
  <c r="S37" i="57"/>
  <c r="T37" i="57"/>
  <c r="U37" i="57"/>
  <c r="V37" i="57"/>
  <c r="W37" i="57"/>
  <c r="X37" i="57"/>
  <c r="D38" i="57"/>
  <c r="E38" i="57"/>
  <c r="F38" i="57"/>
  <c r="G38" i="57"/>
  <c r="H38" i="57"/>
  <c r="I38" i="57"/>
  <c r="J38" i="57"/>
  <c r="K38" i="57"/>
  <c r="L38" i="57"/>
  <c r="M38" i="57"/>
  <c r="N38" i="57"/>
  <c r="O38" i="57"/>
  <c r="P38" i="57"/>
  <c r="Q38" i="57"/>
  <c r="R38" i="57"/>
  <c r="S38" i="57"/>
  <c r="T38" i="57"/>
  <c r="U38" i="57"/>
  <c r="V38" i="57"/>
  <c r="W38" i="57"/>
  <c r="X38" i="57"/>
  <c r="D39" i="57"/>
  <c r="E39" i="57"/>
  <c r="F39" i="57"/>
  <c r="G39" i="57"/>
  <c r="H39" i="57"/>
  <c r="I39" i="57"/>
  <c r="J39" i="57"/>
  <c r="K39" i="57"/>
  <c r="L39" i="57"/>
  <c r="M39" i="57"/>
  <c r="N39" i="57"/>
  <c r="O39" i="57"/>
  <c r="P39" i="57"/>
  <c r="Q39" i="57"/>
  <c r="R39" i="57"/>
  <c r="S39" i="57"/>
  <c r="T39" i="57"/>
  <c r="U39" i="57"/>
  <c r="V39" i="57"/>
  <c r="W39" i="57"/>
  <c r="X39" i="57"/>
  <c r="D40" i="57"/>
  <c r="E40" i="57"/>
  <c r="F40" i="57"/>
  <c r="G40" i="57"/>
  <c r="H40" i="57"/>
  <c r="I40" i="57"/>
  <c r="J40" i="57"/>
  <c r="K40" i="57"/>
  <c r="L40" i="57"/>
  <c r="M40" i="57"/>
  <c r="N40" i="57"/>
  <c r="O40" i="57"/>
  <c r="P40" i="57"/>
  <c r="Q40" i="57"/>
  <c r="R40" i="57"/>
  <c r="S40" i="57"/>
  <c r="T40" i="57"/>
  <c r="U40" i="57"/>
  <c r="V40" i="57"/>
  <c r="W40" i="57"/>
  <c r="X40" i="57"/>
  <c r="D41" i="57"/>
  <c r="E41" i="57"/>
  <c r="F41" i="57"/>
  <c r="G41" i="57"/>
  <c r="H41" i="57"/>
  <c r="I41" i="57"/>
  <c r="J41" i="57"/>
  <c r="K41" i="57"/>
  <c r="L41" i="57"/>
  <c r="M41" i="57"/>
  <c r="N41" i="57"/>
  <c r="O41" i="57"/>
  <c r="P41" i="57"/>
  <c r="Q41" i="57"/>
  <c r="R41" i="57"/>
  <c r="S41" i="57"/>
  <c r="T41" i="57"/>
  <c r="U41" i="57"/>
  <c r="V41" i="57"/>
  <c r="W41" i="57"/>
  <c r="X41" i="57"/>
  <c r="D42" i="57"/>
  <c r="E42" i="57"/>
  <c r="F42" i="57"/>
  <c r="G42" i="57"/>
  <c r="H42" i="57"/>
  <c r="I42" i="57"/>
  <c r="J42" i="57"/>
  <c r="K42" i="57"/>
  <c r="L42" i="57"/>
  <c r="M42" i="57"/>
  <c r="N42" i="57"/>
  <c r="O42" i="57"/>
  <c r="P42" i="57"/>
  <c r="Q42" i="57"/>
  <c r="R42" i="57"/>
  <c r="S42" i="57"/>
  <c r="T42" i="57"/>
  <c r="U42" i="57"/>
  <c r="V42" i="57"/>
  <c r="W42" i="57"/>
  <c r="X42" i="57"/>
  <c r="D43" i="57"/>
  <c r="E43" i="57"/>
  <c r="F43" i="57"/>
  <c r="G43" i="57"/>
  <c r="H43" i="57"/>
  <c r="I43" i="57"/>
  <c r="J43" i="57"/>
  <c r="K43" i="57"/>
  <c r="L43" i="57"/>
  <c r="M43" i="57"/>
  <c r="N43" i="57"/>
  <c r="O43" i="57"/>
  <c r="P43" i="57"/>
  <c r="Q43" i="57"/>
  <c r="R43" i="57"/>
  <c r="S43" i="57"/>
  <c r="T43" i="57"/>
  <c r="U43" i="57"/>
  <c r="V43" i="57"/>
  <c r="W43" i="57"/>
  <c r="X43" i="57"/>
  <c r="D44" i="57"/>
  <c r="E44" i="57"/>
  <c r="F44" i="57"/>
  <c r="G44" i="57"/>
  <c r="H44" i="57"/>
  <c r="I44" i="57"/>
  <c r="J44" i="57"/>
  <c r="K44" i="57"/>
  <c r="L44" i="57"/>
  <c r="M44" i="57"/>
  <c r="N44" i="57"/>
  <c r="O44" i="57"/>
  <c r="P44" i="57"/>
  <c r="Q44" i="57"/>
  <c r="R44" i="57"/>
  <c r="S44" i="57"/>
  <c r="T44" i="57"/>
  <c r="U44" i="57"/>
  <c r="V44" i="57"/>
  <c r="W44" i="57"/>
  <c r="X44" i="57"/>
  <c r="D45" i="57"/>
  <c r="E45" i="57"/>
  <c r="F45" i="57"/>
  <c r="G45" i="57"/>
  <c r="H45" i="57"/>
  <c r="I45" i="57"/>
  <c r="J45" i="57"/>
  <c r="K45" i="57"/>
  <c r="L45" i="57"/>
  <c r="M45" i="57"/>
  <c r="N45" i="57"/>
  <c r="O45" i="57"/>
  <c r="P45" i="57"/>
  <c r="Q45" i="57"/>
  <c r="R45" i="57"/>
  <c r="S45" i="57"/>
  <c r="T45" i="57"/>
  <c r="U45" i="57"/>
  <c r="V45" i="57"/>
  <c r="W45" i="57"/>
  <c r="X45" i="57"/>
  <c r="D46" i="57"/>
  <c r="E46" i="57"/>
  <c r="F46" i="57"/>
  <c r="G46" i="57"/>
  <c r="H46" i="57"/>
  <c r="I46" i="57"/>
  <c r="J46" i="57"/>
  <c r="K46" i="57"/>
  <c r="L46" i="57"/>
  <c r="M46" i="57"/>
  <c r="N46" i="57"/>
  <c r="O46" i="57"/>
  <c r="P46" i="57"/>
  <c r="Q46" i="57"/>
  <c r="R46" i="57"/>
  <c r="S46" i="57"/>
  <c r="T46" i="57"/>
  <c r="U46" i="57"/>
  <c r="V46" i="57"/>
  <c r="W46" i="57"/>
  <c r="X46" i="57"/>
  <c r="D47" i="57"/>
  <c r="E47" i="57"/>
  <c r="F47" i="57"/>
  <c r="G47" i="57"/>
  <c r="H47" i="57"/>
  <c r="I47" i="57"/>
  <c r="J47" i="57"/>
  <c r="K47" i="57"/>
  <c r="L47" i="57"/>
  <c r="M47" i="57"/>
  <c r="N47" i="57"/>
  <c r="O47" i="57"/>
  <c r="P47" i="57"/>
  <c r="Q47" i="57"/>
  <c r="R47" i="57"/>
  <c r="S47" i="57"/>
  <c r="T47" i="57"/>
  <c r="U47" i="57"/>
  <c r="V47" i="57"/>
  <c r="W47" i="57"/>
  <c r="X47" i="57"/>
  <c r="D48" i="57"/>
  <c r="E48" i="57"/>
  <c r="F48" i="57"/>
  <c r="G48" i="57"/>
  <c r="H48" i="57"/>
  <c r="I48" i="57"/>
  <c r="J48" i="57"/>
  <c r="K48" i="57"/>
  <c r="L48" i="57"/>
  <c r="M48" i="57"/>
  <c r="N48" i="57"/>
  <c r="O48" i="57"/>
  <c r="P48" i="57"/>
  <c r="Q48" i="57"/>
  <c r="R48" i="57"/>
  <c r="S48" i="57"/>
  <c r="T48" i="57"/>
  <c r="U48" i="57"/>
  <c r="V48" i="57"/>
  <c r="W48" i="57"/>
  <c r="X48" i="57"/>
  <c r="D49" i="57"/>
  <c r="E49" i="57"/>
  <c r="F49" i="57"/>
  <c r="G49" i="57"/>
  <c r="H49" i="57"/>
  <c r="I49" i="57"/>
  <c r="J49" i="57"/>
  <c r="K49" i="57"/>
  <c r="L49" i="57"/>
  <c r="M49" i="57"/>
  <c r="N49" i="57"/>
  <c r="O49" i="57"/>
  <c r="P49" i="57"/>
  <c r="Q49" i="57"/>
  <c r="R49" i="57"/>
  <c r="S49" i="57"/>
  <c r="T49" i="57"/>
  <c r="U49" i="57"/>
  <c r="V49" i="57"/>
  <c r="W49" i="57"/>
  <c r="X49" i="57"/>
  <c r="D50" i="57"/>
  <c r="E50" i="57"/>
  <c r="F50" i="57"/>
  <c r="G50" i="57"/>
  <c r="H50" i="57"/>
  <c r="I50" i="57"/>
  <c r="J50" i="57"/>
  <c r="K50" i="57"/>
  <c r="L50" i="57"/>
  <c r="M50" i="57"/>
  <c r="N50" i="57"/>
  <c r="O50" i="57"/>
  <c r="P50" i="57"/>
  <c r="Q50" i="57"/>
  <c r="R50" i="57"/>
  <c r="S50" i="57"/>
  <c r="T50" i="57"/>
  <c r="U50" i="57"/>
  <c r="V50" i="57"/>
  <c r="W50" i="57"/>
  <c r="X50" i="57"/>
  <c r="D51" i="57"/>
  <c r="E51" i="57"/>
  <c r="F51" i="57"/>
  <c r="G51" i="57"/>
  <c r="H51" i="57"/>
  <c r="I51" i="57"/>
  <c r="J51" i="57"/>
  <c r="K51" i="57"/>
  <c r="L51" i="57"/>
  <c r="M51" i="57"/>
  <c r="N51" i="57"/>
  <c r="O51" i="57"/>
  <c r="P51" i="57"/>
  <c r="Q51" i="57"/>
  <c r="R51" i="57"/>
  <c r="S51" i="57"/>
  <c r="T51" i="57"/>
  <c r="U51" i="57"/>
  <c r="V51" i="57"/>
  <c r="W51" i="57"/>
  <c r="X51" i="57"/>
  <c r="D52" i="57"/>
  <c r="E52" i="57"/>
  <c r="F52" i="57"/>
  <c r="G52" i="57"/>
  <c r="H52" i="57"/>
  <c r="I52" i="57"/>
  <c r="J52" i="57"/>
  <c r="K52" i="57"/>
  <c r="L52" i="57"/>
  <c r="M52" i="57"/>
  <c r="N52" i="57"/>
  <c r="O52" i="57"/>
  <c r="P52" i="57"/>
  <c r="Q52" i="57"/>
  <c r="R52" i="57"/>
  <c r="S52" i="57"/>
  <c r="T52" i="57"/>
  <c r="U52" i="57"/>
  <c r="V52" i="57"/>
  <c r="W52" i="57"/>
  <c r="X52" i="57"/>
  <c r="D53" i="57"/>
  <c r="E53" i="57"/>
  <c r="F53" i="57"/>
  <c r="G53" i="57"/>
  <c r="H53" i="57"/>
  <c r="I53" i="57"/>
  <c r="J53" i="57"/>
  <c r="K53" i="57"/>
  <c r="L53" i="57"/>
  <c r="M53" i="57"/>
  <c r="N53" i="57"/>
  <c r="O53" i="57"/>
  <c r="P53" i="57"/>
  <c r="Q53" i="57"/>
  <c r="R53" i="57"/>
  <c r="S53" i="57"/>
  <c r="T53" i="57"/>
  <c r="U53" i="57"/>
  <c r="V53" i="57"/>
  <c r="W53" i="57"/>
  <c r="X53" i="57"/>
  <c r="D54" i="57"/>
  <c r="E54" i="57"/>
  <c r="F54" i="57"/>
  <c r="G54" i="57"/>
  <c r="H54" i="57"/>
  <c r="I54" i="57"/>
  <c r="J54" i="57"/>
  <c r="K54" i="57"/>
  <c r="L54" i="57"/>
  <c r="M54" i="57"/>
  <c r="N54" i="57"/>
  <c r="O54" i="57"/>
  <c r="P54" i="57"/>
  <c r="Q54" i="57"/>
  <c r="R54" i="57"/>
  <c r="S54" i="57"/>
  <c r="T54" i="57"/>
  <c r="U54" i="57"/>
  <c r="V54" i="57"/>
  <c r="W54" i="57"/>
  <c r="X54" i="57"/>
  <c r="D55" i="57"/>
  <c r="E55" i="57"/>
  <c r="F55" i="57"/>
  <c r="G55" i="57"/>
  <c r="H55" i="57"/>
  <c r="I55" i="57"/>
  <c r="J55" i="57"/>
  <c r="K55" i="57"/>
  <c r="L55" i="57"/>
  <c r="M55" i="57"/>
  <c r="N55" i="57"/>
  <c r="O55" i="57"/>
  <c r="P55" i="57"/>
  <c r="Q55" i="57"/>
  <c r="R55" i="57"/>
  <c r="S55" i="57"/>
  <c r="T55" i="57"/>
  <c r="U55" i="57"/>
  <c r="V55" i="57"/>
  <c r="W55" i="57"/>
  <c r="X55" i="57"/>
  <c r="D56" i="57"/>
  <c r="E56" i="57"/>
  <c r="F56" i="57"/>
  <c r="G56" i="57"/>
  <c r="H56" i="57"/>
  <c r="I56" i="57"/>
  <c r="J56" i="57"/>
  <c r="K56" i="57"/>
  <c r="L56" i="57"/>
  <c r="M56" i="57"/>
  <c r="N56" i="57"/>
  <c r="O56" i="57"/>
  <c r="P56" i="57"/>
  <c r="Q56" i="57"/>
  <c r="R56" i="57"/>
  <c r="S56" i="57"/>
  <c r="T56" i="57"/>
  <c r="U56" i="57"/>
  <c r="V56" i="57"/>
  <c r="W56" i="57"/>
  <c r="X56" i="57"/>
  <c r="D57" i="57"/>
  <c r="E57" i="57"/>
  <c r="F57" i="57"/>
  <c r="G57" i="57"/>
  <c r="H57" i="57"/>
  <c r="I57" i="57"/>
  <c r="J57" i="57"/>
  <c r="K57" i="57"/>
  <c r="L57" i="57"/>
  <c r="M57" i="57"/>
  <c r="N57" i="57"/>
  <c r="O57" i="57"/>
  <c r="P57" i="57"/>
  <c r="Q57" i="57"/>
  <c r="R57" i="57"/>
  <c r="S57" i="57"/>
  <c r="T57" i="57"/>
  <c r="U57" i="57"/>
  <c r="V57" i="57"/>
  <c r="W57" i="57"/>
  <c r="X57" i="57"/>
  <c r="D58" i="57"/>
  <c r="E58" i="57"/>
  <c r="F58" i="57"/>
  <c r="G58" i="57"/>
  <c r="H58" i="57"/>
  <c r="I58" i="57"/>
  <c r="J58" i="57"/>
  <c r="K58" i="57"/>
  <c r="L58" i="57"/>
  <c r="M58" i="57"/>
  <c r="N58" i="57"/>
  <c r="O58" i="57"/>
  <c r="P58" i="57"/>
  <c r="Q58" i="57"/>
  <c r="R58" i="57"/>
  <c r="S58" i="57"/>
  <c r="T58" i="57"/>
  <c r="U58" i="57"/>
  <c r="V58" i="57"/>
  <c r="W58" i="57"/>
  <c r="X58" i="57"/>
  <c r="D59" i="57"/>
  <c r="E59" i="57"/>
  <c r="F59" i="57"/>
  <c r="G59" i="57"/>
  <c r="H59" i="57"/>
  <c r="I59" i="57"/>
  <c r="J59" i="57"/>
  <c r="K59" i="57"/>
  <c r="L59" i="57"/>
  <c r="M59" i="57"/>
  <c r="N59" i="57"/>
  <c r="O59" i="57"/>
  <c r="P59" i="57"/>
  <c r="Q59" i="57"/>
  <c r="R59" i="57"/>
  <c r="S59" i="57"/>
  <c r="T59" i="57"/>
  <c r="U59" i="57"/>
  <c r="V59" i="57"/>
  <c r="W59" i="57"/>
  <c r="X59" i="57"/>
  <c r="D60" i="57"/>
  <c r="E60" i="57"/>
  <c r="F60" i="57"/>
  <c r="G60" i="57"/>
  <c r="H60" i="57"/>
  <c r="I60" i="57"/>
  <c r="J60" i="57"/>
  <c r="K60" i="57"/>
  <c r="L60" i="57"/>
  <c r="M60" i="57"/>
  <c r="N60" i="57"/>
  <c r="O60" i="57"/>
  <c r="P60" i="57"/>
  <c r="Q60" i="57"/>
  <c r="R60" i="57"/>
  <c r="S60" i="57"/>
  <c r="T60" i="57"/>
  <c r="U60" i="57"/>
  <c r="V60" i="57"/>
  <c r="W60" i="57"/>
  <c r="X60" i="57"/>
  <c r="D61" i="57"/>
  <c r="E61" i="57"/>
  <c r="F61" i="57"/>
  <c r="G61" i="57"/>
  <c r="H61" i="57"/>
  <c r="I61" i="57"/>
  <c r="J61" i="57"/>
  <c r="K61" i="57"/>
  <c r="L61" i="57"/>
  <c r="M61" i="57"/>
  <c r="N61" i="57"/>
  <c r="O61" i="57"/>
  <c r="P61" i="57"/>
  <c r="Q61" i="57"/>
  <c r="R61" i="57"/>
  <c r="S61" i="57"/>
  <c r="T61" i="57"/>
  <c r="U61" i="57"/>
  <c r="V61" i="57"/>
  <c r="W61" i="57"/>
  <c r="X61" i="57"/>
  <c r="D62" i="57"/>
  <c r="E62" i="57"/>
  <c r="F62" i="57"/>
  <c r="G62" i="57"/>
  <c r="H62" i="57"/>
  <c r="I62" i="57"/>
  <c r="J62" i="57"/>
  <c r="K62" i="57"/>
  <c r="L62" i="57"/>
  <c r="M62" i="57"/>
  <c r="N62" i="57"/>
  <c r="O62" i="57"/>
  <c r="P62" i="57"/>
  <c r="Q62" i="57"/>
  <c r="R62" i="57"/>
  <c r="S62" i="57"/>
  <c r="T62" i="57"/>
  <c r="U62" i="57"/>
  <c r="V62" i="57"/>
  <c r="W62" i="57"/>
  <c r="X62" i="57"/>
  <c r="D63" i="57"/>
  <c r="E63" i="57"/>
  <c r="F63" i="57"/>
  <c r="G63" i="57"/>
  <c r="H63" i="57"/>
  <c r="I63" i="57"/>
  <c r="J63" i="57"/>
  <c r="K63" i="57"/>
  <c r="L63" i="57"/>
  <c r="M63" i="57"/>
  <c r="N63" i="57"/>
  <c r="O63" i="57"/>
  <c r="P63" i="57"/>
  <c r="Q63" i="57"/>
  <c r="R63" i="57"/>
  <c r="S63" i="57"/>
  <c r="T63" i="57"/>
  <c r="U63" i="57"/>
  <c r="V63" i="57"/>
  <c r="W63" i="57"/>
  <c r="X63" i="57"/>
  <c r="D64" i="57"/>
  <c r="E64" i="57"/>
  <c r="F64" i="57"/>
  <c r="G64" i="57"/>
  <c r="H64" i="57"/>
  <c r="I64" i="57"/>
  <c r="J64" i="57"/>
  <c r="K64" i="57"/>
  <c r="L64" i="57"/>
  <c r="M64" i="57"/>
  <c r="N64" i="57"/>
  <c r="O64" i="57"/>
  <c r="P64" i="57"/>
  <c r="Q64" i="57"/>
  <c r="R64" i="57"/>
  <c r="S64" i="57"/>
  <c r="T64" i="57"/>
  <c r="U64" i="57"/>
  <c r="V64" i="57"/>
  <c r="W64" i="57"/>
  <c r="X64" i="57"/>
  <c r="D65" i="57"/>
  <c r="E65" i="57"/>
  <c r="F65" i="57"/>
  <c r="G65" i="57"/>
  <c r="H65" i="57"/>
  <c r="I65" i="57"/>
  <c r="J65" i="57"/>
  <c r="K65" i="57"/>
  <c r="L65" i="57"/>
  <c r="M65" i="57"/>
  <c r="N65" i="57"/>
  <c r="O65" i="57"/>
  <c r="P65" i="57"/>
  <c r="Q65" i="57"/>
  <c r="R65" i="57"/>
  <c r="S65" i="57"/>
  <c r="T65" i="57"/>
  <c r="U65" i="57"/>
  <c r="V65" i="57"/>
  <c r="W65" i="57"/>
  <c r="X65" i="57"/>
  <c r="D66" i="57"/>
  <c r="E66" i="57"/>
  <c r="F66" i="57"/>
  <c r="G66" i="57"/>
  <c r="H66" i="57"/>
  <c r="I66" i="57"/>
  <c r="J66" i="57"/>
  <c r="K66" i="57"/>
  <c r="L66" i="57"/>
  <c r="M66" i="57"/>
  <c r="N66" i="57"/>
  <c r="O66" i="57"/>
  <c r="P66" i="57"/>
  <c r="Q66" i="57"/>
  <c r="R66" i="57"/>
  <c r="S66" i="57"/>
  <c r="T66" i="57"/>
  <c r="U66" i="57"/>
  <c r="V66" i="57"/>
  <c r="W66" i="57"/>
  <c r="X66" i="57"/>
  <c r="D67" i="57"/>
  <c r="E67" i="57"/>
  <c r="F67" i="57"/>
  <c r="G67" i="57"/>
  <c r="H67" i="57"/>
  <c r="I67" i="57"/>
  <c r="J67" i="57"/>
  <c r="K67" i="57"/>
  <c r="L67" i="57"/>
  <c r="M67" i="57"/>
  <c r="N67" i="57"/>
  <c r="O67" i="57"/>
  <c r="P67" i="57"/>
  <c r="Q67" i="57"/>
  <c r="R67" i="57"/>
  <c r="S67" i="57"/>
  <c r="T67" i="57"/>
  <c r="U67" i="57"/>
  <c r="V67" i="57"/>
  <c r="W67" i="57"/>
  <c r="X67" i="57"/>
  <c r="D68" i="57"/>
  <c r="E68" i="57"/>
  <c r="F68" i="57"/>
  <c r="G68" i="57"/>
  <c r="H68" i="57"/>
  <c r="I68" i="57"/>
  <c r="J68" i="57"/>
  <c r="K68" i="57"/>
  <c r="L68" i="57"/>
  <c r="M68" i="57"/>
  <c r="N68" i="57"/>
  <c r="O68" i="57"/>
  <c r="P68" i="57"/>
  <c r="Q68" i="57"/>
  <c r="R68" i="57"/>
  <c r="S68" i="57"/>
  <c r="T68" i="57"/>
  <c r="U68" i="57"/>
  <c r="V68" i="57"/>
  <c r="W68" i="57"/>
  <c r="X68" i="57"/>
  <c r="D69" i="57"/>
  <c r="E69" i="57"/>
  <c r="F69" i="57"/>
  <c r="G69" i="57"/>
  <c r="H69" i="57"/>
  <c r="I69" i="57"/>
  <c r="J69" i="57"/>
  <c r="K69" i="57"/>
  <c r="L69" i="57"/>
  <c r="M69" i="57"/>
  <c r="N69" i="57"/>
  <c r="O69" i="57"/>
  <c r="P69" i="57"/>
  <c r="Q69" i="57"/>
  <c r="R69" i="57"/>
  <c r="S69" i="57"/>
  <c r="T69" i="57"/>
  <c r="U69" i="57"/>
  <c r="V69" i="57"/>
  <c r="W69" i="57"/>
  <c r="X69" i="57"/>
  <c r="D70" i="57"/>
  <c r="E70" i="57"/>
  <c r="F70" i="57"/>
  <c r="G70" i="57"/>
  <c r="H70" i="57"/>
  <c r="I70" i="57"/>
  <c r="J70" i="57"/>
  <c r="K70" i="57"/>
  <c r="L70" i="57"/>
  <c r="M70" i="57"/>
  <c r="N70" i="57"/>
  <c r="O70" i="57"/>
  <c r="P70" i="57"/>
  <c r="Q70" i="57"/>
  <c r="R70" i="57"/>
  <c r="S70" i="57"/>
  <c r="T70" i="57"/>
  <c r="U70" i="57"/>
  <c r="V70" i="57"/>
  <c r="W70" i="57"/>
  <c r="X70" i="57"/>
  <c r="D71" i="57"/>
  <c r="E71" i="57"/>
  <c r="F71" i="57"/>
  <c r="G71" i="57"/>
  <c r="H71" i="57"/>
  <c r="I71" i="57"/>
  <c r="J71" i="57"/>
  <c r="K71" i="57"/>
  <c r="L71" i="57"/>
  <c r="M71" i="57"/>
  <c r="N71" i="57"/>
  <c r="O71" i="57"/>
  <c r="P71" i="57"/>
  <c r="Q71" i="57"/>
  <c r="R71" i="57"/>
  <c r="S71" i="57"/>
  <c r="T71" i="57"/>
  <c r="U71" i="57"/>
  <c r="V71" i="57"/>
  <c r="W71" i="57"/>
  <c r="X71" i="57"/>
  <c r="D72" i="57"/>
  <c r="E72" i="57"/>
  <c r="F72" i="57"/>
  <c r="G72" i="57"/>
  <c r="H72" i="57"/>
  <c r="I72" i="57"/>
  <c r="J72" i="57"/>
  <c r="K72" i="57"/>
  <c r="L72" i="57"/>
  <c r="M72" i="57"/>
  <c r="N72" i="57"/>
  <c r="O72" i="57"/>
  <c r="P72" i="57"/>
  <c r="Q72" i="57"/>
  <c r="R72" i="57"/>
  <c r="S72" i="57"/>
  <c r="T72" i="57"/>
  <c r="U72" i="57"/>
  <c r="V72" i="57"/>
  <c r="W72" i="57"/>
  <c r="X72" i="57"/>
  <c r="D73" i="57"/>
  <c r="E73" i="57"/>
  <c r="F73" i="57"/>
  <c r="G73" i="57"/>
  <c r="H73" i="57"/>
  <c r="I73" i="57"/>
  <c r="J73" i="57"/>
  <c r="K73" i="57"/>
  <c r="L73" i="57"/>
  <c r="M73" i="57"/>
  <c r="N73" i="57"/>
  <c r="O73" i="57"/>
  <c r="P73" i="57"/>
  <c r="Q73" i="57"/>
  <c r="R73" i="57"/>
  <c r="S73" i="57"/>
  <c r="T73" i="57"/>
  <c r="U73" i="57"/>
  <c r="V73" i="57"/>
  <c r="W73" i="57"/>
  <c r="X73" i="57"/>
  <c r="D74" i="57"/>
  <c r="E74" i="57"/>
  <c r="F74" i="57"/>
  <c r="G74" i="57"/>
  <c r="H74" i="57"/>
  <c r="I74" i="57"/>
  <c r="J74" i="57"/>
  <c r="K74" i="57"/>
  <c r="L74" i="57"/>
  <c r="M74" i="57"/>
  <c r="N74" i="57"/>
  <c r="O74" i="57"/>
  <c r="P74" i="57"/>
  <c r="Q74" i="57"/>
  <c r="R74" i="57"/>
  <c r="S74" i="57"/>
  <c r="T74" i="57"/>
  <c r="U74" i="57"/>
  <c r="V74" i="57"/>
  <c r="W74" i="57"/>
  <c r="X74" i="57"/>
  <c r="D75" i="57"/>
  <c r="E75" i="57"/>
  <c r="F75" i="57"/>
  <c r="G75" i="57"/>
  <c r="H75" i="57"/>
  <c r="I75" i="57"/>
  <c r="J75" i="57"/>
  <c r="K75" i="57"/>
  <c r="L75" i="57"/>
  <c r="M75" i="57"/>
  <c r="N75" i="57"/>
  <c r="O75" i="57"/>
  <c r="P75" i="57"/>
  <c r="Q75" i="57"/>
  <c r="R75" i="57"/>
  <c r="S75" i="57"/>
  <c r="T75" i="57"/>
  <c r="U75" i="57"/>
  <c r="V75" i="57"/>
  <c r="W75" i="57"/>
  <c r="X75" i="57"/>
  <c r="D76" i="57"/>
  <c r="E76" i="57"/>
  <c r="F76" i="57"/>
  <c r="G76" i="57"/>
  <c r="H76" i="57"/>
  <c r="I76" i="57"/>
  <c r="J76" i="57"/>
  <c r="K76" i="57"/>
  <c r="L76" i="57"/>
  <c r="M76" i="57"/>
  <c r="N76" i="57"/>
  <c r="O76" i="57"/>
  <c r="P76" i="57"/>
  <c r="Q76" i="57"/>
  <c r="R76" i="57"/>
  <c r="S76" i="57"/>
  <c r="T76" i="57"/>
  <c r="U76" i="57"/>
  <c r="V76" i="57"/>
  <c r="W76" i="57"/>
  <c r="X76" i="57"/>
  <c r="D77" i="57"/>
  <c r="E77" i="57"/>
  <c r="F77" i="57"/>
  <c r="G77" i="57"/>
  <c r="H77" i="57"/>
  <c r="I77" i="57"/>
  <c r="J77" i="57"/>
  <c r="K77" i="57"/>
  <c r="L77" i="57"/>
  <c r="M77" i="57"/>
  <c r="N77" i="57"/>
  <c r="O77" i="57"/>
  <c r="P77" i="57"/>
  <c r="Q77" i="57"/>
  <c r="R77" i="57"/>
  <c r="S77" i="57"/>
  <c r="T77" i="57"/>
  <c r="U77" i="57"/>
  <c r="V77" i="57"/>
  <c r="W77" i="57"/>
  <c r="X77" i="57"/>
  <c r="D78" i="57"/>
  <c r="E78" i="57"/>
  <c r="F78" i="57"/>
  <c r="G78" i="57"/>
  <c r="H78" i="57"/>
  <c r="I78" i="57"/>
  <c r="J78" i="57"/>
  <c r="K78" i="57"/>
  <c r="L78" i="57"/>
  <c r="M78" i="57"/>
  <c r="N78" i="57"/>
  <c r="O78" i="57"/>
  <c r="P78" i="57"/>
  <c r="Q78" i="57"/>
  <c r="R78" i="57"/>
  <c r="S78" i="57"/>
  <c r="T78" i="57"/>
  <c r="U78" i="57"/>
  <c r="V78" i="57"/>
  <c r="W78" i="57"/>
  <c r="X78" i="57"/>
  <c r="D79" i="57"/>
  <c r="E79" i="57"/>
  <c r="F79" i="57"/>
  <c r="G79" i="57"/>
  <c r="H79" i="57"/>
  <c r="I79" i="57"/>
  <c r="J79" i="57"/>
  <c r="K79" i="57"/>
  <c r="L79" i="57"/>
  <c r="M79" i="57"/>
  <c r="N79" i="57"/>
  <c r="O79" i="57"/>
  <c r="P79" i="57"/>
  <c r="Q79" i="57"/>
  <c r="R79" i="57"/>
  <c r="S79" i="57"/>
  <c r="T79" i="57"/>
  <c r="U79" i="57"/>
  <c r="V79" i="57"/>
  <c r="W79" i="57"/>
  <c r="X79" i="57"/>
  <c r="D80" i="57"/>
  <c r="E80" i="57"/>
  <c r="F80" i="57"/>
  <c r="G80" i="57"/>
  <c r="H80" i="57"/>
  <c r="I80" i="57"/>
  <c r="J80" i="57"/>
  <c r="K80" i="57"/>
  <c r="L80" i="57"/>
  <c r="M80" i="57"/>
  <c r="N80" i="57"/>
  <c r="O80" i="57"/>
  <c r="P80" i="57"/>
  <c r="Q80" i="57"/>
  <c r="R80" i="57"/>
  <c r="S80" i="57"/>
  <c r="T80" i="57"/>
  <c r="U80" i="57"/>
  <c r="V80" i="57"/>
  <c r="W80" i="57"/>
  <c r="X80" i="57"/>
  <c r="D81" i="57"/>
  <c r="E81" i="57"/>
  <c r="F81" i="57"/>
  <c r="G81" i="57"/>
  <c r="H81" i="57"/>
  <c r="I81" i="57"/>
  <c r="J81" i="57"/>
  <c r="K81" i="57"/>
  <c r="L81" i="57"/>
  <c r="M81" i="57"/>
  <c r="N81" i="57"/>
  <c r="O81" i="57"/>
  <c r="P81" i="57"/>
  <c r="Q81" i="57"/>
  <c r="R81" i="57"/>
  <c r="S81" i="57"/>
  <c r="T81" i="57"/>
  <c r="U81" i="57"/>
  <c r="V81" i="57"/>
  <c r="W81" i="57"/>
  <c r="X81" i="57"/>
  <c r="D82" i="57"/>
  <c r="E82" i="57"/>
  <c r="F82" i="57"/>
  <c r="G82" i="57"/>
  <c r="H82" i="57"/>
  <c r="I82" i="57"/>
  <c r="J82" i="57"/>
  <c r="K82" i="57"/>
  <c r="L82" i="57"/>
  <c r="M82" i="57"/>
  <c r="N82" i="57"/>
  <c r="O82" i="57"/>
  <c r="P82" i="57"/>
  <c r="Q82" i="57"/>
  <c r="R82" i="57"/>
  <c r="S82" i="57"/>
  <c r="T82" i="57"/>
  <c r="U82" i="57"/>
  <c r="V82" i="57"/>
  <c r="W82" i="57"/>
  <c r="X82" i="57"/>
  <c r="D83" i="57"/>
  <c r="E83" i="57"/>
  <c r="F83" i="57"/>
  <c r="G83" i="57"/>
  <c r="H83" i="57"/>
  <c r="I83" i="57"/>
  <c r="J83" i="57"/>
  <c r="K83" i="57"/>
  <c r="L83" i="57"/>
  <c r="M83" i="57"/>
  <c r="N83" i="57"/>
  <c r="O83" i="57"/>
  <c r="P83" i="57"/>
  <c r="Q83" i="57"/>
  <c r="R83" i="57"/>
  <c r="S83" i="57"/>
  <c r="T83" i="57"/>
  <c r="U83" i="57"/>
  <c r="V83" i="57"/>
  <c r="W83" i="57"/>
  <c r="X83" i="57"/>
  <c r="D84" i="57"/>
  <c r="E84" i="57"/>
  <c r="F84" i="57"/>
  <c r="G84" i="57"/>
  <c r="H84" i="57"/>
  <c r="I84" i="57"/>
  <c r="J84" i="57"/>
  <c r="K84" i="57"/>
  <c r="L84" i="57"/>
  <c r="M84" i="57"/>
  <c r="N84" i="57"/>
  <c r="O84" i="57"/>
  <c r="P84" i="57"/>
  <c r="Q84" i="57"/>
  <c r="R84" i="57"/>
  <c r="S84" i="57"/>
  <c r="T84" i="57"/>
  <c r="U84" i="57"/>
  <c r="V84" i="57"/>
  <c r="W84" i="57"/>
  <c r="X84" i="57"/>
  <c r="D85" i="57"/>
  <c r="E85" i="57"/>
  <c r="F85" i="57"/>
  <c r="G85" i="57"/>
  <c r="H85" i="57"/>
  <c r="I85" i="57"/>
  <c r="J85" i="57"/>
  <c r="K85" i="57"/>
  <c r="L85" i="57"/>
  <c r="M85" i="57"/>
  <c r="N85" i="57"/>
  <c r="O85" i="57"/>
  <c r="P85" i="57"/>
  <c r="Q85" i="57"/>
  <c r="R85" i="57"/>
  <c r="S85" i="57"/>
  <c r="T85" i="57"/>
  <c r="U85" i="57"/>
  <c r="V85" i="57"/>
  <c r="W85" i="57"/>
  <c r="X85" i="57"/>
  <c r="D86" i="57"/>
  <c r="E86" i="57"/>
  <c r="F86" i="57"/>
  <c r="G86" i="57"/>
  <c r="H86" i="57"/>
  <c r="I86" i="57"/>
  <c r="J86" i="57"/>
  <c r="K86" i="57"/>
  <c r="L86" i="57"/>
  <c r="M86" i="57"/>
  <c r="N86" i="57"/>
  <c r="O86" i="57"/>
  <c r="P86" i="57"/>
  <c r="Q86" i="57"/>
  <c r="R86" i="57"/>
  <c r="S86" i="57"/>
  <c r="T86" i="57"/>
  <c r="U86" i="57"/>
  <c r="V86" i="57"/>
  <c r="W86" i="57"/>
  <c r="X86" i="57"/>
  <c r="D87" i="57"/>
  <c r="E87" i="57"/>
  <c r="F87" i="57"/>
  <c r="G87" i="57"/>
  <c r="H87" i="57"/>
  <c r="I87" i="57"/>
  <c r="J87" i="57"/>
  <c r="K87" i="57"/>
  <c r="L87" i="57"/>
  <c r="M87" i="57"/>
  <c r="N87" i="57"/>
  <c r="O87" i="57"/>
  <c r="P87" i="57"/>
  <c r="Q87" i="57"/>
  <c r="R87" i="57"/>
  <c r="S87" i="57"/>
  <c r="T87" i="57"/>
  <c r="U87" i="57"/>
  <c r="V87" i="57"/>
  <c r="W87" i="57"/>
  <c r="X87" i="57"/>
  <c r="D88" i="57"/>
  <c r="E88" i="57"/>
  <c r="F88" i="57"/>
  <c r="G88" i="57"/>
  <c r="H88" i="57"/>
  <c r="I88" i="57"/>
  <c r="J88" i="57"/>
  <c r="K88" i="57"/>
  <c r="L88" i="57"/>
  <c r="M88" i="57"/>
  <c r="N88" i="57"/>
  <c r="O88" i="57"/>
  <c r="P88" i="57"/>
  <c r="Q88" i="57"/>
  <c r="R88" i="57"/>
  <c r="S88" i="57"/>
  <c r="T88" i="57"/>
  <c r="U88" i="57"/>
  <c r="V88" i="57"/>
  <c r="W88" i="57"/>
  <c r="X88" i="57"/>
  <c r="D89" i="57"/>
  <c r="E89" i="57"/>
  <c r="F89" i="57"/>
  <c r="G89" i="57"/>
  <c r="H89" i="57"/>
  <c r="I89" i="57"/>
  <c r="J89" i="57"/>
  <c r="K89" i="57"/>
  <c r="L89" i="57"/>
  <c r="M89" i="57"/>
  <c r="N89" i="57"/>
  <c r="O89" i="57"/>
  <c r="P89" i="57"/>
  <c r="Q89" i="57"/>
  <c r="R89" i="57"/>
  <c r="S89" i="57"/>
  <c r="T89" i="57"/>
  <c r="U89" i="57"/>
  <c r="V89" i="57"/>
  <c r="W89" i="57"/>
  <c r="X89" i="57"/>
  <c r="D90" i="57"/>
  <c r="E90" i="57"/>
  <c r="F90" i="57"/>
  <c r="G90" i="57"/>
  <c r="H90" i="57"/>
  <c r="I90" i="57"/>
  <c r="J90" i="57"/>
  <c r="K90" i="57"/>
  <c r="L90" i="57"/>
  <c r="M90" i="57"/>
  <c r="N90" i="57"/>
  <c r="O90" i="57"/>
  <c r="P90" i="57"/>
  <c r="Q90" i="57"/>
  <c r="R90" i="57"/>
  <c r="S90" i="57"/>
  <c r="T90" i="57"/>
  <c r="U90" i="57"/>
  <c r="V90" i="57"/>
  <c r="W90" i="57"/>
  <c r="X90" i="57"/>
  <c r="D91" i="57"/>
  <c r="E91" i="57"/>
  <c r="F91" i="57"/>
  <c r="G91" i="57"/>
  <c r="H91" i="57"/>
  <c r="I91" i="57"/>
  <c r="J91" i="57"/>
  <c r="K91" i="57"/>
  <c r="L91" i="57"/>
  <c r="M91" i="57"/>
  <c r="N91" i="57"/>
  <c r="O91" i="57"/>
  <c r="P91" i="57"/>
  <c r="Q91" i="57"/>
  <c r="R91" i="57"/>
  <c r="S91" i="57"/>
  <c r="T91" i="57"/>
  <c r="U91" i="57"/>
  <c r="V91" i="57"/>
  <c r="W91" i="57"/>
  <c r="X91" i="57"/>
  <c r="D92" i="57"/>
  <c r="E92" i="57"/>
  <c r="F92" i="57"/>
  <c r="G92" i="57"/>
  <c r="H92" i="57"/>
  <c r="I92" i="57"/>
  <c r="J92" i="57"/>
  <c r="K92" i="57"/>
  <c r="L92" i="57"/>
  <c r="M92" i="57"/>
  <c r="N92" i="57"/>
  <c r="O92" i="57"/>
  <c r="P92" i="57"/>
  <c r="Q92" i="57"/>
  <c r="R92" i="57"/>
  <c r="S92" i="57"/>
  <c r="T92" i="57"/>
  <c r="U92" i="57"/>
  <c r="V92" i="57"/>
  <c r="W92" i="57"/>
  <c r="X92" i="57"/>
  <c r="D93" i="57"/>
  <c r="E93" i="57"/>
  <c r="F93" i="57"/>
  <c r="G93" i="57"/>
  <c r="H93" i="57"/>
  <c r="I93" i="57"/>
  <c r="J93" i="57"/>
  <c r="K93" i="57"/>
  <c r="L93" i="57"/>
  <c r="M93" i="57"/>
  <c r="N93" i="57"/>
  <c r="O93" i="57"/>
  <c r="P93" i="57"/>
  <c r="Q93" i="57"/>
  <c r="R93" i="57"/>
  <c r="S93" i="57"/>
  <c r="T93" i="57"/>
  <c r="U93" i="57"/>
  <c r="V93" i="57"/>
  <c r="W93" i="57"/>
  <c r="X93" i="57"/>
  <c r="D94" i="57"/>
  <c r="E94" i="57"/>
  <c r="F94" i="57"/>
  <c r="G94" i="57"/>
  <c r="H94" i="57"/>
  <c r="I94" i="57"/>
  <c r="J94" i="57"/>
  <c r="K94" i="57"/>
  <c r="L94" i="57"/>
  <c r="M94" i="57"/>
  <c r="N94" i="57"/>
  <c r="O94" i="57"/>
  <c r="P94" i="57"/>
  <c r="Q94" i="57"/>
  <c r="R94" i="57"/>
  <c r="S94" i="57"/>
  <c r="T94" i="57"/>
  <c r="U94" i="57"/>
  <c r="V94" i="57"/>
  <c r="W94" i="57"/>
  <c r="X94" i="57"/>
  <c r="D95" i="57"/>
  <c r="E95" i="57"/>
  <c r="F95" i="57"/>
  <c r="G95" i="57"/>
  <c r="H95" i="57"/>
  <c r="I95" i="57"/>
  <c r="J95" i="57"/>
  <c r="K95" i="57"/>
  <c r="L95" i="57"/>
  <c r="M95" i="57"/>
  <c r="N95" i="57"/>
  <c r="O95" i="57"/>
  <c r="P95" i="57"/>
  <c r="Q95" i="57"/>
  <c r="R95" i="57"/>
  <c r="S95" i="57"/>
  <c r="T95" i="57"/>
  <c r="U95" i="57"/>
  <c r="V95" i="57"/>
  <c r="W95" i="57"/>
  <c r="X95" i="57"/>
  <c r="D96" i="57"/>
  <c r="E96" i="57"/>
  <c r="F96" i="57"/>
  <c r="G96" i="57"/>
  <c r="H96" i="57"/>
  <c r="I96" i="57"/>
  <c r="J96" i="57"/>
  <c r="K96" i="57"/>
  <c r="L96" i="57"/>
  <c r="M96" i="57"/>
  <c r="N96" i="57"/>
  <c r="O96" i="57"/>
  <c r="P96" i="57"/>
  <c r="Q96" i="57"/>
  <c r="R96" i="57"/>
  <c r="S96" i="57"/>
  <c r="T96" i="57"/>
  <c r="U96" i="57"/>
  <c r="V96" i="57"/>
  <c r="W96" i="57"/>
  <c r="X96" i="57"/>
  <c r="D97" i="57"/>
  <c r="E97" i="57"/>
  <c r="F97" i="57"/>
  <c r="G97" i="57"/>
  <c r="H97" i="57"/>
  <c r="I97" i="57"/>
  <c r="J97" i="57"/>
  <c r="K97" i="57"/>
  <c r="L97" i="57"/>
  <c r="M97" i="57"/>
  <c r="N97" i="57"/>
  <c r="O97" i="57"/>
  <c r="P97" i="57"/>
  <c r="Q97" i="57"/>
  <c r="R97" i="57"/>
  <c r="S97" i="57"/>
  <c r="T97" i="57"/>
  <c r="U97" i="57"/>
  <c r="V97" i="57"/>
  <c r="W97" i="57"/>
  <c r="X97" i="57"/>
  <c r="D98" i="57"/>
  <c r="E98" i="57"/>
  <c r="F98" i="57"/>
  <c r="G98" i="57"/>
  <c r="H98" i="57"/>
  <c r="I98" i="57"/>
  <c r="J98" i="57"/>
  <c r="K98" i="57"/>
  <c r="L98" i="57"/>
  <c r="M98" i="57"/>
  <c r="N98" i="57"/>
  <c r="O98" i="57"/>
  <c r="P98" i="57"/>
  <c r="Q98" i="57"/>
  <c r="R98" i="57"/>
  <c r="S98" i="57"/>
  <c r="T98" i="57"/>
  <c r="U98" i="57"/>
  <c r="V98" i="57"/>
  <c r="W98" i="57"/>
  <c r="X98" i="57"/>
  <c r="D99" i="57"/>
  <c r="E99" i="57"/>
  <c r="F99" i="57"/>
  <c r="G99" i="57"/>
  <c r="H99" i="57"/>
  <c r="I99" i="57"/>
  <c r="J99" i="57"/>
  <c r="K99" i="57"/>
  <c r="L99" i="57"/>
  <c r="M99" i="57"/>
  <c r="N99" i="57"/>
  <c r="O99" i="57"/>
  <c r="P99" i="57"/>
  <c r="Q99" i="57"/>
  <c r="R99" i="57"/>
  <c r="S99" i="57"/>
  <c r="T99" i="57"/>
  <c r="U99" i="57"/>
  <c r="V99" i="57"/>
  <c r="W99" i="57"/>
  <c r="X99" i="57"/>
  <c r="C28" i="57"/>
  <c r="D159" i="54"/>
  <c r="E159" i="54"/>
  <c r="F159" i="54"/>
  <c r="G159" i="54"/>
  <c r="H159" i="54"/>
  <c r="I159" i="54"/>
  <c r="J159" i="54"/>
  <c r="K159" i="54"/>
  <c r="L159" i="54"/>
  <c r="M159" i="54"/>
  <c r="N159" i="54"/>
  <c r="O159" i="54"/>
  <c r="P159" i="54"/>
  <c r="Q159" i="54"/>
  <c r="R159" i="54"/>
  <c r="S159" i="54"/>
  <c r="T159" i="54"/>
  <c r="U159" i="54"/>
  <c r="V159" i="54"/>
  <c r="W159" i="54"/>
  <c r="X159" i="54"/>
  <c r="D160" i="54"/>
  <c r="E160" i="54"/>
  <c r="F160" i="54"/>
  <c r="G160" i="54"/>
  <c r="H160" i="54"/>
  <c r="I160" i="54"/>
  <c r="J160" i="54"/>
  <c r="K160" i="54"/>
  <c r="L160" i="54"/>
  <c r="M160" i="54"/>
  <c r="N160" i="54"/>
  <c r="O160" i="54"/>
  <c r="P160" i="54"/>
  <c r="Q160" i="54"/>
  <c r="R160" i="54"/>
  <c r="S160" i="54"/>
  <c r="T160" i="54"/>
  <c r="U160" i="54"/>
  <c r="V160" i="54"/>
  <c r="W160" i="54"/>
  <c r="X160" i="54"/>
  <c r="C5" i="46"/>
  <c r="D5" i="46"/>
  <c r="E5" i="46"/>
  <c r="F5" i="46"/>
  <c r="G5" i="46"/>
  <c r="H5" i="46"/>
  <c r="I5" i="46"/>
  <c r="J5" i="46"/>
  <c r="K5" i="46"/>
  <c r="L5" i="46"/>
  <c r="M5" i="46"/>
  <c r="N5" i="46"/>
  <c r="O5" i="46"/>
  <c r="P5" i="46"/>
  <c r="Q5" i="46"/>
  <c r="R5" i="46"/>
  <c r="S5" i="46"/>
  <c r="T5" i="46"/>
  <c r="U5" i="46"/>
  <c r="V5" i="46"/>
  <c r="W5" i="46"/>
  <c r="X5" i="46"/>
  <c r="C6" i="46"/>
  <c r="D6" i="46"/>
  <c r="E6" i="46"/>
  <c r="F6" i="46"/>
  <c r="G6" i="46"/>
  <c r="H6" i="46"/>
  <c r="I6" i="46"/>
  <c r="J6" i="46"/>
  <c r="K6" i="46"/>
  <c r="L6" i="46"/>
  <c r="M6" i="46"/>
  <c r="N6" i="46"/>
  <c r="O6" i="46"/>
  <c r="P6" i="46"/>
  <c r="Q6" i="46"/>
  <c r="R6" i="46"/>
  <c r="S6" i="46"/>
  <c r="T6" i="46"/>
  <c r="U6" i="46"/>
  <c r="V6" i="46"/>
  <c r="W6" i="46"/>
  <c r="X6" i="46"/>
  <c r="C7" i="46"/>
  <c r="D7" i="46"/>
  <c r="E7" i="46"/>
  <c r="F7" i="46"/>
  <c r="G7" i="46"/>
  <c r="H7" i="46"/>
  <c r="I7" i="46"/>
  <c r="J7" i="46"/>
  <c r="K7" i="46"/>
  <c r="L7" i="46"/>
  <c r="M7" i="46"/>
  <c r="N7" i="46"/>
  <c r="O7" i="46"/>
  <c r="P7" i="46"/>
  <c r="Q7" i="46"/>
  <c r="R7" i="46"/>
  <c r="S7" i="46"/>
  <c r="T7" i="46"/>
  <c r="U7" i="46"/>
  <c r="V7" i="46"/>
  <c r="W7" i="46"/>
  <c r="X7" i="46"/>
  <c r="C8" i="46"/>
  <c r="D8" i="46"/>
  <c r="E8" i="46"/>
  <c r="F8" i="46"/>
  <c r="G8" i="46"/>
  <c r="H8" i="46"/>
  <c r="I8" i="46"/>
  <c r="J8" i="46"/>
  <c r="K8" i="46"/>
  <c r="L8" i="46"/>
  <c r="M8" i="46"/>
  <c r="N8" i="46"/>
  <c r="O8" i="46"/>
  <c r="P8" i="46"/>
  <c r="Q8" i="46"/>
  <c r="R8" i="46"/>
  <c r="S8" i="46"/>
  <c r="T8" i="46"/>
  <c r="U8" i="46"/>
  <c r="V8" i="46"/>
  <c r="W8" i="46"/>
  <c r="X8" i="46"/>
  <c r="C9" i="46"/>
  <c r="D9" i="46"/>
  <c r="E9" i="46"/>
  <c r="F9" i="46"/>
  <c r="G9" i="46"/>
  <c r="H9" i="46"/>
  <c r="I9" i="46"/>
  <c r="J9" i="46"/>
  <c r="K9" i="46"/>
  <c r="L9" i="46"/>
  <c r="M9" i="46"/>
  <c r="N9" i="46"/>
  <c r="O9" i="46"/>
  <c r="P9" i="46"/>
  <c r="Q9" i="46"/>
  <c r="R9" i="46"/>
  <c r="S9" i="46"/>
  <c r="T9" i="46"/>
  <c r="U9" i="46"/>
  <c r="V9" i="46"/>
  <c r="W9" i="46"/>
  <c r="X9" i="46"/>
  <c r="C10" i="46"/>
  <c r="D10" i="46"/>
  <c r="E10" i="46"/>
  <c r="F10" i="46"/>
  <c r="G10" i="46"/>
  <c r="H10" i="46"/>
  <c r="I10" i="46"/>
  <c r="J10" i="46"/>
  <c r="K10" i="46"/>
  <c r="L10" i="46"/>
  <c r="M10" i="46"/>
  <c r="N10" i="46"/>
  <c r="O10" i="46"/>
  <c r="P10" i="46"/>
  <c r="Q10" i="46"/>
  <c r="R10" i="46"/>
  <c r="S10" i="46"/>
  <c r="T10" i="46"/>
  <c r="U10" i="46"/>
  <c r="V10" i="46"/>
  <c r="W10" i="46"/>
  <c r="X10" i="46"/>
  <c r="C11" i="46"/>
  <c r="D11" i="46"/>
  <c r="E11" i="46"/>
  <c r="F11" i="46"/>
  <c r="G11" i="46"/>
  <c r="H11" i="46"/>
  <c r="I11" i="46"/>
  <c r="J11" i="46"/>
  <c r="K11" i="46"/>
  <c r="L11" i="46"/>
  <c r="M11" i="46"/>
  <c r="N11" i="46"/>
  <c r="O11" i="46"/>
  <c r="P11" i="46"/>
  <c r="Q11" i="46"/>
  <c r="R11" i="46"/>
  <c r="S11" i="46"/>
  <c r="T11" i="46"/>
  <c r="U11" i="46"/>
  <c r="V11" i="46"/>
  <c r="W11" i="46"/>
  <c r="X11" i="46"/>
  <c r="C12" i="46"/>
  <c r="D12" i="46"/>
  <c r="E12" i="46"/>
  <c r="F12" i="46"/>
  <c r="G12" i="46"/>
  <c r="H12" i="46"/>
  <c r="I12" i="46"/>
  <c r="J12" i="46"/>
  <c r="K12" i="46"/>
  <c r="L12" i="46"/>
  <c r="M12" i="46"/>
  <c r="N12" i="46"/>
  <c r="O12" i="46"/>
  <c r="P12" i="46"/>
  <c r="Q12" i="46"/>
  <c r="R12" i="46"/>
  <c r="S12" i="46"/>
  <c r="T12" i="46"/>
  <c r="U12" i="46"/>
  <c r="V12" i="46"/>
  <c r="W12" i="46"/>
  <c r="X12" i="46"/>
  <c r="C13" i="46"/>
  <c r="D13" i="46"/>
  <c r="E13" i="46"/>
  <c r="F13" i="46"/>
  <c r="G13" i="46"/>
  <c r="H13" i="46"/>
  <c r="I13" i="46"/>
  <c r="J13" i="46"/>
  <c r="K13" i="46"/>
  <c r="L13" i="46"/>
  <c r="M13" i="46"/>
  <c r="N13" i="46"/>
  <c r="O13" i="46"/>
  <c r="P13" i="46"/>
  <c r="Q13" i="46"/>
  <c r="R13" i="46"/>
  <c r="S13" i="46"/>
  <c r="T13" i="46"/>
  <c r="U13" i="46"/>
  <c r="V13" i="46"/>
  <c r="W13" i="46"/>
  <c r="X13" i="46"/>
  <c r="C14" i="46"/>
  <c r="D14" i="46"/>
  <c r="E14" i="46"/>
  <c r="F14" i="46"/>
  <c r="G14" i="46"/>
  <c r="H14" i="46"/>
  <c r="I14" i="46"/>
  <c r="J14" i="46"/>
  <c r="K14" i="46"/>
  <c r="L14" i="46"/>
  <c r="M14" i="46"/>
  <c r="N14" i="46"/>
  <c r="O14" i="46"/>
  <c r="P14" i="46"/>
  <c r="Q14" i="46"/>
  <c r="R14" i="46"/>
  <c r="S14" i="46"/>
  <c r="T14" i="46"/>
  <c r="U14" i="46"/>
  <c r="V14" i="46"/>
  <c r="W14" i="46"/>
  <c r="X14" i="46"/>
  <c r="C15" i="46"/>
  <c r="D15" i="46"/>
  <c r="E15" i="46"/>
  <c r="F15" i="46"/>
  <c r="G15" i="46"/>
  <c r="H15" i="46"/>
  <c r="I15" i="46"/>
  <c r="J15" i="46"/>
  <c r="K15" i="46"/>
  <c r="L15" i="46"/>
  <c r="M15" i="46"/>
  <c r="N15" i="46"/>
  <c r="O15" i="46"/>
  <c r="P15" i="46"/>
  <c r="Q15" i="46"/>
  <c r="R15" i="46"/>
  <c r="S15" i="46"/>
  <c r="T15" i="46"/>
  <c r="U15" i="46"/>
  <c r="V15" i="46"/>
  <c r="W15" i="46"/>
  <c r="X15" i="46"/>
  <c r="C16" i="46"/>
  <c r="D16" i="46"/>
  <c r="E16" i="46"/>
  <c r="F16" i="46"/>
  <c r="G16" i="46"/>
  <c r="H16" i="46"/>
  <c r="I16" i="46"/>
  <c r="J16" i="46"/>
  <c r="K16" i="46"/>
  <c r="L16" i="46"/>
  <c r="M16" i="46"/>
  <c r="N16" i="46"/>
  <c r="O16" i="46"/>
  <c r="P16" i="46"/>
  <c r="Q16" i="46"/>
  <c r="R16" i="46"/>
  <c r="S16" i="46"/>
  <c r="T16" i="46"/>
  <c r="U16" i="46"/>
  <c r="V16" i="46"/>
  <c r="W16" i="46"/>
  <c r="X16" i="46"/>
  <c r="C17" i="46"/>
  <c r="D17" i="46"/>
  <c r="E17" i="46"/>
  <c r="F17" i="46"/>
  <c r="G17" i="46"/>
  <c r="H17" i="46"/>
  <c r="I17" i="46"/>
  <c r="J17" i="46"/>
  <c r="K17" i="46"/>
  <c r="L17" i="46"/>
  <c r="M17" i="46"/>
  <c r="N17" i="46"/>
  <c r="O17" i="46"/>
  <c r="P17" i="46"/>
  <c r="Q17" i="46"/>
  <c r="R17" i="46"/>
  <c r="S17" i="46"/>
  <c r="T17" i="46"/>
  <c r="U17" i="46"/>
  <c r="V17" i="46"/>
  <c r="W17" i="46"/>
  <c r="X17" i="46"/>
  <c r="C18" i="46"/>
  <c r="D18" i="46"/>
  <c r="E18" i="46"/>
  <c r="F18" i="46"/>
  <c r="G18" i="46"/>
  <c r="H18" i="46"/>
  <c r="I18" i="46"/>
  <c r="J18" i="46"/>
  <c r="K18" i="46"/>
  <c r="L18" i="46"/>
  <c r="M18" i="46"/>
  <c r="N18" i="46"/>
  <c r="O18" i="46"/>
  <c r="P18" i="46"/>
  <c r="Q18" i="46"/>
  <c r="R18" i="46"/>
  <c r="S18" i="46"/>
  <c r="T18" i="46"/>
  <c r="U18" i="46"/>
  <c r="V18" i="46"/>
  <c r="W18" i="46"/>
  <c r="X18" i="46"/>
  <c r="C19" i="46"/>
  <c r="D19" i="46"/>
  <c r="E19" i="46"/>
  <c r="F19" i="46"/>
  <c r="G19" i="46"/>
  <c r="H19" i="46"/>
  <c r="I19" i="46"/>
  <c r="J19" i="46"/>
  <c r="K19" i="46"/>
  <c r="L19" i="46"/>
  <c r="M19" i="46"/>
  <c r="N19" i="46"/>
  <c r="O19" i="46"/>
  <c r="P19" i="46"/>
  <c r="Q19" i="46"/>
  <c r="R19" i="46"/>
  <c r="S19" i="46"/>
  <c r="T19" i="46"/>
  <c r="U19" i="46"/>
  <c r="V19" i="46"/>
  <c r="W19" i="46"/>
  <c r="X19" i="46"/>
  <c r="C20" i="46"/>
  <c r="D20" i="46"/>
  <c r="E20" i="46"/>
  <c r="F20" i="46"/>
  <c r="G20" i="46"/>
  <c r="H20" i="46"/>
  <c r="I20" i="46"/>
  <c r="J20" i="46"/>
  <c r="K20" i="46"/>
  <c r="L20" i="46"/>
  <c r="M20" i="46"/>
  <c r="N20" i="46"/>
  <c r="O20" i="46"/>
  <c r="P20" i="46"/>
  <c r="Q20" i="46"/>
  <c r="R20" i="46"/>
  <c r="S20" i="46"/>
  <c r="T20" i="46"/>
  <c r="U20" i="46"/>
  <c r="V20" i="46"/>
  <c r="W20" i="46"/>
  <c r="X20" i="46"/>
  <c r="C21" i="46"/>
  <c r="D21" i="46"/>
  <c r="E21" i="46"/>
  <c r="F21" i="46"/>
  <c r="G21" i="46"/>
  <c r="H21" i="46"/>
  <c r="I21" i="46"/>
  <c r="J21" i="46"/>
  <c r="K21" i="46"/>
  <c r="L21" i="46"/>
  <c r="M21" i="46"/>
  <c r="N21" i="46"/>
  <c r="O21" i="46"/>
  <c r="P21" i="46"/>
  <c r="Q21" i="46"/>
  <c r="R21" i="46"/>
  <c r="S21" i="46"/>
  <c r="T21" i="46"/>
  <c r="U21" i="46"/>
  <c r="V21" i="46"/>
  <c r="W21" i="46"/>
  <c r="X21" i="46"/>
  <c r="C22" i="46"/>
  <c r="D22" i="46"/>
  <c r="E22" i="46"/>
  <c r="F22" i="46"/>
  <c r="G22" i="46"/>
  <c r="H22" i="46"/>
  <c r="I22" i="46"/>
  <c r="J22" i="46"/>
  <c r="K22" i="46"/>
  <c r="L22" i="46"/>
  <c r="M22" i="46"/>
  <c r="N22" i="46"/>
  <c r="O22" i="46"/>
  <c r="P22" i="46"/>
  <c r="Q22" i="46"/>
  <c r="R22" i="46"/>
  <c r="S22" i="46"/>
  <c r="T22" i="46"/>
  <c r="U22" i="46"/>
  <c r="V22" i="46"/>
  <c r="W22" i="46"/>
  <c r="X22" i="46"/>
  <c r="C23" i="46"/>
  <c r="D23" i="46"/>
  <c r="E23" i="46"/>
  <c r="F23" i="46"/>
  <c r="G23" i="46"/>
  <c r="H23" i="46"/>
  <c r="I23" i="46"/>
  <c r="J23" i="46"/>
  <c r="K23" i="46"/>
  <c r="L23" i="46"/>
  <c r="M23" i="46"/>
  <c r="N23" i="46"/>
  <c r="O23" i="46"/>
  <c r="P23" i="46"/>
  <c r="Q23" i="46"/>
  <c r="R23" i="46"/>
  <c r="S23" i="46"/>
  <c r="T23" i="46"/>
  <c r="U23" i="46"/>
  <c r="V23" i="46"/>
  <c r="W23" i="46"/>
  <c r="X23" i="46"/>
  <c r="C24" i="46"/>
  <c r="D24" i="46"/>
  <c r="E24" i="46"/>
  <c r="F24" i="46"/>
  <c r="G24" i="46"/>
  <c r="H24" i="46"/>
  <c r="I24" i="46"/>
  <c r="J24" i="46"/>
  <c r="K24" i="46"/>
  <c r="L24" i="46"/>
  <c r="M24" i="46"/>
  <c r="N24" i="46"/>
  <c r="O24" i="46"/>
  <c r="P24" i="46"/>
  <c r="Q24" i="46"/>
  <c r="R24" i="46"/>
  <c r="S24" i="46"/>
  <c r="T24" i="46"/>
  <c r="U24" i="46"/>
  <c r="V24" i="46"/>
  <c r="W24" i="46"/>
  <c r="X24" i="46"/>
  <c r="C25" i="46"/>
  <c r="D25" i="46"/>
  <c r="E25" i="46"/>
  <c r="F25" i="46"/>
  <c r="G25" i="46"/>
  <c r="H25" i="46"/>
  <c r="I25" i="46"/>
  <c r="J25" i="46"/>
  <c r="K25" i="46"/>
  <c r="L25" i="46"/>
  <c r="M25" i="46"/>
  <c r="N25" i="46"/>
  <c r="O25" i="46"/>
  <c r="P25" i="46"/>
  <c r="Q25" i="46"/>
  <c r="R25" i="46"/>
  <c r="S25" i="46"/>
  <c r="T25" i="46"/>
  <c r="U25" i="46"/>
  <c r="V25" i="46"/>
  <c r="W25" i="46"/>
  <c r="X25" i="46"/>
  <c r="C26" i="46"/>
  <c r="D26" i="46"/>
  <c r="E26" i="46"/>
  <c r="F26" i="46"/>
  <c r="G26" i="46"/>
  <c r="H26" i="46"/>
  <c r="I26" i="46"/>
  <c r="J26" i="46"/>
  <c r="K26" i="46"/>
  <c r="L26" i="46"/>
  <c r="M26" i="46"/>
  <c r="N26" i="46"/>
  <c r="O26" i="46"/>
  <c r="P26" i="46"/>
  <c r="Q26" i="46"/>
  <c r="R26" i="46"/>
  <c r="S26" i="46"/>
  <c r="T26" i="46"/>
  <c r="U26" i="46"/>
  <c r="V26" i="46"/>
  <c r="W26" i="46"/>
  <c r="X26" i="46"/>
  <c r="C27" i="46"/>
  <c r="D27" i="46"/>
  <c r="E27" i="46"/>
  <c r="F27" i="46"/>
  <c r="G27" i="46"/>
  <c r="H27" i="46"/>
  <c r="I27" i="46"/>
  <c r="J27" i="46"/>
  <c r="K27" i="46"/>
  <c r="L27" i="46"/>
  <c r="M27" i="46"/>
  <c r="N27" i="46"/>
  <c r="O27" i="46"/>
  <c r="P27" i="46"/>
  <c r="Q27" i="46"/>
  <c r="R27" i="46"/>
  <c r="S27" i="46"/>
  <c r="T27" i="46"/>
  <c r="U27" i="46"/>
  <c r="V27" i="46"/>
  <c r="W27" i="46"/>
  <c r="X27" i="46"/>
  <c r="C28" i="46"/>
  <c r="D28" i="46"/>
  <c r="E28" i="46"/>
  <c r="F28" i="46"/>
  <c r="G28" i="46"/>
  <c r="H28" i="46"/>
  <c r="I28" i="46"/>
  <c r="J28" i="46"/>
  <c r="K28" i="46"/>
  <c r="L28" i="46"/>
  <c r="M28" i="46"/>
  <c r="N28" i="46"/>
  <c r="O28" i="46"/>
  <c r="P28" i="46"/>
  <c r="Q28" i="46"/>
  <c r="R28" i="46"/>
  <c r="S28" i="46"/>
  <c r="T28" i="46"/>
  <c r="U28" i="46"/>
  <c r="V28" i="46"/>
  <c r="W28" i="46"/>
  <c r="X28" i="46"/>
  <c r="C29" i="46"/>
  <c r="D29" i="46"/>
  <c r="E29" i="46"/>
  <c r="F29" i="46"/>
  <c r="G29" i="46"/>
  <c r="H29" i="46"/>
  <c r="I29" i="46"/>
  <c r="J29" i="46"/>
  <c r="K29" i="46"/>
  <c r="L29" i="46"/>
  <c r="M29" i="46"/>
  <c r="N29" i="46"/>
  <c r="O29" i="46"/>
  <c r="P29" i="46"/>
  <c r="Q29" i="46"/>
  <c r="R29" i="46"/>
  <c r="S29" i="46"/>
  <c r="T29" i="46"/>
  <c r="U29" i="46"/>
  <c r="V29" i="46"/>
  <c r="W29" i="46"/>
  <c r="X29" i="46"/>
  <c r="C30" i="46"/>
  <c r="D30" i="46"/>
  <c r="E30" i="46"/>
  <c r="F30" i="46"/>
  <c r="G30" i="46"/>
  <c r="H30" i="46"/>
  <c r="I30" i="46"/>
  <c r="J30" i="46"/>
  <c r="K30" i="46"/>
  <c r="L30" i="46"/>
  <c r="M30" i="46"/>
  <c r="N30" i="46"/>
  <c r="O30" i="46"/>
  <c r="P30" i="46"/>
  <c r="Q30" i="46"/>
  <c r="R30" i="46"/>
  <c r="S30" i="46"/>
  <c r="T30" i="46"/>
  <c r="U30" i="46"/>
  <c r="V30" i="46"/>
  <c r="W30" i="46"/>
  <c r="X30" i="46"/>
  <c r="C31" i="46"/>
  <c r="D31" i="46"/>
  <c r="E31" i="46"/>
  <c r="F31" i="46"/>
  <c r="G31" i="46"/>
  <c r="H31" i="46"/>
  <c r="I31" i="46"/>
  <c r="J31" i="46"/>
  <c r="K31" i="46"/>
  <c r="L31" i="46"/>
  <c r="M31" i="46"/>
  <c r="N31" i="46"/>
  <c r="O31" i="46"/>
  <c r="P31" i="46"/>
  <c r="Q31" i="46"/>
  <c r="R31" i="46"/>
  <c r="S31" i="46"/>
  <c r="T31" i="46"/>
  <c r="U31" i="46"/>
  <c r="V31" i="46"/>
  <c r="W31" i="46"/>
  <c r="X31" i="46"/>
  <c r="C32" i="46"/>
  <c r="D32" i="46"/>
  <c r="E32" i="46"/>
  <c r="F32" i="46"/>
  <c r="G32" i="46"/>
  <c r="H32" i="46"/>
  <c r="I32" i="46"/>
  <c r="J32" i="46"/>
  <c r="K32" i="46"/>
  <c r="L32" i="46"/>
  <c r="M32" i="46"/>
  <c r="N32" i="46"/>
  <c r="O32" i="46"/>
  <c r="P32" i="46"/>
  <c r="Q32" i="46"/>
  <c r="R32" i="46"/>
  <c r="S32" i="46"/>
  <c r="T32" i="46"/>
  <c r="U32" i="46"/>
  <c r="V32" i="46"/>
  <c r="W32" i="46"/>
  <c r="X32" i="46"/>
  <c r="C33" i="46"/>
  <c r="D33" i="46"/>
  <c r="E33" i="46"/>
  <c r="F33" i="46"/>
  <c r="G33" i="46"/>
  <c r="H33" i="46"/>
  <c r="I33" i="46"/>
  <c r="J33" i="46"/>
  <c r="K33" i="46"/>
  <c r="L33" i="46"/>
  <c r="M33" i="46"/>
  <c r="N33" i="46"/>
  <c r="O33" i="46"/>
  <c r="P33" i="46"/>
  <c r="Q33" i="46"/>
  <c r="R33" i="46"/>
  <c r="S33" i="46"/>
  <c r="T33" i="46"/>
  <c r="U33" i="46"/>
  <c r="V33" i="46"/>
  <c r="W33" i="46"/>
  <c r="X33" i="46"/>
  <c r="C34" i="46"/>
  <c r="D34" i="46"/>
  <c r="E34" i="46"/>
  <c r="F34" i="46"/>
  <c r="G34" i="46"/>
  <c r="H34" i="46"/>
  <c r="I34" i="46"/>
  <c r="J34" i="46"/>
  <c r="K34" i="46"/>
  <c r="L34" i="46"/>
  <c r="M34" i="46"/>
  <c r="N34" i="46"/>
  <c r="O34" i="46"/>
  <c r="P34" i="46"/>
  <c r="Q34" i="46"/>
  <c r="R34" i="46"/>
  <c r="S34" i="46"/>
  <c r="T34" i="46"/>
  <c r="U34" i="46"/>
  <c r="V34" i="46"/>
  <c r="W34" i="46"/>
  <c r="X34" i="46"/>
  <c r="C35" i="46"/>
  <c r="D35" i="46"/>
  <c r="E35" i="46"/>
  <c r="F35" i="46"/>
  <c r="G35" i="46"/>
  <c r="H35" i="46"/>
  <c r="I35" i="46"/>
  <c r="J35" i="46"/>
  <c r="K35" i="46"/>
  <c r="L35" i="46"/>
  <c r="M35" i="46"/>
  <c r="N35" i="46"/>
  <c r="O35" i="46"/>
  <c r="P35" i="46"/>
  <c r="Q35" i="46"/>
  <c r="R35" i="46"/>
  <c r="S35" i="46"/>
  <c r="T35" i="46"/>
  <c r="U35" i="46"/>
  <c r="V35" i="46"/>
  <c r="W35" i="46"/>
  <c r="X35" i="46"/>
  <c r="C36" i="46"/>
  <c r="D36" i="46"/>
  <c r="E36" i="46"/>
  <c r="F36" i="46"/>
  <c r="G36" i="46"/>
  <c r="H36" i="46"/>
  <c r="I36" i="46"/>
  <c r="J36" i="46"/>
  <c r="K36" i="46"/>
  <c r="L36" i="46"/>
  <c r="M36" i="46"/>
  <c r="N36" i="46"/>
  <c r="O36" i="46"/>
  <c r="P36" i="46"/>
  <c r="Q36" i="46"/>
  <c r="R36" i="46"/>
  <c r="S36" i="46"/>
  <c r="T36" i="46"/>
  <c r="U36" i="46"/>
  <c r="V36" i="46"/>
  <c r="W36" i="46"/>
  <c r="X36" i="46"/>
  <c r="C37" i="46"/>
  <c r="D37" i="46"/>
  <c r="E37" i="46"/>
  <c r="F37" i="46"/>
  <c r="G37" i="46"/>
  <c r="H37" i="46"/>
  <c r="I37" i="46"/>
  <c r="J37" i="46"/>
  <c r="K37" i="46"/>
  <c r="L37" i="46"/>
  <c r="M37" i="46"/>
  <c r="N37" i="46"/>
  <c r="O37" i="46"/>
  <c r="P37" i="46"/>
  <c r="Q37" i="46"/>
  <c r="R37" i="46"/>
  <c r="S37" i="46"/>
  <c r="T37" i="46"/>
  <c r="U37" i="46"/>
  <c r="V37" i="46"/>
  <c r="W37" i="46"/>
  <c r="X37" i="46"/>
  <c r="C38" i="46"/>
  <c r="D38" i="46"/>
  <c r="E38" i="46"/>
  <c r="F38" i="46"/>
  <c r="G38" i="46"/>
  <c r="H38" i="46"/>
  <c r="I38" i="46"/>
  <c r="J38" i="46"/>
  <c r="K38" i="46"/>
  <c r="L38" i="46"/>
  <c r="M38" i="46"/>
  <c r="N38" i="46"/>
  <c r="O38" i="46"/>
  <c r="P38" i="46"/>
  <c r="Q38" i="46"/>
  <c r="R38" i="46"/>
  <c r="S38" i="46"/>
  <c r="T38" i="46"/>
  <c r="U38" i="46"/>
  <c r="V38" i="46"/>
  <c r="W38" i="46"/>
  <c r="X38" i="46"/>
  <c r="C39" i="46"/>
  <c r="D39" i="46"/>
  <c r="E39" i="46"/>
  <c r="F39" i="46"/>
  <c r="G39" i="46"/>
  <c r="H39" i="46"/>
  <c r="I39" i="46"/>
  <c r="J39" i="46"/>
  <c r="K39" i="46"/>
  <c r="L39" i="46"/>
  <c r="M39" i="46"/>
  <c r="N39" i="46"/>
  <c r="O39" i="46"/>
  <c r="P39" i="46"/>
  <c r="Q39" i="46"/>
  <c r="R39" i="46"/>
  <c r="S39" i="46"/>
  <c r="T39" i="46"/>
  <c r="U39" i="46"/>
  <c r="V39" i="46"/>
  <c r="W39" i="46"/>
  <c r="X39" i="46"/>
  <c r="C40" i="46"/>
  <c r="D40" i="46"/>
  <c r="E40" i="46"/>
  <c r="F40" i="46"/>
  <c r="G40" i="46"/>
  <c r="H40" i="46"/>
  <c r="I40" i="46"/>
  <c r="J40" i="46"/>
  <c r="K40" i="46"/>
  <c r="L40" i="46"/>
  <c r="M40" i="46"/>
  <c r="N40" i="46"/>
  <c r="O40" i="46"/>
  <c r="P40" i="46"/>
  <c r="Q40" i="46"/>
  <c r="R40" i="46"/>
  <c r="S40" i="46"/>
  <c r="T40" i="46"/>
  <c r="U40" i="46"/>
  <c r="V40" i="46"/>
  <c r="W40" i="46"/>
  <c r="X40" i="46"/>
  <c r="C41" i="46"/>
  <c r="D41" i="46"/>
  <c r="E41" i="46"/>
  <c r="F41" i="46"/>
  <c r="G41" i="46"/>
  <c r="H41" i="46"/>
  <c r="I41" i="46"/>
  <c r="J41" i="46"/>
  <c r="K41" i="46"/>
  <c r="L41" i="46"/>
  <c r="M41" i="46"/>
  <c r="N41" i="46"/>
  <c r="O41" i="46"/>
  <c r="P41" i="46"/>
  <c r="Q41" i="46"/>
  <c r="R41" i="46"/>
  <c r="S41" i="46"/>
  <c r="T41" i="46"/>
  <c r="U41" i="46"/>
  <c r="V41" i="46"/>
  <c r="W41" i="46"/>
  <c r="X41" i="46"/>
  <c r="C42" i="46"/>
  <c r="D42" i="46"/>
  <c r="E42" i="46"/>
  <c r="F42" i="46"/>
  <c r="G42" i="46"/>
  <c r="H42" i="46"/>
  <c r="I42" i="46"/>
  <c r="J42" i="46"/>
  <c r="K42" i="46"/>
  <c r="L42" i="46"/>
  <c r="M42" i="46"/>
  <c r="N42" i="46"/>
  <c r="O42" i="46"/>
  <c r="P42" i="46"/>
  <c r="Q42" i="46"/>
  <c r="R42" i="46"/>
  <c r="S42" i="46"/>
  <c r="T42" i="46"/>
  <c r="U42" i="46"/>
  <c r="V42" i="46"/>
  <c r="W42" i="46"/>
  <c r="X42" i="46"/>
  <c r="C43" i="46"/>
  <c r="D43" i="46"/>
  <c r="E43" i="46"/>
  <c r="F43" i="46"/>
  <c r="G43" i="46"/>
  <c r="H43" i="46"/>
  <c r="I43" i="46"/>
  <c r="J43" i="46"/>
  <c r="K43" i="46"/>
  <c r="L43" i="46"/>
  <c r="M43" i="46"/>
  <c r="N43" i="46"/>
  <c r="O43" i="46"/>
  <c r="P43" i="46"/>
  <c r="Q43" i="46"/>
  <c r="R43" i="46"/>
  <c r="S43" i="46"/>
  <c r="T43" i="46"/>
  <c r="U43" i="46"/>
  <c r="V43" i="46"/>
  <c r="W43" i="46"/>
  <c r="X43" i="46"/>
  <c r="C44" i="46"/>
  <c r="D44" i="46"/>
  <c r="E44" i="46"/>
  <c r="F44" i="46"/>
  <c r="G44" i="46"/>
  <c r="H44" i="46"/>
  <c r="I44" i="46"/>
  <c r="J44" i="46"/>
  <c r="K44" i="46"/>
  <c r="L44" i="46"/>
  <c r="M44" i="46"/>
  <c r="N44" i="46"/>
  <c r="O44" i="46"/>
  <c r="P44" i="46"/>
  <c r="Q44" i="46"/>
  <c r="R44" i="46"/>
  <c r="S44" i="46"/>
  <c r="T44" i="46"/>
  <c r="U44" i="46"/>
  <c r="V44" i="46"/>
  <c r="W44" i="46"/>
  <c r="X44" i="46"/>
  <c r="C45" i="46"/>
  <c r="D45" i="46"/>
  <c r="E45" i="46"/>
  <c r="F45" i="46"/>
  <c r="G45" i="46"/>
  <c r="H45" i="46"/>
  <c r="I45" i="46"/>
  <c r="J45" i="46"/>
  <c r="K45" i="46"/>
  <c r="L45" i="46"/>
  <c r="M45" i="46"/>
  <c r="N45" i="46"/>
  <c r="O45" i="46"/>
  <c r="P45" i="46"/>
  <c r="Q45" i="46"/>
  <c r="R45" i="46"/>
  <c r="S45" i="46"/>
  <c r="T45" i="46"/>
  <c r="U45" i="46"/>
  <c r="V45" i="46"/>
  <c r="W45" i="46"/>
  <c r="X45" i="46"/>
  <c r="C46" i="46"/>
  <c r="D46" i="46"/>
  <c r="E46" i="46"/>
  <c r="F46" i="46"/>
  <c r="G46" i="46"/>
  <c r="H46" i="46"/>
  <c r="I46" i="46"/>
  <c r="J46" i="46"/>
  <c r="K46" i="46"/>
  <c r="L46" i="46"/>
  <c r="M46" i="46"/>
  <c r="N46" i="46"/>
  <c r="O46" i="46"/>
  <c r="P46" i="46"/>
  <c r="Q46" i="46"/>
  <c r="R46" i="46"/>
  <c r="S46" i="46"/>
  <c r="T46" i="46"/>
  <c r="U46" i="46"/>
  <c r="V46" i="46"/>
  <c r="W46" i="46"/>
  <c r="X46" i="46"/>
  <c r="C47" i="46"/>
  <c r="D47" i="46"/>
  <c r="E47" i="46"/>
  <c r="F47" i="46"/>
  <c r="G47" i="46"/>
  <c r="H47" i="46"/>
  <c r="I47" i="46"/>
  <c r="J47" i="46"/>
  <c r="K47" i="46"/>
  <c r="L47" i="46"/>
  <c r="M47" i="46"/>
  <c r="N47" i="46"/>
  <c r="O47" i="46"/>
  <c r="P47" i="46"/>
  <c r="Q47" i="46"/>
  <c r="R47" i="46"/>
  <c r="S47" i="46"/>
  <c r="T47" i="46"/>
  <c r="U47" i="46"/>
  <c r="V47" i="46"/>
  <c r="W47" i="46"/>
  <c r="X47" i="46"/>
  <c r="C48" i="46"/>
  <c r="D48" i="46"/>
  <c r="E48" i="46"/>
  <c r="F48" i="46"/>
  <c r="G48" i="46"/>
  <c r="H48" i="46"/>
  <c r="I48" i="46"/>
  <c r="J48" i="46"/>
  <c r="K48" i="46"/>
  <c r="L48" i="46"/>
  <c r="M48" i="46"/>
  <c r="N48" i="46"/>
  <c r="O48" i="46"/>
  <c r="P48" i="46"/>
  <c r="Q48" i="46"/>
  <c r="R48" i="46"/>
  <c r="S48" i="46"/>
  <c r="T48" i="46"/>
  <c r="U48" i="46"/>
  <c r="V48" i="46"/>
  <c r="W48" i="46"/>
  <c r="X48" i="46"/>
  <c r="C49" i="46"/>
  <c r="D49" i="46"/>
  <c r="E49" i="46"/>
  <c r="F49" i="46"/>
  <c r="G49" i="46"/>
  <c r="H49" i="46"/>
  <c r="I49" i="46"/>
  <c r="J49" i="46"/>
  <c r="K49" i="46"/>
  <c r="L49" i="46"/>
  <c r="M49" i="46"/>
  <c r="N49" i="46"/>
  <c r="O49" i="46"/>
  <c r="P49" i="46"/>
  <c r="Q49" i="46"/>
  <c r="R49" i="46"/>
  <c r="S49" i="46"/>
  <c r="T49" i="46"/>
  <c r="U49" i="46"/>
  <c r="V49" i="46"/>
  <c r="W49" i="46"/>
  <c r="X49" i="46"/>
  <c r="C50" i="46"/>
  <c r="D50" i="46"/>
  <c r="E50" i="46"/>
  <c r="F50" i="46"/>
  <c r="G50" i="46"/>
  <c r="H50" i="46"/>
  <c r="I50" i="46"/>
  <c r="J50" i="46"/>
  <c r="K50" i="46"/>
  <c r="L50" i="46"/>
  <c r="M50" i="46"/>
  <c r="N50" i="46"/>
  <c r="O50" i="46"/>
  <c r="P50" i="46"/>
  <c r="Q50" i="46"/>
  <c r="R50" i="46"/>
  <c r="S50" i="46"/>
  <c r="T50" i="46"/>
  <c r="U50" i="46"/>
  <c r="V50" i="46"/>
  <c r="W50" i="46"/>
  <c r="X50" i="46"/>
  <c r="C51" i="46"/>
  <c r="D51" i="46"/>
  <c r="E51" i="46"/>
  <c r="F51" i="46"/>
  <c r="G51" i="46"/>
  <c r="H51" i="46"/>
  <c r="I51" i="46"/>
  <c r="J51" i="46"/>
  <c r="K51" i="46"/>
  <c r="L51" i="46"/>
  <c r="M51" i="46"/>
  <c r="N51" i="46"/>
  <c r="O51" i="46"/>
  <c r="P51" i="46"/>
  <c r="Q51" i="46"/>
  <c r="R51" i="46"/>
  <c r="S51" i="46"/>
  <c r="T51" i="46"/>
  <c r="U51" i="46"/>
  <c r="V51" i="46"/>
  <c r="W51" i="46"/>
  <c r="X51" i="46"/>
  <c r="C52" i="46"/>
  <c r="D52" i="46"/>
  <c r="E52" i="46"/>
  <c r="F52" i="46"/>
  <c r="G52" i="46"/>
  <c r="H52" i="46"/>
  <c r="I52" i="46"/>
  <c r="J52" i="46"/>
  <c r="K52" i="46"/>
  <c r="L52" i="46"/>
  <c r="M52" i="46"/>
  <c r="N52" i="46"/>
  <c r="O52" i="46"/>
  <c r="P52" i="46"/>
  <c r="Q52" i="46"/>
  <c r="R52" i="46"/>
  <c r="S52" i="46"/>
  <c r="T52" i="46"/>
  <c r="U52" i="46"/>
  <c r="V52" i="46"/>
  <c r="W52" i="46"/>
  <c r="X52" i="46"/>
  <c r="C53" i="46"/>
  <c r="D53" i="46"/>
  <c r="E53" i="46"/>
  <c r="F53" i="46"/>
  <c r="G53" i="46"/>
  <c r="H53" i="46"/>
  <c r="I53" i="46"/>
  <c r="J53" i="46"/>
  <c r="K53" i="46"/>
  <c r="L53" i="46"/>
  <c r="M53" i="46"/>
  <c r="N53" i="46"/>
  <c r="O53" i="46"/>
  <c r="P53" i="46"/>
  <c r="Q53" i="46"/>
  <c r="R53" i="46"/>
  <c r="S53" i="46"/>
  <c r="T53" i="46"/>
  <c r="U53" i="46"/>
  <c r="V53" i="46"/>
  <c r="W53" i="46"/>
  <c r="X53" i="46"/>
  <c r="C54" i="46"/>
  <c r="D54" i="46"/>
  <c r="E54" i="46"/>
  <c r="F54" i="46"/>
  <c r="G54" i="46"/>
  <c r="H54" i="46"/>
  <c r="I54" i="46"/>
  <c r="J54" i="46"/>
  <c r="K54" i="46"/>
  <c r="L54" i="46"/>
  <c r="M54" i="46"/>
  <c r="N54" i="46"/>
  <c r="O54" i="46"/>
  <c r="P54" i="46"/>
  <c r="Q54" i="46"/>
  <c r="R54" i="46"/>
  <c r="S54" i="46"/>
  <c r="T54" i="46"/>
  <c r="U54" i="46"/>
  <c r="V54" i="46"/>
  <c r="W54" i="46"/>
  <c r="X54" i="46"/>
  <c r="C55" i="46"/>
  <c r="D55" i="46"/>
  <c r="E55" i="46"/>
  <c r="F55" i="46"/>
  <c r="G55" i="46"/>
  <c r="H55" i="46"/>
  <c r="I55" i="46"/>
  <c r="J55" i="46"/>
  <c r="K55" i="46"/>
  <c r="L55" i="46"/>
  <c r="M55" i="46"/>
  <c r="N55" i="46"/>
  <c r="O55" i="46"/>
  <c r="P55" i="46"/>
  <c r="Q55" i="46"/>
  <c r="R55" i="46"/>
  <c r="S55" i="46"/>
  <c r="T55" i="46"/>
  <c r="U55" i="46"/>
  <c r="V55" i="46"/>
  <c r="W55" i="46"/>
  <c r="X55" i="46"/>
  <c r="C56" i="46"/>
  <c r="D56" i="46"/>
  <c r="E56" i="46"/>
  <c r="F56" i="46"/>
  <c r="G56" i="46"/>
  <c r="H56" i="46"/>
  <c r="I56" i="46"/>
  <c r="J56" i="46"/>
  <c r="K56" i="46"/>
  <c r="L56" i="46"/>
  <c r="M56" i="46"/>
  <c r="N56" i="46"/>
  <c r="O56" i="46"/>
  <c r="P56" i="46"/>
  <c r="Q56" i="46"/>
  <c r="R56" i="46"/>
  <c r="S56" i="46"/>
  <c r="T56" i="46"/>
  <c r="U56" i="46"/>
  <c r="V56" i="46"/>
  <c r="W56" i="46"/>
  <c r="X56" i="46"/>
  <c r="C57" i="46"/>
  <c r="D57" i="46"/>
  <c r="E57" i="46"/>
  <c r="F57" i="46"/>
  <c r="G57" i="46"/>
  <c r="H57" i="46"/>
  <c r="I57" i="46"/>
  <c r="J57" i="46"/>
  <c r="K57" i="46"/>
  <c r="L57" i="46"/>
  <c r="M57" i="46"/>
  <c r="N57" i="46"/>
  <c r="O57" i="46"/>
  <c r="P57" i="46"/>
  <c r="Q57" i="46"/>
  <c r="R57" i="46"/>
  <c r="S57" i="46"/>
  <c r="T57" i="46"/>
  <c r="U57" i="46"/>
  <c r="V57" i="46"/>
  <c r="W57" i="46"/>
  <c r="X57" i="46"/>
  <c r="C58" i="46"/>
  <c r="D58" i="46"/>
  <c r="E58" i="46"/>
  <c r="F58" i="46"/>
  <c r="G58" i="46"/>
  <c r="H58" i="46"/>
  <c r="I58" i="46"/>
  <c r="J58" i="46"/>
  <c r="K58" i="46"/>
  <c r="L58" i="46"/>
  <c r="M58" i="46"/>
  <c r="N58" i="46"/>
  <c r="O58" i="46"/>
  <c r="P58" i="46"/>
  <c r="Q58" i="46"/>
  <c r="R58" i="46"/>
  <c r="S58" i="46"/>
  <c r="T58" i="46"/>
  <c r="U58" i="46"/>
  <c r="V58" i="46"/>
  <c r="W58" i="46"/>
  <c r="X58" i="46"/>
  <c r="C59" i="46"/>
  <c r="D59" i="46"/>
  <c r="E59" i="46"/>
  <c r="F59" i="46"/>
  <c r="G59" i="46"/>
  <c r="H59" i="46"/>
  <c r="I59" i="46"/>
  <c r="J59" i="46"/>
  <c r="K59" i="46"/>
  <c r="L59" i="46"/>
  <c r="M59" i="46"/>
  <c r="N59" i="46"/>
  <c r="O59" i="46"/>
  <c r="P59" i="46"/>
  <c r="Q59" i="46"/>
  <c r="R59" i="46"/>
  <c r="S59" i="46"/>
  <c r="T59" i="46"/>
  <c r="U59" i="46"/>
  <c r="V59" i="46"/>
  <c r="W59" i="46"/>
  <c r="X59" i="46"/>
  <c r="C60" i="46"/>
  <c r="D60" i="46"/>
  <c r="E60" i="46"/>
  <c r="F60" i="46"/>
  <c r="G60" i="46"/>
  <c r="H60" i="46"/>
  <c r="I60" i="46"/>
  <c r="J60" i="46"/>
  <c r="K60" i="46"/>
  <c r="L60" i="46"/>
  <c r="M60" i="46"/>
  <c r="N60" i="46"/>
  <c r="O60" i="46"/>
  <c r="P60" i="46"/>
  <c r="Q60" i="46"/>
  <c r="R60" i="46"/>
  <c r="S60" i="46"/>
  <c r="T60" i="46"/>
  <c r="U60" i="46"/>
  <c r="V60" i="46"/>
  <c r="W60" i="46"/>
  <c r="X60" i="46"/>
  <c r="C61" i="46"/>
  <c r="D61" i="46"/>
  <c r="E61" i="46"/>
  <c r="F61" i="46"/>
  <c r="G61" i="46"/>
  <c r="H61" i="46"/>
  <c r="I61" i="46"/>
  <c r="J61" i="46"/>
  <c r="K61" i="46"/>
  <c r="L61" i="46"/>
  <c r="M61" i="46"/>
  <c r="N61" i="46"/>
  <c r="O61" i="46"/>
  <c r="P61" i="46"/>
  <c r="Q61" i="46"/>
  <c r="R61" i="46"/>
  <c r="S61" i="46"/>
  <c r="T61" i="46"/>
  <c r="U61" i="46"/>
  <c r="V61" i="46"/>
  <c r="W61" i="46"/>
  <c r="X61" i="46"/>
  <c r="C62" i="46"/>
  <c r="D62" i="46"/>
  <c r="E62" i="46"/>
  <c r="F62" i="46"/>
  <c r="G62" i="46"/>
  <c r="H62" i="46"/>
  <c r="I62" i="46"/>
  <c r="J62" i="46"/>
  <c r="K62" i="46"/>
  <c r="L62" i="46"/>
  <c r="M62" i="46"/>
  <c r="N62" i="46"/>
  <c r="O62" i="46"/>
  <c r="P62" i="46"/>
  <c r="Q62" i="46"/>
  <c r="R62" i="46"/>
  <c r="S62" i="46"/>
  <c r="T62" i="46"/>
  <c r="U62" i="46"/>
  <c r="V62" i="46"/>
  <c r="W62" i="46"/>
  <c r="X62" i="46"/>
  <c r="C63" i="46"/>
  <c r="D63" i="46"/>
  <c r="E63" i="46"/>
  <c r="F63" i="46"/>
  <c r="G63" i="46"/>
  <c r="H63" i="46"/>
  <c r="I63" i="46"/>
  <c r="J63" i="46"/>
  <c r="K63" i="46"/>
  <c r="L63" i="46"/>
  <c r="M63" i="46"/>
  <c r="N63" i="46"/>
  <c r="O63" i="46"/>
  <c r="P63" i="46"/>
  <c r="Q63" i="46"/>
  <c r="R63" i="46"/>
  <c r="S63" i="46"/>
  <c r="T63" i="46"/>
  <c r="U63" i="46"/>
  <c r="V63" i="46"/>
  <c r="W63" i="46"/>
  <c r="X63" i="46"/>
  <c r="C64" i="46"/>
  <c r="D64" i="46"/>
  <c r="E64" i="46"/>
  <c r="F64" i="46"/>
  <c r="G64" i="46"/>
  <c r="H64" i="46"/>
  <c r="I64" i="46"/>
  <c r="J64" i="46"/>
  <c r="K64" i="46"/>
  <c r="L64" i="46"/>
  <c r="M64" i="46"/>
  <c r="N64" i="46"/>
  <c r="O64" i="46"/>
  <c r="P64" i="46"/>
  <c r="Q64" i="46"/>
  <c r="R64" i="46"/>
  <c r="S64" i="46"/>
  <c r="T64" i="46"/>
  <c r="U64" i="46"/>
  <c r="V64" i="46"/>
  <c r="W64" i="46"/>
  <c r="X64" i="46"/>
  <c r="C65" i="46"/>
  <c r="D65" i="46"/>
  <c r="E65" i="46"/>
  <c r="F65" i="46"/>
  <c r="G65" i="46"/>
  <c r="H65" i="46"/>
  <c r="I65" i="46"/>
  <c r="J65" i="46"/>
  <c r="K65" i="46"/>
  <c r="L65" i="46"/>
  <c r="M65" i="46"/>
  <c r="N65" i="46"/>
  <c r="O65" i="46"/>
  <c r="P65" i="46"/>
  <c r="Q65" i="46"/>
  <c r="R65" i="46"/>
  <c r="S65" i="46"/>
  <c r="T65" i="46"/>
  <c r="U65" i="46"/>
  <c r="V65" i="46"/>
  <c r="W65" i="46"/>
  <c r="X65" i="46"/>
  <c r="C66" i="46"/>
  <c r="D66" i="46"/>
  <c r="E66" i="46"/>
  <c r="F66" i="46"/>
  <c r="G66" i="46"/>
  <c r="H66" i="46"/>
  <c r="I66" i="46"/>
  <c r="J66" i="46"/>
  <c r="K66" i="46"/>
  <c r="L66" i="46"/>
  <c r="M66" i="46"/>
  <c r="N66" i="46"/>
  <c r="O66" i="46"/>
  <c r="P66" i="46"/>
  <c r="Q66" i="46"/>
  <c r="R66" i="46"/>
  <c r="S66" i="46"/>
  <c r="T66" i="46"/>
  <c r="U66" i="46"/>
  <c r="V66" i="46"/>
  <c r="W66" i="46"/>
  <c r="X66" i="46"/>
  <c r="C67" i="46"/>
  <c r="D67" i="46"/>
  <c r="E67" i="46"/>
  <c r="F67" i="46"/>
  <c r="G67" i="46"/>
  <c r="H67" i="46"/>
  <c r="I67" i="46"/>
  <c r="J67" i="46"/>
  <c r="K67" i="46"/>
  <c r="L67" i="46"/>
  <c r="M67" i="46"/>
  <c r="N67" i="46"/>
  <c r="O67" i="46"/>
  <c r="P67" i="46"/>
  <c r="Q67" i="46"/>
  <c r="R67" i="46"/>
  <c r="S67" i="46"/>
  <c r="T67" i="46"/>
  <c r="U67" i="46"/>
  <c r="V67" i="46"/>
  <c r="W67" i="46"/>
  <c r="X67" i="46"/>
  <c r="C68" i="46"/>
  <c r="D68" i="46"/>
  <c r="E68" i="46"/>
  <c r="F68" i="46"/>
  <c r="G68" i="46"/>
  <c r="H68" i="46"/>
  <c r="I68" i="46"/>
  <c r="J68" i="46"/>
  <c r="K68" i="46"/>
  <c r="L68" i="46"/>
  <c r="M68" i="46"/>
  <c r="N68" i="46"/>
  <c r="O68" i="46"/>
  <c r="P68" i="46"/>
  <c r="Q68" i="46"/>
  <c r="R68" i="46"/>
  <c r="S68" i="46"/>
  <c r="T68" i="46"/>
  <c r="U68" i="46"/>
  <c r="V68" i="46"/>
  <c r="W68" i="46"/>
  <c r="X68" i="46"/>
  <c r="C69" i="46"/>
  <c r="D69" i="46"/>
  <c r="E69" i="46"/>
  <c r="F69" i="46"/>
  <c r="G69" i="46"/>
  <c r="H69" i="46"/>
  <c r="I69" i="46"/>
  <c r="J69" i="46"/>
  <c r="K69" i="46"/>
  <c r="L69" i="46"/>
  <c r="M69" i="46"/>
  <c r="N69" i="46"/>
  <c r="O69" i="46"/>
  <c r="P69" i="46"/>
  <c r="Q69" i="46"/>
  <c r="R69" i="46"/>
  <c r="S69" i="46"/>
  <c r="T69" i="46"/>
  <c r="U69" i="46"/>
  <c r="V69" i="46"/>
  <c r="W69" i="46"/>
  <c r="X69" i="46"/>
  <c r="C70" i="46"/>
  <c r="D70" i="46"/>
  <c r="E70" i="46"/>
  <c r="F70" i="46"/>
  <c r="G70" i="46"/>
  <c r="H70" i="46"/>
  <c r="I70" i="46"/>
  <c r="J70" i="46"/>
  <c r="K70" i="46"/>
  <c r="L70" i="46"/>
  <c r="M70" i="46"/>
  <c r="N70" i="46"/>
  <c r="O70" i="46"/>
  <c r="P70" i="46"/>
  <c r="Q70" i="46"/>
  <c r="R70" i="46"/>
  <c r="S70" i="46"/>
  <c r="T70" i="46"/>
  <c r="U70" i="46"/>
  <c r="V70" i="46"/>
  <c r="W70" i="46"/>
  <c r="X70" i="46"/>
  <c r="C71" i="46"/>
  <c r="D71" i="46"/>
  <c r="E71" i="46"/>
  <c r="F71" i="46"/>
  <c r="G71" i="46"/>
  <c r="H71" i="46"/>
  <c r="I71" i="46"/>
  <c r="J71" i="46"/>
  <c r="K71" i="46"/>
  <c r="L71" i="46"/>
  <c r="M71" i="46"/>
  <c r="N71" i="46"/>
  <c r="O71" i="46"/>
  <c r="P71" i="46"/>
  <c r="Q71" i="46"/>
  <c r="R71" i="46"/>
  <c r="S71" i="46"/>
  <c r="T71" i="46"/>
  <c r="U71" i="46"/>
  <c r="V71" i="46"/>
  <c r="W71" i="46"/>
  <c r="X71" i="46"/>
  <c r="C72" i="46"/>
  <c r="D72" i="46"/>
  <c r="E72" i="46"/>
  <c r="F72" i="46"/>
  <c r="G72" i="46"/>
  <c r="H72" i="46"/>
  <c r="I72" i="46"/>
  <c r="J72" i="46"/>
  <c r="K72" i="46"/>
  <c r="L72" i="46"/>
  <c r="M72" i="46"/>
  <c r="N72" i="46"/>
  <c r="O72" i="46"/>
  <c r="P72" i="46"/>
  <c r="Q72" i="46"/>
  <c r="R72" i="46"/>
  <c r="S72" i="46"/>
  <c r="T72" i="46"/>
  <c r="U72" i="46"/>
  <c r="V72" i="46"/>
  <c r="W72" i="46"/>
  <c r="X72" i="46"/>
  <c r="C73" i="46"/>
  <c r="D73" i="46"/>
  <c r="E73" i="46"/>
  <c r="F73" i="46"/>
  <c r="G73" i="46"/>
  <c r="H73" i="46"/>
  <c r="I73" i="46"/>
  <c r="J73" i="46"/>
  <c r="K73" i="46"/>
  <c r="L73" i="46"/>
  <c r="M73" i="46"/>
  <c r="N73" i="46"/>
  <c r="O73" i="46"/>
  <c r="P73" i="46"/>
  <c r="Q73" i="46"/>
  <c r="R73" i="46"/>
  <c r="S73" i="46"/>
  <c r="T73" i="46"/>
  <c r="U73" i="46"/>
  <c r="V73" i="46"/>
  <c r="W73" i="46"/>
  <c r="X73" i="46"/>
  <c r="C74" i="46"/>
  <c r="D74" i="46"/>
  <c r="E74" i="46"/>
  <c r="F74" i="46"/>
  <c r="G74" i="46"/>
  <c r="H74" i="46"/>
  <c r="I74" i="46"/>
  <c r="J74" i="46"/>
  <c r="K74" i="46"/>
  <c r="L74" i="46"/>
  <c r="M74" i="46"/>
  <c r="N74" i="46"/>
  <c r="O74" i="46"/>
  <c r="P74" i="46"/>
  <c r="Q74" i="46"/>
  <c r="R74" i="46"/>
  <c r="S74" i="46"/>
  <c r="T74" i="46"/>
  <c r="U74" i="46"/>
  <c r="V74" i="46"/>
  <c r="W74" i="46"/>
  <c r="X74" i="46"/>
  <c r="C75" i="46"/>
  <c r="D75" i="46"/>
  <c r="E75" i="46"/>
  <c r="F75" i="46"/>
  <c r="G75" i="46"/>
  <c r="H75" i="46"/>
  <c r="I75" i="46"/>
  <c r="J75" i="46"/>
  <c r="K75" i="46"/>
  <c r="L75" i="46"/>
  <c r="M75" i="46"/>
  <c r="N75" i="46"/>
  <c r="O75" i="46"/>
  <c r="P75" i="46"/>
  <c r="Q75" i="46"/>
  <c r="R75" i="46"/>
  <c r="S75" i="46"/>
  <c r="T75" i="46"/>
  <c r="U75" i="46"/>
  <c r="V75" i="46"/>
  <c r="W75" i="46"/>
  <c r="X75" i="46"/>
  <c r="C76" i="46"/>
  <c r="D76" i="46"/>
  <c r="E76" i="46"/>
  <c r="F76" i="46"/>
  <c r="G76" i="46"/>
  <c r="H76" i="46"/>
  <c r="I76" i="46"/>
  <c r="J76" i="46"/>
  <c r="K76" i="46"/>
  <c r="L76" i="46"/>
  <c r="M76" i="46"/>
  <c r="N76" i="46"/>
  <c r="O76" i="46"/>
  <c r="P76" i="46"/>
  <c r="Q76" i="46"/>
  <c r="R76" i="46"/>
  <c r="S76" i="46"/>
  <c r="T76" i="46"/>
  <c r="U76" i="46"/>
  <c r="V76" i="46"/>
  <c r="W76" i="46"/>
  <c r="X76" i="46"/>
  <c r="C77" i="46"/>
  <c r="D77" i="46"/>
  <c r="E77" i="46"/>
  <c r="F77" i="46"/>
  <c r="G77" i="46"/>
  <c r="H77" i="46"/>
  <c r="I77" i="46"/>
  <c r="J77" i="46"/>
  <c r="K77" i="46"/>
  <c r="L77" i="46"/>
  <c r="M77" i="46"/>
  <c r="N77" i="46"/>
  <c r="O77" i="46"/>
  <c r="P77" i="46"/>
  <c r="Q77" i="46"/>
  <c r="R77" i="46"/>
  <c r="S77" i="46"/>
  <c r="T77" i="46"/>
  <c r="U77" i="46"/>
  <c r="V77" i="46"/>
  <c r="W77" i="46"/>
  <c r="X77" i="46"/>
  <c r="C78" i="46"/>
  <c r="D78" i="46"/>
  <c r="E78" i="46"/>
  <c r="F78" i="46"/>
  <c r="G78" i="46"/>
  <c r="H78" i="46"/>
  <c r="I78" i="46"/>
  <c r="J78" i="46"/>
  <c r="K78" i="46"/>
  <c r="L78" i="46"/>
  <c r="M78" i="46"/>
  <c r="N78" i="46"/>
  <c r="O78" i="46"/>
  <c r="P78" i="46"/>
  <c r="Q78" i="46"/>
  <c r="R78" i="46"/>
  <c r="S78" i="46"/>
  <c r="T78" i="46"/>
  <c r="U78" i="46"/>
  <c r="V78" i="46"/>
  <c r="W78" i="46"/>
  <c r="X78" i="46"/>
  <c r="C79" i="46"/>
  <c r="D79" i="46"/>
  <c r="E79" i="46"/>
  <c r="F79" i="46"/>
  <c r="G79" i="46"/>
  <c r="H79" i="46"/>
  <c r="I79" i="46"/>
  <c r="J79" i="46"/>
  <c r="K79" i="46"/>
  <c r="L79" i="46"/>
  <c r="M79" i="46"/>
  <c r="N79" i="46"/>
  <c r="O79" i="46"/>
  <c r="P79" i="46"/>
  <c r="Q79" i="46"/>
  <c r="R79" i="46"/>
  <c r="S79" i="46"/>
  <c r="T79" i="46"/>
  <c r="U79" i="46"/>
  <c r="V79" i="46"/>
  <c r="W79" i="46"/>
  <c r="X79" i="46"/>
  <c r="C80" i="46"/>
  <c r="D80" i="46"/>
  <c r="E80" i="46"/>
  <c r="F80" i="46"/>
  <c r="G80" i="46"/>
  <c r="H80" i="46"/>
  <c r="I80" i="46"/>
  <c r="J80" i="46"/>
  <c r="K80" i="46"/>
  <c r="L80" i="46"/>
  <c r="M80" i="46"/>
  <c r="N80" i="46"/>
  <c r="O80" i="46"/>
  <c r="P80" i="46"/>
  <c r="Q80" i="46"/>
  <c r="R80" i="46"/>
  <c r="S80" i="46"/>
  <c r="T80" i="46"/>
  <c r="U80" i="46"/>
  <c r="V80" i="46"/>
  <c r="W80" i="46"/>
  <c r="X80" i="46"/>
  <c r="C81" i="46"/>
  <c r="D81" i="46"/>
  <c r="E81" i="46"/>
  <c r="F81" i="46"/>
  <c r="G81" i="46"/>
  <c r="H81" i="46"/>
  <c r="I81" i="46"/>
  <c r="J81" i="46"/>
  <c r="K81" i="46"/>
  <c r="L81" i="46"/>
  <c r="M81" i="46"/>
  <c r="N81" i="46"/>
  <c r="O81" i="46"/>
  <c r="P81" i="46"/>
  <c r="Q81" i="46"/>
  <c r="R81" i="46"/>
  <c r="S81" i="46"/>
  <c r="T81" i="46"/>
  <c r="U81" i="46"/>
  <c r="V81" i="46"/>
  <c r="W81" i="46"/>
  <c r="X81" i="46"/>
  <c r="C82" i="46"/>
  <c r="D82" i="46"/>
  <c r="E82" i="46"/>
  <c r="F82" i="46"/>
  <c r="G82" i="46"/>
  <c r="H82" i="46"/>
  <c r="I82" i="46"/>
  <c r="J82" i="46"/>
  <c r="K82" i="46"/>
  <c r="L82" i="46"/>
  <c r="M82" i="46"/>
  <c r="N82" i="46"/>
  <c r="O82" i="46"/>
  <c r="P82" i="46"/>
  <c r="Q82" i="46"/>
  <c r="R82" i="46"/>
  <c r="S82" i="46"/>
  <c r="T82" i="46"/>
  <c r="U82" i="46"/>
  <c r="V82" i="46"/>
  <c r="W82" i="46"/>
  <c r="X82" i="46"/>
  <c r="C83" i="46"/>
  <c r="D83" i="46"/>
  <c r="E83" i="46"/>
  <c r="F83" i="46"/>
  <c r="G83" i="46"/>
  <c r="H83" i="46"/>
  <c r="I83" i="46"/>
  <c r="J83" i="46"/>
  <c r="K83" i="46"/>
  <c r="L83" i="46"/>
  <c r="M83" i="46"/>
  <c r="N83" i="46"/>
  <c r="O83" i="46"/>
  <c r="P83" i="46"/>
  <c r="Q83" i="46"/>
  <c r="R83" i="46"/>
  <c r="S83" i="46"/>
  <c r="T83" i="46"/>
  <c r="U83" i="46"/>
  <c r="V83" i="46"/>
  <c r="W83" i="46"/>
  <c r="X83" i="46"/>
  <c r="C84" i="46"/>
  <c r="D84" i="46"/>
  <c r="E84" i="46"/>
  <c r="F84" i="46"/>
  <c r="G84" i="46"/>
  <c r="H84" i="46"/>
  <c r="I84" i="46"/>
  <c r="J84" i="46"/>
  <c r="K84" i="46"/>
  <c r="L84" i="46"/>
  <c r="M84" i="46"/>
  <c r="N84" i="46"/>
  <c r="O84" i="46"/>
  <c r="P84" i="46"/>
  <c r="Q84" i="46"/>
  <c r="R84" i="46"/>
  <c r="S84" i="46"/>
  <c r="T84" i="46"/>
  <c r="U84" i="46"/>
  <c r="V84" i="46"/>
  <c r="W84" i="46"/>
  <c r="X84" i="46"/>
  <c r="C85" i="46"/>
  <c r="D85" i="46"/>
  <c r="E85" i="46"/>
  <c r="F85" i="46"/>
  <c r="G85" i="46"/>
  <c r="H85" i="46"/>
  <c r="I85" i="46"/>
  <c r="J85" i="46"/>
  <c r="K85" i="46"/>
  <c r="L85" i="46"/>
  <c r="M85" i="46"/>
  <c r="N85" i="46"/>
  <c r="O85" i="46"/>
  <c r="P85" i="46"/>
  <c r="Q85" i="46"/>
  <c r="R85" i="46"/>
  <c r="S85" i="46"/>
  <c r="T85" i="46"/>
  <c r="U85" i="46"/>
  <c r="V85" i="46"/>
  <c r="W85" i="46"/>
  <c r="X85" i="46"/>
  <c r="C86" i="46"/>
  <c r="D86" i="46"/>
  <c r="E86" i="46"/>
  <c r="F86" i="46"/>
  <c r="G86" i="46"/>
  <c r="H86" i="46"/>
  <c r="I86" i="46"/>
  <c r="J86" i="46"/>
  <c r="K86" i="46"/>
  <c r="L86" i="46"/>
  <c r="M86" i="46"/>
  <c r="N86" i="46"/>
  <c r="O86" i="46"/>
  <c r="P86" i="46"/>
  <c r="Q86" i="46"/>
  <c r="R86" i="46"/>
  <c r="S86" i="46"/>
  <c r="T86" i="46"/>
  <c r="U86" i="46"/>
  <c r="V86" i="46"/>
  <c r="W86" i="46"/>
  <c r="X86" i="46"/>
  <c r="C87" i="46"/>
  <c r="D87" i="46"/>
  <c r="E87" i="46"/>
  <c r="F87" i="46"/>
  <c r="G87" i="46"/>
  <c r="H87" i="46"/>
  <c r="I87" i="46"/>
  <c r="J87" i="46"/>
  <c r="K87" i="46"/>
  <c r="L87" i="46"/>
  <c r="M87" i="46"/>
  <c r="N87" i="46"/>
  <c r="O87" i="46"/>
  <c r="P87" i="46"/>
  <c r="Q87" i="46"/>
  <c r="R87" i="46"/>
  <c r="S87" i="46"/>
  <c r="T87" i="46"/>
  <c r="U87" i="46"/>
  <c r="V87" i="46"/>
  <c r="W87" i="46"/>
  <c r="X87" i="46"/>
  <c r="C88" i="46"/>
  <c r="D88" i="46"/>
  <c r="E88" i="46"/>
  <c r="F88" i="46"/>
  <c r="G88" i="46"/>
  <c r="H88" i="46"/>
  <c r="I88" i="46"/>
  <c r="J88" i="46"/>
  <c r="K88" i="46"/>
  <c r="L88" i="46"/>
  <c r="M88" i="46"/>
  <c r="N88" i="46"/>
  <c r="O88" i="46"/>
  <c r="P88" i="46"/>
  <c r="Q88" i="46"/>
  <c r="R88" i="46"/>
  <c r="S88" i="46"/>
  <c r="T88" i="46"/>
  <c r="U88" i="46"/>
  <c r="V88" i="46"/>
  <c r="W88" i="46"/>
  <c r="X88" i="46"/>
  <c r="C89" i="46"/>
  <c r="D89" i="46"/>
  <c r="E89" i="46"/>
  <c r="F89" i="46"/>
  <c r="G89" i="46"/>
  <c r="H89" i="46"/>
  <c r="I89" i="46"/>
  <c r="J89" i="46"/>
  <c r="K89" i="46"/>
  <c r="L89" i="46"/>
  <c r="M89" i="46"/>
  <c r="N89" i="46"/>
  <c r="O89" i="46"/>
  <c r="P89" i="46"/>
  <c r="Q89" i="46"/>
  <c r="R89" i="46"/>
  <c r="S89" i="46"/>
  <c r="T89" i="46"/>
  <c r="U89" i="46"/>
  <c r="V89" i="46"/>
  <c r="W89" i="46"/>
  <c r="X89" i="46"/>
  <c r="C90" i="46"/>
  <c r="D90" i="46"/>
  <c r="E90" i="46"/>
  <c r="F90" i="46"/>
  <c r="G90" i="46"/>
  <c r="H90" i="46"/>
  <c r="I90" i="46"/>
  <c r="J90" i="46"/>
  <c r="K90" i="46"/>
  <c r="L90" i="46"/>
  <c r="M90" i="46"/>
  <c r="N90" i="46"/>
  <c r="O90" i="46"/>
  <c r="P90" i="46"/>
  <c r="Q90" i="46"/>
  <c r="R90" i="46"/>
  <c r="S90" i="46"/>
  <c r="T90" i="46"/>
  <c r="U90" i="46"/>
  <c r="V90" i="46"/>
  <c r="W90" i="46"/>
  <c r="X90" i="46"/>
  <c r="C91" i="46"/>
  <c r="D91" i="46"/>
  <c r="E91" i="46"/>
  <c r="F91" i="46"/>
  <c r="G91" i="46"/>
  <c r="H91" i="46"/>
  <c r="I91" i="46"/>
  <c r="J91" i="46"/>
  <c r="K91" i="46"/>
  <c r="L91" i="46"/>
  <c r="M91" i="46"/>
  <c r="N91" i="46"/>
  <c r="O91" i="46"/>
  <c r="P91" i="46"/>
  <c r="Q91" i="46"/>
  <c r="R91" i="46"/>
  <c r="S91" i="46"/>
  <c r="T91" i="46"/>
  <c r="U91" i="46"/>
  <c r="V91" i="46"/>
  <c r="W91" i="46"/>
  <c r="X91" i="46"/>
  <c r="C92" i="46"/>
  <c r="D92" i="46"/>
  <c r="E92" i="46"/>
  <c r="F92" i="46"/>
  <c r="G92" i="46"/>
  <c r="H92" i="46"/>
  <c r="I92" i="46"/>
  <c r="J92" i="46"/>
  <c r="K92" i="46"/>
  <c r="L92" i="46"/>
  <c r="M92" i="46"/>
  <c r="N92" i="46"/>
  <c r="O92" i="46"/>
  <c r="P92" i="46"/>
  <c r="Q92" i="46"/>
  <c r="R92" i="46"/>
  <c r="S92" i="46"/>
  <c r="T92" i="46"/>
  <c r="U92" i="46"/>
  <c r="V92" i="46"/>
  <c r="W92" i="46"/>
  <c r="X92" i="46"/>
  <c r="C93" i="46"/>
  <c r="D93" i="46"/>
  <c r="E93" i="46"/>
  <c r="F93" i="46"/>
  <c r="G93" i="46"/>
  <c r="H93" i="46"/>
  <c r="I93" i="46"/>
  <c r="J93" i="46"/>
  <c r="K93" i="46"/>
  <c r="L93" i="46"/>
  <c r="M93" i="46"/>
  <c r="N93" i="46"/>
  <c r="O93" i="46"/>
  <c r="P93" i="46"/>
  <c r="Q93" i="46"/>
  <c r="R93" i="46"/>
  <c r="S93" i="46"/>
  <c r="T93" i="46"/>
  <c r="U93" i="46"/>
  <c r="V93" i="46"/>
  <c r="W93" i="46"/>
  <c r="X93" i="46"/>
  <c r="C94" i="46"/>
  <c r="D94" i="46"/>
  <c r="E94" i="46"/>
  <c r="F94" i="46"/>
  <c r="G94" i="46"/>
  <c r="H94" i="46"/>
  <c r="I94" i="46"/>
  <c r="J94" i="46"/>
  <c r="K94" i="46"/>
  <c r="L94" i="46"/>
  <c r="M94" i="46"/>
  <c r="N94" i="46"/>
  <c r="O94" i="46"/>
  <c r="P94" i="46"/>
  <c r="Q94" i="46"/>
  <c r="R94" i="46"/>
  <c r="S94" i="46"/>
  <c r="T94" i="46"/>
  <c r="U94" i="46"/>
  <c r="V94" i="46"/>
  <c r="W94" i="46"/>
  <c r="X94" i="46"/>
  <c r="C95" i="46"/>
  <c r="D95" i="46"/>
  <c r="E95" i="46"/>
  <c r="F95" i="46"/>
  <c r="G95" i="46"/>
  <c r="H95" i="46"/>
  <c r="I95" i="46"/>
  <c r="J95" i="46"/>
  <c r="K95" i="46"/>
  <c r="L95" i="46"/>
  <c r="M95" i="46"/>
  <c r="N95" i="46"/>
  <c r="O95" i="46"/>
  <c r="P95" i="46"/>
  <c r="Q95" i="46"/>
  <c r="R95" i="46"/>
  <c r="S95" i="46"/>
  <c r="T95" i="46"/>
  <c r="U95" i="46"/>
  <c r="V95" i="46"/>
  <c r="W95" i="46"/>
  <c r="X95" i="46"/>
  <c r="C96" i="46"/>
  <c r="D96" i="46"/>
  <c r="E96" i="46"/>
  <c r="F96" i="46"/>
  <c r="G96" i="46"/>
  <c r="H96" i="46"/>
  <c r="I96" i="46"/>
  <c r="J96" i="46"/>
  <c r="K96" i="46"/>
  <c r="L96" i="46"/>
  <c r="M96" i="46"/>
  <c r="N96" i="46"/>
  <c r="O96" i="46"/>
  <c r="P96" i="46"/>
  <c r="Q96" i="46"/>
  <c r="R96" i="46"/>
  <c r="S96" i="46"/>
  <c r="T96" i="46"/>
  <c r="U96" i="46"/>
  <c r="V96" i="46"/>
  <c r="W96" i="46"/>
  <c r="X96" i="46"/>
  <c r="C97" i="46"/>
  <c r="D97" i="46"/>
  <c r="E97" i="46"/>
  <c r="F97" i="46"/>
  <c r="G97" i="46"/>
  <c r="H97" i="46"/>
  <c r="I97" i="46"/>
  <c r="J97" i="46"/>
  <c r="K97" i="46"/>
  <c r="L97" i="46"/>
  <c r="M97" i="46"/>
  <c r="N97" i="46"/>
  <c r="O97" i="46"/>
  <c r="P97" i="46"/>
  <c r="Q97" i="46"/>
  <c r="R97" i="46"/>
  <c r="S97" i="46"/>
  <c r="T97" i="46"/>
  <c r="U97" i="46"/>
  <c r="V97" i="46"/>
  <c r="W97" i="46"/>
  <c r="X97" i="46"/>
  <c r="C98" i="46"/>
  <c r="D98" i="46"/>
  <c r="E98" i="46"/>
  <c r="F98" i="46"/>
  <c r="G98" i="46"/>
  <c r="H98" i="46"/>
  <c r="I98" i="46"/>
  <c r="J98" i="46"/>
  <c r="K98" i="46"/>
  <c r="L98" i="46"/>
  <c r="M98" i="46"/>
  <c r="N98" i="46"/>
  <c r="O98" i="46"/>
  <c r="P98" i="46"/>
  <c r="Q98" i="46"/>
  <c r="R98" i="46"/>
  <c r="S98" i="46"/>
  <c r="T98" i="46"/>
  <c r="U98" i="46"/>
  <c r="V98" i="46"/>
  <c r="W98" i="46"/>
  <c r="X98" i="46"/>
  <c r="C99" i="46"/>
  <c r="C118" i="46" s="1"/>
  <c r="D99" i="46"/>
  <c r="D117" i="46" s="1"/>
  <c r="E99" i="46"/>
  <c r="E118" i="46" s="1"/>
  <c r="F99" i="46"/>
  <c r="F117" i="46" s="1"/>
  <c r="G99" i="46"/>
  <c r="G118" i="46" s="1"/>
  <c r="H99" i="46"/>
  <c r="H117" i="46" s="1"/>
  <c r="I99" i="46"/>
  <c r="J99" i="46"/>
  <c r="J117" i="46" s="1"/>
  <c r="K99" i="46"/>
  <c r="K118" i="46" s="1"/>
  <c r="L99" i="46"/>
  <c r="M99" i="46"/>
  <c r="M117" i="46" s="1"/>
  <c r="N99" i="46"/>
  <c r="N117" i="46" s="1"/>
  <c r="O99" i="46"/>
  <c r="O118" i="46" s="1"/>
  <c r="P99" i="46"/>
  <c r="Q99" i="46"/>
  <c r="R99" i="46"/>
  <c r="R117" i="46" s="1"/>
  <c r="S99" i="46"/>
  <c r="S118" i="46" s="1"/>
  <c r="T99" i="46"/>
  <c r="T117" i="46" s="1"/>
  <c r="U99" i="46"/>
  <c r="U118" i="46" s="1"/>
  <c r="V99" i="46"/>
  <c r="V117" i="46" s="1"/>
  <c r="W99" i="46"/>
  <c r="W118" i="46" s="1"/>
  <c r="X99" i="46"/>
  <c r="C100" i="46"/>
  <c r="D100" i="46"/>
  <c r="E100" i="46"/>
  <c r="F100" i="46"/>
  <c r="G100" i="46"/>
  <c r="H100" i="46"/>
  <c r="I100" i="46"/>
  <c r="J100" i="46"/>
  <c r="K100" i="46"/>
  <c r="L100" i="46"/>
  <c r="M100" i="46"/>
  <c r="N100" i="46"/>
  <c r="O100" i="46"/>
  <c r="P100" i="46"/>
  <c r="Q100" i="46"/>
  <c r="R100" i="46"/>
  <c r="S100" i="46"/>
  <c r="T100" i="46"/>
  <c r="U100" i="46"/>
  <c r="V100" i="46"/>
  <c r="W100" i="46"/>
  <c r="X100" i="46"/>
  <c r="C101" i="46"/>
  <c r="D101" i="46"/>
  <c r="E101" i="46"/>
  <c r="F101" i="46"/>
  <c r="G101" i="46"/>
  <c r="G119" i="46" s="1"/>
  <c r="H101" i="46"/>
  <c r="H119" i="46" s="1"/>
  <c r="I101" i="46"/>
  <c r="I120" i="46" s="1"/>
  <c r="J101" i="46"/>
  <c r="J120" i="46" s="1"/>
  <c r="K101" i="46"/>
  <c r="L101" i="46"/>
  <c r="M101" i="46"/>
  <c r="N101" i="46"/>
  <c r="O101" i="46"/>
  <c r="O119" i="46" s="1"/>
  <c r="P101" i="46"/>
  <c r="P119" i="46" s="1"/>
  <c r="Q101" i="46"/>
  <c r="Q120" i="46" s="1"/>
  <c r="R101" i="46"/>
  <c r="R120" i="46" s="1"/>
  <c r="S101" i="46"/>
  <c r="T101" i="46"/>
  <c r="U101" i="46"/>
  <c r="V101" i="46"/>
  <c r="W101" i="46"/>
  <c r="W119" i="46" s="1"/>
  <c r="X101" i="46"/>
  <c r="X119" i="46" s="1"/>
  <c r="C102" i="46"/>
  <c r="D102" i="46"/>
  <c r="E102" i="46"/>
  <c r="F102" i="46"/>
  <c r="G102" i="46"/>
  <c r="H102" i="46"/>
  <c r="I102" i="46"/>
  <c r="J102" i="46"/>
  <c r="K102" i="46"/>
  <c r="L102" i="46"/>
  <c r="M102" i="46"/>
  <c r="N102" i="46"/>
  <c r="O102" i="46"/>
  <c r="P102" i="46"/>
  <c r="Q102" i="46"/>
  <c r="R102" i="46"/>
  <c r="S102" i="46"/>
  <c r="T102" i="46"/>
  <c r="U102" i="46"/>
  <c r="V102" i="46"/>
  <c r="W102" i="46"/>
  <c r="X102" i="46"/>
  <c r="C103" i="46"/>
  <c r="D103" i="46"/>
  <c r="E103" i="46"/>
  <c r="F103" i="46"/>
  <c r="G103" i="46"/>
  <c r="H103" i="46"/>
  <c r="I103" i="46"/>
  <c r="J103" i="46"/>
  <c r="K103" i="46"/>
  <c r="L103" i="46"/>
  <c r="M103" i="46"/>
  <c r="N103" i="46"/>
  <c r="O103" i="46"/>
  <c r="P103" i="46"/>
  <c r="Q103" i="46"/>
  <c r="R103" i="46"/>
  <c r="S103" i="46"/>
  <c r="T103" i="46"/>
  <c r="U103" i="46"/>
  <c r="V103" i="46"/>
  <c r="W103" i="46"/>
  <c r="X103" i="46"/>
  <c r="D4" i="46"/>
  <c r="E4" i="46"/>
  <c r="F4" i="46"/>
  <c r="G4" i="46"/>
  <c r="H4" i="46"/>
  <c r="I4" i="46"/>
  <c r="J4" i="46"/>
  <c r="K4" i="46"/>
  <c r="L4" i="46"/>
  <c r="M4" i="46"/>
  <c r="N4" i="46"/>
  <c r="O4" i="46"/>
  <c r="P4" i="46"/>
  <c r="Q4" i="46"/>
  <c r="R4" i="46"/>
  <c r="S4" i="46"/>
  <c r="T4" i="46"/>
  <c r="U4" i="46"/>
  <c r="V4" i="46"/>
  <c r="W4" i="46"/>
  <c r="X4" i="46"/>
  <c r="C4" i="46"/>
  <c r="X160" i="57" l="1"/>
  <c r="T160" i="57"/>
  <c r="W185" i="58"/>
  <c r="U185" i="58"/>
  <c r="S185" i="58"/>
  <c r="K112" i="46"/>
  <c r="N118" i="46"/>
  <c r="I116" i="46"/>
  <c r="V118" i="46"/>
  <c r="C117" i="46"/>
  <c r="U114" i="46"/>
  <c r="U160" i="57"/>
  <c r="X185" i="58"/>
  <c r="W160" i="57"/>
  <c r="S160" i="57"/>
  <c r="V185" i="58"/>
  <c r="R185" i="58"/>
  <c r="T185" i="58"/>
  <c r="P113" i="46"/>
  <c r="L111" i="46"/>
  <c r="R112" i="46"/>
  <c r="J109" i="46"/>
  <c r="D110" i="46"/>
  <c r="V159" i="57"/>
  <c r="R159" i="57"/>
  <c r="U186" i="58"/>
  <c r="X159" i="57"/>
  <c r="T159" i="57"/>
  <c r="W186" i="58"/>
  <c r="S186" i="58"/>
  <c r="F114" i="46"/>
  <c r="X111" i="46"/>
  <c r="V112" i="46"/>
  <c r="F112" i="46"/>
  <c r="R109" i="46"/>
  <c r="F118" i="46"/>
  <c r="X109" i="46"/>
  <c r="P109" i="46"/>
  <c r="L110" i="46"/>
  <c r="D109" i="46"/>
  <c r="S116" i="46"/>
  <c r="O115" i="46"/>
  <c r="C116" i="46"/>
  <c r="I115" i="46"/>
  <c r="U113" i="46"/>
  <c r="O114" i="46"/>
  <c r="K113" i="46"/>
  <c r="Q111" i="46"/>
  <c r="U110" i="46"/>
  <c r="H111" i="46"/>
  <c r="S117" i="46"/>
  <c r="G111" i="46"/>
  <c r="I109" i="46"/>
  <c r="J116" i="46"/>
  <c r="T115" i="46"/>
  <c r="D115" i="46"/>
  <c r="J114" i="46"/>
  <c r="M118" i="46"/>
  <c r="Q112" i="46"/>
  <c r="W111" i="46"/>
  <c r="N116" i="46"/>
  <c r="P115" i="46"/>
  <c r="L113" i="46"/>
  <c r="V114" i="46"/>
  <c r="V110" i="46"/>
  <c r="R110" i="46"/>
  <c r="N110" i="46"/>
  <c r="J110" i="46"/>
  <c r="F110" i="46"/>
  <c r="U119" i="46"/>
  <c r="Q119" i="46"/>
  <c r="M119" i="46"/>
  <c r="I119" i="46"/>
  <c r="E119" i="46"/>
  <c r="U117" i="46"/>
  <c r="Q117" i="46"/>
  <c r="I118" i="46"/>
  <c r="E117" i="46"/>
  <c r="U116" i="46"/>
  <c r="Q116" i="46"/>
  <c r="M116" i="46"/>
  <c r="E116" i="46"/>
  <c r="W116" i="46"/>
  <c r="S115" i="46"/>
  <c r="O116" i="46"/>
  <c r="K116" i="46"/>
  <c r="G116" i="46"/>
  <c r="C115" i="46"/>
  <c r="E114" i="46"/>
  <c r="W114" i="46"/>
  <c r="S114" i="46"/>
  <c r="O113" i="46"/>
  <c r="K114" i="46"/>
  <c r="G114" i="46"/>
  <c r="C114" i="46"/>
  <c r="Q114" i="46"/>
  <c r="M114" i="46"/>
  <c r="I114" i="46"/>
  <c r="W112" i="46"/>
  <c r="S112" i="46"/>
  <c r="O112" i="46"/>
  <c r="K111" i="46"/>
  <c r="G112" i="46"/>
  <c r="C112" i="46"/>
  <c r="U112" i="46"/>
  <c r="M112" i="46"/>
  <c r="I112" i="46"/>
  <c r="E112" i="46"/>
  <c r="U109" i="46"/>
  <c r="Q110" i="46"/>
  <c r="M109" i="46"/>
  <c r="I110" i="46"/>
  <c r="E110" i="46"/>
  <c r="X120" i="46"/>
  <c r="T120" i="46"/>
  <c r="P120" i="46"/>
  <c r="L120" i="46"/>
  <c r="H120" i="46"/>
  <c r="D120" i="46"/>
  <c r="X118" i="46"/>
  <c r="T118" i="46"/>
  <c r="P118" i="46"/>
  <c r="L118" i="46"/>
  <c r="H118" i="46"/>
  <c r="D118" i="46"/>
  <c r="T110" i="46"/>
  <c r="N109" i="46"/>
  <c r="V186" i="58"/>
  <c r="R186" i="58"/>
  <c r="X186" i="58"/>
  <c r="T186" i="58"/>
  <c r="U159" i="57"/>
  <c r="V160" i="57"/>
  <c r="R160" i="57"/>
  <c r="W159" i="57"/>
  <c r="S159" i="57"/>
  <c r="E113" i="46"/>
  <c r="W120" i="46"/>
  <c r="S120" i="46"/>
  <c r="O120" i="46"/>
  <c r="K120" i="46"/>
  <c r="G120" i="46"/>
  <c r="C120" i="46"/>
  <c r="M110" i="46"/>
  <c r="C111" i="46"/>
  <c r="M111" i="46"/>
  <c r="S111" i="46"/>
  <c r="G113" i="46"/>
  <c r="Q113" i="46"/>
  <c r="W113" i="46"/>
  <c r="E115" i="46"/>
  <c r="K115" i="46"/>
  <c r="U115" i="46"/>
  <c r="I117" i="46"/>
  <c r="O117" i="46"/>
  <c r="C109" i="46"/>
  <c r="V119" i="46"/>
  <c r="R119" i="46"/>
  <c r="N119" i="46"/>
  <c r="J119" i="46"/>
  <c r="F119" i="46"/>
  <c r="X116" i="46"/>
  <c r="T116" i="46"/>
  <c r="P116" i="46"/>
  <c r="L116" i="46"/>
  <c r="H116" i="46"/>
  <c r="D116" i="46"/>
  <c r="V115" i="46"/>
  <c r="R115" i="46"/>
  <c r="N115" i="46"/>
  <c r="J115" i="46"/>
  <c r="F115" i="46"/>
  <c r="V113" i="46"/>
  <c r="R113" i="46"/>
  <c r="N113" i="46"/>
  <c r="J113" i="46"/>
  <c r="F113" i="46"/>
  <c r="X114" i="46"/>
  <c r="T114" i="46"/>
  <c r="P114" i="46"/>
  <c r="L114" i="46"/>
  <c r="H114" i="46"/>
  <c r="D114" i="46"/>
  <c r="V111" i="46"/>
  <c r="R111" i="46"/>
  <c r="N111" i="46"/>
  <c r="J111" i="46"/>
  <c r="F111" i="46"/>
  <c r="X112" i="46"/>
  <c r="T112" i="46"/>
  <c r="P112" i="46"/>
  <c r="L112" i="46"/>
  <c r="H112" i="46"/>
  <c r="D112" i="46"/>
  <c r="X110" i="46"/>
  <c r="P110" i="46"/>
  <c r="L109" i="46"/>
  <c r="H110" i="46"/>
  <c r="V109" i="46"/>
  <c r="F109" i="46"/>
  <c r="E109" i="46"/>
  <c r="T109" i="46"/>
  <c r="D111" i="46"/>
  <c r="I111" i="46"/>
  <c r="O111" i="46"/>
  <c r="T111" i="46"/>
  <c r="N112" i="46"/>
  <c r="C113" i="46"/>
  <c r="H113" i="46"/>
  <c r="M113" i="46"/>
  <c r="S113" i="46"/>
  <c r="X113" i="46"/>
  <c r="R114" i="46"/>
  <c r="G115" i="46"/>
  <c r="L115" i="46"/>
  <c r="Q115" i="46"/>
  <c r="W115" i="46"/>
  <c r="F116" i="46"/>
  <c r="V116" i="46"/>
  <c r="K117" i="46"/>
  <c r="P117" i="46"/>
  <c r="W117" i="46"/>
  <c r="Q118" i="46"/>
  <c r="C119" i="46"/>
  <c r="K119" i="46"/>
  <c r="S119" i="46"/>
  <c r="E120" i="46"/>
  <c r="M120" i="46"/>
  <c r="U120" i="46"/>
  <c r="Q109" i="46"/>
  <c r="H109" i="46"/>
  <c r="E111" i="46"/>
  <c r="P111" i="46"/>
  <c r="U111" i="46"/>
  <c r="J112" i="46"/>
  <c r="D113" i="46"/>
  <c r="I113" i="46"/>
  <c r="T113" i="46"/>
  <c r="N114" i="46"/>
  <c r="H115" i="46"/>
  <c r="M115" i="46"/>
  <c r="X115" i="46"/>
  <c r="R116" i="46"/>
  <c r="G117" i="46"/>
  <c r="L117" i="46"/>
  <c r="X117" i="46"/>
  <c r="J118" i="46"/>
  <c r="R118" i="46"/>
  <c r="D119" i="46"/>
  <c r="L119" i="46"/>
  <c r="T119" i="46"/>
  <c r="F120" i="46"/>
  <c r="N120" i="46"/>
  <c r="V120" i="46"/>
  <c r="W110" i="46"/>
  <c r="S110" i="46"/>
  <c r="O110" i="46"/>
  <c r="K110" i="46"/>
  <c r="G110" i="46"/>
  <c r="G109" i="46"/>
  <c r="K109" i="46"/>
  <c r="O109" i="46"/>
  <c r="S109" i="46"/>
  <c r="W109" i="46"/>
  <c r="C110" i="46"/>
  <c r="AH105" i="41"/>
  <c r="AG105" i="41"/>
  <c r="AF105" i="41"/>
  <c r="AE105" i="41"/>
  <c r="AD105" i="41"/>
  <c r="AC105" i="41"/>
  <c r="AB105" i="41"/>
  <c r="AA105" i="41"/>
  <c r="Y105" i="41"/>
  <c r="W105" i="41"/>
  <c r="U105" i="41"/>
  <c r="S105" i="41"/>
  <c r="Q105" i="41"/>
  <c r="O105" i="41"/>
  <c r="M105" i="41"/>
  <c r="K105" i="41"/>
  <c r="I105" i="41"/>
  <c r="G105" i="41"/>
  <c r="E105" i="41"/>
  <c r="C105" i="41"/>
  <c r="AH104" i="41"/>
  <c r="AG104" i="41"/>
  <c r="AF104" i="41"/>
  <c r="AE104" i="41"/>
  <c r="AD104" i="41"/>
  <c r="AC104" i="41"/>
  <c r="AB104" i="41"/>
  <c r="AA104" i="41"/>
  <c r="Y104" i="41"/>
  <c r="W104" i="41"/>
  <c r="U104" i="41"/>
  <c r="S104" i="41"/>
  <c r="Q104" i="41"/>
  <c r="O104" i="41"/>
  <c r="M104" i="41"/>
  <c r="K104" i="41"/>
  <c r="I104" i="41"/>
  <c r="G104" i="41"/>
  <c r="E104" i="41"/>
  <c r="C104" i="41"/>
  <c r="AH103" i="41"/>
  <c r="AG103" i="41"/>
  <c r="AF103" i="41"/>
  <c r="AE103" i="41"/>
  <c r="AD103" i="41"/>
  <c r="AC103" i="41"/>
  <c r="AB103" i="41"/>
  <c r="AA103" i="41"/>
  <c r="Y103" i="41"/>
  <c r="W103" i="41"/>
  <c r="U103" i="41"/>
  <c r="S103" i="41"/>
  <c r="Q103" i="41"/>
  <c r="O103" i="41"/>
  <c r="M103" i="41"/>
  <c r="K103" i="41"/>
  <c r="I103" i="41"/>
  <c r="G103" i="41"/>
  <c r="E103" i="41"/>
  <c r="C103" i="41"/>
  <c r="AH102" i="41"/>
  <c r="AG102" i="41"/>
  <c r="AF102" i="41"/>
  <c r="AE102" i="41"/>
  <c r="AD102" i="41"/>
  <c r="AC102" i="41"/>
  <c r="AB102" i="41"/>
  <c r="AA102" i="41"/>
  <c r="Y102" i="41"/>
  <c r="W102" i="41"/>
  <c r="U102" i="41"/>
  <c r="S102" i="41"/>
  <c r="Q102" i="41"/>
  <c r="O102" i="41"/>
  <c r="M102" i="41"/>
  <c r="K102" i="41"/>
  <c r="I102" i="41"/>
  <c r="G102" i="41"/>
  <c r="E102" i="41"/>
  <c r="C102" i="41"/>
  <c r="AH101" i="41"/>
  <c r="AG101" i="41"/>
  <c r="AF101" i="41"/>
  <c r="AE101" i="41"/>
  <c r="AD101" i="41"/>
  <c r="AC101" i="41"/>
  <c r="AB101" i="41"/>
  <c r="AA101" i="41"/>
  <c r="Y101" i="41"/>
  <c r="W101" i="41"/>
  <c r="U101" i="41"/>
  <c r="S101" i="41"/>
  <c r="Q101" i="41"/>
  <c r="O101" i="41"/>
  <c r="M101" i="41"/>
  <c r="K101" i="41"/>
  <c r="I101" i="41"/>
  <c r="G101" i="41"/>
  <c r="E101" i="41"/>
  <c r="C101" i="41"/>
  <c r="AH100" i="41"/>
  <c r="AG100" i="41"/>
  <c r="AF100" i="41"/>
  <c r="AE100" i="41"/>
  <c r="AD100" i="41"/>
  <c r="AC100" i="41"/>
  <c r="AB100" i="41"/>
  <c r="AA100" i="41"/>
  <c r="Y100" i="41"/>
  <c r="W100" i="41"/>
  <c r="U100" i="41"/>
  <c r="S100" i="41"/>
  <c r="Q100" i="41"/>
  <c r="O100" i="41"/>
  <c r="M100" i="41"/>
  <c r="K100" i="41"/>
  <c r="I100" i="41"/>
  <c r="G100" i="41"/>
  <c r="E100" i="41"/>
  <c r="C100" i="41"/>
  <c r="AH105" i="39"/>
  <c r="AG105" i="39"/>
  <c r="AF105" i="39"/>
  <c r="AE105" i="39"/>
  <c r="AD105" i="39"/>
  <c r="AC105" i="39"/>
  <c r="AB105" i="39"/>
  <c r="AA105" i="39"/>
  <c r="Y105" i="39"/>
  <c r="W105" i="39"/>
  <c r="U105" i="39"/>
  <c r="S105" i="39"/>
  <c r="Q105" i="39"/>
  <c r="O105" i="39"/>
  <c r="M105" i="39"/>
  <c r="K105" i="39"/>
  <c r="I105" i="39"/>
  <c r="G105" i="39"/>
  <c r="E105" i="39"/>
  <c r="C105" i="39"/>
  <c r="AH104" i="39"/>
  <c r="AG104" i="39"/>
  <c r="AF104" i="39"/>
  <c r="AE104" i="39"/>
  <c r="AD104" i="39"/>
  <c r="AC104" i="39"/>
  <c r="AB104" i="39"/>
  <c r="AA104" i="39"/>
  <c r="Y104" i="39"/>
  <c r="W104" i="39"/>
  <c r="U104" i="39"/>
  <c r="S104" i="39"/>
  <c r="Q104" i="39"/>
  <c r="O104" i="39"/>
  <c r="M104" i="39"/>
  <c r="K104" i="39"/>
  <c r="I104" i="39"/>
  <c r="G104" i="39"/>
  <c r="E104" i="39"/>
  <c r="C104" i="39"/>
  <c r="AH103" i="39"/>
  <c r="AG103" i="39"/>
  <c r="AF103" i="39"/>
  <c r="AE103" i="39"/>
  <c r="AD103" i="39"/>
  <c r="AC103" i="39"/>
  <c r="AB103" i="39"/>
  <c r="AA103" i="39"/>
  <c r="Y103" i="39"/>
  <c r="W103" i="39"/>
  <c r="U103" i="39"/>
  <c r="S103" i="39"/>
  <c r="Q103" i="39"/>
  <c r="O103" i="39"/>
  <c r="M103" i="39"/>
  <c r="K103" i="39"/>
  <c r="I103" i="39"/>
  <c r="G103" i="39"/>
  <c r="E103" i="39"/>
  <c r="C103" i="39"/>
  <c r="AH102" i="39"/>
  <c r="AG102" i="39"/>
  <c r="AF102" i="39"/>
  <c r="AE102" i="39"/>
  <c r="AD102" i="39"/>
  <c r="AC102" i="39"/>
  <c r="AB102" i="39"/>
  <c r="AA102" i="39"/>
  <c r="Y102" i="39"/>
  <c r="W102" i="39"/>
  <c r="U102" i="39"/>
  <c r="S102" i="39"/>
  <c r="Q102" i="39"/>
  <c r="O102" i="39"/>
  <c r="M102" i="39"/>
  <c r="K102" i="39"/>
  <c r="I102" i="39"/>
  <c r="G102" i="39"/>
  <c r="E102" i="39"/>
  <c r="C102" i="39"/>
  <c r="AG101" i="39"/>
  <c r="AF101" i="39"/>
  <c r="AE101" i="39"/>
  <c r="AD101" i="39"/>
  <c r="AC101" i="39"/>
  <c r="AB101" i="39"/>
  <c r="AA101" i="39"/>
  <c r="Y101" i="39"/>
  <c r="W101" i="39"/>
  <c r="U101" i="39"/>
  <c r="S101" i="39"/>
  <c r="Q101" i="39"/>
  <c r="O101" i="39"/>
  <c r="M101" i="39"/>
  <c r="K101" i="39"/>
  <c r="I101" i="39"/>
  <c r="G101" i="39"/>
  <c r="E101" i="39"/>
  <c r="C101" i="39"/>
  <c r="AH100" i="39"/>
  <c r="AG100" i="39"/>
  <c r="AF100" i="39"/>
  <c r="AE100" i="39"/>
  <c r="AD100" i="39"/>
  <c r="AC100" i="39"/>
  <c r="AB100" i="39"/>
  <c r="AA100" i="39"/>
  <c r="Y100" i="39"/>
  <c r="W100" i="39"/>
  <c r="U100" i="39"/>
  <c r="S100" i="39"/>
  <c r="Q100" i="39"/>
  <c r="O100" i="39"/>
  <c r="M100" i="39"/>
  <c r="K100" i="39"/>
  <c r="I100" i="39"/>
  <c r="G100" i="39"/>
  <c r="E100" i="39"/>
  <c r="C100" i="39"/>
  <c r="V111" i="38"/>
  <c r="U111" i="38"/>
  <c r="T111" i="38"/>
  <c r="S111" i="38"/>
  <c r="R111" i="38"/>
  <c r="Q111" i="38"/>
  <c r="P111" i="38"/>
  <c r="O111" i="38"/>
  <c r="N111" i="38"/>
  <c r="M111" i="38"/>
  <c r="L111" i="38"/>
  <c r="K111" i="38"/>
  <c r="J111" i="38"/>
  <c r="I111" i="38"/>
  <c r="H111" i="38"/>
  <c r="G111" i="38"/>
  <c r="F111" i="38"/>
  <c r="E111" i="38"/>
  <c r="D111" i="38"/>
  <c r="C111" i="38"/>
  <c r="V110" i="38"/>
  <c r="U110" i="38"/>
  <c r="T110" i="38"/>
  <c r="S110" i="38"/>
  <c r="R110" i="38"/>
  <c r="Q110" i="38"/>
  <c r="P110" i="38"/>
  <c r="O110" i="38"/>
  <c r="N110" i="38"/>
  <c r="M110" i="38"/>
  <c r="L110" i="38"/>
  <c r="K110" i="38"/>
  <c r="J110" i="38"/>
  <c r="I110" i="38"/>
  <c r="H110" i="38"/>
  <c r="G110" i="38"/>
  <c r="F110" i="38"/>
  <c r="E110" i="38"/>
  <c r="D110" i="38"/>
  <c r="C110" i="38"/>
  <c r="V109" i="38"/>
  <c r="U109" i="38"/>
  <c r="T109" i="38"/>
  <c r="S109" i="38"/>
  <c r="R109" i="38"/>
  <c r="Q109" i="38"/>
  <c r="P109" i="38"/>
  <c r="O109" i="38"/>
  <c r="N109" i="38"/>
  <c r="M109" i="38"/>
  <c r="L109" i="38"/>
  <c r="K109" i="38"/>
  <c r="J109" i="38"/>
  <c r="I109" i="38"/>
  <c r="H109" i="38"/>
  <c r="G109" i="38"/>
  <c r="F109" i="38"/>
  <c r="E109" i="38"/>
  <c r="D109" i="38"/>
  <c r="C109" i="38"/>
  <c r="V108" i="38"/>
  <c r="U108" i="38"/>
  <c r="T108" i="38"/>
  <c r="S108" i="38"/>
  <c r="R108" i="38"/>
  <c r="Q108" i="38"/>
  <c r="P108" i="38"/>
  <c r="O108" i="38"/>
  <c r="N108" i="38"/>
  <c r="M108" i="38"/>
  <c r="L108" i="38"/>
  <c r="K108" i="38"/>
  <c r="J108" i="38"/>
  <c r="I108" i="38"/>
  <c r="H108" i="38"/>
  <c r="G108" i="38"/>
  <c r="F108" i="38"/>
  <c r="E108" i="38"/>
  <c r="D108" i="38"/>
  <c r="C108" i="38"/>
  <c r="V107" i="38"/>
  <c r="U107" i="38"/>
  <c r="T107" i="38"/>
  <c r="S107" i="38"/>
  <c r="R107" i="38"/>
  <c r="Q107" i="38"/>
  <c r="P107" i="38"/>
  <c r="O107" i="38"/>
  <c r="N107" i="38"/>
  <c r="M107" i="38"/>
  <c r="L107" i="38"/>
  <c r="K107" i="38"/>
  <c r="J107" i="38"/>
  <c r="I107" i="38"/>
  <c r="H107" i="38"/>
  <c r="G107" i="38"/>
  <c r="F107" i="38"/>
  <c r="E107" i="38"/>
  <c r="D107" i="38"/>
  <c r="C107" i="38"/>
  <c r="V106" i="38"/>
  <c r="U106" i="38"/>
  <c r="T106" i="38"/>
  <c r="S106" i="38"/>
  <c r="R106" i="38"/>
  <c r="Q106" i="38"/>
  <c r="P106" i="38"/>
  <c r="O106" i="38"/>
  <c r="N106" i="38"/>
  <c r="M106" i="38"/>
  <c r="L106" i="38"/>
  <c r="K106" i="38"/>
  <c r="J106" i="38"/>
  <c r="I106" i="38"/>
  <c r="H106" i="38"/>
  <c r="G106" i="38"/>
  <c r="F106" i="38"/>
  <c r="E106" i="38"/>
  <c r="D106" i="38"/>
  <c r="C106" i="38"/>
  <c r="M110" i="1"/>
  <c r="M111" i="1"/>
  <c r="M112" i="1"/>
  <c r="M113" i="1"/>
  <c r="M114" i="1"/>
  <c r="M115" i="1"/>
  <c r="T115" i="1"/>
  <c r="T114" i="1"/>
  <c r="T113" i="1"/>
  <c r="T112" i="1"/>
  <c r="T111" i="1"/>
  <c r="T110" i="1"/>
  <c r="S115" i="1"/>
  <c r="S114" i="1"/>
  <c r="S113" i="1"/>
  <c r="S112" i="1"/>
  <c r="S111" i="1"/>
  <c r="S110" i="1"/>
  <c r="U110" i="1"/>
  <c r="V110" i="1"/>
  <c r="U111" i="1"/>
  <c r="V111" i="1"/>
  <c r="U112" i="1"/>
  <c r="V112" i="1"/>
  <c r="U113" i="1"/>
  <c r="V113" i="1"/>
  <c r="U114" i="1"/>
  <c r="V114" i="1"/>
  <c r="U115" i="1"/>
  <c r="V115" i="1"/>
  <c r="C83" i="57" l="1"/>
  <c r="C89" i="56" l="1"/>
  <c r="D89" i="56"/>
  <c r="E89" i="56"/>
  <c r="F89" i="56"/>
  <c r="G89" i="56"/>
  <c r="H89" i="56"/>
  <c r="I89" i="56"/>
  <c r="J89" i="56"/>
  <c r="K89" i="56"/>
  <c r="L89" i="56"/>
  <c r="M89" i="56"/>
  <c r="N89" i="56"/>
  <c r="O89" i="56"/>
  <c r="P89" i="56"/>
  <c r="Q89" i="56"/>
  <c r="Q37" i="62" l="1"/>
  <c r="P37" i="62"/>
  <c r="O37" i="62"/>
  <c r="N37" i="62"/>
  <c r="M37" i="62"/>
  <c r="L37" i="62"/>
  <c r="K37" i="62"/>
  <c r="J37" i="62"/>
  <c r="I37" i="62"/>
  <c r="H37" i="62"/>
  <c r="G37" i="62"/>
  <c r="F37" i="62"/>
  <c r="E37" i="62"/>
  <c r="D37" i="62"/>
  <c r="C37" i="62"/>
  <c r="Q36" i="62"/>
  <c r="P36" i="62"/>
  <c r="O36" i="62"/>
  <c r="N36" i="62"/>
  <c r="M36" i="62"/>
  <c r="L36" i="62"/>
  <c r="K36" i="62"/>
  <c r="J36" i="62"/>
  <c r="I36" i="62"/>
  <c r="H36" i="62"/>
  <c r="G36" i="62"/>
  <c r="F36" i="62"/>
  <c r="E36" i="62"/>
  <c r="D36" i="62"/>
  <c r="C36" i="62"/>
  <c r="C185" i="55" l="1"/>
  <c r="C186" i="55"/>
  <c r="D121" i="53"/>
  <c r="E121" i="53"/>
  <c r="F121" i="53"/>
  <c r="G121" i="53"/>
  <c r="H121" i="53"/>
  <c r="I121" i="53"/>
  <c r="J121" i="53"/>
  <c r="K121" i="53"/>
  <c r="L121" i="53"/>
  <c r="M121" i="53"/>
  <c r="N121" i="53"/>
  <c r="O121" i="53"/>
  <c r="P121" i="53"/>
  <c r="Q121" i="53"/>
  <c r="C121" i="53"/>
  <c r="D120" i="53"/>
  <c r="E120" i="53"/>
  <c r="F120" i="53"/>
  <c r="G120" i="53"/>
  <c r="H120" i="53"/>
  <c r="I120" i="53"/>
  <c r="J120" i="53"/>
  <c r="K120" i="53"/>
  <c r="L120" i="53"/>
  <c r="M120" i="53"/>
  <c r="N120" i="53"/>
  <c r="O120" i="53"/>
  <c r="P120" i="53"/>
  <c r="Q120" i="53"/>
  <c r="C120" i="53"/>
  <c r="C160" i="54"/>
  <c r="C159" i="54"/>
  <c r="D90" i="26" l="1"/>
  <c r="E90" i="26"/>
  <c r="F90" i="26"/>
  <c r="G90" i="26"/>
  <c r="H90" i="26"/>
  <c r="I90" i="26"/>
  <c r="J90" i="26"/>
  <c r="K90" i="26"/>
  <c r="L90" i="26"/>
  <c r="M90" i="26"/>
  <c r="N90" i="26"/>
  <c r="O90" i="26"/>
  <c r="P90" i="26"/>
  <c r="Q90" i="26"/>
  <c r="C90" i="26"/>
  <c r="H101" i="26"/>
  <c r="D101" i="26"/>
  <c r="E101" i="26"/>
  <c r="F101" i="26"/>
  <c r="G101" i="26"/>
  <c r="I101" i="26"/>
  <c r="J101" i="26"/>
  <c r="K101" i="26"/>
  <c r="L101" i="26"/>
  <c r="M101" i="26"/>
  <c r="N101" i="26"/>
  <c r="O101" i="26"/>
  <c r="P101" i="26"/>
  <c r="Q101" i="26"/>
  <c r="C101" i="26"/>
  <c r="N104" i="56" l="1"/>
  <c r="O104" i="56"/>
  <c r="P104" i="56"/>
  <c r="Q104" i="56"/>
  <c r="C91" i="56" l="1"/>
  <c r="C92" i="56"/>
  <c r="C93" i="56"/>
  <c r="C94" i="56"/>
  <c r="C95" i="56"/>
  <c r="C96" i="56"/>
  <c r="C97" i="56"/>
  <c r="C98" i="56"/>
  <c r="C99" i="56"/>
  <c r="C100" i="56"/>
  <c r="C101" i="56"/>
  <c r="C102" i="56"/>
  <c r="C103" i="56"/>
  <c r="C125" i="61" l="1"/>
  <c r="C124" i="61"/>
  <c r="C123" i="61"/>
  <c r="C122" i="61"/>
  <c r="C121" i="61"/>
  <c r="C120" i="61"/>
  <c r="C119" i="61"/>
  <c r="C118" i="61"/>
  <c r="D110" i="1" l="1"/>
  <c r="E110" i="1"/>
  <c r="F110" i="1"/>
  <c r="G110" i="1"/>
  <c r="H110" i="1"/>
  <c r="I110" i="1"/>
  <c r="J110" i="1"/>
  <c r="K110" i="1"/>
  <c r="L110" i="1"/>
  <c r="N110" i="1"/>
  <c r="O110" i="1"/>
  <c r="P110" i="1"/>
  <c r="Q110" i="1"/>
  <c r="R110" i="1"/>
  <c r="D111" i="1"/>
  <c r="E111" i="1"/>
  <c r="F111" i="1"/>
  <c r="G111" i="1"/>
  <c r="H111" i="1"/>
  <c r="I111" i="1"/>
  <c r="J111" i="1"/>
  <c r="K111" i="1"/>
  <c r="L111" i="1"/>
  <c r="N111" i="1"/>
  <c r="O111" i="1"/>
  <c r="P111" i="1"/>
  <c r="Q111" i="1"/>
  <c r="R111" i="1"/>
  <c r="D112" i="1"/>
  <c r="E112" i="1"/>
  <c r="F112" i="1"/>
  <c r="G112" i="1"/>
  <c r="H112" i="1"/>
  <c r="I112" i="1"/>
  <c r="J112" i="1"/>
  <c r="K112" i="1"/>
  <c r="L112" i="1"/>
  <c r="N112" i="1"/>
  <c r="O112" i="1"/>
  <c r="P112" i="1"/>
  <c r="Q112" i="1"/>
  <c r="R112" i="1"/>
  <c r="D113" i="1"/>
  <c r="E113" i="1"/>
  <c r="F113" i="1"/>
  <c r="G113" i="1"/>
  <c r="H113" i="1"/>
  <c r="I113" i="1"/>
  <c r="J113" i="1"/>
  <c r="K113" i="1"/>
  <c r="L113" i="1"/>
  <c r="N113" i="1"/>
  <c r="O113" i="1"/>
  <c r="P113" i="1"/>
  <c r="Q113" i="1"/>
  <c r="R113" i="1"/>
  <c r="D114" i="1"/>
  <c r="E114" i="1"/>
  <c r="F114" i="1"/>
  <c r="G114" i="1"/>
  <c r="H114" i="1"/>
  <c r="I114" i="1"/>
  <c r="J114" i="1"/>
  <c r="K114" i="1"/>
  <c r="L114" i="1"/>
  <c r="N114" i="1"/>
  <c r="O114" i="1"/>
  <c r="P114" i="1"/>
  <c r="Q114" i="1"/>
  <c r="R114" i="1"/>
  <c r="D115" i="1"/>
  <c r="E115" i="1"/>
  <c r="F115" i="1"/>
  <c r="G115" i="1"/>
  <c r="H115" i="1"/>
  <c r="I115" i="1"/>
  <c r="J115" i="1"/>
  <c r="K115" i="1"/>
  <c r="L115" i="1"/>
  <c r="N115" i="1"/>
  <c r="O115" i="1"/>
  <c r="P115" i="1"/>
  <c r="Q115" i="1"/>
  <c r="R115" i="1"/>
  <c r="C115" i="1"/>
  <c r="C114" i="1"/>
  <c r="C112" i="1"/>
  <c r="C111" i="1"/>
  <c r="C110" i="1"/>
  <c r="C158" i="58" l="1"/>
  <c r="D158" i="58"/>
  <c r="E158" i="58"/>
  <c r="F158" i="58"/>
  <c r="G158" i="58"/>
  <c r="H158" i="58"/>
  <c r="I158" i="58"/>
  <c r="J158" i="58"/>
  <c r="K158" i="58"/>
  <c r="L158" i="58"/>
  <c r="M158" i="58"/>
  <c r="N158" i="58"/>
  <c r="O158" i="58"/>
  <c r="P158" i="58"/>
  <c r="Q158" i="58"/>
  <c r="C159" i="58"/>
  <c r="D159" i="58"/>
  <c r="E159" i="58"/>
  <c r="F159" i="58"/>
  <c r="G159" i="58"/>
  <c r="H159" i="58"/>
  <c r="I159" i="58"/>
  <c r="J159" i="58"/>
  <c r="K159" i="58"/>
  <c r="L159" i="58"/>
  <c r="M159" i="58"/>
  <c r="N159" i="58"/>
  <c r="O159" i="58"/>
  <c r="P159" i="58"/>
  <c r="Q159" i="58"/>
  <c r="C160" i="58"/>
  <c r="D160" i="58"/>
  <c r="E160" i="58"/>
  <c r="F160" i="58"/>
  <c r="G160" i="58"/>
  <c r="H160" i="58"/>
  <c r="I160" i="58"/>
  <c r="J160" i="58"/>
  <c r="K160" i="58"/>
  <c r="L160" i="58"/>
  <c r="M160" i="58"/>
  <c r="N160" i="58"/>
  <c r="O160" i="58"/>
  <c r="P160" i="58"/>
  <c r="Q160" i="58"/>
  <c r="C161" i="58"/>
  <c r="D161" i="58"/>
  <c r="E161" i="58"/>
  <c r="F161" i="58"/>
  <c r="G161" i="58"/>
  <c r="H161" i="58"/>
  <c r="I161" i="58"/>
  <c r="J161" i="58"/>
  <c r="K161" i="58"/>
  <c r="L161" i="58"/>
  <c r="M161" i="58"/>
  <c r="N161" i="58"/>
  <c r="O161" i="58"/>
  <c r="P161" i="58"/>
  <c r="Q161" i="58"/>
  <c r="C162" i="58"/>
  <c r="D162" i="58"/>
  <c r="E162" i="58"/>
  <c r="F162" i="58"/>
  <c r="G162" i="58"/>
  <c r="H162" i="58"/>
  <c r="I162" i="58"/>
  <c r="J162" i="58"/>
  <c r="K162" i="58"/>
  <c r="L162" i="58"/>
  <c r="M162" i="58"/>
  <c r="N162" i="58"/>
  <c r="O162" i="58"/>
  <c r="P162" i="58"/>
  <c r="Q162" i="58"/>
  <c r="C163" i="58"/>
  <c r="D163" i="58"/>
  <c r="E163" i="58"/>
  <c r="F163" i="58"/>
  <c r="G163" i="58"/>
  <c r="H163" i="58"/>
  <c r="I163" i="58"/>
  <c r="J163" i="58"/>
  <c r="K163" i="58"/>
  <c r="L163" i="58"/>
  <c r="M163" i="58"/>
  <c r="N163" i="58"/>
  <c r="O163" i="58"/>
  <c r="P163" i="58"/>
  <c r="Q163" i="58"/>
  <c r="C166" i="58"/>
  <c r="D166" i="58"/>
  <c r="E166" i="58"/>
  <c r="F166" i="58"/>
  <c r="G166" i="58"/>
  <c r="H166" i="58"/>
  <c r="I166" i="58"/>
  <c r="J166" i="58"/>
  <c r="K166" i="58"/>
  <c r="L166" i="58"/>
  <c r="M166" i="58"/>
  <c r="N166" i="58"/>
  <c r="O166" i="58"/>
  <c r="P166" i="58"/>
  <c r="Q166" i="58"/>
  <c r="C167" i="58"/>
  <c r="D167" i="58"/>
  <c r="E167" i="58"/>
  <c r="F167" i="58"/>
  <c r="G167" i="58"/>
  <c r="H167" i="58"/>
  <c r="I167" i="58"/>
  <c r="J167" i="58"/>
  <c r="K167" i="58"/>
  <c r="L167" i="58"/>
  <c r="M167" i="58"/>
  <c r="N167" i="58"/>
  <c r="O167" i="58"/>
  <c r="P167" i="58"/>
  <c r="Q167" i="58"/>
  <c r="C168" i="58"/>
  <c r="D168" i="58"/>
  <c r="E168" i="58"/>
  <c r="F168" i="58"/>
  <c r="G168" i="58"/>
  <c r="H168" i="58"/>
  <c r="I168" i="58"/>
  <c r="J168" i="58"/>
  <c r="K168" i="58"/>
  <c r="L168" i="58"/>
  <c r="M168" i="58"/>
  <c r="N168" i="58"/>
  <c r="O168" i="58"/>
  <c r="P168" i="58"/>
  <c r="Q168" i="58"/>
  <c r="C169" i="58"/>
  <c r="D169" i="58"/>
  <c r="E169" i="58"/>
  <c r="F169" i="58"/>
  <c r="G169" i="58"/>
  <c r="H169" i="58"/>
  <c r="I169" i="58"/>
  <c r="J169" i="58"/>
  <c r="K169" i="58"/>
  <c r="L169" i="58"/>
  <c r="M169" i="58"/>
  <c r="N169" i="58"/>
  <c r="O169" i="58"/>
  <c r="P169" i="58"/>
  <c r="Q169" i="58"/>
  <c r="C170" i="58"/>
  <c r="D170" i="58"/>
  <c r="E170" i="58"/>
  <c r="F170" i="58"/>
  <c r="G170" i="58"/>
  <c r="H170" i="58"/>
  <c r="I170" i="58"/>
  <c r="J170" i="58"/>
  <c r="K170" i="58"/>
  <c r="L170" i="58"/>
  <c r="M170" i="58"/>
  <c r="N170" i="58"/>
  <c r="O170" i="58"/>
  <c r="P170" i="58"/>
  <c r="Q170" i="58"/>
  <c r="C171" i="58"/>
  <c r="D171" i="58"/>
  <c r="E171" i="58"/>
  <c r="F171" i="58"/>
  <c r="G171" i="58"/>
  <c r="H171" i="58"/>
  <c r="I171" i="58"/>
  <c r="J171" i="58"/>
  <c r="K171" i="58"/>
  <c r="L171" i="58"/>
  <c r="M171" i="58"/>
  <c r="N171" i="58"/>
  <c r="O171" i="58"/>
  <c r="P171" i="58"/>
  <c r="Q171" i="58"/>
  <c r="C172" i="58"/>
  <c r="D172" i="58"/>
  <c r="E172" i="58"/>
  <c r="F172" i="58"/>
  <c r="G172" i="58"/>
  <c r="H172" i="58"/>
  <c r="I172" i="58"/>
  <c r="J172" i="58"/>
  <c r="K172" i="58"/>
  <c r="L172" i="58"/>
  <c r="M172" i="58"/>
  <c r="N172" i="58"/>
  <c r="O172" i="58"/>
  <c r="P172" i="58"/>
  <c r="Q172" i="58"/>
  <c r="C173" i="58"/>
  <c r="D173" i="58"/>
  <c r="E173" i="58"/>
  <c r="F173" i="58"/>
  <c r="G173" i="58"/>
  <c r="H173" i="58"/>
  <c r="I173" i="58"/>
  <c r="J173" i="58"/>
  <c r="K173" i="58"/>
  <c r="L173" i="58"/>
  <c r="M173" i="58"/>
  <c r="N173" i="58"/>
  <c r="O173" i="58"/>
  <c r="P173" i="58"/>
  <c r="Q173" i="58"/>
  <c r="C174" i="58"/>
  <c r="D174" i="58"/>
  <c r="E174" i="58"/>
  <c r="F174" i="58"/>
  <c r="G174" i="58"/>
  <c r="H174" i="58"/>
  <c r="I174" i="58"/>
  <c r="J174" i="58"/>
  <c r="K174" i="58"/>
  <c r="L174" i="58"/>
  <c r="M174" i="58"/>
  <c r="N174" i="58"/>
  <c r="O174" i="58"/>
  <c r="P174" i="58"/>
  <c r="Q174" i="58"/>
  <c r="C175" i="58"/>
  <c r="D175" i="58"/>
  <c r="E175" i="58"/>
  <c r="F175" i="58"/>
  <c r="G175" i="58"/>
  <c r="H175" i="58"/>
  <c r="I175" i="58"/>
  <c r="J175" i="58"/>
  <c r="K175" i="58"/>
  <c r="L175" i="58"/>
  <c r="M175" i="58"/>
  <c r="N175" i="58"/>
  <c r="O175" i="58"/>
  <c r="P175" i="58"/>
  <c r="Q175" i="58"/>
  <c r="C176" i="58"/>
  <c r="D176" i="58"/>
  <c r="E176" i="58"/>
  <c r="F176" i="58"/>
  <c r="G176" i="58"/>
  <c r="H176" i="58"/>
  <c r="I176" i="58"/>
  <c r="J176" i="58"/>
  <c r="K176" i="58"/>
  <c r="L176" i="58"/>
  <c r="M176" i="58"/>
  <c r="N176" i="58"/>
  <c r="O176" i="58"/>
  <c r="P176" i="58"/>
  <c r="Q176" i="58"/>
  <c r="C177" i="58"/>
  <c r="D177" i="58"/>
  <c r="E177" i="58"/>
  <c r="F177" i="58"/>
  <c r="G177" i="58"/>
  <c r="H177" i="58"/>
  <c r="I177" i="58"/>
  <c r="J177" i="58"/>
  <c r="K177" i="58"/>
  <c r="L177" i="58"/>
  <c r="M177" i="58"/>
  <c r="N177" i="58"/>
  <c r="O177" i="58"/>
  <c r="P177" i="58"/>
  <c r="Q177" i="58"/>
  <c r="C178" i="58"/>
  <c r="D178" i="58"/>
  <c r="E178" i="58"/>
  <c r="F178" i="58"/>
  <c r="G178" i="58"/>
  <c r="H178" i="58"/>
  <c r="I178" i="58"/>
  <c r="J178" i="58"/>
  <c r="K178" i="58"/>
  <c r="L178" i="58"/>
  <c r="M178" i="58"/>
  <c r="N178" i="58"/>
  <c r="O178" i="58"/>
  <c r="P178" i="58"/>
  <c r="Q178" i="58"/>
  <c r="C179" i="58"/>
  <c r="D179" i="58"/>
  <c r="E179" i="58"/>
  <c r="F179" i="58"/>
  <c r="G179" i="58"/>
  <c r="H179" i="58"/>
  <c r="I179" i="58"/>
  <c r="J179" i="58"/>
  <c r="K179" i="58"/>
  <c r="L179" i="58"/>
  <c r="M179" i="58"/>
  <c r="N179" i="58"/>
  <c r="O179" i="58"/>
  <c r="P179" i="58"/>
  <c r="Q179" i="58"/>
  <c r="D157" i="58"/>
  <c r="E157" i="58"/>
  <c r="F157" i="58"/>
  <c r="G157" i="58"/>
  <c r="H157" i="58"/>
  <c r="I157" i="58"/>
  <c r="J157" i="58"/>
  <c r="K157" i="58"/>
  <c r="L157" i="58"/>
  <c r="M157" i="58"/>
  <c r="N157" i="58"/>
  <c r="O157" i="58"/>
  <c r="P157" i="58"/>
  <c r="Q157" i="58"/>
  <c r="C157" i="58"/>
  <c r="C132" i="58"/>
  <c r="D132" i="58"/>
  <c r="E132" i="58"/>
  <c r="F132" i="58"/>
  <c r="G132" i="58"/>
  <c r="H132" i="58"/>
  <c r="I132" i="58"/>
  <c r="J132" i="58"/>
  <c r="K132" i="58"/>
  <c r="L132" i="58"/>
  <c r="M132" i="58"/>
  <c r="N132" i="58"/>
  <c r="O132" i="58"/>
  <c r="P132" i="58"/>
  <c r="Q132" i="58"/>
  <c r="C133" i="58"/>
  <c r="D133" i="58"/>
  <c r="E133" i="58"/>
  <c r="F133" i="58"/>
  <c r="G133" i="58"/>
  <c r="H133" i="58"/>
  <c r="I133" i="58"/>
  <c r="J133" i="58"/>
  <c r="K133" i="58"/>
  <c r="L133" i="58"/>
  <c r="M133" i="58"/>
  <c r="N133" i="58"/>
  <c r="O133" i="58"/>
  <c r="P133" i="58"/>
  <c r="Q133" i="58"/>
  <c r="C134" i="58"/>
  <c r="D134" i="58"/>
  <c r="E134" i="58"/>
  <c r="F134" i="58"/>
  <c r="G134" i="58"/>
  <c r="H134" i="58"/>
  <c r="I134" i="58"/>
  <c r="J134" i="58"/>
  <c r="K134" i="58"/>
  <c r="L134" i="58"/>
  <c r="M134" i="58"/>
  <c r="N134" i="58"/>
  <c r="O134" i="58"/>
  <c r="P134" i="58"/>
  <c r="Q134" i="58"/>
  <c r="C135" i="58"/>
  <c r="D135" i="58"/>
  <c r="E135" i="58"/>
  <c r="F135" i="58"/>
  <c r="G135" i="58"/>
  <c r="H135" i="58"/>
  <c r="I135" i="58"/>
  <c r="J135" i="58"/>
  <c r="K135" i="58"/>
  <c r="L135" i="58"/>
  <c r="M135" i="58"/>
  <c r="N135" i="58"/>
  <c r="O135" i="58"/>
  <c r="P135" i="58"/>
  <c r="Q135" i="58"/>
  <c r="C136" i="58"/>
  <c r="D136" i="58"/>
  <c r="E136" i="58"/>
  <c r="F136" i="58"/>
  <c r="G136" i="58"/>
  <c r="H136" i="58"/>
  <c r="I136" i="58"/>
  <c r="J136" i="58"/>
  <c r="K136" i="58"/>
  <c r="L136" i="58"/>
  <c r="M136" i="58"/>
  <c r="N136" i="58"/>
  <c r="O136" i="58"/>
  <c r="P136" i="58"/>
  <c r="Q136" i="58"/>
  <c r="C137" i="58"/>
  <c r="D137" i="58"/>
  <c r="E137" i="58"/>
  <c r="F137" i="58"/>
  <c r="G137" i="58"/>
  <c r="H137" i="58"/>
  <c r="I137" i="58"/>
  <c r="J137" i="58"/>
  <c r="K137" i="58"/>
  <c r="L137" i="58"/>
  <c r="M137" i="58"/>
  <c r="N137" i="58"/>
  <c r="O137" i="58"/>
  <c r="P137" i="58"/>
  <c r="Q137" i="58"/>
  <c r="C140" i="58"/>
  <c r="D140" i="58"/>
  <c r="E140" i="58"/>
  <c r="F140" i="58"/>
  <c r="G140" i="58"/>
  <c r="H140" i="58"/>
  <c r="I140" i="58"/>
  <c r="J140" i="58"/>
  <c r="K140" i="58"/>
  <c r="L140" i="58"/>
  <c r="M140" i="58"/>
  <c r="N140" i="58"/>
  <c r="O140" i="58"/>
  <c r="P140" i="58"/>
  <c r="Q140" i="58"/>
  <c r="C141" i="58"/>
  <c r="D141" i="58"/>
  <c r="E141" i="58"/>
  <c r="F141" i="58"/>
  <c r="G141" i="58"/>
  <c r="H141" i="58"/>
  <c r="I141" i="58"/>
  <c r="J141" i="58"/>
  <c r="K141" i="58"/>
  <c r="L141" i="58"/>
  <c r="M141" i="58"/>
  <c r="N141" i="58"/>
  <c r="O141" i="58"/>
  <c r="P141" i="58"/>
  <c r="Q141" i="58"/>
  <c r="C142" i="58"/>
  <c r="D142" i="58"/>
  <c r="E142" i="58"/>
  <c r="F142" i="58"/>
  <c r="G142" i="58"/>
  <c r="H142" i="58"/>
  <c r="I142" i="58"/>
  <c r="J142" i="58"/>
  <c r="K142" i="58"/>
  <c r="L142" i="58"/>
  <c r="M142" i="58"/>
  <c r="N142" i="58"/>
  <c r="O142" i="58"/>
  <c r="P142" i="58"/>
  <c r="Q142" i="58"/>
  <c r="C143" i="58"/>
  <c r="D143" i="58"/>
  <c r="E143" i="58"/>
  <c r="F143" i="58"/>
  <c r="G143" i="58"/>
  <c r="H143" i="58"/>
  <c r="I143" i="58"/>
  <c r="J143" i="58"/>
  <c r="K143" i="58"/>
  <c r="L143" i="58"/>
  <c r="M143" i="58"/>
  <c r="N143" i="58"/>
  <c r="O143" i="58"/>
  <c r="P143" i="58"/>
  <c r="Q143" i="58"/>
  <c r="C144" i="58"/>
  <c r="D144" i="58"/>
  <c r="E144" i="58"/>
  <c r="F144" i="58"/>
  <c r="G144" i="58"/>
  <c r="H144" i="58"/>
  <c r="I144" i="58"/>
  <c r="J144" i="58"/>
  <c r="K144" i="58"/>
  <c r="L144" i="58"/>
  <c r="M144" i="58"/>
  <c r="N144" i="58"/>
  <c r="O144" i="58"/>
  <c r="P144" i="58"/>
  <c r="Q144" i="58"/>
  <c r="C145" i="58"/>
  <c r="D145" i="58"/>
  <c r="E145" i="58"/>
  <c r="F145" i="58"/>
  <c r="G145" i="58"/>
  <c r="H145" i="58"/>
  <c r="I145" i="58"/>
  <c r="J145" i="58"/>
  <c r="K145" i="58"/>
  <c r="L145" i="58"/>
  <c r="M145" i="58"/>
  <c r="N145" i="58"/>
  <c r="O145" i="58"/>
  <c r="P145" i="58"/>
  <c r="Q145" i="58"/>
  <c r="C146" i="58"/>
  <c r="D146" i="58"/>
  <c r="E146" i="58"/>
  <c r="F146" i="58"/>
  <c r="G146" i="58"/>
  <c r="H146" i="58"/>
  <c r="I146" i="58"/>
  <c r="J146" i="58"/>
  <c r="K146" i="58"/>
  <c r="L146" i="58"/>
  <c r="M146" i="58"/>
  <c r="N146" i="58"/>
  <c r="O146" i="58"/>
  <c r="P146" i="58"/>
  <c r="Q146" i="58"/>
  <c r="C147" i="58"/>
  <c r="D147" i="58"/>
  <c r="E147" i="58"/>
  <c r="F147" i="58"/>
  <c r="G147" i="58"/>
  <c r="H147" i="58"/>
  <c r="I147" i="58"/>
  <c r="J147" i="58"/>
  <c r="K147" i="58"/>
  <c r="L147" i="58"/>
  <c r="M147" i="58"/>
  <c r="N147" i="58"/>
  <c r="O147" i="58"/>
  <c r="P147" i="58"/>
  <c r="Q147" i="58"/>
  <c r="C148" i="58"/>
  <c r="D148" i="58"/>
  <c r="E148" i="58"/>
  <c r="F148" i="58"/>
  <c r="G148" i="58"/>
  <c r="H148" i="58"/>
  <c r="I148" i="58"/>
  <c r="J148" i="58"/>
  <c r="K148" i="58"/>
  <c r="L148" i="58"/>
  <c r="M148" i="58"/>
  <c r="N148" i="58"/>
  <c r="O148" i="58"/>
  <c r="P148" i="58"/>
  <c r="Q148" i="58"/>
  <c r="C149" i="58"/>
  <c r="D149" i="58"/>
  <c r="E149" i="58"/>
  <c r="F149" i="58"/>
  <c r="G149" i="58"/>
  <c r="H149" i="58"/>
  <c r="I149" i="58"/>
  <c r="J149" i="58"/>
  <c r="K149" i="58"/>
  <c r="L149" i="58"/>
  <c r="M149" i="58"/>
  <c r="N149" i="58"/>
  <c r="O149" i="58"/>
  <c r="P149" i="58"/>
  <c r="Q149" i="58"/>
  <c r="C150" i="58"/>
  <c r="D150" i="58"/>
  <c r="E150" i="58"/>
  <c r="F150" i="58"/>
  <c r="G150" i="58"/>
  <c r="H150" i="58"/>
  <c r="I150" i="58"/>
  <c r="J150" i="58"/>
  <c r="K150" i="58"/>
  <c r="L150" i="58"/>
  <c r="M150" i="58"/>
  <c r="N150" i="58"/>
  <c r="O150" i="58"/>
  <c r="P150" i="58"/>
  <c r="Q150" i="58"/>
  <c r="C151" i="58"/>
  <c r="D151" i="58"/>
  <c r="E151" i="58"/>
  <c r="F151" i="58"/>
  <c r="G151" i="58"/>
  <c r="H151" i="58"/>
  <c r="I151" i="58"/>
  <c r="J151" i="58"/>
  <c r="K151" i="58"/>
  <c r="L151" i="58"/>
  <c r="M151" i="58"/>
  <c r="N151" i="58"/>
  <c r="O151" i="58"/>
  <c r="P151" i="58"/>
  <c r="Q151" i="58"/>
  <c r="C152" i="58"/>
  <c r="D152" i="58"/>
  <c r="E152" i="58"/>
  <c r="F152" i="58"/>
  <c r="G152" i="58"/>
  <c r="H152" i="58"/>
  <c r="I152" i="58"/>
  <c r="J152" i="58"/>
  <c r="K152" i="58"/>
  <c r="L152" i="58"/>
  <c r="M152" i="58"/>
  <c r="N152" i="58"/>
  <c r="O152" i="58"/>
  <c r="P152" i="58"/>
  <c r="Q152" i="58"/>
  <c r="C153" i="58"/>
  <c r="D153" i="58"/>
  <c r="E153" i="58"/>
  <c r="F153" i="58"/>
  <c r="G153" i="58"/>
  <c r="H153" i="58"/>
  <c r="I153" i="58"/>
  <c r="J153" i="58"/>
  <c r="K153" i="58"/>
  <c r="L153" i="58"/>
  <c r="M153" i="58"/>
  <c r="N153" i="58"/>
  <c r="O153" i="58"/>
  <c r="P153" i="58"/>
  <c r="Q153" i="58"/>
  <c r="D131" i="58"/>
  <c r="E131" i="58"/>
  <c r="F131" i="58"/>
  <c r="G131" i="58"/>
  <c r="H131" i="58"/>
  <c r="I131" i="58"/>
  <c r="J131" i="58"/>
  <c r="K131" i="58"/>
  <c r="L131" i="58"/>
  <c r="M131" i="58"/>
  <c r="N131" i="58"/>
  <c r="O131" i="58"/>
  <c r="P131" i="58"/>
  <c r="Q131" i="58"/>
  <c r="C131" i="58"/>
  <c r="C127" i="58"/>
  <c r="D127" i="58"/>
  <c r="E127" i="58"/>
  <c r="F127" i="58"/>
  <c r="G127" i="58"/>
  <c r="H127" i="58"/>
  <c r="I127" i="58"/>
  <c r="J127" i="58"/>
  <c r="K127" i="58"/>
  <c r="L127" i="58"/>
  <c r="M127" i="58"/>
  <c r="N127" i="58"/>
  <c r="O127" i="58"/>
  <c r="P127" i="58"/>
  <c r="Q127" i="58"/>
  <c r="D126" i="58"/>
  <c r="E126" i="58"/>
  <c r="F126" i="58"/>
  <c r="G126" i="58"/>
  <c r="H126" i="58"/>
  <c r="I126" i="58"/>
  <c r="J126" i="58"/>
  <c r="K126" i="58"/>
  <c r="L126" i="58"/>
  <c r="M126" i="58"/>
  <c r="N126" i="58"/>
  <c r="O126" i="58"/>
  <c r="P126" i="58"/>
  <c r="Q126" i="58"/>
  <c r="C126" i="58"/>
  <c r="C122" i="58"/>
  <c r="D122" i="58"/>
  <c r="E122" i="58"/>
  <c r="F122" i="58"/>
  <c r="G122" i="58"/>
  <c r="H122" i="58"/>
  <c r="I122" i="58"/>
  <c r="J122" i="58"/>
  <c r="K122" i="58"/>
  <c r="L122" i="58"/>
  <c r="M122" i="58"/>
  <c r="N122" i="58"/>
  <c r="O122" i="58"/>
  <c r="P122" i="58"/>
  <c r="Q122" i="58"/>
  <c r="D121" i="58"/>
  <c r="E121" i="58"/>
  <c r="F121" i="58"/>
  <c r="G121" i="58"/>
  <c r="H121" i="58"/>
  <c r="I121" i="58"/>
  <c r="J121" i="58"/>
  <c r="K121" i="58"/>
  <c r="L121" i="58"/>
  <c r="M121" i="58"/>
  <c r="N121" i="58"/>
  <c r="O121" i="58"/>
  <c r="P121" i="58"/>
  <c r="Q121" i="58"/>
  <c r="C121" i="58"/>
  <c r="C104" i="58"/>
  <c r="D104" i="58"/>
  <c r="E104" i="58"/>
  <c r="F104" i="58"/>
  <c r="G104" i="58"/>
  <c r="H104" i="58"/>
  <c r="I104" i="58"/>
  <c r="J104" i="58"/>
  <c r="K104" i="58"/>
  <c r="L104" i="58"/>
  <c r="M104" i="58"/>
  <c r="N104" i="58"/>
  <c r="O104" i="58"/>
  <c r="P104" i="58"/>
  <c r="Q104" i="58"/>
  <c r="C105" i="58"/>
  <c r="D105" i="58"/>
  <c r="E105" i="58"/>
  <c r="F105" i="58"/>
  <c r="G105" i="58"/>
  <c r="H105" i="58"/>
  <c r="I105" i="58"/>
  <c r="J105" i="58"/>
  <c r="K105" i="58"/>
  <c r="L105" i="58"/>
  <c r="M105" i="58"/>
  <c r="N105" i="58"/>
  <c r="O105" i="58"/>
  <c r="P105" i="58"/>
  <c r="Q105" i="58"/>
  <c r="C106" i="58"/>
  <c r="D106" i="58"/>
  <c r="E106" i="58"/>
  <c r="F106" i="58"/>
  <c r="G106" i="58"/>
  <c r="H106" i="58"/>
  <c r="I106" i="58"/>
  <c r="J106" i="58"/>
  <c r="K106" i="58"/>
  <c r="L106" i="58"/>
  <c r="M106" i="58"/>
  <c r="N106" i="58"/>
  <c r="O106" i="58"/>
  <c r="P106" i="58"/>
  <c r="Q106" i="58"/>
  <c r="C107" i="58"/>
  <c r="D107" i="58"/>
  <c r="E107" i="58"/>
  <c r="F107" i="58"/>
  <c r="G107" i="58"/>
  <c r="H107" i="58"/>
  <c r="I107" i="58"/>
  <c r="J107" i="58"/>
  <c r="K107" i="58"/>
  <c r="L107" i="58"/>
  <c r="M107" i="58"/>
  <c r="N107" i="58"/>
  <c r="O107" i="58"/>
  <c r="P107" i="58"/>
  <c r="Q107" i="58"/>
  <c r="C108" i="58"/>
  <c r="D108" i="58"/>
  <c r="E108" i="58"/>
  <c r="F108" i="58"/>
  <c r="G108" i="58"/>
  <c r="H108" i="58"/>
  <c r="I108" i="58"/>
  <c r="J108" i="58"/>
  <c r="K108" i="58"/>
  <c r="L108" i="58"/>
  <c r="M108" i="58"/>
  <c r="N108" i="58"/>
  <c r="O108" i="58"/>
  <c r="P108" i="58"/>
  <c r="Q108" i="58"/>
  <c r="C109" i="58"/>
  <c r="D109" i="58"/>
  <c r="E109" i="58"/>
  <c r="F109" i="58"/>
  <c r="G109" i="58"/>
  <c r="H109" i="58"/>
  <c r="I109" i="58"/>
  <c r="J109" i="58"/>
  <c r="K109" i="58"/>
  <c r="L109" i="58"/>
  <c r="M109" i="58"/>
  <c r="N109" i="58"/>
  <c r="O109" i="58"/>
  <c r="P109" i="58"/>
  <c r="Q109" i="58"/>
  <c r="C110" i="58"/>
  <c r="D110" i="58"/>
  <c r="E110" i="58"/>
  <c r="F110" i="58"/>
  <c r="G110" i="58"/>
  <c r="H110" i="58"/>
  <c r="I110" i="58"/>
  <c r="J110" i="58"/>
  <c r="K110" i="58"/>
  <c r="L110" i="58"/>
  <c r="M110" i="58"/>
  <c r="N110" i="58"/>
  <c r="O110" i="58"/>
  <c r="P110" i="58"/>
  <c r="Q110" i="58"/>
  <c r="C111" i="58"/>
  <c r="D111" i="58"/>
  <c r="E111" i="58"/>
  <c r="F111" i="58"/>
  <c r="G111" i="58"/>
  <c r="H111" i="58"/>
  <c r="I111" i="58"/>
  <c r="J111" i="58"/>
  <c r="K111" i="58"/>
  <c r="L111" i="58"/>
  <c r="M111" i="58"/>
  <c r="N111" i="58"/>
  <c r="O111" i="58"/>
  <c r="P111" i="58"/>
  <c r="Q111" i="58"/>
  <c r="C112" i="58"/>
  <c r="D112" i="58"/>
  <c r="E112" i="58"/>
  <c r="F112" i="58"/>
  <c r="G112" i="58"/>
  <c r="H112" i="58"/>
  <c r="I112" i="58"/>
  <c r="J112" i="58"/>
  <c r="K112" i="58"/>
  <c r="L112" i="58"/>
  <c r="M112" i="58"/>
  <c r="N112" i="58"/>
  <c r="O112" i="58"/>
  <c r="P112" i="58"/>
  <c r="Q112" i="58"/>
  <c r="C113" i="58"/>
  <c r="D113" i="58"/>
  <c r="E113" i="58"/>
  <c r="F113" i="58"/>
  <c r="G113" i="58"/>
  <c r="H113" i="58"/>
  <c r="I113" i="58"/>
  <c r="J113" i="58"/>
  <c r="K113" i="58"/>
  <c r="L113" i="58"/>
  <c r="M113" i="58"/>
  <c r="N113" i="58"/>
  <c r="O113" i="58"/>
  <c r="P113" i="58"/>
  <c r="Q113" i="58"/>
  <c r="C114" i="58"/>
  <c r="D114" i="58"/>
  <c r="E114" i="58"/>
  <c r="F114" i="58"/>
  <c r="G114" i="58"/>
  <c r="H114" i="58"/>
  <c r="I114" i="58"/>
  <c r="J114" i="58"/>
  <c r="K114" i="58"/>
  <c r="L114" i="58"/>
  <c r="M114" i="58"/>
  <c r="N114" i="58"/>
  <c r="O114" i="58"/>
  <c r="P114" i="58"/>
  <c r="Q114" i="58"/>
  <c r="C115" i="58"/>
  <c r="D115" i="58"/>
  <c r="E115" i="58"/>
  <c r="F115" i="58"/>
  <c r="G115" i="58"/>
  <c r="H115" i="58"/>
  <c r="I115" i="58"/>
  <c r="J115" i="58"/>
  <c r="K115" i="58"/>
  <c r="L115" i="58"/>
  <c r="M115" i="58"/>
  <c r="N115" i="58"/>
  <c r="O115" i="58"/>
  <c r="P115" i="58"/>
  <c r="Q115" i="58"/>
  <c r="C116" i="58"/>
  <c r="D116" i="58"/>
  <c r="E116" i="58"/>
  <c r="F116" i="58"/>
  <c r="G116" i="58"/>
  <c r="H116" i="58"/>
  <c r="I116" i="58"/>
  <c r="J116" i="58"/>
  <c r="K116" i="58"/>
  <c r="L116" i="58"/>
  <c r="M116" i="58"/>
  <c r="N116" i="58"/>
  <c r="O116" i="58"/>
  <c r="P116" i="58"/>
  <c r="Q116" i="58"/>
  <c r="C117" i="58"/>
  <c r="D117" i="58"/>
  <c r="E117" i="58"/>
  <c r="F117" i="58"/>
  <c r="G117" i="58"/>
  <c r="H117" i="58"/>
  <c r="I117" i="58"/>
  <c r="J117" i="58"/>
  <c r="K117" i="58"/>
  <c r="L117" i="58"/>
  <c r="M117" i="58"/>
  <c r="N117" i="58"/>
  <c r="O117" i="58"/>
  <c r="P117" i="58"/>
  <c r="Q117" i="58"/>
  <c r="D103" i="58"/>
  <c r="E103" i="58"/>
  <c r="F103" i="58"/>
  <c r="G103" i="58"/>
  <c r="H103" i="58"/>
  <c r="I103" i="58"/>
  <c r="J103" i="58"/>
  <c r="K103" i="58"/>
  <c r="L103" i="58"/>
  <c r="M103" i="58"/>
  <c r="N103" i="58"/>
  <c r="O103" i="58"/>
  <c r="P103" i="58"/>
  <c r="Q103" i="58"/>
  <c r="C103" i="58"/>
  <c r="C6" i="58"/>
  <c r="C7" i="58"/>
  <c r="C8" i="58"/>
  <c r="C9" i="58"/>
  <c r="C10" i="58"/>
  <c r="C11" i="58"/>
  <c r="C12" i="58"/>
  <c r="C13" i="58"/>
  <c r="C14" i="58"/>
  <c r="C15" i="58"/>
  <c r="C16" i="58"/>
  <c r="C17" i="58"/>
  <c r="C18" i="58"/>
  <c r="C19" i="58"/>
  <c r="C20" i="58"/>
  <c r="C21" i="58"/>
  <c r="C22" i="58"/>
  <c r="C23" i="58"/>
  <c r="C24" i="58"/>
  <c r="C25" i="58"/>
  <c r="C26" i="58"/>
  <c r="C27" i="58"/>
  <c r="C29" i="58"/>
  <c r="C30" i="58"/>
  <c r="C31" i="58"/>
  <c r="C32" i="58"/>
  <c r="C33" i="58"/>
  <c r="C34" i="58"/>
  <c r="C35" i="58"/>
  <c r="C36" i="58"/>
  <c r="C37" i="58"/>
  <c r="C38" i="58"/>
  <c r="C39" i="58"/>
  <c r="C40" i="58"/>
  <c r="C41" i="58"/>
  <c r="C42" i="58"/>
  <c r="C43" i="58"/>
  <c r="C44" i="58"/>
  <c r="C45" i="58"/>
  <c r="C46" i="58"/>
  <c r="C47" i="58"/>
  <c r="C48" i="58"/>
  <c r="C49" i="58"/>
  <c r="C50" i="58"/>
  <c r="C51" i="58"/>
  <c r="C52" i="58"/>
  <c r="C53" i="58"/>
  <c r="C54" i="58"/>
  <c r="C55" i="58"/>
  <c r="C56" i="58"/>
  <c r="C57" i="58"/>
  <c r="C58" i="58"/>
  <c r="C59" i="58"/>
  <c r="C60" i="58"/>
  <c r="C61" i="58"/>
  <c r="C62" i="58"/>
  <c r="C63" i="58"/>
  <c r="C64" i="58"/>
  <c r="C65" i="58"/>
  <c r="C66" i="58"/>
  <c r="C67" i="58"/>
  <c r="C68" i="58"/>
  <c r="C69" i="58"/>
  <c r="C70" i="58"/>
  <c r="C71" i="58"/>
  <c r="C72" i="58"/>
  <c r="C73" i="58"/>
  <c r="C74" i="58"/>
  <c r="C75" i="58"/>
  <c r="C76" i="58"/>
  <c r="C77" i="58"/>
  <c r="C78" i="58"/>
  <c r="C79" i="58"/>
  <c r="C80" i="58"/>
  <c r="C81" i="58"/>
  <c r="C82" i="58"/>
  <c r="C83" i="58"/>
  <c r="C84" i="58"/>
  <c r="C85" i="58"/>
  <c r="C86" i="58"/>
  <c r="C87" i="58"/>
  <c r="C88" i="58"/>
  <c r="C89" i="58"/>
  <c r="C90" i="58"/>
  <c r="C91" i="58"/>
  <c r="C92" i="58"/>
  <c r="C93" i="58"/>
  <c r="C94" i="58"/>
  <c r="C95" i="58"/>
  <c r="C96" i="58"/>
  <c r="C97" i="58"/>
  <c r="C98" i="58"/>
  <c r="C99" i="58"/>
  <c r="C5" i="58"/>
  <c r="C132" i="57"/>
  <c r="D132" i="57"/>
  <c r="E132" i="57"/>
  <c r="F132" i="57"/>
  <c r="G132" i="57"/>
  <c r="H132" i="57"/>
  <c r="I132" i="57"/>
  <c r="J132" i="57"/>
  <c r="K132" i="57"/>
  <c r="L132" i="57"/>
  <c r="M132" i="57"/>
  <c r="N132" i="57"/>
  <c r="O132" i="57"/>
  <c r="P132" i="57"/>
  <c r="Q132" i="57"/>
  <c r="C133" i="57"/>
  <c r="D133" i="57"/>
  <c r="E133" i="57"/>
  <c r="F133" i="57"/>
  <c r="G133" i="57"/>
  <c r="H133" i="57"/>
  <c r="I133" i="57"/>
  <c r="J133" i="57"/>
  <c r="K133" i="57"/>
  <c r="L133" i="57"/>
  <c r="M133" i="57"/>
  <c r="N133" i="57"/>
  <c r="O133" i="57"/>
  <c r="P133" i="57"/>
  <c r="Q133" i="57"/>
  <c r="C134" i="57"/>
  <c r="D134" i="57"/>
  <c r="E134" i="57"/>
  <c r="F134" i="57"/>
  <c r="G134" i="57"/>
  <c r="H134" i="57"/>
  <c r="I134" i="57"/>
  <c r="J134" i="57"/>
  <c r="K134" i="57"/>
  <c r="L134" i="57"/>
  <c r="M134" i="57"/>
  <c r="N134" i="57"/>
  <c r="O134" i="57"/>
  <c r="P134" i="57"/>
  <c r="Q134" i="57"/>
  <c r="C135" i="57"/>
  <c r="D135" i="57"/>
  <c r="E135" i="57"/>
  <c r="F135" i="57"/>
  <c r="G135" i="57"/>
  <c r="H135" i="57"/>
  <c r="I135" i="57"/>
  <c r="J135" i="57"/>
  <c r="K135" i="57"/>
  <c r="L135" i="57"/>
  <c r="M135" i="57"/>
  <c r="N135" i="57"/>
  <c r="O135" i="57"/>
  <c r="P135" i="57"/>
  <c r="Q135" i="57"/>
  <c r="C136" i="57"/>
  <c r="D136" i="57"/>
  <c r="E136" i="57"/>
  <c r="F136" i="57"/>
  <c r="G136" i="57"/>
  <c r="H136" i="57"/>
  <c r="I136" i="57"/>
  <c r="J136" i="57"/>
  <c r="K136" i="57"/>
  <c r="L136" i="57"/>
  <c r="M136" i="57"/>
  <c r="N136" i="57"/>
  <c r="O136" i="57"/>
  <c r="P136" i="57"/>
  <c r="Q136" i="57"/>
  <c r="C137" i="57"/>
  <c r="D137" i="57"/>
  <c r="E137" i="57"/>
  <c r="F137" i="57"/>
  <c r="G137" i="57"/>
  <c r="H137" i="57"/>
  <c r="I137" i="57"/>
  <c r="J137" i="57"/>
  <c r="K137" i="57"/>
  <c r="L137" i="57"/>
  <c r="M137" i="57"/>
  <c r="N137" i="57"/>
  <c r="O137" i="57"/>
  <c r="P137" i="57"/>
  <c r="Q137" i="57"/>
  <c r="C140" i="57"/>
  <c r="D140" i="57"/>
  <c r="E140" i="57"/>
  <c r="F140" i="57"/>
  <c r="G140" i="57"/>
  <c r="H140" i="57"/>
  <c r="I140" i="57"/>
  <c r="J140" i="57"/>
  <c r="K140" i="57"/>
  <c r="L140" i="57"/>
  <c r="M140" i="57"/>
  <c r="N140" i="57"/>
  <c r="O140" i="57"/>
  <c r="P140" i="57"/>
  <c r="Q140" i="57"/>
  <c r="C141" i="57"/>
  <c r="D141" i="57"/>
  <c r="E141" i="57"/>
  <c r="F141" i="57"/>
  <c r="G141" i="57"/>
  <c r="H141" i="57"/>
  <c r="I141" i="57"/>
  <c r="J141" i="57"/>
  <c r="K141" i="57"/>
  <c r="L141" i="57"/>
  <c r="M141" i="57"/>
  <c r="N141" i="57"/>
  <c r="O141" i="57"/>
  <c r="P141" i="57"/>
  <c r="Q141" i="57"/>
  <c r="C142" i="57"/>
  <c r="D142" i="57"/>
  <c r="E142" i="57"/>
  <c r="F142" i="57"/>
  <c r="G142" i="57"/>
  <c r="H142" i="57"/>
  <c r="I142" i="57"/>
  <c r="J142" i="57"/>
  <c r="K142" i="57"/>
  <c r="L142" i="57"/>
  <c r="M142" i="57"/>
  <c r="N142" i="57"/>
  <c r="O142" i="57"/>
  <c r="P142" i="57"/>
  <c r="Q142" i="57"/>
  <c r="C143" i="57"/>
  <c r="D143" i="57"/>
  <c r="E143" i="57"/>
  <c r="F143" i="57"/>
  <c r="G143" i="57"/>
  <c r="H143" i="57"/>
  <c r="I143" i="57"/>
  <c r="J143" i="57"/>
  <c r="K143" i="57"/>
  <c r="L143" i="57"/>
  <c r="M143" i="57"/>
  <c r="N143" i="57"/>
  <c r="O143" i="57"/>
  <c r="P143" i="57"/>
  <c r="Q143" i="57"/>
  <c r="C144" i="57"/>
  <c r="D144" i="57"/>
  <c r="E144" i="57"/>
  <c r="F144" i="57"/>
  <c r="G144" i="57"/>
  <c r="H144" i="57"/>
  <c r="I144" i="57"/>
  <c r="J144" i="57"/>
  <c r="K144" i="57"/>
  <c r="L144" i="57"/>
  <c r="M144" i="57"/>
  <c r="N144" i="57"/>
  <c r="O144" i="57"/>
  <c r="P144" i="57"/>
  <c r="Q144" i="57"/>
  <c r="C145" i="57"/>
  <c r="D145" i="57"/>
  <c r="E145" i="57"/>
  <c r="F145" i="57"/>
  <c r="G145" i="57"/>
  <c r="H145" i="57"/>
  <c r="I145" i="57"/>
  <c r="J145" i="57"/>
  <c r="K145" i="57"/>
  <c r="L145" i="57"/>
  <c r="M145" i="57"/>
  <c r="N145" i="57"/>
  <c r="O145" i="57"/>
  <c r="P145" i="57"/>
  <c r="Q145" i="57"/>
  <c r="C146" i="57"/>
  <c r="D146" i="57"/>
  <c r="E146" i="57"/>
  <c r="F146" i="57"/>
  <c r="G146" i="57"/>
  <c r="H146" i="57"/>
  <c r="I146" i="57"/>
  <c r="J146" i="57"/>
  <c r="K146" i="57"/>
  <c r="L146" i="57"/>
  <c r="M146" i="57"/>
  <c r="N146" i="57"/>
  <c r="O146" i="57"/>
  <c r="P146" i="57"/>
  <c r="Q146" i="57"/>
  <c r="C147" i="57"/>
  <c r="D147" i="57"/>
  <c r="E147" i="57"/>
  <c r="F147" i="57"/>
  <c r="G147" i="57"/>
  <c r="H147" i="57"/>
  <c r="I147" i="57"/>
  <c r="J147" i="57"/>
  <c r="K147" i="57"/>
  <c r="L147" i="57"/>
  <c r="M147" i="57"/>
  <c r="N147" i="57"/>
  <c r="O147" i="57"/>
  <c r="P147" i="57"/>
  <c r="Q147" i="57"/>
  <c r="C148" i="57"/>
  <c r="D148" i="57"/>
  <c r="E148" i="57"/>
  <c r="F148" i="57"/>
  <c r="G148" i="57"/>
  <c r="H148" i="57"/>
  <c r="I148" i="57"/>
  <c r="J148" i="57"/>
  <c r="K148" i="57"/>
  <c r="L148" i="57"/>
  <c r="M148" i="57"/>
  <c r="N148" i="57"/>
  <c r="O148" i="57"/>
  <c r="P148" i="57"/>
  <c r="Q148" i="57"/>
  <c r="C149" i="57"/>
  <c r="D149" i="57"/>
  <c r="E149" i="57"/>
  <c r="F149" i="57"/>
  <c r="G149" i="57"/>
  <c r="H149" i="57"/>
  <c r="I149" i="57"/>
  <c r="J149" i="57"/>
  <c r="K149" i="57"/>
  <c r="L149" i="57"/>
  <c r="M149" i="57"/>
  <c r="N149" i="57"/>
  <c r="O149" i="57"/>
  <c r="P149" i="57"/>
  <c r="Q149" i="57"/>
  <c r="C150" i="57"/>
  <c r="D150" i="57"/>
  <c r="E150" i="57"/>
  <c r="F150" i="57"/>
  <c r="G150" i="57"/>
  <c r="H150" i="57"/>
  <c r="I150" i="57"/>
  <c r="J150" i="57"/>
  <c r="K150" i="57"/>
  <c r="L150" i="57"/>
  <c r="M150" i="57"/>
  <c r="N150" i="57"/>
  <c r="O150" i="57"/>
  <c r="P150" i="57"/>
  <c r="Q150" i="57"/>
  <c r="C151" i="57"/>
  <c r="D151" i="57"/>
  <c r="E151" i="57"/>
  <c r="F151" i="57"/>
  <c r="G151" i="57"/>
  <c r="H151" i="57"/>
  <c r="I151" i="57"/>
  <c r="J151" i="57"/>
  <c r="K151" i="57"/>
  <c r="L151" i="57"/>
  <c r="M151" i="57"/>
  <c r="N151" i="57"/>
  <c r="O151" i="57"/>
  <c r="P151" i="57"/>
  <c r="Q151" i="57"/>
  <c r="C152" i="57"/>
  <c r="D152" i="57"/>
  <c r="E152" i="57"/>
  <c r="F152" i="57"/>
  <c r="G152" i="57"/>
  <c r="H152" i="57"/>
  <c r="I152" i="57"/>
  <c r="J152" i="57"/>
  <c r="K152" i="57"/>
  <c r="L152" i="57"/>
  <c r="M152" i="57"/>
  <c r="N152" i="57"/>
  <c r="O152" i="57"/>
  <c r="P152" i="57"/>
  <c r="Q152" i="57"/>
  <c r="C153" i="57"/>
  <c r="D153" i="57"/>
  <c r="E153" i="57"/>
  <c r="F153" i="57"/>
  <c r="G153" i="57"/>
  <c r="H153" i="57"/>
  <c r="I153" i="57"/>
  <c r="J153" i="57"/>
  <c r="K153" i="57"/>
  <c r="L153" i="57"/>
  <c r="M153" i="57"/>
  <c r="N153" i="57"/>
  <c r="O153" i="57"/>
  <c r="P153" i="57"/>
  <c r="Q153" i="57"/>
  <c r="D131" i="57"/>
  <c r="E131" i="57"/>
  <c r="F131" i="57"/>
  <c r="G131" i="57"/>
  <c r="H131" i="57"/>
  <c r="I131" i="57"/>
  <c r="J131" i="57"/>
  <c r="K131" i="57"/>
  <c r="L131" i="57"/>
  <c r="M131" i="57"/>
  <c r="N131" i="57"/>
  <c r="O131" i="57"/>
  <c r="P131" i="57"/>
  <c r="Q131" i="57"/>
  <c r="C131" i="57"/>
  <c r="C122" i="57"/>
  <c r="C126" i="57" s="1"/>
  <c r="D122" i="57"/>
  <c r="D126" i="57" s="1"/>
  <c r="E122" i="57"/>
  <c r="E126" i="57" s="1"/>
  <c r="F122" i="57"/>
  <c r="F126" i="57" s="1"/>
  <c r="G122" i="57"/>
  <c r="G126" i="57" s="1"/>
  <c r="H122" i="57"/>
  <c r="H126" i="57" s="1"/>
  <c r="I122" i="57"/>
  <c r="I126" i="57" s="1"/>
  <c r="J122" i="57"/>
  <c r="J126" i="57" s="1"/>
  <c r="K122" i="57"/>
  <c r="K126" i="57" s="1"/>
  <c r="L122" i="57"/>
  <c r="L126" i="57" s="1"/>
  <c r="M122" i="57"/>
  <c r="M126" i="57" s="1"/>
  <c r="N122" i="57"/>
  <c r="N126" i="57" s="1"/>
  <c r="O122" i="57"/>
  <c r="O126" i="57" s="1"/>
  <c r="P122" i="57"/>
  <c r="P126" i="57" s="1"/>
  <c r="Q122" i="57"/>
  <c r="Q126" i="57" s="1"/>
  <c r="D121" i="57"/>
  <c r="D127" i="57" s="1"/>
  <c r="E121" i="57"/>
  <c r="E127" i="57" s="1"/>
  <c r="F121" i="57"/>
  <c r="F127" i="57" s="1"/>
  <c r="G121" i="57"/>
  <c r="G127" i="57" s="1"/>
  <c r="H121" i="57"/>
  <c r="H127" i="57" s="1"/>
  <c r="I121" i="57"/>
  <c r="I127" i="57" s="1"/>
  <c r="J121" i="57"/>
  <c r="J127" i="57" s="1"/>
  <c r="K121" i="57"/>
  <c r="K127" i="57" s="1"/>
  <c r="L121" i="57"/>
  <c r="L127" i="57" s="1"/>
  <c r="M121" i="57"/>
  <c r="M127" i="57" s="1"/>
  <c r="N121" i="57"/>
  <c r="N127" i="57" s="1"/>
  <c r="O121" i="57"/>
  <c r="O127" i="57" s="1"/>
  <c r="P121" i="57"/>
  <c r="P127" i="57" s="1"/>
  <c r="Q121" i="57"/>
  <c r="Q127" i="57" s="1"/>
  <c r="C121" i="57"/>
  <c r="C127" i="57" s="1"/>
  <c r="C104" i="57"/>
  <c r="D104" i="57"/>
  <c r="E104" i="57"/>
  <c r="F104" i="57"/>
  <c r="G104" i="57"/>
  <c r="H104" i="57"/>
  <c r="I104" i="57"/>
  <c r="J104" i="57"/>
  <c r="K104" i="57"/>
  <c r="L104" i="57"/>
  <c r="M104" i="57"/>
  <c r="N104" i="57"/>
  <c r="O104" i="57"/>
  <c r="P104" i="57"/>
  <c r="Q104" i="57"/>
  <c r="C105" i="57"/>
  <c r="D105" i="57"/>
  <c r="E105" i="57"/>
  <c r="F105" i="57"/>
  <c r="G105" i="57"/>
  <c r="H105" i="57"/>
  <c r="I105" i="57"/>
  <c r="J105" i="57"/>
  <c r="K105" i="57"/>
  <c r="L105" i="57"/>
  <c r="M105" i="57"/>
  <c r="N105" i="57"/>
  <c r="O105" i="57"/>
  <c r="P105" i="57"/>
  <c r="Q105" i="57"/>
  <c r="C106" i="57"/>
  <c r="D106" i="57"/>
  <c r="E106" i="57"/>
  <c r="F106" i="57"/>
  <c r="G106" i="57"/>
  <c r="H106" i="57"/>
  <c r="I106" i="57"/>
  <c r="J106" i="57"/>
  <c r="K106" i="57"/>
  <c r="L106" i="57"/>
  <c r="M106" i="57"/>
  <c r="N106" i="57"/>
  <c r="O106" i="57"/>
  <c r="P106" i="57"/>
  <c r="Q106" i="57"/>
  <c r="C107" i="57"/>
  <c r="D107" i="57"/>
  <c r="E107" i="57"/>
  <c r="F107" i="57"/>
  <c r="G107" i="57"/>
  <c r="H107" i="57"/>
  <c r="I107" i="57"/>
  <c r="J107" i="57"/>
  <c r="K107" i="57"/>
  <c r="L107" i="57"/>
  <c r="M107" i="57"/>
  <c r="N107" i="57"/>
  <c r="O107" i="57"/>
  <c r="P107" i="57"/>
  <c r="Q107" i="57"/>
  <c r="C108" i="57"/>
  <c r="D108" i="57"/>
  <c r="E108" i="57"/>
  <c r="F108" i="57"/>
  <c r="G108" i="57"/>
  <c r="H108" i="57"/>
  <c r="I108" i="57"/>
  <c r="J108" i="57"/>
  <c r="K108" i="57"/>
  <c r="L108" i="57"/>
  <c r="M108" i="57"/>
  <c r="N108" i="57"/>
  <c r="O108" i="57"/>
  <c r="P108" i="57"/>
  <c r="Q108" i="57"/>
  <c r="C109" i="57"/>
  <c r="D109" i="57"/>
  <c r="E109" i="57"/>
  <c r="F109" i="57"/>
  <c r="G109" i="57"/>
  <c r="H109" i="57"/>
  <c r="I109" i="57"/>
  <c r="J109" i="57"/>
  <c r="K109" i="57"/>
  <c r="L109" i="57"/>
  <c r="M109" i="57"/>
  <c r="N109" i="57"/>
  <c r="O109" i="57"/>
  <c r="P109" i="57"/>
  <c r="Q109" i="57"/>
  <c r="C110" i="57"/>
  <c r="D110" i="57"/>
  <c r="E110" i="57"/>
  <c r="F110" i="57"/>
  <c r="G110" i="57"/>
  <c r="H110" i="57"/>
  <c r="I110" i="57"/>
  <c r="J110" i="57"/>
  <c r="K110" i="57"/>
  <c r="L110" i="57"/>
  <c r="M110" i="57"/>
  <c r="N110" i="57"/>
  <c r="O110" i="57"/>
  <c r="P110" i="57"/>
  <c r="Q110" i="57"/>
  <c r="C111" i="57"/>
  <c r="D111" i="57"/>
  <c r="E111" i="57"/>
  <c r="F111" i="57"/>
  <c r="G111" i="57"/>
  <c r="H111" i="57"/>
  <c r="I111" i="57"/>
  <c r="J111" i="57"/>
  <c r="K111" i="57"/>
  <c r="L111" i="57"/>
  <c r="M111" i="57"/>
  <c r="N111" i="57"/>
  <c r="O111" i="57"/>
  <c r="P111" i="57"/>
  <c r="Q111" i="57"/>
  <c r="C112" i="57"/>
  <c r="D112" i="57"/>
  <c r="E112" i="57"/>
  <c r="F112" i="57"/>
  <c r="G112" i="57"/>
  <c r="H112" i="57"/>
  <c r="I112" i="57"/>
  <c r="J112" i="57"/>
  <c r="K112" i="57"/>
  <c r="L112" i="57"/>
  <c r="M112" i="57"/>
  <c r="N112" i="57"/>
  <c r="O112" i="57"/>
  <c r="P112" i="57"/>
  <c r="Q112" i="57"/>
  <c r="C113" i="57"/>
  <c r="D113" i="57"/>
  <c r="E113" i="57"/>
  <c r="F113" i="57"/>
  <c r="G113" i="57"/>
  <c r="H113" i="57"/>
  <c r="I113" i="57"/>
  <c r="J113" i="57"/>
  <c r="K113" i="57"/>
  <c r="L113" i="57"/>
  <c r="M113" i="57"/>
  <c r="N113" i="57"/>
  <c r="O113" i="57"/>
  <c r="P113" i="57"/>
  <c r="Q113" i="57"/>
  <c r="C114" i="57"/>
  <c r="D114" i="57"/>
  <c r="E114" i="57"/>
  <c r="F114" i="57"/>
  <c r="G114" i="57"/>
  <c r="H114" i="57"/>
  <c r="I114" i="57"/>
  <c r="J114" i="57"/>
  <c r="K114" i="57"/>
  <c r="L114" i="57"/>
  <c r="M114" i="57"/>
  <c r="N114" i="57"/>
  <c r="O114" i="57"/>
  <c r="P114" i="57"/>
  <c r="Q114" i="57"/>
  <c r="C115" i="57"/>
  <c r="D115" i="57"/>
  <c r="E115" i="57"/>
  <c r="F115" i="57"/>
  <c r="G115" i="57"/>
  <c r="H115" i="57"/>
  <c r="I115" i="57"/>
  <c r="J115" i="57"/>
  <c r="K115" i="57"/>
  <c r="L115" i="57"/>
  <c r="M115" i="57"/>
  <c r="N115" i="57"/>
  <c r="O115" i="57"/>
  <c r="P115" i="57"/>
  <c r="Q115" i="57"/>
  <c r="C116" i="57"/>
  <c r="D116" i="57"/>
  <c r="E116" i="57"/>
  <c r="F116" i="57"/>
  <c r="G116" i="57"/>
  <c r="H116" i="57"/>
  <c r="I116" i="57"/>
  <c r="J116" i="57"/>
  <c r="K116" i="57"/>
  <c r="L116" i="57"/>
  <c r="M116" i="57"/>
  <c r="N116" i="57"/>
  <c r="O116" i="57"/>
  <c r="P116" i="57"/>
  <c r="Q116" i="57"/>
  <c r="C117" i="57"/>
  <c r="D117" i="57"/>
  <c r="E117" i="57"/>
  <c r="F117" i="57"/>
  <c r="G117" i="57"/>
  <c r="H117" i="57"/>
  <c r="I117" i="57"/>
  <c r="J117" i="57"/>
  <c r="K117" i="57"/>
  <c r="L117" i="57"/>
  <c r="M117" i="57"/>
  <c r="N117" i="57"/>
  <c r="O117" i="57"/>
  <c r="P117" i="57"/>
  <c r="Q117" i="57"/>
  <c r="D103" i="57"/>
  <c r="E103" i="57"/>
  <c r="F103" i="57"/>
  <c r="G103" i="57"/>
  <c r="H103" i="57"/>
  <c r="I103" i="57"/>
  <c r="J103" i="57"/>
  <c r="K103" i="57"/>
  <c r="L103" i="57"/>
  <c r="M103" i="57"/>
  <c r="N103" i="57"/>
  <c r="O103" i="57"/>
  <c r="P103" i="57"/>
  <c r="Q103" i="57"/>
  <c r="C103" i="57"/>
  <c r="C6" i="57"/>
  <c r="C7" i="57"/>
  <c r="C8" i="57"/>
  <c r="C9" i="57"/>
  <c r="C10" i="57"/>
  <c r="C11" i="57"/>
  <c r="C12" i="57"/>
  <c r="C13" i="57"/>
  <c r="C14" i="57"/>
  <c r="C15" i="57"/>
  <c r="C16" i="57"/>
  <c r="C17" i="57"/>
  <c r="C18" i="57"/>
  <c r="C19" i="57"/>
  <c r="C20" i="57"/>
  <c r="C21" i="57"/>
  <c r="C22" i="57"/>
  <c r="C23" i="57"/>
  <c r="C24" i="57"/>
  <c r="C25" i="57"/>
  <c r="C26" i="57"/>
  <c r="C27" i="57"/>
  <c r="C29" i="57"/>
  <c r="C30" i="57"/>
  <c r="C31" i="57"/>
  <c r="C32" i="57"/>
  <c r="C33" i="57"/>
  <c r="C34" i="57"/>
  <c r="C35" i="57"/>
  <c r="C36" i="57"/>
  <c r="C37" i="57"/>
  <c r="C38" i="57"/>
  <c r="C39" i="57"/>
  <c r="C40" i="57"/>
  <c r="C41" i="57"/>
  <c r="C42" i="57"/>
  <c r="C43" i="57"/>
  <c r="C44" i="57"/>
  <c r="C45" i="57"/>
  <c r="C46" i="57"/>
  <c r="C47" i="57"/>
  <c r="C48" i="57"/>
  <c r="C49" i="57"/>
  <c r="C50" i="57"/>
  <c r="C51" i="57"/>
  <c r="C52" i="57"/>
  <c r="C53" i="57"/>
  <c r="C54" i="57"/>
  <c r="C55" i="57"/>
  <c r="C56" i="57"/>
  <c r="C57" i="57"/>
  <c r="C58" i="57"/>
  <c r="C59" i="57"/>
  <c r="C60" i="57"/>
  <c r="C61" i="57"/>
  <c r="C62" i="57"/>
  <c r="C63" i="57"/>
  <c r="C64" i="57"/>
  <c r="C65" i="57"/>
  <c r="C66" i="57"/>
  <c r="C67" i="57"/>
  <c r="C68" i="57"/>
  <c r="C69" i="57"/>
  <c r="C70" i="57"/>
  <c r="C71" i="57"/>
  <c r="C72" i="57"/>
  <c r="C73" i="57"/>
  <c r="C74" i="57"/>
  <c r="C75" i="57"/>
  <c r="C76" i="57"/>
  <c r="C77" i="57"/>
  <c r="C78" i="57"/>
  <c r="C79" i="57"/>
  <c r="C80" i="57"/>
  <c r="C81" i="57"/>
  <c r="C82" i="57"/>
  <c r="C84" i="57"/>
  <c r="C85" i="57"/>
  <c r="C86" i="57"/>
  <c r="C87" i="57"/>
  <c r="C88" i="57"/>
  <c r="C89" i="57"/>
  <c r="C90" i="57"/>
  <c r="C91" i="57"/>
  <c r="C92" i="57"/>
  <c r="C93" i="57"/>
  <c r="C94" i="57"/>
  <c r="C95" i="57"/>
  <c r="C96" i="57"/>
  <c r="C97" i="57"/>
  <c r="C98" i="57"/>
  <c r="C99" i="57"/>
  <c r="C5" i="57"/>
  <c r="C113" i="56"/>
  <c r="D113" i="56"/>
  <c r="E113" i="56"/>
  <c r="F113" i="56"/>
  <c r="G113" i="56"/>
  <c r="H113" i="56"/>
  <c r="I113" i="56"/>
  <c r="J113" i="56"/>
  <c r="K113" i="56"/>
  <c r="L113" i="56"/>
  <c r="M113" i="56"/>
  <c r="N113" i="56"/>
  <c r="O113" i="56"/>
  <c r="P113" i="56"/>
  <c r="Q113" i="56"/>
  <c r="D114" i="56"/>
  <c r="E114" i="56"/>
  <c r="F114" i="56"/>
  <c r="G114" i="56"/>
  <c r="H114" i="56"/>
  <c r="I114" i="56"/>
  <c r="J114" i="56"/>
  <c r="K114" i="56"/>
  <c r="L114" i="56"/>
  <c r="M114" i="56"/>
  <c r="N114" i="56"/>
  <c r="O114" i="56"/>
  <c r="P114" i="56"/>
  <c r="Q114" i="56"/>
  <c r="C114" i="56"/>
  <c r="C109" i="56"/>
  <c r="D109" i="56"/>
  <c r="E109" i="56"/>
  <c r="F109" i="56"/>
  <c r="G109" i="56"/>
  <c r="H109" i="56"/>
  <c r="I109" i="56"/>
  <c r="J109" i="56"/>
  <c r="K109" i="56"/>
  <c r="L109" i="56"/>
  <c r="M109" i="56"/>
  <c r="N109" i="56"/>
  <c r="O109" i="56"/>
  <c r="P109" i="56"/>
  <c r="Q109" i="56"/>
  <c r="D108" i="56"/>
  <c r="E108" i="56"/>
  <c r="F108" i="56"/>
  <c r="G108" i="56"/>
  <c r="H108" i="56"/>
  <c r="I108" i="56"/>
  <c r="J108" i="56"/>
  <c r="K108" i="56"/>
  <c r="L108" i="56"/>
  <c r="M108" i="56"/>
  <c r="N108" i="56"/>
  <c r="O108" i="56"/>
  <c r="P108" i="56"/>
  <c r="Q108" i="56"/>
  <c r="C108" i="56"/>
  <c r="C83" i="56"/>
  <c r="D83" i="56"/>
  <c r="E83" i="56"/>
  <c r="F83" i="56"/>
  <c r="G83" i="56"/>
  <c r="H83" i="56"/>
  <c r="I83" i="56"/>
  <c r="J83" i="56"/>
  <c r="K83" i="56"/>
  <c r="L83" i="56"/>
  <c r="M83" i="56"/>
  <c r="N83" i="56"/>
  <c r="O83" i="56"/>
  <c r="P83" i="56"/>
  <c r="Q83" i="56"/>
  <c r="C84" i="56"/>
  <c r="D84" i="56"/>
  <c r="E84" i="56"/>
  <c r="F84" i="56"/>
  <c r="G84" i="56"/>
  <c r="H84" i="56"/>
  <c r="I84" i="56"/>
  <c r="J84" i="56"/>
  <c r="K84" i="56"/>
  <c r="L84" i="56"/>
  <c r="M84" i="56"/>
  <c r="N84" i="56"/>
  <c r="O84" i="56"/>
  <c r="P84" i="56"/>
  <c r="Q84" i="56"/>
  <c r="C85" i="56"/>
  <c r="D85" i="56"/>
  <c r="E85" i="56"/>
  <c r="F85" i="56"/>
  <c r="G85" i="56"/>
  <c r="H85" i="56"/>
  <c r="I85" i="56"/>
  <c r="J85" i="56"/>
  <c r="K85" i="56"/>
  <c r="L85" i="56"/>
  <c r="M85" i="56"/>
  <c r="N85" i="56"/>
  <c r="O85" i="56"/>
  <c r="P85" i="56"/>
  <c r="Q85" i="56"/>
  <c r="C86" i="56"/>
  <c r="D86" i="56"/>
  <c r="E86" i="56"/>
  <c r="F86" i="56"/>
  <c r="G86" i="56"/>
  <c r="H86" i="56"/>
  <c r="I86" i="56"/>
  <c r="J86" i="56"/>
  <c r="K86" i="56"/>
  <c r="L86" i="56"/>
  <c r="M86" i="56"/>
  <c r="N86" i="56"/>
  <c r="O86" i="56"/>
  <c r="P86" i="56"/>
  <c r="Q86" i="56"/>
  <c r="C87" i="56"/>
  <c r="D87" i="56"/>
  <c r="E87" i="56"/>
  <c r="F87" i="56"/>
  <c r="G87" i="56"/>
  <c r="H87" i="56"/>
  <c r="I87" i="56"/>
  <c r="J87" i="56"/>
  <c r="K87" i="56"/>
  <c r="L87" i="56"/>
  <c r="M87" i="56"/>
  <c r="N87" i="56"/>
  <c r="O87" i="56"/>
  <c r="P87" i="56"/>
  <c r="Q87" i="56"/>
  <c r="C88" i="56"/>
  <c r="D88" i="56"/>
  <c r="E88" i="56"/>
  <c r="F88" i="56"/>
  <c r="G88" i="56"/>
  <c r="H88" i="56"/>
  <c r="I88" i="56"/>
  <c r="J88" i="56"/>
  <c r="K88" i="56"/>
  <c r="L88" i="56"/>
  <c r="M88" i="56"/>
  <c r="N88" i="56"/>
  <c r="O88" i="56"/>
  <c r="P88" i="56"/>
  <c r="Q88" i="56"/>
  <c r="D91" i="56"/>
  <c r="E91" i="56"/>
  <c r="F91" i="56"/>
  <c r="G91" i="56"/>
  <c r="H91" i="56"/>
  <c r="I91" i="56"/>
  <c r="J91" i="56"/>
  <c r="K91" i="56"/>
  <c r="L91" i="56"/>
  <c r="M91" i="56"/>
  <c r="N91" i="56"/>
  <c r="O91" i="56"/>
  <c r="P91" i="56"/>
  <c r="Q91" i="56"/>
  <c r="D92" i="56"/>
  <c r="E92" i="56"/>
  <c r="F92" i="56"/>
  <c r="G92" i="56"/>
  <c r="H92" i="56"/>
  <c r="I92" i="56"/>
  <c r="J92" i="56"/>
  <c r="K92" i="56"/>
  <c r="L92" i="56"/>
  <c r="M92" i="56"/>
  <c r="N92" i="56"/>
  <c r="O92" i="56"/>
  <c r="P92" i="56"/>
  <c r="Q92" i="56"/>
  <c r="D93" i="56"/>
  <c r="E93" i="56"/>
  <c r="F93" i="56"/>
  <c r="G93" i="56"/>
  <c r="H93" i="56"/>
  <c r="I93" i="56"/>
  <c r="J93" i="56"/>
  <c r="K93" i="56"/>
  <c r="L93" i="56"/>
  <c r="M93" i="56"/>
  <c r="N93" i="56"/>
  <c r="O93" i="56"/>
  <c r="P93" i="56"/>
  <c r="Q93" i="56"/>
  <c r="D94" i="56"/>
  <c r="E94" i="56"/>
  <c r="F94" i="56"/>
  <c r="G94" i="56"/>
  <c r="H94" i="56"/>
  <c r="I94" i="56"/>
  <c r="J94" i="56"/>
  <c r="K94" i="56"/>
  <c r="L94" i="56"/>
  <c r="M94" i="56"/>
  <c r="N94" i="56"/>
  <c r="O94" i="56"/>
  <c r="P94" i="56"/>
  <c r="Q94" i="56"/>
  <c r="D95" i="56"/>
  <c r="E95" i="56"/>
  <c r="F95" i="56"/>
  <c r="G95" i="56"/>
  <c r="H95" i="56"/>
  <c r="I95" i="56"/>
  <c r="J95" i="56"/>
  <c r="K95" i="56"/>
  <c r="L95" i="56"/>
  <c r="M95" i="56"/>
  <c r="N95" i="56"/>
  <c r="O95" i="56"/>
  <c r="P95" i="56"/>
  <c r="Q95" i="56"/>
  <c r="D96" i="56"/>
  <c r="E96" i="56"/>
  <c r="F96" i="56"/>
  <c r="G96" i="56"/>
  <c r="H96" i="56"/>
  <c r="I96" i="56"/>
  <c r="J96" i="56"/>
  <c r="K96" i="56"/>
  <c r="L96" i="56"/>
  <c r="M96" i="56"/>
  <c r="N96" i="56"/>
  <c r="O96" i="56"/>
  <c r="P96" i="56"/>
  <c r="Q96" i="56"/>
  <c r="D97" i="56"/>
  <c r="E97" i="56"/>
  <c r="F97" i="56"/>
  <c r="G97" i="56"/>
  <c r="H97" i="56"/>
  <c r="I97" i="56"/>
  <c r="J97" i="56"/>
  <c r="K97" i="56"/>
  <c r="L97" i="56"/>
  <c r="M97" i="56"/>
  <c r="N97" i="56"/>
  <c r="O97" i="56"/>
  <c r="P97" i="56"/>
  <c r="Q97" i="56"/>
  <c r="D98" i="56"/>
  <c r="E98" i="56"/>
  <c r="F98" i="56"/>
  <c r="G98" i="56"/>
  <c r="H98" i="56"/>
  <c r="I98" i="56"/>
  <c r="J98" i="56"/>
  <c r="K98" i="56"/>
  <c r="L98" i="56"/>
  <c r="M98" i="56"/>
  <c r="N98" i="56"/>
  <c r="O98" i="56"/>
  <c r="P98" i="56"/>
  <c r="Q98" i="56"/>
  <c r="D99" i="56"/>
  <c r="E99" i="56"/>
  <c r="F99" i="56"/>
  <c r="G99" i="56"/>
  <c r="H99" i="56"/>
  <c r="I99" i="56"/>
  <c r="J99" i="56"/>
  <c r="K99" i="56"/>
  <c r="L99" i="56"/>
  <c r="M99" i="56"/>
  <c r="N99" i="56"/>
  <c r="O99" i="56"/>
  <c r="P99" i="56"/>
  <c r="Q99" i="56"/>
  <c r="D100" i="56"/>
  <c r="E100" i="56"/>
  <c r="F100" i="56"/>
  <c r="G100" i="56"/>
  <c r="H100" i="56"/>
  <c r="I100" i="56"/>
  <c r="J100" i="56"/>
  <c r="K100" i="56"/>
  <c r="L100" i="56"/>
  <c r="M100" i="56"/>
  <c r="N100" i="56"/>
  <c r="O100" i="56"/>
  <c r="P100" i="56"/>
  <c r="Q100" i="56"/>
  <c r="D101" i="56"/>
  <c r="E101" i="56"/>
  <c r="F101" i="56"/>
  <c r="G101" i="56"/>
  <c r="H101" i="56"/>
  <c r="I101" i="56"/>
  <c r="J101" i="56"/>
  <c r="K101" i="56"/>
  <c r="L101" i="56"/>
  <c r="M101" i="56"/>
  <c r="N101" i="56"/>
  <c r="O101" i="56"/>
  <c r="P101" i="56"/>
  <c r="Q101" i="56"/>
  <c r="D102" i="56"/>
  <c r="E102" i="56"/>
  <c r="F102" i="56"/>
  <c r="G102" i="56"/>
  <c r="H102" i="56"/>
  <c r="I102" i="56"/>
  <c r="J102" i="56"/>
  <c r="K102" i="56"/>
  <c r="L102" i="56"/>
  <c r="M102" i="56"/>
  <c r="N102" i="56"/>
  <c r="O102" i="56"/>
  <c r="P102" i="56"/>
  <c r="Q102" i="56"/>
  <c r="D103" i="56"/>
  <c r="E103" i="56"/>
  <c r="F103" i="56"/>
  <c r="G103" i="56"/>
  <c r="H103" i="56"/>
  <c r="I103" i="56"/>
  <c r="J103" i="56"/>
  <c r="K103" i="56"/>
  <c r="L103" i="56"/>
  <c r="M103" i="56"/>
  <c r="N103" i="56"/>
  <c r="O103" i="56"/>
  <c r="P103" i="56"/>
  <c r="Q103" i="56"/>
  <c r="C104" i="56"/>
  <c r="D104" i="56"/>
  <c r="E104" i="56"/>
  <c r="F104" i="56"/>
  <c r="G104" i="56"/>
  <c r="H104" i="56"/>
  <c r="I104" i="56"/>
  <c r="J104" i="56"/>
  <c r="K104" i="56"/>
  <c r="L104" i="56"/>
  <c r="M104" i="56"/>
  <c r="D82" i="56"/>
  <c r="E82" i="56"/>
  <c r="F82" i="56"/>
  <c r="G82" i="56"/>
  <c r="H82" i="56"/>
  <c r="I82" i="56"/>
  <c r="J82" i="56"/>
  <c r="K82" i="56"/>
  <c r="L82" i="56"/>
  <c r="M82" i="56"/>
  <c r="N82" i="56"/>
  <c r="O82" i="56"/>
  <c r="P82" i="56"/>
  <c r="Q82" i="56"/>
  <c r="C82" i="56"/>
  <c r="C57" i="56"/>
  <c r="D57" i="56"/>
  <c r="E57" i="56"/>
  <c r="F57" i="56"/>
  <c r="G57" i="56"/>
  <c r="H57" i="56"/>
  <c r="I57" i="56"/>
  <c r="J57" i="56"/>
  <c r="K57" i="56"/>
  <c r="L57" i="56"/>
  <c r="M57" i="56"/>
  <c r="N57" i="56"/>
  <c r="O57" i="56"/>
  <c r="P57" i="56"/>
  <c r="Q57" i="56"/>
  <c r="C58" i="56"/>
  <c r="D58" i="56"/>
  <c r="E58" i="56"/>
  <c r="F58" i="56"/>
  <c r="G58" i="56"/>
  <c r="H58" i="56"/>
  <c r="I58" i="56"/>
  <c r="J58" i="56"/>
  <c r="K58" i="56"/>
  <c r="L58" i="56"/>
  <c r="M58" i="56"/>
  <c r="N58" i="56"/>
  <c r="O58" i="56"/>
  <c r="P58" i="56"/>
  <c r="Q58" i="56"/>
  <c r="C59" i="56"/>
  <c r="D59" i="56"/>
  <c r="E59" i="56"/>
  <c r="F59" i="56"/>
  <c r="G59" i="56"/>
  <c r="H59" i="56"/>
  <c r="I59" i="56"/>
  <c r="J59" i="56"/>
  <c r="K59" i="56"/>
  <c r="L59" i="56"/>
  <c r="M59" i="56"/>
  <c r="N59" i="56"/>
  <c r="O59" i="56"/>
  <c r="P59" i="56"/>
  <c r="Q59" i="56"/>
  <c r="C60" i="56"/>
  <c r="D60" i="56"/>
  <c r="E60" i="56"/>
  <c r="F60" i="56"/>
  <c r="G60" i="56"/>
  <c r="H60" i="56"/>
  <c r="I60" i="56"/>
  <c r="J60" i="56"/>
  <c r="K60" i="56"/>
  <c r="L60" i="56"/>
  <c r="M60" i="56"/>
  <c r="N60" i="56"/>
  <c r="O60" i="56"/>
  <c r="P60" i="56"/>
  <c r="Q60" i="56"/>
  <c r="C61" i="56"/>
  <c r="D61" i="56"/>
  <c r="E61" i="56"/>
  <c r="F61" i="56"/>
  <c r="G61" i="56"/>
  <c r="H61" i="56"/>
  <c r="I61" i="56"/>
  <c r="J61" i="56"/>
  <c r="K61" i="56"/>
  <c r="L61" i="56"/>
  <c r="M61" i="56"/>
  <c r="N61" i="56"/>
  <c r="O61" i="56"/>
  <c r="P61" i="56"/>
  <c r="Q61" i="56"/>
  <c r="C62" i="56"/>
  <c r="D62" i="56"/>
  <c r="E62" i="56"/>
  <c r="F62" i="56"/>
  <c r="G62" i="56"/>
  <c r="H62" i="56"/>
  <c r="I62" i="56"/>
  <c r="J62" i="56"/>
  <c r="K62" i="56"/>
  <c r="L62" i="56"/>
  <c r="M62" i="56"/>
  <c r="N62" i="56"/>
  <c r="O62" i="56"/>
  <c r="P62" i="56"/>
  <c r="Q62" i="56"/>
  <c r="C65" i="56"/>
  <c r="D65" i="56"/>
  <c r="E65" i="56"/>
  <c r="F65" i="56"/>
  <c r="G65" i="56"/>
  <c r="H65" i="56"/>
  <c r="I65" i="56"/>
  <c r="J65" i="56"/>
  <c r="K65" i="56"/>
  <c r="L65" i="56"/>
  <c r="M65" i="56"/>
  <c r="N65" i="56"/>
  <c r="O65" i="56"/>
  <c r="P65" i="56"/>
  <c r="Q65" i="56"/>
  <c r="C66" i="56"/>
  <c r="D66" i="56"/>
  <c r="E66" i="56"/>
  <c r="F66" i="56"/>
  <c r="G66" i="56"/>
  <c r="H66" i="56"/>
  <c r="I66" i="56"/>
  <c r="J66" i="56"/>
  <c r="K66" i="56"/>
  <c r="L66" i="56"/>
  <c r="M66" i="56"/>
  <c r="N66" i="56"/>
  <c r="O66" i="56"/>
  <c r="P66" i="56"/>
  <c r="Q66" i="56"/>
  <c r="C67" i="56"/>
  <c r="D67" i="56"/>
  <c r="E67" i="56"/>
  <c r="F67" i="56"/>
  <c r="G67" i="56"/>
  <c r="H67" i="56"/>
  <c r="I67" i="56"/>
  <c r="J67" i="56"/>
  <c r="K67" i="56"/>
  <c r="L67" i="56"/>
  <c r="M67" i="56"/>
  <c r="N67" i="56"/>
  <c r="O67" i="56"/>
  <c r="P67" i="56"/>
  <c r="Q67" i="56"/>
  <c r="C68" i="56"/>
  <c r="D68" i="56"/>
  <c r="E68" i="56"/>
  <c r="F68" i="56"/>
  <c r="G68" i="56"/>
  <c r="H68" i="56"/>
  <c r="I68" i="56"/>
  <c r="J68" i="56"/>
  <c r="K68" i="56"/>
  <c r="L68" i="56"/>
  <c r="M68" i="56"/>
  <c r="N68" i="56"/>
  <c r="O68" i="56"/>
  <c r="P68" i="56"/>
  <c r="Q68" i="56"/>
  <c r="C69" i="56"/>
  <c r="D69" i="56"/>
  <c r="E69" i="56"/>
  <c r="F69" i="56"/>
  <c r="G69" i="56"/>
  <c r="H69" i="56"/>
  <c r="I69" i="56"/>
  <c r="J69" i="56"/>
  <c r="K69" i="56"/>
  <c r="L69" i="56"/>
  <c r="M69" i="56"/>
  <c r="N69" i="56"/>
  <c r="O69" i="56"/>
  <c r="P69" i="56"/>
  <c r="Q69" i="56"/>
  <c r="C70" i="56"/>
  <c r="D70" i="56"/>
  <c r="E70" i="56"/>
  <c r="F70" i="56"/>
  <c r="G70" i="56"/>
  <c r="H70" i="56"/>
  <c r="I70" i="56"/>
  <c r="J70" i="56"/>
  <c r="K70" i="56"/>
  <c r="L70" i="56"/>
  <c r="M70" i="56"/>
  <c r="N70" i="56"/>
  <c r="O70" i="56"/>
  <c r="P70" i="56"/>
  <c r="Q70" i="56"/>
  <c r="C71" i="56"/>
  <c r="D71" i="56"/>
  <c r="E71" i="56"/>
  <c r="F71" i="56"/>
  <c r="G71" i="56"/>
  <c r="H71" i="56"/>
  <c r="I71" i="56"/>
  <c r="J71" i="56"/>
  <c r="K71" i="56"/>
  <c r="L71" i="56"/>
  <c r="M71" i="56"/>
  <c r="N71" i="56"/>
  <c r="O71" i="56"/>
  <c r="P71" i="56"/>
  <c r="Q71" i="56"/>
  <c r="C72" i="56"/>
  <c r="D72" i="56"/>
  <c r="E72" i="56"/>
  <c r="F72" i="56"/>
  <c r="G72" i="56"/>
  <c r="H72" i="56"/>
  <c r="I72" i="56"/>
  <c r="J72" i="56"/>
  <c r="K72" i="56"/>
  <c r="L72" i="56"/>
  <c r="M72" i="56"/>
  <c r="N72" i="56"/>
  <c r="O72" i="56"/>
  <c r="P72" i="56"/>
  <c r="Q72" i="56"/>
  <c r="C73" i="56"/>
  <c r="D73" i="56"/>
  <c r="E73" i="56"/>
  <c r="F73" i="56"/>
  <c r="G73" i="56"/>
  <c r="H73" i="56"/>
  <c r="I73" i="56"/>
  <c r="J73" i="56"/>
  <c r="K73" i="56"/>
  <c r="L73" i="56"/>
  <c r="M73" i="56"/>
  <c r="N73" i="56"/>
  <c r="O73" i="56"/>
  <c r="P73" i="56"/>
  <c r="Q73" i="56"/>
  <c r="C74" i="56"/>
  <c r="D74" i="56"/>
  <c r="E74" i="56"/>
  <c r="F74" i="56"/>
  <c r="G74" i="56"/>
  <c r="H74" i="56"/>
  <c r="I74" i="56"/>
  <c r="J74" i="56"/>
  <c r="K74" i="56"/>
  <c r="L74" i="56"/>
  <c r="M74" i="56"/>
  <c r="N74" i="56"/>
  <c r="O74" i="56"/>
  <c r="P74" i="56"/>
  <c r="Q74" i="56"/>
  <c r="C75" i="56"/>
  <c r="D75" i="56"/>
  <c r="E75" i="56"/>
  <c r="F75" i="56"/>
  <c r="G75" i="56"/>
  <c r="H75" i="56"/>
  <c r="I75" i="56"/>
  <c r="J75" i="56"/>
  <c r="K75" i="56"/>
  <c r="L75" i="56"/>
  <c r="M75" i="56"/>
  <c r="N75" i="56"/>
  <c r="O75" i="56"/>
  <c r="P75" i="56"/>
  <c r="Q75" i="56"/>
  <c r="C76" i="56"/>
  <c r="D76" i="56"/>
  <c r="E76" i="56"/>
  <c r="F76" i="56"/>
  <c r="G76" i="56"/>
  <c r="H76" i="56"/>
  <c r="I76" i="56"/>
  <c r="J76" i="56"/>
  <c r="K76" i="56"/>
  <c r="L76" i="56"/>
  <c r="M76" i="56"/>
  <c r="N76" i="56"/>
  <c r="O76" i="56"/>
  <c r="P76" i="56"/>
  <c r="Q76" i="56"/>
  <c r="C77" i="56"/>
  <c r="D77" i="56"/>
  <c r="E77" i="56"/>
  <c r="F77" i="56"/>
  <c r="G77" i="56"/>
  <c r="H77" i="56"/>
  <c r="I77" i="56"/>
  <c r="J77" i="56"/>
  <c r="K77" i="56"/>
  <c r="L77" i="56"/>
  <c r="M77" i="56"/>
  <c r="N77" i="56"/>
  <c r="O77" i="56"/>
  <c r="P77" i="56"/>
  <c r="Q77" i="56"/>
  <c r="C78" i="56"/>
  <c r="D78" i="56"/>
  <c r="E78" i="56"/>
  <c r="F78" i="56"/>
  <c r="G78" i="56"/>
  <c r="H78" i="56"/>
  <c r="I78" i="56"/>
  <c r="J78" i="56"/>
  <c r="K78" i="56"/>
  <c r="L78" i="56"/>
  <c r="M78" i="56"/>
  <c r="N78" i="56"/>
  <c r="O78" i="56"/>
  <c r="P78" i="56"/>
  <c r="Q78" i="56"/>
  <c r="D56" i="56"/>
  <c r="E56" i="56"/>
  <c r="F56" i="56"/>
  <c r="G56" i="56"/>
  <c r="H56" i="56"/>
  <c r="I56" i="56"/>
  <c r="J56" i="56"/>
  <c r="K56" i="56"/>
  <c r="L56" i="56"/>
  <c r="M56" i="56"/>
  <c r="N56" i="56"/>
  <c r="O56" i="56"/>
  <c r="P56" i="56"/>
  <c r="Q56" i="56"/>
  <c r="C56" i="56"/>
  <c r="C31" i="56"/>
  <c r="D31" i="56"/>
  <c r="E31" i="56"/>
  <c r="F31" i="56"/>
  <c r="G31" i="56"/>
  <c r="H31" i="56"/>
  <c r="I31" i="56"/>
  <c r="J31" i="56"/>
  <c r="K31" i="56"/>
  <c r="L31" i="56"/>
  <c r="M31" i="56"/>
  <c r="N31" i="56"/>
  <c r="O31" i="56"/>
  <c r="P31" i="56"/>
  <c r="Q31" i="56"/>
  <c r="C32" i="56"/>
  <c r="D32" i="56"/>
  <c r="E32" i="56"/>
  <c r="F32" i="56"/>
  <c r="G32" i="56"/>
  <c r="H32" i="56"/>
  <c r="I32" i="56"/>
  <c r="J32" i="56"/>
  <c r="K32" i="56"/>
  <c r="L32" i="56"/>
  <c r="M32" i="56"/>
  <c r="N32" i="56"/>
  <c r="O32" i="56"/>
  <c r="P32" i="56"/>
  <c r="Q32" i="56"/>
  <c r="C33" i="56"/>
  <c r="D33" i="56"/>
  <c r="E33" i="56"/>
  <c r="F33" i="56"/>
  <c r="G33" i="56"/>
  <c r="H33" i="56"/>
  <c r="I33" i="56"/>
  <c r="J33" i="56"/>
  <c r="K33" i="56"/>
  <c r="L33" i="56"/>
  <c r="M33" i="56"/>
  <c r="N33" i="56"/>
  <c r="O33" i="56"/>
  <c r="P33" i="56"/>
  <c r="Q33" i="56"/>
  <c r="C34" i="56"/>
  <c r="D34" i="56"/>
  <c r="E34" i="56"/>
  <c r="F34" i="56"/>
  <c r="G34" i="56"/>
  <c r="H34" i="56"/>
  <c r="I34" i="56"/>
  <c r="J34" i="56"/>
  <c r="K34" i="56"/>
  <c r="L34" i="56"/>
  <c r="M34" i="56"/>
  <c r="N34" i="56"/>
  <c r="O34" i="56"/>
  <c r="P34" i="56"/>
  <c r="Q34" i="56"/>
  <c r="C35" i="56"/>
  <c r="D35" i="56"/>
  <c r="E35" i="56"/>
  <c r="F35" i="56"/>
  <c r="G35" i="56"/>
  <c r="H35" i="56"/>
  <c r="I35" i="56"/>
  <c r="J35" i="56"/>
  <c r="K35" i="56"/>
  <c r="L35" i="56"/>
  <c r="M35" i="56"/>
  <c r="N35" i="56"/>
  <c r="O35" i="56"/>
  <c r="P35" i="56"/>
  <c r="Q35" i="56"/>
  <c r="C38" i="56"/>
  <c r="D38" i="56"/>
  <c r="E38" i="56"/>
  <c r="F38" i="56"/>
  <c r="G38" i="56"/>
  <c r="H38" i="56"/>
  <c r="I38" i="56"/>
  <c r="J38" i="56"/>
  <c r="K38" i="56"/>
  <c r="L38" i="56"/>
  <c r="M38" i="56"/>
  <c r="N38" i="56"/>
  <c r="O38" i="56"/>
  <c r="P38" i="56"/>
  <c r="Q38" i="56"/>
  <c r="C39" i="56"/>
  <c r="D39" i="56"/>
  <c r="E39" i="56"/>
  <c r="F39" i="56"/>
  <c r="G39" i="56"/>
  <c r="H39" i="56"/>
  <c r="I39" i="56"/>
  <c r="J39" i="56"/>
  <c r="K39" i="56"/>
  <c r="L39" i="56"/>
  <c r="M39" i="56"/>
  <c r="N39" i="56"/>
  <c r="O39" i="56"/>
  <c r="P39" i="56"/>
  <c r="Q39" i="56"/>
  <c r="C40" i="56"/>
  <c r="D40" i="56"/>
  <c r="E40" i="56"/>
  <c r="F40" i="56"/>
  <c r="G40" i="56"/>
  <c r="H40" i="56"/>
  <c r="I40" i="56"/>
  <c r="J40" i="56"/>
  <c r="K40" i="56"/>
  <c r="L40" i="56"/>
  <c r="M40" i="56"/>
  <c r="N40" i="56"/>
  <c r="O40" i="56"/>
  <c r="P40" i="56"/>
  <c r="Q40" i="56"/>
  <c r="C41" i="56"/>
  <c r="D41" i="56"/>
  <c r="E41" i="56"/>
  <c r="F41" i="56"/>
  <c r="G41" i="56"/>
  <c r="H41" i="56"/>
  <c r="I41" i="56"/>
  <c r="J41" i="56"/>
  <c r="K41" i="56"/>
  <c r="L41" i="56"/>
  <c r="M41" i="56"/>
  <c r="N41" i="56"/>
  <c r="O41" i="56"/>
  <c r="P41" i="56"/>
  <c r="Q41" i="56"/>
  <c r="C42" i="56"/>
  <c r="D42" i="56"/>
  <c r="E42" i="56"/>
  <c r="F42" i="56"/>
  <c r="G42" i="56"/>
  <c r="H42" i="56"/>
  <c r="I42" i="56"/>
  <c r="J42" i="56"/>
  <c r="K42" i="56"/>
  <c r="L42" i="56"/>
  <c r="M42" i="56"/>
  <c r="N42" i="56"/>
  <c r="O42" i="56"/>
  <c r="P42" i="56"/>
  <c r="Q42" i="56"/>
  <c r="C43" i="56"/>
  <c r="D43" i="56"/>
  <c r="E43" i="56"/>
  <c r="F43" i="56"/>
  <c r="G43" i="56"/>
  <c r="H43" i="56"/>
  <c r="I43" i="56"/>
  <c r="J43" i="56"/>
  <c r="K43" i="56"/>
  <c r="L43" i="56"/>
  <c r="M43" i="56"/>
  <c r="N43" i="56"/>
  <c r="O43" i="56"/>
  <c r="P43" i="56"/>
  <c r="Q43" i="56"/>
  <c r="C44" i="56"/>
  <c r="D44" i="56"/>
  <c r="E44" i="56"/>
  <c r="F44" i="56"/>
  <c r="G44" i="56"/>
  <c r="H44" i="56"/>
  <c r="I44" i="56"/>
  <c r="J44" i="56"/>
  <c r="K44" i="56"/>
  <c r="L44" i="56"/>
  <c r="M44" i="56"/>
  <c r="N44" i="56"/>
  <c r="O44" i="56"/>
  <c r="P44" i="56"/>
  <c r="Q44" i="56"/>
  <c r="C45" i="56"/>
  <c r="D45" i="56"/>
  <c r="E45" i="56"/>
  <c r="F45" i="56"/>
  <c r="G45" i="56"/>
  <c r="H45" i="56"/>
  <c r="I45" i="56"/>
  <c r="J45" i="56"/>
  <c r="K45" i="56"/>
  <c r="L45" i="56"/>
  <c r="M45" i="56"/>
  <c r="N45" i="56"/>
  <c r="O45" i="56"/>
  <c r="P45" i="56"/>
  <c r="Q45" i="56"/>
  <c r="C46" i="56"/>
  <c r="D46" i="56"/>
  <c r="E46" i="56"/>
  <c r="F46" i="56"/>
  <c r="G46" i="56"/>
  <c r="H46" i="56"/>
  <c r="I46" i="56"/>
  <c r="J46" i="56"/>
  <c r="K46" i="56"/>
  <c r="L46" i="56"/>
  <c r="M46" i="56"/>
  <c r="N46" i="56"/>
  <c r="O46" i="56"/>
  <c r="P46" i="56"/>
  <c r="Q46" i="56"/>
  <c r="C47" i="56"/>
  <c r="D47" i="56"/>
  <c r="E47" i="56"/>
  <c r="F47" i="56"/>
  <c r="G47" i="56"/>
  <c r="H47" i="56"/>
  <c r="I47" i="56"/>
  <c r="J47" i="56"/>
  <c r="K47" i="56"/>
  <c r="L47" i="56"/>
  <c r="M47" i="56"/>
  <c r="N47" i="56"/>
  <c r="O47" i="56"/>
  <c r="P47" i="56"/>
  <c r="Q47" i="56"/>
  <c r="C48" i="56"/>
  <c r="D48" i="56"/>
  <c r="E48" i="56"/>
  <c r="F48" i="56"/>
  <c r="G48" i="56"/>
  <c r="H48" i="56"/>
  <c r="I48" i="56"/>
  <c r="J48" i="56"/>
  <c r="K48" i="56"/>
  <c r="L48" i="56"/>
  <c r="M48" i="56"/>
  <c r="N48" i="56"/>
  <c r="O48" i="56"/>
  <c r="P48" i="56"/>
  <c r="Q48" i="56"/>
  <c r="C49" i="56"/>
  <c r="D49" i="56"/>
  <c r="E49" i="56"/>
  <c r="F49" i="56"/>
  <c r="G49" i="56"/>
  <c r="H49" i="56"/>
  <c r="I49" i="56"/>
  <c r="J49" i="56"/>
  <c r="K49" i="56"/>
  <c r="L49" i="56"/>
  <c r="M49" i="56"/>
  <c r="N49" i="56"/>
  <c r="O49" i="56"/>
  <c r="P49" i="56"/>
  <c r="Q49" i="56"/>
  <c r="C50" i="56"/>
  <c r="D50" i="56"/>
  <c r="E50" i="56"/>
  <c r="F50" i="56"/>
  <c r="G50" i="56"/>
  <c r="H50" i="56"/>
  <c r="I50" i="56"/>
  <c r="J50" i="56"/>
  <c r="K50" i="56"/>
  <c r="L50" i="56"/>
  <c r="M50" i="56"/>
  <c r="N50" i="56"/>
  <c r="O50" i="56"/>
  <c r="P50" i="56"/>
  <c r="Q50" i="56"/>
  <c r="C51" i="56"/>
  <c r="D51" i="56"/>
  <c r="E51" i="56"/>
  <c r="F51" i="56"/>
  <c r="G51" i="56"/>
  <c r="H51" i="56"/>
  <c r="I51" i="56"/>
  <c r="J51" i="56"/>
  <c r="K51" i="56"/>
  <c r="L51" i="56"/>
  <c r="M51" i="56"/>
  <c r="N51" i="56"/>
  <c r="O51" i="56"/>
  <c r="P51" i="56"/>
  <c r="Q51" i="56"/>
  <c r="C52" i="56"/>
  <c r="D52" i="56"/>
  <c r="E52" i="56"/>
  <c r="F52" i="56"/>
  <c r="G52" i="56"/>
  <c r="H52" i="56"/>
  <c r="I52" i="56"/>
  <c r="J52" i="56"/>
  <c r="K52" i="56"/>
  <c r="L52" i="56"/>
  <c r="M52" i="56"/>
  <c r="N52" i="56"/>
  <c r="O52" i="56"/>
  <c r="P52" i="56"/>
  <c r="Q52" i="56"/>
  <c r="D30" i="56"/>
  <c r="E30" i="56"/>
  <c r="F30" i="56"/>
  <c r="G30" i="56"/>
  <c r="H30" i="56"/>
  <c r="I30" i="56"/>
  <c r="J30" i="56"/>
  <c r="K30" i="56"/>
  <c r="L30" i="56"/>
  <c r="M30" i="56"/>
  <c r="N30" i="56"/>
  <c r="O30" i="56"/>
  <c r="P30" i="56"/>
  <c r="Q30" i="56"/>
  <c r="C30" i="56"/>
  <c r="C25" i="56"/>
  <c r="D25" i="56"/>
  <c r="E25" i="56"/>
  <c r="F25" i="56"/>
  <c r="G25" i="56"/>
  <c r="H25" i="56"/>
  <c r="I25" i="56"/>
  <c r="J25" i="56"/>
  <c r="K25" i="56"/>
  <c r="L25" i="56"/>
  <c r="M25" i="56"/>
  <c r="N25" i="56"/>
  <c r="O25" i="56"/>
  <c r="P25" i="56"/>
  <c r="Q25" i="56"/>
  <c r="C26" i="56"/>
  <c r="D26" i="56"/>
  <c r="E26" i="56"/>
  <c r="F26" i="56"/>
  <c r="G26" i="56"/>
  <c r="H26" i="56"/>
  <c r="I26" i="56"/>
  <c r="J26" i="56"/>
  <c r="K26" i="56"/>
  <c r="L26" i="56"/>
  <c r="M26" i="56"/>
  <c r="N26" i="56"/>
  <c r="O26" i="56"/>
  <c r="P26" i="56"/>
  <c r="Q26" i="56"/>
  <c r="C6" i="56"/>
  <c r="D6" i="56"/>
  <c r="E6" i="56"/>
  <c r="F6" i="56"/>
  <c r="G6" i="56"/>
  <c r="H6" i="56"/>
  <c r="I6" i="56"/>
  <c r="J6" i="56"/>
  <c r="K6" i="56"/>
  <c r="L6" i="56"/>
  <c r="M6" i="56"/>
  <c r="N6" i="56"/>
  <c r="O6" i="56"/>
  <c r="P6" i="56"/>
  <c r="Q6" i="56"/>
  <c r="C7" i="56"/>
  <c r="D7" i="56"/>
  <c r="E7" i="56"/>
  <c r="F7" i="56"/>
  <c r="G7" i="56"/>
  <c r="H7" i="56"/>
  <c r="I7" i="56"/>
  <c r="J7" i="56"/>
  <c r="K7" i="56"/>
  <c r="L7" i="56"/>
  <c r="M7" i="56"/>
  <c r="N7" i="56"/>
  <c r="O7" i="56"/>
  <c r="P7" i="56"/>
  <c r="Q7" i="56"/>
  <c r="C8" i="56"/>
  <c r="D8" i="56"/>
  <c r="E8" i="56"/>
  <c r="F8" i="56"/>
  <c r="G8" i="56"/>
  <c r="H8" i="56"/>
  <c r="I8" i="56"/>
  <c r="J8" i="56"/>
  <c r="K8" i="56"/>
  <c r="L8" i="56"/>
  <c r="M8" i="56"/>
  <c r="N8" i="56"/>
  <c r="O8" i="56"/>
  <c r="P8" i="56"/>
  <c r="Q8" i="56"/>
  <c r="C9" i="56"/>
  <c r="D9" i="56"/>
  <c r="E9" i="56"/>
  <c r="F9" i="56"/>
  <c r="G9" i="56"/>
  <c r="H9" i="56"/>
  <c r="I9" i="56"/>
  <c r="J9" i="56"/>
  <c r="K9" i="56"/>
  <c r="L9" i="56"/>
  <c r="M9" i="56"/>
  <c r="N9" i="56"/>
  <c r="O9" i="56"/>
  <c r="P9" i="56"/>
  <c r="Q9" i="56"/>
  <c r="C10" i="56"/>
  <c r="D10" i="56"/>
  <c r="E10" i="56"/>
  <c r="F10" i="56"/>
  <c r="G10" i="56"/>
  <c r="H10" i="56"/>
  <c r="I10" i="56"/>
  <c r="J10" i="56"/>
  <c r="K10" i="56"/>
  <c r="L10" i="56"/>
  <c r="M10" i="56"/>
  <c r="N10" i="56"/>
  <c r="O10" i="56"/>
  <c r="P10" i="56"/>
  <c r="Q10" i="56"/>
  <c r="C11" i="56"/>
  <c r="D11" i="56"/>
  <c r="E11" i="56"/>
  <c r="F11" i="56"/>
  <c r="G11" i="56"/>
  <c r="H11" i="56"/>
  <c r="I11" i="56"/>
  <c r="J11" i="56"/>
  <c r="K11" i="56"/>
  <c r="L11" i="56"/>
  <c r="M11" i="56"/>
  <c r="N11" i="56"/>
  <c r="O11" i="56"/>
  <c r="P11" i="56"/>
  <c r="Q11" i="56"/>
  <c r="C12" i="56"/>
  <c r="D12" i="56"/>
  <c r="E12" i="56"/>
  <c r="F12" i="56"/>
  <c r="G12" i="56"/>
  <c r="H12" i="56"/>
  <c r="I12" i="56"/>
  <c r="J12" i="56"/>
  <c r="K12" i="56"/>
  <c r="L12" i="56"/>
  <c r="M12" i="56"/>
  <c r="N12" i="56"/>
  <c r="O12" i="56"/>
  <c r="P12" i="56"/>
  <c r="Q12" i="56"/>
  <c r="C13" i="56"/>
  <c r="D13" i="56"/>
  <c r="E13" i="56"/>
  <c r="F13" i="56"/>
  <c r="G13" i="56"/>
  <c r="H13" i="56"/>
  <c r="I13" i="56"/>
  <c r="J13" i="56"/>
  <c r="K13" i="56"/>
  <c r="L13" i="56"/>
  <c r="M13" i="56"/>
  <c r="N13" i="56"/>
  <c r="O13" i="56"/>
  <c r="P13" i="56"/>
  <c r="Q13" i="56"/>
  <c r="C14" i="56"/>
  <c r="D14" i="56"/>
  <c r="E14" i="56"/>
  <c r="F14" i="56"/>
  <c r="G14" i="56"/>
  <c r="H14" i="56"/>
  <c r="I14" i="56"/>
  <c r="J14" i="56"/>
  <c r="K14" i="56"/>
  <c r="L14" i="56"/>
  <c r="M14" i="56"/>
  <c r="N14" i="56"/>
  <c r="O14" i="56"/>
  <c r="P14" i="56"/>
  <c r="Q14" i="56"/>
  <c r="C15" i="56"/>
  <c r="D15" i="56"/>
  <c r="E15" i="56"/>
  <c r="F15" i="56"/>
  <c r="G15" i="56"/>
  <c r="H15" i="56"/>
  <c r="I15" i="56"/>
  <c r="J15" i="56"/>
  <c r="K15" i="56"/>
  <c r="L15" i="56"/>
  <c r="M15" i="56"/>
  <c r="N15" i="56"/>
  <c r="O15" i="56"/>
  <c r="P15" i="56"/>
  <c r="Q15" i="56"/>
  <c r="C16" i="56"/>
  <c r="D16" i="56"/>
  <c r="E16" i="56"/>
  <c r="F16" i="56"/>
  <c r="G16" i="56"/>
  <c r="H16" i="56"/>
  <c r="I16" i="56"/>
  <c r="J16" i="56"/>
  <c r="K16" i="56"/>
  <c r="L16" i="56"/>
  <c r="M16" i="56"/>
  <c r="N16" i="56"/>
  <c r="O16" i="56"/>
  <c r="P16" i="56"/>
  <c r="Q16" i="56"/>
  <c r="C17" i="56"/>
  <c r="D17" i="56"/>
  <c r="E17" i="56"/>
  <c r="F17" i="56"/>
  <c r="G17" i="56"/>
  <c r="H17" i="56"/>
  <c r="I17" i="56"/>
  <c r="J17" i="56"/>
  <c r="K17" i="56"/>
  <c r="L17" i="56"/>
  <c r="M17" i="56"/>
  <c r="N17" i="56"/>
  <c r="O17" i="56"/>
  <c r="P17" i="56"/>
  <c r="Q17" i="56"/>
  <c r="C18" i="56"/>
  <c r="D18" i="56"/>
  <c r="E18" i="56"/>
  <c r="F18" i="56"/>
  <c r="G18" i="56"/>
  <c r="H18" i="56"/>
  <c r="I18" i="56"/>
  <c r="J18" i="56"/>
  <c r="K18" i="56"/>
  <c r="L18" i="56"/>
  <c r="M18" i="56"/>
  <c r="N18" i="56"/>
  <c r="O18" i="56"/>
  <c r="P18" i="56"/>
  <c r="Q18" i="56"/>
  <c r="C19" i="56"/>
  <c r="D19" i="56"/>
  <c r="E19" i="56"/>
  <c r="F19" i="56"/>
  <c r="G19" i="56"/>
  <c r="H19" i="56"/>
  <c r="I19" i="56"/>
  <c r="J19" i="56"/>
  <c r="K19" i="56"/>
  <c r="L19" i="56"/>
  <c r="M19" i="56"/>
  <c r="N19" i="56"/>
  <c r="O19" i="56"/>
  <c r="P19" i="56"/>
  <c r="Q19" i="56"/>
  <c r="D5" i="56"/>
  <c r="E5" i="56"/>
  <c r="F5" i="56"/>
  <c r="G5" i="56"/>
  <c r="H5" i="56"/>
  <c r="I5" i="56"/>
  <c r="J5" i="56"/>
  <c r="K5" i="56"/>
  <c r="L5" i="56"/>
  <c r="M5" i="56"/>
  <c r="N5" i="56"/>
  <c r="O5" i="56"/>
  <c r="P5" i="56"/>
  <c r="Q5" i="56"/>
  <c r="C5" i="56"/>
  <c r="E159" i="57" l="1"/>
  <c r="E160" i="57"/>
  <c r="M185" i="58"/>
  <c r="M186" i="58"/>
  <c r="O159" i="57"/>
  <c r="O160" i="57"/>
  <c r="K159" i="57"/>
  <c r="K160" i="57"/>
  <c r="G159" i="57"/>
  <c r="G160" i="57"/>
  <c r="O186" i="58"/>
  <c r="O185" i="58"/>
  <c r="K186" i="58"/>
  <c r="K185" i="58"/>
  <c r="G185" i="58"/>
  <c r="G186" i="58"/>
  <c r="M159" i="57"/>
  <c r="M160" i="57"/>
  <c r="I159" i="57"/>
  <c r="I160" i="57"/>
  <c r="Q185" i="58"/>
  <c r="Q186" i="58"/>
  <c r="I185" i="58"/>
  <c r="I186" i="58"/>
  <c r="N159" i="57"/>
  <c r="N160" i="57"/>
  <c r="J160" i="57"/>
  <c r="J159" i="57"/>
  <c r="F160" i="57"/>
  <c r="F159" i="57"/>
  <c r="N185" i="58"/>
  <c r="N186" i="58"/>
  <c r="J185" i="58"/>
  <c r="J186" i="58"/>
  <c r="F185" i="58"/>
  <c r="F186" i="58"/>
  <c r="Q160" i="57"/>
  <c r="Q159" i="57"/>
  <c r="E185" i="58"/>
  <c r="E186" i="58"/>
  <c r="P160" i="57"/>
  <c r="P159" i="57"/>
  <c r="L159" i="57"/>
  <c r="L160" i="57"/>
  <c r="H159" i="57"/>
  <c r="H160" i="57"/>
  <c r="D159" i="57"/>
  <c r="D160" i="57"/>
  <c r="P185" i="58"/>
  <c r="P186" i="58"/>
  <c r="L186" i="58"/>
  <c r="L185" i="58"/>
  <c r="H186" i="58"/>
  <c r="H185" i="58"/>
  <c r="D185" i="58"/>
  <c r="D186" i="58"/>
  <c r="C185" i="58"/>
  <c r="C186" i="58"/>
  <c r="C160" i="57"/>
  <c r="C159" i="57"/>
  <c r="C121" i="56"/>
  <c r="C120" i="56"/>
  <c r="N121" i="56"/>
  <c r="N120" i="56"/>
  <c r="J121" i="56"/>
  <c r="J120" i="56"/>
  <c r="F121" i="56"/>
  <c r="F120" i="56"/>
  <c r="Q120" i="56"/>
  <c r="Q121" i="56"/>
  <c r="M120" i="56"/>
  <c r="M121" i="56"/>
  <c r="I120" i="56"/>
  <c r="I121" i="56"/>
  <c r="E120" i="56"/>
  <c r="E121" i="56"/>
  <c r="P120" i="56"/>
  <c r="P121" i="56"/>
  <c r="L120" i="56"/>
  <c r="L121" i="56"/>
  <c r="H120" i="56"/>
  <c r="H121" i="56"/>
  <c r="D120" i="56"/>
  <c r="D121" i="56"/>
  <c r="O120" i="56"/>
  <c r="O121" i="56"/>
  <c r="K120" i="56"/>
  <c r="K121" i="56"/>
  <c r="G120" i="56"/>
  <c r="G121" i="56"/>
  <c r="D119" i="26" l="1"/>
  <c r="E119" i="26"/>
  <c r="F119" i="26"/>
  <c r="G119" i="26"/>
  <c r="H119" i="26"/>
  <c r="I119" i="26"/>
  <c r="J119" i="26"/>
  <c r="K119" i="26"/>
  <c r="L119" i="26"/>
  <c r="M119" i="26"/>
  <c r="N119" i="26"/>
  <c r="O119" i="26"/>
  <c r="P119" i="26"/>
  <c r="Q119" i="26"/>
  <c r="C119" i="26"/>
  <c r="Q105" i="26" l="1"/>
  <c r="P105" i="26"/>
  <c r="O105" i="26"/>
  <c r="N105" i="26"/>
  <c r="M105" i="26"/>
  <c r="L105" i="26"/>
  <c r="K105" i="26"/>
  <c r="J105" i="26"/>
  <c r="I105" i="26"/>
  <c r="H105" i="26"/>
  <c r="G105" i="26"/>
  <c r="F105" i="26"/>
  <c r="E105" i="26"/>
  <c r="D105" i="26"/>
  <c r="C105" i="26"/>
  <c r="Q104" i="26"/>
  <c r="P104" i="26"/>
  <c r="O104" i="26"/>
  <c r="N104" i="26"/>
  <c r="M104" i="26"/>
  <c r="L104" i="26"/>
  <c r="K104" i="26"/>
  <c r="J104" i="26"/>
  <c r="I104" i="26"/>
  <c r="H104" i="26"/>
  <c r="G104" i="26"/>
  <c r="F104" i="26"/>
  <c r="E104" i="26"/>
  <c r="D104" i="26"/>
  <c r="C104" i="26"/>
  <c r="Q103" i="26"/>
  <c r="P103" i="26"/>
  <c r="O103" i="26"/>
  <c r="N103" i="26"/>
  <c r="M103" i="26"/>
  <c r="L103" i="26"/>
  <c r="K103" i="26"/>
  <c r="J103" i="26"/>
  <c r="I103" i="26"/>
  <c r="H103" i="26"/>
  <c r="G103" i="26"/>
  <c r="F103" i="26"/>
  <c r="E103" i="26"/>
  <c r="D103" i="26"/>
  <c r="C103" i="26"/>
  <c r="P102" i="26"/>
  <c r="M102" i="26"/>
  <c r="L102" i="26"/>
  <c r="J102" i="26"/>
  <c r="I102" i="26"/>
  <c r="H102" i="26"/>
  <c r="F102" i="26"/>
  <c r="E102" i="26"/>
  <c r="D102" i="26"/>
  <c r="C102" i="26"/>
  <c r="Q91" i="26"/>
  <c r="P91" i="26"/>
  <c r="O91" i="26"/>
  <c r="N91" i="26"/>
  <c r="M91" i="26"/>
  <c r="L91" i="26"/>
  <c r="K91" i="26"/>
  <c r="J91" i="26"/>
  <c r="I91" i="26"/>
  <c r="H91" i="26"/>
  <c r="G91" i="26"/>
  <c r="F91" i="26"/>
  <c r="E91" i="26"/>
  <c r="D91" i="26"/>
  <c r="C91" i="26"/>
  <c r="Q76" i="26"/>
  <c r="P76" i="26"/>
  <c r="O76" i="26"/>
  <c r="N76" i="26"/>
  <c r="M76" i="26"/>
  <c r="L76" i="26"/>
  <c r="K76" i="26"/>
  <c r="J76" i="26"/>
  <c r="I76" i="26"/>
  <c r="H76" i="26"/>
  <c r="G76" i="26"/>
  <c r="F76" i="26"/>
  <c r="E76" i="26"/>
  <c r="D76" i="26"/>
  <c r="C76" i="26"/>
  <c r="Q75" i="26"/>
  <c r="P75" i="26"/>
  <c r="O75" i="26"/>
  <c r="N75" i="26"/>
  <c r="M75" i="26"/>
  <c r="L75" i="26"/>
  <c r="K75" i="26"/>
  <c r="J75" i="26"/>
  <c r="I75" i="26"/>
  <c r="H75" i="26"/>
  <c r="G75" i="26"/>
  <c r="F75" i="26"/>
  <c r="E75" i="26"/>
  <c r="D75" i="26"/>
  <c r="C75" i="26"/>
  <c r="Q74" i="26"/>
  <c r="P74" i="26"/>
  <c r="O74" i="26"/>
  <c r="N74" i="26"/>
  <c r="M74" i="26"/>
  <c r="L74" i="26"/>
  <c r="K74" i="26"/>
  <c r="J74" i="26"/>
  <c r="I74" i="26"/>
  <c r="H74" i="26"/>
  <c r="G74" i="26"/>
  <c r="F74" i="26"/>
  <c r="E74" i="26"/>
  <c r="D74" i="26"/>
  <c r="C74" i="26"/>
  <c r="Q73" i="26"/>
  <c r="P73" i="26"/>
  <c r="O73" i="26"/>
  <c r="N73" i="26"/>
  <c r="M73" i="26"/>
  <c r="L73" i="26"/>
  <c r="K73" i="26"/>
  <c r="J73" i="26"/>
  <c r="I73" i="26"/>
  <c r="H73" i="26"/>
  <c r="G73" i="26"/>
  <c r="F73" i="26"/>
  <c r="E73" i="26"/>
  <c r="D73" i="26"/>
  <c r="C73" i="26"/>
  <c r="Q72" i="26"/>
  <c r="P72" i="26"/>
  <c r="O72" i="26"/>
  <c r="N72" i="26"/>
  <c r="M72" i="26"/>
  <c r="L72" i="26"/>
  <c r="K72" i="26"/>
  <c r="J72" i="26"/>
  <c r="I72" i="26"/>
  <c r="H72" i="26"/>
  <c r="G72" i="26"/>
  <c r="F72" i="26"/>
  <c r="E72" i="26"/>
  <c r="D72" i="26"/>
  <c r="C72" i="26"/>
  <c r="Q71" i="26"/>
  <c r="P71" i="26"/>
  <c r="O71" i="26"/>
  <c r="N71" i="26"/>
  <c r="M71" i="26"/>
  <c r="L71" i="26"/>
  <c r="K71" i="26"/>
  <c r="J71" i="26"/>
  <c r="I71" i="26"/>
  <c r="H71" i="26"/>
  <c r="G71" i="26"/>
  <c r="F71" i="26"/>
  <c r="E71" i="26"/>
  <c r="D71" i="26"/>
  <c r="C71" i="26"/>
  <c r="Q70" i="26"/>
  <c r="P70" i="26"/>
  <c r="O70" i="26"/>
  <c r="N70" i="26"/>
  <c r="M70" i="26"/>
  <c r="L70" i="26"/>
  <c r="K70" i="26"/>
  <c r="J70" i="26"/>
  <c r="I70" i="26"/>
  <c r="H70" i="26"/>
  <c r="G70" i="26"/>
  <c r="F70" i="26"/>
  <c r="E70" i="26"/>
  <c r="D70" i="26"/>
  <c r="C70" i="26"/>
  <c r="Q69" i="26"/>
  <c r="P69" i="26"/>
  <c r="O69" i="26"/>
  <c r="N69" i="26"/>
  <c r="M69" i="26"/>
  <c r="L69" i="26"/>
  <c r="K69" i="26"/>
  <c r="J69" i="26"/>
  <c r="I69" i="26"/>
  <c r="H69" i="26"/>
  <c r="G69" i="26"/>
  <c r="F69" i="26"/>
  <c r="E69" i="26"/>
  <c r="D69" i="26"/>
  <c r="C69" i="26"/>
  <c r="Q68" i="26"/>
  <c r="P68" i="26"/>
  <c r="O68" i="26"/>
  <c r="N68" i="26"/>
  <c r="M68" i="26"/>
  <c r="L68" i="26"/>
  <c r="K68" i="26"/>
  <c r="J68" i="26"/>
  <c r="I68" i="26"/>
  <c r="H68" i="26"/>
  <c r="G68" i="26"/>
  <c r="F68" i="26"/>
  <c r="E68" i="26"/>
  <c r="D68" i="26"/>
  <c r="C68" i="26"/>
  <c r="Q63" i="26"/>
  <c r="O63" i="26"/>
  <c r="N63" i="26"/>
  <c r="M63" i="26"/>
  <c r="L63" i="26"/>
  <c r="K63" i="26"/>
  <c r="J63" i="26"/>
  <c r="I63" i="26"/>
  <c r="H63" i="26"/>
  <c r="G63" i="26"/>
  <c r="F63" i="26"/>
  <c r="E63" i="26"/>
  <c r="D63" i="26"/>
  <c r="C63" i="26"/>
  <c r="O62" i="26"/>
  <c r="N62" i="26"/>
  <c r="M62" i="26"/>
  <c r="L62" i="26"/>
  <c r="K62" i="26"/>
  <c r="J62" i="26"/>
  <c r="I62" i="26"/>
  <c r="H62" i="26"/>
  <c r="G62" i="26"/>
  <c r="F62" i="26"/>
  <c r="E62" i="26"/>
  <c r="D62" i="26"/>
  <c r="C62" i="26"/>
  <c r="Q61" i="26"/>
  <c r="O61" i="26"/>
  <c r="N61" i="26"/>
  <c r="M61" i="26"/>
  <c r="L61" i="26"/>
  <c r="K61" i="26"/>
  <c r="J61" i="26"/>
  <c r="I61" i="26"/>
  <c r="H61" i="26"/>
  <c r="G61" i="26"/>
  <c r="F61" i="26"/>
  <c r="E61" i="26"/>
  <c r="D61" i="26"/>
  <c r="C61" i="26"/>
  <c r="Q60" i="26"/>
  <c r="O60" i="26"/>
  <c r="N60" i="26"/>
  <c r="M60" i="26"/>
  <c r="L60" i="26"/>
  <c r="K60" i="26"/>
  <c r="J60" i="26"/>
  <c r="I60" i="26"/>
  <c r="H60" i="26"/>
  <c r="G60" i="26"/>
  <c r="F60" i="26"/>
  <c r="E60" i="26"/>
  <c r="D60" i="26"/>
  <c r="C60" i="26"/>
  <c r="O59" i="26"/>
  <c r="N59" i="26"/>
  <c r="M59" i="26"/>
  <c r="L59" i="26"/>
  <c r="K59" i="26"/>
  <c r="J59" i="26"/>
  <c r="I59" i="26"/>
  <c r="H59" i="26"/>
  <c r="G59" i="26"/>
  <c r="F59" i="26"/>
  <c r="E59" i="26"/>
  <c r="D59" i="26"/>
  <c r="C59" i="26"/>
  <c r="Q58" i="26"/>
  <c r="O58" i="26"/>
  <c r="N58" i="26"/>
  <c r="M58" i="26"/>
  <c r="L58" i="26"/>
  <c r="K58" i="26"/>
  <c r="J58" i="26"/>
  <c r="I58" i="26"/>
  <c r="H58" i="26"/>
  <c r="G58" i="26"/>
  <c r="F58" i="26"/>
  <c r="E58" i="26"/>
  <c r="D58" i="26"/>
  <c r="C58" i="26"/>
  <c r="Q57" i="26"/>
  <c r="P57" i="26"/>
  <c r="O57" i="26"/>
  <c r="N57" i="26"/>
  <c r="M57" i="26"/>
  <c r="L57" i="26"/>
  <c r="K57" i="26"/>
  <c r="J57" i="26"/>
  <c r="I57" i="26"/>
  <c r="H57" i="26"/>
  <c r="G57" i="26"/>
  <c r="F57" i="26"/>
  <c r="E57" i="26"/>
  <c r="D57" i="26"/>
  <c r="C57" i="26"/>
  <c r="O56" i="26"/>
  <c r="N56" i="26"/>
  <c r="M56" i="26"/>
  <c r="L56" i="26"/>
  <c r="K56" i="26"/>
  <c r="J56" i="26"/>
  <c r="I56" i="26"/>
  <c r="H56" i="26"/>
  <c r="G56" i="26"/>
  <c r="F56" i="26"/>
  <c r="E56" i="26"/>
  <c r="D56" i="26"/>
  <c r="C56" i="26"/>
  <c r="Q55" i="26"/>
  <c r="P55" i="26"/>
  <c r="O55" i="26"/>
  <c r="N55" i="26"/>
  <c r="M55" i="26"/>
  <c r="L55" i="26"/>
  <c r="K55" i="26"/>
  <c r="J55" i="26"/>
  <c r="I55" i="26"/>
  <c r="H55" i="26"/>
  <c r="G55" i="26"/>
  <c r="F55" i="26"/>
  <c r="E55" i="26"/>
  <c r="D55" i="26"/>
  <c r="C55" i="26"/>
  <c r="Q53" i="26"/>
  <c r="P53" i="26"/>
  <c r="O53" i="26"/>
  <c r="N53" i="26"/>
  <c r="M53" i="26"/>
  <c r="L53" i="26"/>
  <c r="K53" i="26"/>
  <c r="J53" i="26"/>
  <c r="I53" i="26"/>
  <c r="H53" i="26"/>
  <c r="G53" i="26"/>
  <c r="F53" i="26"/>
  <c r="E53" i="26"/>
  <c r="D53" i="26"/>
  <c r="C53" i="26"/>
  <c r="Q51" i="26"/>
  <c r="Q52" i="26" s="1"/>
  <c r="P51" i="26"/>
  <c r="P52" i="26" s="1"/>
  <c r="O51" i="26"/>
  <c r="O52" i="26" s="1"/>
  <c r="N51" i="26"/>
  <c r="N52" i="26" s="1"/>
  <c r="M51" i="26"/>
  <c r="M52" i="26" s="1"/>
  <c r="L51" i="26"/>
  <c r="L52" i="26" s="1"/>
  <c r="K51" i="26"/>
  <c r="K52" i="26" s="1"/>
  <c r="J51" i="26"/>
  <c r="J52" i="26" s="1"/>
  <c r="I51" i="26"/>
  <c r="I52" i="26" s="1"/>
  <c r="H51" i="26"/>
  <c r="H52" i="26" s="1"/>
  <c r="G51" i="26"/>
  <c r="G52" i="26" s="1"/>
  <c r="F51" i="26"/>
  <c r="F52" i="26" s="1"/>
  <c r="E51" i="26"/>
  <c r="E52" i="26" s="1"/>
  <c r="D51" i="26"/>
  <c r="D52" i="26" s="1"/>
  <c r="C51" i="26"/>
  <c r="C52" i="26" s="1"/>
  <c r="Q37" i="26"/>
  <c r="P37" i="26"/>
  <c r="O37" i="26"/>
  <c r="N37" i="26"/>
  <c r="M37" i="26"/>
  <c r="L37" i="26"/>
  <c r="K37" i="26"/>
  <c r="J37" i="26"/>
  <c r="I37" i="26"/>
  <c r="H37" i="26"/>
  <c r="G37" i="26"/>
  <c r="F37" i="26"/>
  <c r="E37" i="26"/>
  <c r="D37" i="26"/>
  <c r="C37" i="26"/>
  <c r="Q36" i="26"/>
  <c r="P36" i="26"/>
  <c r="O36" i="26"/>
  <c r="N36" i="26"/>
  <c r="M36" i="26"/>
  <c r="L36" i="26"/>
  <c r="K36" i="26"/>
  <c r="J36" i="26"/>
  <c r="I36" i="26"/>
  <c r="H36" i="26"/>
  <c r="G36" i="26"/>
  <c r="F36" i="26"/>
  <c r="E36" i="26"/>
  <c r="D36" i="26"/>
  <c r="C36" i="26"/>
  <c r="Q35" i="26"/>
  <c r="P35" i="26"/>
  <c r="O35" i="26"/>
  <c r="N35" i="26"/>
  <c r="M35" i="26"/>
  <c r="L35" i="26"/>
  <c r="K35" i="26"/>
  <c r="J35" i="26"/>
  <c r="I35" i="26"/>
  <c r="H35" i="26"/>
  <c r="G35" i="26"/>
  <c r="F35" i="26"/>
  <c r="E35" i="26"/>
  <c r="D35" i="26"/>
  <c r="C35" i="26"/>
  <c r="Q34" i="26"/>
  <c r="P34" i="26"/>
  <c r="O34" i="26"/>
  <c r="N34" i="26"/>
  <c r="M34" i="26"/>
  <c r="L34" i="26"/>
  <c r="K34" i="26"/>
  <c r="J34" i="26"/>
  <c r="I34" i="26"/>
  <c r="H34" i="26"/>
  <c r="G34" i="26"/>
  <c r="F34" i="26"/>
  <c r="E34" i="26"/>
  <c r="D34" i="26"/>
  <c r="C34" i="26"/>
  <c r="Q33" i="26"/>
  <c r="P33" i="26"/>
  <c r="O33" i="26"/>
  <c r="N33" i="26"/>
  <c r="M33" i="26"/>
  <c r="L33" i="26"/>
  <c r="K33" i="26"/>
  <c r="J33" i="26"/>
  <c r="I33" i="26"/>
  <c r="H33" i="26"/>
  <c r="G33" i="26"/>
  <c r="F33" i="26"/>
  <c r="E33" i="26"/>
  <c r="D33" i="26"/>
  <c r="C33" i="26"/>
  <c r="Q32" i="26"/>
  <c r="P32" i="26"/>
  <c r="O32" i="26"/>
  <c r="N32" i="26"/>
  <c r="M32" i="26"/>
  <c r="L32" i="26"/>
  <c r="K32" i="26"/>
  <c r="J32" i="26"/>
  <c r="I32" i="26"/>
  <c r="H32" i="26"/>
  <c r="G32" i="26"/>
  <c r="F32" i="26"/>
  <c r="E32" i="26"/>
  <c r="D32" i="26"/>
  <c r="C32" i="26"/>
  <c r="E78" i="26" l="1"/>
  <c r="E79" i="26" s="1"/>
  <c r="I78" i="26"/>
  <c r="I79" i="26" s="1"/>
  <c r="M78" i="26"/>
  <c r="M79" i="26" s="1"/>
  <c r="Q78" i="26"/>
  <c r="Q79" i="26" s="1"/>
  <c r="F78" i="26"/>
  <c r="F79" i="26" s="1"/>
  <c r="J78" i="26"/>
  <c r="J79" i="26" s="1"/>
  <c r="N78" i="26"/>
  <c r="N79" i="26" s="1"/>
  <c r="D80" i="26"/>
  <c r="H80" i="26"/>
  <c r="L80" i="26"/>
  <c r="P80" i="26"/>
  <c r="C66" i="26"/>
  <c r="G66" i="26"/>
  <c r="K66" i="26"/>
  <c r="O66" i="26"/>
  <c r="C78" i="26"/>
  <c r="C79" i="26" s="1"/>
  <c r="G78" i="26"/>
  <c r="G79" i="26" s="1"/>
  <c r="K78" i="26"/>
  <c r="K79" i="26" s="1"/>
  <c r="O78" i="26"/>
  <c r="O79" i="26" s="1"/>
  <c r="D65" i="26"/>
  <c r="H65" i="26"/>
  <c r="C80" i="26"/>
  <c r="G80" i="26"/>
  <c r="K80" i="26"/>
  <c r="O80" i="26"/>
  <c r="D78" i="26"/>
  <c r="D79" i="26" s="1"/>
  <c r="H78" i="26"/>
  <c r="H79" i="26" s="1"/>
  <c r="L78" i="26"/>
  <c r="L79" i="26" s="1"/>
  <c r="P78" i="26"/>
  <c r="P79" i="26" s="1"/>
  <c r="E65" i="26"/>
  <c r="I65" i="26"/>
  <c r="M65" i="26"/>
  <c r="Q65" i="26"/>
  <c r="F65" i="26"/>
  <c r="J65" i="26"/>
  <c r="N65" i="26"/>
  <c r="D66" i="26"/>
  <c r="H66" i="26"/>
  <c r="L66" i="26"/>
  <c r="P66" i="26"/>
  <c r="C65" i="26"/>
  <c r="G65" i="26"/>
  <c r="K65" i="26"/>
  <c r="O65" i="26"/>
  <c r="L65" i="26"/>
  <c r="P65" i="26"/>
  <c r="E66" i="26"/>
  <c r="I66" i="26"/>
  <c r="M66" i="26"/>
  <c r="Q66" i="26"/>
  <c r="E80" i="26"/>
  <c r="I80" i="26"/>
  <c r="M80" i="26"/>
  <c r="Q80" i="26"/>
  <c r="F66" i="26"/>
  <c r="J66" i="26"/>
  <c r="N66" i="26"/>
  <c r="F80" i="26"/>
  <c r="J80" i="26"/>
  <c r="N80" i="26"/>
  <c r="E34" i="91" l="1"/>
  <c r="E37" i="91" s="1"/>
  <c r="F34" i="91"/>
  <c r="F37" i="91" s="1"/>
</calcChain>
</file>

<file path=xl/sharedStrings.xml><?xml version="1.0" encoding="utf-8"?>
<sst xmlns="http://schemas.openxmlformats.org/spreadsheetml/2006/main" count="9098" uniqueCount="858">
  <si>
    <t>TREAT NAME</t>
  </si>
  <si>
    <t>TREAT SIZE</t>
  </si>
  <si>
    <t>Instructions to calculate</t>
  </si>
  <si>
    <t>Flavor</t>
  </si>
  <si>
    <t>Calories</t>
  </si>
  <si>
    <t>Calories from Fat</t>
  </si>
  <si>
    <t>Fat</t>
  </si>
  <si>
    <t>Saturated Fat</t>
  </si>
  <si>
    <t>Trans Fat</t>
  </si>
  <si>
    <t>Cholesterol</t>
  </si>
  <si>
    <t xml:space="preserve">Sodium </t>
  </si>
  <si>
    <t>Total Carbohydrates</t>
  </si>
  <si>
    <t>Dietary Fiber</t>
  </si>
  <si>
    <t>Total Sugar</t>
  </si>
  <si>
    <t>Added Sugar</t>
  </si>
  <si>
    <t>Protein</t>
  </si>
  <si>
    <t xml:space="preserve">Vitamin D </t>
  </si>
  <si>
    <t>Vitamin D (% DV)</t>
  </si>
  <si>
    <t xml:space="preserve">Calcium </t>
  </si>
  <si>
    <t>Calcium (%DV)</t>
  </si>
  <si>
    <t xml:space="preserve">Iron </t>
  </si>
  <si>
    <t>Iron (%DV)</t>
  </si>
  <si>
    <t xml:space="preserve">Potassium </t>
  </si>
  <si>
    <t>Potassium (%DV)</t>
  </si>
  <si>
    <t xml:space="preserve">Italian </t>
  </si>
  <si>
    <t xml:space="preserve">Apple Berry Blue </t>
  </si>
  <si>
    <t>Banana</t>
  </si>
  <si>
    <t xml:space="preserve">Birch Beer </t>
  </si>
  <si>
    <t>Blood Orange</t>
  </si>
  <si>
    <t>Blue Raspberry</t>
  </si>
  <si>
    <t>Blueberry</t>
  </si>
  <si>
    <t>Cherry</t>
  </si>
  <si>
    <t xml:space="preserve">Cherry Lemonade </t>
  </si>
  <si>
    <t>Cherry Limeade</t>
  </si>
  <si>
    <t>Chocolate</t>
  </si>
  <si>
    <t>Chocolate Chocolate Chip</t>
  </si>
  <si>
    <t>Cotton Candy</t>
  </si>
  <si>
    <t>Dr Pepper</t>
  </si>
  <si>
    <t>Florida Orange</t>
  </si>
  <si>
    <t>Georgia Peach</t>
  </si>
  <si>
    <t>Green Apple</t>
  </si>
  <si>
    <t xml:space="preserve">Hawaiian Punch </t>
  </si>
  <si>
    <t>Island Fusion</t>
  </si>
  <si>
    <t>Jolly Rancher Green Apple</t>
  </si>
  <si>
    <t>Jolly Rancher Watermelon</t>
  </si>
  <si>
    <t>Juicy Pear</t>
  </si>
  <si>
    <t>Key Lime</t>
  </si>
  <si>
    <t>Kiwi Strawberry</t>
  </si>
  <si>
    <t>Lemon</t>
  </si>
  <si>
    <t>Lychee</t>
  </si>
  <si>
    <t>Mango</t>
  </si>
  <si>
    <t>Mango- Orange</t>
  </si>
  <si>
    <t>Mango-Peach</t>
  </si>
  <si>
    <t>Mango- Pineapple</t>
  </si>
  <si>
    <t>Mango- Strawberry</t>
  </si>
  <si>
    <t>Margarita</t>
  </si>
  <si>
    <t>Mojito</t>
  </si>
  <si>
    <t>Passion Fruit</t>
  </si>
  <si>
    <t>Pina Colada</t>
  </si>
  <si>
    <t>Pineapple</t>
  </si>
  <si>
    <t>Raspberry</t>
  </si>
  <si>
    <t>Raspberry Lemonade</t>
  </si>
  <si>
    <t>Reese's Chocolate Peanut Butter</t>
  </si>
  <si>
    <t>Reese's Peanut Butter and Jelly</t>
  </si>
  <si>
    <t>Root Beer</t>
  </si>
  <si>
    <t>Sour Patch Kids Red</t>
  </si>
  <si>
    <t>Strawberry</t>
  </si>
  <si>
    <t>Strawberry Colada</t>
  </si>
  <si>
    <t>Strawberry Lemonade</t>
  </si>
  <si>
    <t>Strawberry Margarita</t>
  </si>
  <si>
    <t>Strawberry Twizzler</t>
  </si>
  <si>
    <t>Strawberry- Watermelon</t>
  </si>
  <si>
    <t>Swedish Fish</t>
  </si>
  <si>
    <t>Tropical Daiquiri</t>
  </si>
  <si>
    <t>Tropical Punch</t>
  </si>
  <si>
    <t>Vanilla</t>
  </si>
  <si>
    <t>Watermelon</t>
  </si>
  <si>
    <t>Wild Berry</t>
  </si>
  <si>
    <t>Wild Black Cherry</t>
  </si>
  <si>
    <t>All-Natural Ice</t>
  </si>
  <si>
    <t>All Natural Banana</t>
  </si>
  <si>
    <t xml:space="preserve">All Natural Coconut </t>
  </si>
  <si>
    <t xml:space="preserve">All Natural Cranberry </t>
  </si>
  <si>
    <t xml:space="preserve">All Natural Cranberry Pineapple </t>
  </si>
  <si>
    <t xml:space="preserve">All Natural Cranberry Strawberry </t>
  </si>
  <si>
    <t>All Natural Orange</t>
  </si>
  <si>
    <t>All-Natural Orange Pineapple</t>
  </si>
  <si>
    <t xml:space="preserve">All Natural Pineapple Coconut </t>
  </si>
  <si>
    <t>All Natural Pineapple</t>
  </si>
  <si>
    <t>All Natural Strawberry</t>
  </si>
  <si>
    <t>All Natural Strawberry Banana</t>
  </si>
  <si>
    <t xml:space="preserve">All Natural Strawberry Pineapple </t>
  </si>
  <si>
    <t>Cream Ice</t>
  </si>
  <si>
    <t>Banana Split Cream</t>
  </si>
  <si>
    <t>Birthday Cake</t>
  </si>
  <si>
    <t>Black Cherry Cheesecake</t>
  </si>
  <si>
    <t xml:space="preserve">Brookie Dough </t>
  </si>
  <si>
    <t>Caramel (dulce)</t>
  </si>
  <si>
    <t>Cheesecake</t>
  </si>
  <si>
    <t>Chocolate Chip Cheesecake</t>
  </si>
  <si>
    <t>Chocolate Covered Banana</t>
  </si>
  <si>
    <t>Chocolate Covered Strawberry</t>
  </si>
  <si>
    <t>Coconut Cream</t>
  </si>
  <si>
    <t>Cookies &amp; Cream</t>
  </si>
  <si>
    <t>Cookie Dough</t>
  </si>
  <si>
    <t>Fudge Brownie</t>
  </si>
  <si>
    <t>Horchata</t>
  </si>
  <si>
    <t>Iced Coffee</t>
  </si>
  <si>
    <t>Mint Chocolate Chip</t>
  </si>
  <si>
    <t>Mint Oreo</t>
  </si>
  <si>
    <t>Mocha</t>
  </si>
  <si>
    <t>Pumpkin Cheesecake</t>
  </si>
  <si>
    <t>Pumpkin Pie</t>
  </si>
  <si>
    <t>Pumpkin Spice Latte</t>
  </si>
  <si>
    <t>Reese's Marshmallow Peanut Butter</t>
  </si>
  <si>
    <t>Root Beer Float</t>
  </si>
  <si>
    <t>S'mores</t>
  </si>
  <si>
    <t>Strawberry Banana</t>
  </si>
  <si>
    <t>Strawberry Cheesecake</t>
  </si>
  <si>
    <t>Vanilla Cream</t>
  </si>
  <si>
    <t>Watermelon Chip</t>
  </si>
  <si>
    <t>Sugar-Free Ice</t>
  </si>
  <si>
    <t>S/F Cherry</t>
  </si>
  <si>
    <t>S/F Dragon Fruit</t>
  </si>
  <si>
    <t>S/F Mango Peach</t>
  </si>
  <si>
    <t>S/F Pineapple</t>
  </si>
  <si>
    <t>S/F Root Beer</t>
  </si>
  <si>
    <t>S/F Tangerine</t>
  </si>
  <si>
    <t xml:space="preserve">Custard Flavor </t>
  </si>
  <si>
    <t xml:space="preserve">Chocolate </t>
  </si>
  <si>
    <t xml:space="preserve">Vanilla </t>
  </si>
  <si>
    <t xml:space="preserve">Banana </t>
  </si>
  <si>
    <t>Black Rasberry</t>
  </si>
  <si>
    <t xml:space="preserve">Butter Pecan </t>
  </si>
  <si>
    <t>Cake Batter</t>
  </si>
  <si>
    <t>Caramel Macchiato</t>
  </si>
  <si>
    <t>Coffee</t>
  </si>
  <si>
    <t>Mint</t>
  </si>
  <si>
    <t xml:space="preserve">Orange Cream </t>
  </si>
  <si>
    <t xml:space="preserve">Pistachio </t>
  </si>
  <si>
    <t xml:space="preserve">Pumpkin </t>
  </si>
  <si>
    <t>Salted Carmel</t>
  </si>
  <si>
    <t xml:space="preserve">Salted Carmel Chocolate </t>
  </si>
  <si>
    <t>Topping</t>
  </si>
  <si>
    <t>Chocolate Chips</t>
  </si>
  <si>
    <t xml:space="preserve">Brownie Batter Bites </t>
  </si>
  <si>
    <t>Cookie Dough Bites</t>
  </si>
  <si>
    <t>Chopped Peanuts</t>
  </si>
  <si>
    <t>Fruity Pebbles</t>
  </si>
  <si>
    <t>Heath</t>
  </si>
  <si>
    <t>Hot Caramel</t>
  </si>
  <si>
    <t>Hot Fudge</t>
  </si>
  <si>
    <t>M&amp;Ms Minis</t>
  </si>
  <si>
    <t>Mini Gummy Bears</t>
  </si>
  <si>
    <t>NERDS, Rainbow</t>
  </si>
  <si>
    <t>Nilla Wafers</t>
  </si>
  <si>
    <t>OREO</t>
  </si>
  <si>
    <t>Reese's PB Cups</t>
  </si>
  <si>
    <t>Reese's Peanut Butter Sauce</t>
  </si>
  <si>
    <t>Snickers</t>
  </si>
  <si>
    <t>Sprinkles, Chocolate</t>
  </si>
  <si>
    <t>Sprinkles, Rainbow</t>
  </si>
  <si>
    <t>Strawberry Topping</t>
  </si>
  <si>
    <t>Wet Walnuts</t>
  </si>
  <si>
    <t>Stuffed Topping</t>
  </si>
  <si>
    <t xml:space="preserve">Hot Fudge </t>
  </si>
  <si>
    <t xml:space="preserve">Hot Caramel </t>
  </si>
  <si>
    <t xml:space="preserve">Reeses's Peanut Butter Sauce </t>
  </si>
  <si>
    <t>This nutrition information is based on standard recipes and product formulations; however; variations may occur due to differences in preparation, serving sizes, ingredients, or special orders. Current recommendations are to limit total saturated fat intake to 20 grams per day and to limit sodium intake to less than 2,400 mg per day for a 2,000 calorie-per-day diet. A 2,000 calorie daily diet is used for the basis of general nutrition advice; individual calorie needs however; may vary. ©2015 RITA’S FRANCHISE COMPANY. ALL RIGHTS RESERVED.</t>
  </si>
  <si>
    <t>Average Italian Ice Blendini</t>
  </si>
  <si>
    <t>Range Italian Ice Blendini</t>
  </si>
  <si>
    <t>Average All-Natural Ice Blendini</t>
  </si>
  <si>
    <t>Range All-Natural Ice Blendini</t>
  </si>
  <si>
    <t>Average Cream Ice Blendini</t>
  </si>
  <si>
    <t>Range Cream Ice Blendini</t>
  </si>
  <si>
    <t>Average Sugar-Free Ice Blendini</t>
  </si>
  <si>
    <t>Range Sugar-Free Ice Blendini</t>
  </si>
  <si>
    <t>ICE FLAVORS</t>
  </si>
  <si>
    <t>KIDS PORTION</t>
  </si>
  <si>
    <t xml:space="preserve"> </t>
  </si>
  <si>
    <t xml:space="preserve">Unicorn </t>
  </si>
  <si>
    <t>All-Natural Orange-Pineapple</t>
  </si>
  <si>
    <t>Brookie Dough</t>
  </si>
  <si>
    <t>Strawberry-Banana</t>
  </si>
  <si>
    <t>Average Italian Ice</t>
  </si>
  <si>
    <t>Range Italian Ice</t>
  </si>
  <si>
    <t>Average All-Natural Ice</t>
  </si>
  <si>
    <t>Range All-Natural Ice</t>
  </si>
  <si>
    <t>Average Cream Ice</t>
  </si>
  <si>
    <t>Range Cream Ice</t>
  </si>
  <si>
    <t>Average Sugar-Free Ice</t>
  </si>
  <si>
    <t>Range Sugar-Free Ice</t>
  </si>
  <si>
    <t xml:space="preserve">  CUP - 7 oz</t>
  </si>
  <si>
    <t xml:space="preserve">  All Natural Cranberry Pineapple      </t>
  </si>
  <si>
    <t xml:space="preserve">  All Natural Cranberry Strawberry      </t>
  </si>
  <si>
    <t xml:space="preserve">  All Natural Orange-Pineapple      </t>
  </si>
  <si>
    <t xml:space="preserve">  All Natural Strawberry Pineapple      </t>
  </si>
  <si>
    <t xml:space="preserve">  All Natural Strawberry-Banana      </t>
  </si>
  <si>
    <t xml:space="preserve">  All-Natural Banana      </t>
  </si>
  <si>
    <t xml:space="preserve">  All-Natural Coconut      </t>
  </si>
  <si>
    <t xml:space="preserve">  All-Natural Cranberry      </t>
  </si>
  <si>
    <t xml:space="preserve">  All-Natural Orange      </t>
  </si>
  <si>
    <t xml:space="preserve">  All Natural Pineapple Coconut      </t>
  </si>
  <si>
    <t xml:space="preserve">  All-Natural Pineapple      </t>
  </si>
  <si>
    <t xml:space="preserve">  All-Natural Strawberry      </t>
  </si>
  <si>
    <t xml:space="preserve">  Apple Berry Blue      </t>
  </si>
  <si>
    <t xml:space="preserve">  Banana      </t>
  </si>
  <si>
    <t xml:space="preserve">  Banana Split Cream      </t>
  </si>
  <si>
    <t xml:space="preserve">  Birch Beer      </t>
  </si>
  <si>
    <t xml:space="preserve">  Birthday Cake Cream      </t>
  </si>
  <si>
    <t xml:space="preserve">  Black Cherry Cheesecake Cream      </t>
  </si>
  <si>
    <t xml:space="preserve">  Blood Orange      </t>
  </si>
  <si>
    <t xml:space="preserve">  Blue Raspberry      </t>
  </si>
  <si>
    <t xml:space="preserve">  Blueberry      </t>
  </si>
  <si>
    <t xml:space="preserve">  Brookie Dough Cream      </t>
  </si>
  <si>
    <t xml:space="preserve">  Cheesecake Cream      </t>
  </si>
  <si>
    <t xml:space="preserve">  Cherry      </t>
  </si>
  <si>
    <t xml:space="preserve">  Cherry Lemonade      </t>
  </si>
  <si>
    <t xml:space="preserve">  Cherry Limeade Italian      </t>
  </si>
  <si>
    <t xml:space="preserve">  Chocolate Chip Cheesecake Cream      </t>
  </si>
  <si>
    <t xml:space="preserve">  Chocolate Chocolate Chip      </t>
  </si>
  <si>
    <t xml:space="preserve">  Chocolate Covered Banana Cream </t>
  </si>
  <si>
    <t xml:space="preserve">  Chocolate Covered Strawberry Cream      </t>
  </si>
  <si>
    <t xml:space="preserve">  Chocolate      </t>
  </si>
  <si>
    <t xml:space="preserve">  Coconut Cream      </t>
  </si>
  <si>
    <t xml:space="preserve">  Cookie Dough Cream      </t>
  </si>
  <si>
    <t xml:space="preserve">  Cookies and Cream      </t>
  </si>
  <si>
    <t xml:space="preserve">  Cotton Candy      </t>
  </si>
  <si>
    <t xml:space="preserve">  Dr Pepper      </t>
  </si>
  <si>
    <t xml:space="preserve">  Dulce De Leche Cream      </t>
  </si>
  <si>
    <t xml:space="preserve">  Florida Orange      </t>
  </si>
  <si>
    <t xml:space="preserve">  Fudge Brownie Cream      </t>
  </si>
  <si>
    <t xml:space="preserve">  Georgia Peach      </t>
  </si>
  <si>
    <t xml:space="preserve">  Green Apple      </t>
  </si>
  <si>
    <t xml:space="preserve">  Hawaiian Punch Italian </t>
  </si>
  <si>
    <t xml:space="preserve">  Horchata Cream      </t>
  </si>
  <si>
    <t xml:space="preserve">  Iced Coffee Cream      </t>
  </si>
  <si>
    <t xml:space="preserve">  Island Fusion      </t>
  </si>
  <si>
    <t xml:space="preserve">  Jolly Rancher Green Apple      </t>
  </si>
  <si>
    <t xml:space="preserve">  Jolly Rancher Watermelon      </t>
  </si>
  <si>
    <t xml:space="preserve">  Juicy Pear      </t>
  </si>
  <si>
    <t xml:space="preserve">  Key Lime      </t>
  </si>
  <si>
    <t xml:space="preserve">  Kiwi Strawberry      </t>
  </si>
  <si>
    <t xml:space="preserve">  Lemon Italian      </t>
  </si>
  <si>
    <t xml:space="preserve">  Lychee      </t>
  </si>
  <si>
    <t xml:space="preserve">  Mango      </t>
  </si>
  <si>
    <t xml:space="preserve">  Mango Orange      </t>
  </si>
  <si>
    <t xml:space="preserve">  Mango Peach      </t>
  </si>
  <si>
    <t xml:space="preserve">  Mango Pineapple      </t>
  </si>
  <si>
    <t xml:space="preserve">  Mango Strawberry      </t>
  </si>
  <si>
    <t xml:space="preserve">  Margarita      </t>
  </si>
  <si>
    <t xml:space="preserve">  Mint Chocolate Chip Cream      </t>
  </si>
  <si>
    <t xml:space="preserve">  Mint Oreo Cream      </t>
  </si>
  <si>
    <t xml:space="preserve">  Mocha Cream      </t>
  </si>
  <si>
    <t xml:space="preserve">  Mojito</t>
  </si>
  <si>
    <t xml:space="preserve">  Passion Fruit      </t>
  </si>
  <si>
    <t xml:space="preserve">  Pina Colada      </t>
  </si>
  <si>
    <t xml:space="preserve">  Pineapple      </t>
  </si>
  <si>
    <t xml:space="preserve">  Pumpkin Cheesecake Cream      </t>
  </si>
  <si>
    <t xml:space="preserve">  Pumpkin Pie Cream      </t>
  </si>
  <si>
    <t xml:space="preserve">  Pumpkin Sp  Latte Cream      </t>
  </si>
  <si>
    <t xml:space="preserve">  Raspberry      </t>
  </si>
  <si>
    <t xml:space="preserve">  Raspberry Lemonade      </t>
  </si>
  <si>
    <t xml:space="preserve">  Reese's Chocolate Peanut Butter      </t>
  </si>
  <si>
    <t xml:space="preserve">  Reese's Marshmallow Peanut Butter Cream      </t>
  </si>
  <si>
    <t xml:space="preserve">  Reese's Peanut Butter and Jelly      </t>
  </si>
  <si>
    <t xml:space="preserve">  Root Beer Cream      </t>
  </si>
  <si>
    <t xml:space="preserve">  Root Beer      </t>
  </si>
  <si>
    <t xml:space="preserve">  S'Mores Cream      </t>
  </si>
  <si>
    <t xml:space="preserve">  Sour Patch   Red      </t>
  </si>
  <si>
    <t xml:space="preserve">  Strawberry Banana Cream      </t>
  </si>
  <si>
    <t xml:space="preserve">  Strawberry Cheesecake Cream      </t>
  </si>
  <si>
    <t xml:space="preserve">  Strawberry Colada      </t>
  </si>
  <si>
    <t xml:space="preserve">  Strawberry      </t>
  </si>
  <si>
    <t xml:space="preserve">  Strawberry Lemonade      </t>
  </si>
  <si>
    <t xml:space="preserve">  Strawberry Margarita      </t>
  </si>
  <si>
    <t xml:space="preserve">  Strawberry Twizzler      </t>
  </si>
  <si>
    <t xml:space="preserve">  Strawberry Watermelon      </t>
  </si>
  <si>
    <t xml:space="preserve">  Sugar Free Cherry      </t>
  </si>
  <si>
    <t xml:space="preserve">  Sugar Free Dragon Fruit      </t>
  </si>
  <si>
    <t xml:space="preserve">  Sugar Free Mango Peach      </t>
  </si>
  <si>
    <t xml:space="preserve">  Sugar Free Pineapple      </t>
  </si>
  <si>
    <t xml:space="preserve">  Sugar Free Root Beer      </t>
  </si>
  <si>
    <t xml:space="preserve">  Sugar Free Tangerine      </t>
  </si>
  <si>
    <t xml:space="preserve">  Swedish Fish      </t>
  </si>
  <si>
    <t xml:space="preserve">  Tropical Daiquiri  </t>
  </si>
  <si>
    <t xml:space="preserve">  Tropical Punch    </t>
  </si>
  <si>
    <t xml:space="preserve">  Vanilla Cream      </t>
  </si>
  <si>
    <t xml:space="preserve">  Vanilla      </t>
  </si>
  <si>
    <t xml:space="preserve">  Watermelon Chip Cream      </t>
  </si>
  <si>
    <t xml:space="preserve">  Watermelon      </t>
  </si>
  <si>
    <t xml:space="preserve">  Wild Berry      </t>
  </si>
  <si>
    <t xml:space="preserve">  Wild Black Cherry  </t>
  </si>
  <si>
    <t xml:space="preserve">  Unicorn </t>
  </si>
  <si>
    <t xml:space="preserve">Range </t>
  </si>
  <si>
    <t xml:space="preserve">Average </t>
  </si>
  <si>
    <t>Italian Ice</t>
  </si>
  <si>
    <t>Kids Portion (8.2 oz)</t>
  </si>
  <si>
    <t>Flavor Type</t>
  </si>
  <si>
    <t>Apple Berry Blue</t>
  </si>
  <si>
    <t>Blueberry Lemonade</t>
  </si>
  <si>
    <t>Cantaloupe</t>
  </si>
  <si>
    <t>Carnival</t>
  </si>
  <si>
    <t>less than 1 g</t>
  </si>
  <si>
    <t>Clementine</t>
  </si>
  <si>
    <t>Dr. Pepper</t>
  </si>
  <si>
    <t>Gummy Bear</t>
  </si>
  <si>
    <t>KOOL-AID Sharkleberry Fin</t>
  </si>
  <si>
    <t>KOOL-AID Tropical Punch</t>
  </si>
  <si>
    <t xml:space="preserve">NERDS Grape </t>
  </si>
  <si>
    <t>Passionfruit Paloma</t>
  </si>
  <si>
    <t>Peach Ring</t>
  </si>
  <si>
    <t>Rocket Pop</t>
  </si>
  <si>
    <t>Skittles</t>
  </si>
  <si>
    <t>Sour Patch Kids Watermelon</t>
  </si>
  <si>
    <t>Zombie's Blood</t>
  </si>
  <si>
    <t>less than 5mg</t>
  </si>
  <si>
    <t>Chocolate Peanut Butter</t>
  </si>
  <si>
    <t xml:space="preserve">Frozen Hot Cocoa </t>
  </si>
  <si>
    <t>Marshmallow Peanut Butter</t>
  </si>
  <si>
    <t>Orange Dreamsicle</t>
  </si>
  <si>
    <t>Raspberries n' Cream</t>
  </si>
  <si>
    <t>Shamrock</t>
  </si>
  <si>
    <t>Strawberries n' Cream</t>
  </si>
  <si>
    <t>Witches Brew-Berry</t>
  </si>
  <si>
    <t>Sugar Free Ice</t>
  </si>
  <si>
    <t xml:space="preserve">S/F Mango Dragonfruit </t>
  </si>
  <si>
    <t xml:space="preserve">S/F Pink Lemonade </t>
  </si>
  <si>
    <t>* Contains less than 2% of the Daily Value of this (these) nutrient(s)</t>
  </si>
  <si>
    <t>SMALL PORTION</t>
  </si>
  <si>
    <t xml:space="preserve">Peppermint Chip </t>
  </si>
  <si>
    <t>S/F Mango Dragonfruit</t>
  </si>
  <si>
    <t>less than 5 mg</t>
  </si>
  <si>
    <t xml:space="preserve"> Chocolate Peanut Butter</t>
  </si>
  <si>
    <t>Sugar Free</t>
  </si>
  <si>
    <t>S/F Pink Lemonade</t>
  </si>
  <si>
    <t>NERDS Grape</t>
  </si>
  <si>
    <t>Frozen Hot Cocoa</t>
  </si>
  <si>
    <t xml:space="preserve"> Marshmallow Peanut Butter</t>
  </si>
  <si>
    <t>ICE FLIGHT PORTION</t>
  </si>
  <si>
    <t>Add together four Ice flavors of your choosing to create a flight</t>
  </si>
  <si>
    <t>Citrus Blast</t>
  </si>
  <si>
    <t>Guava Passionfruit</t>
  </si>
  <si>
    <t>Kandi Kapow!</t>
  </si>
  <si>
    <r>
      <t>Ocean Splash</t>
    </r>
    <r>
      <rPr>
        <sz val="12"/>
        <color theme="0"/>
        <rFont val="Calibri"/>
        <family val="2"/>
      </rPr>
      <t>™</t>
    </r>
  </si>
  <si>
    <t>Tangerine</t>
  </si>
  <si>
    <t xml:space="preserve">Tropical ParadICE </t>
  </si>
  <si>
    <t>All Nautral Ice</t>
  </si>
  <si>
    <t xml:space="preserve">                     Cream Ice</t>
  </si>
  <si>
    <t>Orange Cream</t>
  </si>
  <si>
    <t>Smart Snack Ice</t>
  </si>
  <si>
    <t>MaliBLU Freeze</t>
  </si>
  <si>
    <t>Razzle Red</t>
  </si>
  <si>
    <t>Very Bery</t>
  </si>
  <si>
    <t>GELATI</t>
  </si>
  <si>
    <t>Add together your Ice Flavor and Custard Flavor</t>
  </si>
  <si>
    <t>Black Raspberry</t>
  </si>
  <si>
    <t xml:space="preserve">Coffee </t>
  </si>
  <si>
    <t xml:space="preserve">Mint </t>
  </si>
  <si>
    <t xml:space="preserve">Orange </t>
  </si>
  <si>
    <t xml:space="preserve">Salted Caramel </t>
  </si>
  <si>
    <t>Salted Caramel Chocolate</t>
  </si>
  <si>
    <t>Average Italian Ice Gelati</t>
  </si>
  <si>
    <t>Range Italian Ice Gelati</t>
  </si>
  <si>
    <t>Average All-Natural Ice Gelati</t>
  </si>
  <si>
    <t>Range All-Natural Ice Gelati</t>
  </si>
  <si>
    <t>Average Cream Ice Gelati</t>
  </si>
  <si>
    <t>Range Cream Ice Gelati</t>
  </si>
  <si>
    <t>Average Sugar-Free Ice Gelati</t>
  </si>
  <si>
    <t>Range Sugar-Free Ice Gelati</t>
  </si>
  <si>
    <t>LARGE PORTION</t>
  </si>
  <si>
    <t xml:space="preserve">Apple  Berry Blue </t>
  </si>
  <si>
    <t xml:space="preserve">Mango-Peach </t>
  </si>
  <si>
    <t xml:space="preserve">Caramel Macchiato </t>
  </si>
  <si>
    <t xml:space="preserve">Lemon </t>
  </si>
  <si>
    <t>TAKE HOME GELATI</t>
  </si>
  <si>
    <t>QUART PORTION</t>
  </si>
  <si>
    <t xml:space="preserve">Vitamin A (%DV) </t>
  </si>
  <si>
    <t xml:space="preserve">Vitamin C (%DV) </t>
  </si>
  <si>
    <t>All Natural Orange Pineapple</t>
  </si>
  <si>
    <t xml:space="preserve">Banana Split Cream </t>
  </si>
  <si>
    <t>BLENDINI</t>
  </si>
  <si>
    <t>REGULAR PORTION</t>
  </si>
  <si>
    <t>Add together your Ice Flavor, Custard Flavor and Topping</t>
  </si>
  <si>
    <t>Average STUFFED Italian Ice Blendini</t>
  </si>
  <si>
    <t>Range STUFFED Italian Ice Blendini</t>
  </si>
  <si>
    <t>Average STUFFED All-Natural Ice Blendini</t>
  </si>
  <si>
    <t>Range STUFFED All-Natural Ice Blendini</t>
  </si>
  <si>
    <t>Average STUFFED Cream Ice Blendini</t>
  </si>
  <si>
    <t>Range STUFFED Cream Ice Blendini</t>
  </si>
  <si>
    <t>Average STUFFED Sugar-Free Ice Blendini</t>
  </si>
  <si>
    <t>Range STUFFED Sugar-Free Ice Blendini</t>
  </si>
  <si>
    <t xml:space="preserve">Average Stuffed It UpCharge </t>
  </si>
  <si>
    <t xml:space="preserve">Range Stuffed It UpCharge </t>
  </si>
  <si>
    <t>SF Ice</t>
  </si>
  <si>
    <t>S/F Mango Dragon Fruit</t>
  </si>
  <si>
    <t>Custard</t>
  </si>
  <si>
    <t>Chocolate Strawberry</t>
  </si>
  <si>
    <t>Pumpkin Cold Brew</t>
  </si>
  <si>
    <t xml:space="preserve">Chocolate Banana </t>
  </si>
  <si>
    <t>Chocolate Cake</t>
  </si>
  <si>
    <t>Salted Caramel</t>
  </si>
  <si>
    <t>Campfire Marshmallow</t>
  </si>
  <si>
    <t xml:space="preserve">Peach </t>
  </si>
  <si>
    <t>Butter Pecan</t>
  </si>
  <si>
    <t>Ice</t>
  </si>
  <si>
    <t>Max</t>
  </si>
  <si>
    <t>Min</t>
  </si>
  <si>
    <t>ONE SIZE</t>
  </si>
  <si>
    <t xml:space="preserve">Add together your 2 Ice Flavor's and Custard Flavor to build your treat </t>
  </si>
  <si>
    <t>SF ICE</t>
  </si>
  <si>
    <t xml:space="preserve">                                     Cream Ice</t>
  </si>
  <si>
    <t>TTL</t>
  </si>
  <si>
    <t>MILKSHAKE</t>
  </si>
  <si>
    <t>Add together your Custard Flavor and Topping</t>
  </si>
  <si>
    <t>Chocoalte</t>
  </si>
  <si>
    <t>Orange</t>
  </si>
  <si>
    <t>Pistachio</t>
  </si>
  <si>
    <t>Pumpkin</t>
  </si>
  <si>
    <t>TOPPINGS</t>
  </si>
  <si>
    <t>PER SERVING</t>
  </si>
  <si>
    <t>Toppings</t>
  </si>
  <si>
    <t>Maraschino Cherries</t>
  </si>
  <si>
    <t>Whipped Cream</t>
  </si>
  <si>
    <t xml:space="preserve">Average Milkshake </t>
  </si>
  <si>
    <t xml:space="preserve">Range Milkshake </t>
  </si>
  <si>
    <t>ICE BLENDER</t>
  </si>
  <si>
    <t>SMALL PORTION (12 oz.)</t>
  </si>
  <si>
    <t>Skip for now</t>
  </si>
  <si>
    <t xml:space="preserve">only have large </t>
  </si>
  <si>
    <t>only have large</t>
  </si>
  <si>
    <t>Peach</t>
  </si>
  <si>
    <t>Mango-Orange</t>
  </si>
  <si>
    <t>LARGE PORTION (20 oz.)</t>
  </si>
  <si>
    <t>Blueberry  Lemonade</t>
  </si>
  <si>
    <t>Unicorn</t>
  </si>
  <si>
    <t xml:space="preserve">                                                                                                 Cream Ice</t>
  </si>
  <si>
    <t>Small Misto</t>
  </si>
  <si>
    <t>SMALL PORTION (12 oz)</t>
  </si>
  <si>
    <t>Average Italian Ice Misto</t>
  </si>
  <si>
    <t>Range Italian Ice Misto</t>
  </si>
  <si>
    <t>Average All-Natural Ice Misto</t>
  </si>
  <si>
    <t>Range All-Natural Ice Misto</t>
  </si>
  <si>
    <t>Average Cream Ice Misto</t>
  </si>
  <si>
    <t>Range Cream Ice Misto</t>
  </si>
  <si>
    <t>Average Sugar-Free Ice Misto</t>
  </si>
  <si>
    <t>Range Sugar-Free Ice Misto</t>
  </si>
  <si>
    <t>MISTO SHAKE</t>
  </si>
  <si>
    <t>LARGE PORTION (20 oz)</t>
  </si>
  <si>
    <t xml:space="preserve">Chocolate Covered Banana </t>
  </si>
  <si>
    <t>Large Misto</t>
  </si>
  <si>
    <t xml:space="preserve"> CONCRETE</t>
  </si>
  <si>
    <t>Add together your Custard Flavor and Two Toppings</t>
  </si>
  <si>
    <t>Custard Flavor</t>
  </si>
  <si>
    <t xml:space="preserve">Chocolate Cake </t>
  </si>
  <si>
    <t xml:space="preserve">Apple Pie Filling </t>
  </si>
  <si>
    <t>les than 1 g</t>
  </si>
  <si>
    <t>Baby Nerds</t>
  </si>
  <si>
    <t>Vanilla Wafers</t>
  </si>
  <si>
    <t>Pie Chips</t>
  </si>
  <si>
    <t>OREO Pieces</t>
  </si>
  <si>
    <t xml:space="preserve">Almond Toffee Crunch </t>
  </si>
  <si>
    <t>Andes Mint</t>
  </si>
  <si>
    <t>Peanut Butter Sauce</t>
  </si>
  <si>
    <t>Stuffed</t>
  </si>
  <si>
    <t xml:space="preserve">Peanut Butter Sauce </t>
  </si>
  <si>
    <t>Average Concrete</t>
  </si>
  <si>
    <t xml:space="preserve">Range Concrete                    </t>
  </si>
  <si>
    <t>Average Concrete STUFFED</t>
  </si>
  <si>
    <t>Range Concrete STUFFED</t>
  </si>
  <si>
    <t>stuffed</t>
  </si>
  <si>
    <t>TTl</t>
  </si>
  <si>
    <t>ttl stuffed</t>
  </si>
  <si>
    <t>Pints</t>
  </si>
  <si>
    <t xml:space="preserve">Black Raspberry   </t>
  </si>
  <si>
    <t xml:space="preserve">Cheesecake  </t>
  </si>
  <si>
    <t xml:space="preserve">Chocolate Cake  </t>
  </si>
  <si>
    <t xml:space="preserve">Chocolate Strawberry </t>
  </si>
  <si>
    <t xml:space="preserve">Coffee  </t>
  </si>
  <si>
    <t xml:space="preserve">Cotton Candy  </t>
  </si>
  <si>
    <t xml:space="preserve">Salted Caramel Chocolate </t>
  </si>
  <si>
    <t xml:space="preserve">Strawberry  </t>
  </si>
  <si>
    <t xml:space="preserve">Average Pint </t>
  </si>
  <si>
    <t xml:space="preserve">Range Pint </t>
  </si>
  <si>
    <t>Small</t>
  </si>
  <si>
    <t xml:space="preserve">Birthday Cake </t>
  </si>
  <si>
    <t>Black &amp; White</t>
  </si>
  <si>
    <t>Caramel</t>
  </si>
  <si>
    <t>Chocolate Covered OREO</t>
  </si>
  <si>
    <t>OREO Cookies n Cream</t>
  </si>
  <si>
    <t>Peanut Butter</t>
  </si>
  <si>
    <t>Strawberry Shortcake</t>
  </si>
  <si>
    <t>Whipped Cream and Cherry</t>
  </si>
  <si>
    <t>PER MILKSHAKE</t>
  </si>
  <si>
    <t>Average Milkshake</t>
  </si>
  <si>
    <t>Range Milkshake</t>
  </si>
  <si>
    <t>Small Milkshake</t>
  </si>
  <si>
    <t>All Flavors</t>
  </si>
  <si>
    <t>Whip &amp; Cherry</t>
  </si>
  <si>
    <t>Large</t>
  </si>
  <si>
    <t>MINI MILKSHAKE</t>
  </si>
  <si>
    <t>Milkshake Flavor</t>
  </si>
  <si>
    <t>Sugar</t>
  </si>
  <si>
    <t>Vitamin A (% DV)</t>
  </si>
  <si>
    <t>Vitamin C (% DV)</t>
  </si>
  <si>
    <t xml:space="preserve">Black Raspberry </t>
  </si>
  <si>
    <t>Chocolate Covered Oreo</t>
  </si>
  <si>
    <t>Chocolate Heath</t>
  </si>
  <si>
    <t xml:space="preserve">Chocolate Peppermint </t>
  </si>
  <si>
    <t xml:space="preserve">Oreo Cookies N' Cream </t>
  </si>
  <si>
    <t>Reese's Peanut Butter</t>
  </si>
  <si>
    <t xml:space="preserve">Strawberry Shortcake </t>
  </si>
  <si>
    <t>Vanilla Heath</t>
  </si>
  <si>
    <t>FROZEN BEVERAGE</t>
  </si>
  <si>
    <t>Tea/Coffee</t>
  </si>
  <si>
    <t xml:space="preserve">Half &amp; Half </t>
  </si>
  <si>
    <t xml:space="preserve">Sweet Tea </t>
  </si>
  <si>
    <t xml:space="preserve">Original Coffee </t>
  </si>
  <si>
    <t xml:space="preserve">Mocha Coffee </t>
  </si>
  <si>
    <t xml:space="preserve">Caramel Coffee </t>
  </si>
  <si>
    <t xml:space="preserve">Average Frozen Tea </t>
  </si>
  <si>
    <t xml:space="preserve">Range Frozen Tea </t>
  </si>
  <si>
    <t xml:space="preserve">Average Frozen Coffee </t>
  </si>
  <si>
    <t xml:space="preserve">Range Frozen Coffee </t>
  </si>
  <si>
    <t xml:space="preserve">Custom All Custard Cake </t>
  </si>
  <si>
    <t xml:space="preserve">Add Together Custard, Mix in Topping, Sauce Topping, Layer Topping, and Decoration Topping for 1 Slice of Cake </t>
  </si>
  <si>
    <t xml:space="preserve">Custard  </t>
  </si>
  <si>
    <t>Butter</t>
  </si>
  <si>
    <t>Cotton</t>
  </si>
  <si>
    <t>Salted</t>
  </si>
  <si>
    <t xml:space="preserve">Sauce Topping </t>
  </si>
  <si>
    <t xml:space="preserve">Strawberry Topping </t>
  </si>
  <si>
    <t xml:space="preserve">Mix In Topping </t>
  </si>
  <si>
    <t>Mix In Topping</t>
  </si>
  <si>
    <t>Chocolate Crunchies</t>
  </si>
  <si>
    <t>JOLLY RANCHER Crushed</t>
  </si>
  <si>
    <t>Mini Oreos</t>
  </si>
  <si>
    <t xml:space="preserve">Reese's Pieces, Mini </t>
  </si>
  <si>
    <t xml:space="preserve">Decoration Topping </t>
  </si>
  <si>
    <t>Decoration Topping</t>
  </si>
  <si>
    <t>Chocolate Sprinkle</t>
  </si>
  <si>
    <t xml:space="preserve">Layer Topping </t>
  </si>
  <si>
    <t>Layer Topping</t>
  </si>
  <si>
    <t xml:space="preserve">Icing Pre-Whipped Topping </t>
  </si>
  <si>
    <t>Icing</t>
  </si>
  <si>
    <t xml:space="preserve">Layer Pre-Whipped Topping </t>
  </si>
  <si>
    <t xml:space="preserve">Layer </t>
  </si>
  <si>
    <t>All Custard Custom Cake Average Per Slice (1/8)</t>
  </si>
  <si>
    <t>All Custard Custom Cake Range Per Slice (1/8)</t>
  </si>
  <si>
    <t xml:space="preserve">Add Together Custard, Mix in Topping, Sauce Topping, Layer Topping, and Decoration Topping, Pre Whipped Topping Icing and Layer.  </t>
  </si>
  <si>
    <t xml:space="preserve">All Custard Custom Cake Average </t>
  </si>
  <si>
    <t xml:space="preserve">All Custard Custom Cake Range Per </t>
  </si>
  <si>
    <t>Gelati Cake</t>
  </si>
  <si>
    <t xml:space="preserve">Add Together Ice, Custard, Decoration Topping, Pre Whipped Topping Icing and Layer for 1 Slice of Cake  </t>
  </si>
  <si>
    <t xml:space="preserve">Ice </t>
  </si>
  <si>
    <t>Peppermint Chip</t>
  </si>
  <si>
    <t xml:space="preserve">Custard </t>
  </si>
  <si>
    <t>Gelati Custom Cake Average Per Slice (1/8)</t>
  </si>
  <si>
    <t>Gelati Custom Cake Range Per Slice (1/8)</t>
  </si>
  <si>
    <t xml:space="preserve">Add Together Ice, Custard, Decoration Topping, Pre Whipped Topping Icing and Layer. </t>
  </si>
  <si>
    <t>Gelati Custom Cake Average</t>
  </si>
  <si>
    <t>Gelati Custom Cake Range</t>
  </si>
  <si>
    <t xml:space="preserve">Blendini Cake </t>
  </si>
  <si>
    <t xml:space="preserve">Add Together Ice, Custard, Layer Topping, Decoration Topping, Pre Whipped Topping Icing and Layer for 1 Slice of Cake  </t>
  </si>
  <si>
    <t xml:space="preserve">Gelati/Blendini Custard </t>
  </si>
  <si>
    <t>Blendini Custom Cake Average Per Slice (1/8)</t>
  </si>
  <si>
    <t>Blendini Custom Cake Range Per Slice (1/8)</t>
  </si>
  <si>
    <t xml:space="preserve">Add Together Ice, Custard, Layer Topping, Decoration Topping, Pre Whipped Topping Icing and Layer. </t>
  </si>
  <si>
    <t>Blendini Custom Cake Average</t>
  </si>
  <si>
    <t>Blendini Custom Cake Range</t>
  </si>
  <si>
    <t>BANANA SPLIT SUNDAE</t>
  </si>
  <si>
    <t>Add together your Custard Flavor, Banana, Crushed Maraschino Cherries, Crushed Pineapples, Whipped Cream and a Cherry!</t>
  </si>
  <si>
    <t>Kids Portion</t>
  </si>
  <si>
    <t>Chocolate Custard</t>
  </si>
  <si>
    <t>Vanilla Custard</t>
  </si>
  <si>
    <t>Regular Portion</t>
  </si>
  <si>
    <t>Large Portion</t>
  </si>
  <si>
    <t>Crushed Maraschino Cherries</t>
  </si>
  <si>
    <t>Crushed Pineapples</t>
  </si>
  <si>
    <t>Whole Maraschino Cherries</t>
  </si>
  <si>
    <t xml:space="preserve">Average Kids Sundae </t>
  </si>
  <si>
    <t xml:space="preserve">Range Kids Sundae </t>
  </si>
  <si>
    <t xml:space="preserve">Average Regular Sundae </t>
  </si>
  <si>
    <t xml:space="preserve">Range Regular  Sundae </t>
  </si>
  <si>
    <t xml:space="preserve">Average Large  Sundae </t>
  </si>
  <si>
    <t xml:space="preserve">Range Large Sundae </t>
  </si>
  <si>
    <t xml:space="preserve">FROZEN COFFEE </t>
  </si>
  <si>
    <t>Add a topping to add some flavor to your coffee</t>
  </si>
  <si>
    <t>Frozen Coffee</t>
  </si>
  <si>
    <t>FROZEN COFFEE</t>
  </si>
  <si>
    <t>Small Coffee</t>
  </si>
  <si>
    <t>Large Matcha</t>
  </si>
  <si>
    <t>?</t>
  </si>
  <si>
    <t>Pumpkin Crème</t>
  </si>
  <si>
    <t xml:space="preserve">Frozen Coffee </t>
  </si>
  <si>
    <t>Size</t>
  </si>
  <si>
    <t xml:space="preserve">Fat </t>
  </si>
  <si>
    <t>Cholestrol</t>
  </si>
  <si>
    <t>Sodium</t>
  </si>
  <si>
    <t>Total Carb</t>
  </si>
  <si>
    <t>Small 12 oz</t>
  </si>
  <si>
    <t>260-450</t>
  </si>
  <si>
    <t>0-15</t>
  </si>
  <si>
    <t>0-2</t>
  </si>
  <si>
    <t>0-0</t>
  </si>
  <si>
    <t>40-60</t>
  </si>
  <si>
    <t>90-100</t>
  </si>
  <si>
    <t>60-80</t>
  </si>
  <si>
    <t>0-1</t>
  </si>
  <si>
    <t>Large 20 oz</t>
  </si>
  <si>
    <t>400-700</t>
  </si>
  <si>
    <t>0-10</t>
  </si>
  <si>
    <t>0-4</t>
  </si>
  <si>
    <t>0-25</t>
  </si>
  <si>
    <t>60-90</t>
  </si>
  <si>
    <t>100-110</t>
  </si>
  <si>
    <t>100-120</t>
  </si>
  <si>
    <t>&lt; .5 g</t>
  </si>
  <si>
    <t>FROZEN MATCHA</t>
  </si>
  <si>
    <t>Add a topping to add some flavor to your matcha</t>
  </si>
  <si>
    <t>Frozen Matcha</t>
  </si>
  <si>
    <t>AN</t>
  </si>
  <si>
    <t>Large PORTION (12 oz)</t>
  </si>
  <si>
    <t>Small Matcha</t>
  </si>
  <si>
    <t>TBD Topping</t>
  </si>
  <si>
    <t>COOKIE SANDWICH</t>
  </si>
  <si>
    <t xml:space="preserve">Chocolate Chip- Vanilla Custard Plain </t>
  </si>
  <si>
    <t>Chocolate Chip- Vanilla Custard Chocolate Chips</t>
  </si>
  <si>
    <t xml:space="preserve">Oreo - Vanilla Custard Rainbow Sprinkles </t>
  </si>
  <si>
    <t xml:space="preserve">Oreo - Vanilla Custard </t>
  </si>
  <si>
    <t xml:space="preserve">Average Cookie Sandwich  </t>
  </si>
  <si>
    <t xml:space="preserve">Range Cookie Sandwich  </t>
  </si>
  <si>
    <t xml:space="preserve">Average Cake </t>
  </si>
  <si>
    <t xml:space="preserve">Range Cake </t>
  </si>
  <si>
    <t xml:space="preserve">Average Mini Cake </t>
  </si>
  <si>
    <t xml:space="preserve">Range Mini Cake </t>
  </si>
  <si>
    <t>Rita's Cookie Sandwich Chocolate Chip Topping Portion 2020</t>
  </si>
  <si>
    <t>Rita's Cookie Sandwich Chocolate Custard Portion 2020</t>
  </si>
  <si>
    <t>Rita's Cookie Sandwich Twist Custard Portion 2020</t>
  </si>
  <si>
    <t>Rita's Cookie Sandwich Vanilla Custard Portion 2020</t>
  </si>
  <si>
    <t>Rita's Chocolate Chip Cookie Portion 2020</t>
  </si>
  <si>
    <t>-</t>
  </si>
  <si>
    <t>Chocolate Chip-Chocolate Custard Plain</t>
  </si>
  <si>
    <t xml:space="preserve">Chocolate Chip- Twist Custard Plain </t>
  </si>
  <si>
    <t>Chocolate Chip-Chocolate Custard Chocolate Chips</t>
  </si>
  <si>
    <t>Chocolate Chip- Twist Custard Chocolate Chips</t>
  </si>
  <si>
    <t>JUMBO COOKIE SANDWICH</t>
  </si>
  <si>
    <t>PER COOKIE SANDWICH</t>
  </si>
  <si>
    <t>Choc Chip Vanilla Plain</t>
  </si>
  <si>
    <t>Choc Chip Choc Plain</t>
  </si>
  <si>
    <t>Choc Chip Twist Plain</t>
  </si>
  <si>
    <t>Choc Chip Vanilla Sprink</t>
  </si>
  <si>
    <t>Choc Chip Choc Sprink</t>
  </si>
  <si>
    <t>Choc Chip Twist Sprink</t>
  </si>
  <si>
    <t>Choc Chip Van Choc Chip</t>
  </si>
  <si>
    <t>Choc Chip Choc Choc Chip</t>
  </si>
  <si>
    <t>Choc Chip Twist Choc Chip</t>
  </si>
  <si>
    <t>Range Jumbo Cookie Sandiwch</t>
  </si>
  <si>
    <t>BROWNIE/COOKIE SUNDAE</t>
  </si>
  <si>
    <t>Sundae - Add together your custard flavor, cookie and your choice of 2 toppings to create a sundae</t>
  </si>
  <si>
    <t xml:space="preserve">SMALL </t>
  </si>
  <si>
    <t>Apple Pie</t>
  </si>
  <si>
    <t>Birthday Cake Batter</t>
  </si>
  <si>
    <t>Black Cherry Cheescake</t>
  </si>
  <si>
    <t>Black Forest</t>
  </si>
  <si>
    <t>Black Raspberry White Chocolate Chunk</t>
  </si>
  <si>
    <t>Cheescake</t>
  </si>
  <si>
    <t>Chocolate Chip</t>
  </si>
  <si>
    <t>Chocolate Covered Cherry</t>
  </si>
  <si>
    <t>Chocolate Mint Chip</t>
  </si>
  <si>
    <t>Chocolate Mint with Oreo</t>
  </si>
  <si>
    <t>Coffee Cookie Crunch with Oreo</t>
  </si>
  <si>
    <t>Coffee Toffee Crunch</t>
  </si>
  <si>
    <t>Cookie Jar</t>
  </si>
  <si>
    <t xml:space="preserve">Cookies n' Cream </t>
  </si>
  <si>
    <t xml:space="preserve">Cotton Candy </t>
  </si>
  <si>
    <t>Cotton Candy Confetti</t>
  </si>
  <si>
    <t xml:space="preserve">Mocha Chip Fudge </t>
  </si>
  <si>
    <t>Oreo Cheesecake</t>
  </si>
  <si>
    <t xml:space="preserve">Pumpkin Spice </t>
  </si>
  <si>
    <t xml:space="preserve">Strawberry </t>
  </si>
  <si>
    <t>Vanilla with HEATH</t>
  </si>
  <si>
    <t>LARGE</t>
  </si>
  <si>
    <t>SMALL SS (4.5 oz)</t>
  </si>
  <si>
    <t>LARGE SS (5.75 oz )</t>
  </si>
  <si>
    <t xml:space="preserve">Topping </t>
  </si>
  <si>
    <t>Apple Pie Filling</t>
  </si>
  <si>
    <t>Nutella</t>
  </si>
  <si>
    <t>Pie Pieces</t>
  </si>
  <si>
    <t xml:space="preserve">Cookie/Brownie </t>
  </si>
  <si>
    <t>PER SUNDAE</t>
  </si>
  <si>
    <t xml:space="preserve">Chocolate Chip </t>
  </si>
  <si>
    <t>Double Chocolate</t>
  </si>
  <si>
    <t xml:space="preserve">Sugar with Sprinkles </t>
  </si>
  <si>
    <t>Sugar with Chocolate Candies</t>
  </si>
  <si>
    <t xml:space="preserve">Brownie </t>
  </si>
  <si>
    <t>Average Small Sundae</t>
  </si>
  <si>
    <t>Range Small Sundae</t>
  </si>
  <si>
    <t>Average Large Sundae</t>
  </si>
  <si>
    <t>Range Large Sundae</t>
  </si>
  <si>
    <t>FROZEN CUSTARD CAKES</t>
  </si>
  <si>
    <t>Cakes</t>
  </si>
  <si>
    <t xml:space="preserve">Mango Gelati Cake </t>
  </si>
  <si>
    <t xml:space="preserve">Peanut Butter All Custard Cake </t>
  </si>
  <si>
    <t xml:space="preserve">Cookie Dough All Custard Cake </t>
  </si>
  <si>
    <t xml:space="preserve">Chocolate All Custard Cake </t>
  </si>
  <si>
    <t xml:space="preserve">Cookies N Cream All Custard Cake </t>
  </si>
  <si>
    <t>Chocolate Fudge Brownie Mini Cake</t>
  </si>
  <si>
    <t>Vanilla Cookie Dough Mini Cake</t>
  </si>
  <si>
    <t xml:space="preserve">Gelati Mini Cake </t>
  </si>
  <si>
    <t>Blue Piping Gel</t>
  </si>
  <si>
    <t>--</t>
  </si>
  <si>
    <t>Red Piping Gel</t>
  </si>
  <si>
    <t>Pink Piping Gel</t>
  </si>
  <si>
    <t xml:space="preserve">Pup Cup </t>
  </si>
  <si>
    <t xml:space="preserve">  </t>
  </si>
  <si>
    <t>Double Chocolate Chip-Chocolate Custard Chocolate Chips</t>
  </si>
  <si>
    <t>Double Chocolate Chip-Vanilla Custard Chocolate Chips</t>
  </si>
  <si>
    <t>Double Chocolate Chip-Twist Custard Chocolate Chips</t>
  </si>
  <si>
    <t xml:space="preserve">Double Chocolate Chip-Chocolate Custard Plain </t>
  </si>
  <si>
    <t xml:space="preserve">Double Chocolate Chip-Vanilla Custard Plain </t>
  </si>
  <si>
    <t xml:space="preserve">Double Chocolate Chip-Twist Custard Plain </t>
  </si>
  <si>
    <t xml:space="preserve">Vanilla Custard </t>
  </si>
  <si>
    <t>SOFT SERVE</t>
  </si>
  <si>
    <t>Product</t>
  </si>
  <si>
    <t>Cake Cone</t>
  </si>
  <si>
    <t>Kids Custard Average</t>
  </si>
  <si>
    <t>Kids Custard Range</t>
  </si>
  <si>
    <t>Small Custard Average</t>
  </si>
  <si>
    <t>Small Custard Range</t>
  </si>
  <si>
    <t>Large Custard Average</t>
  </si>
  <si>
    <t>Large Custard Range</t>
  </si>
  <si>
    <t>Kids Sundae Average</t>
  </si>
  <si>
    <t>Kids Sundae Range</t>
  </si>
  <si>
    <t>Small Sundae Average</t>
  </si>
  <si>
    <t>Small Sundae Range</t>
  </si>
  <si>
    <t>Large Sundae Average</t>
  </si>
  <si>
    <t>Large Sundae Range</t>
  </si>
  <si>
    <t>Small Sundae</t>
  </si>
  <si>
    <t>2 Toppings</t>
  </si>
  <si>
    <t>Cone</t>
  </si>
  <si>
    <t>Large Sundae</t>
  </si>
  <si>
    <t>CONCRETE</t>
  </si>
  <si>
    <t>NILLA Wafers</t>
  </si>
  <si>
    <t>Reese's Take 5</t>
  </si>
  <si>
    <t xml:space="preserve">Stuffed Toppings </t>
  </si>
  <si>
    <t>Ritas chocolate cake large concrete portion 2023</t>
  </si>
  <si>
    <t>Ritas Pumpkin Cold Brew Large concrete portion 2023</t>
  </si>
  <si>
    <t>SUNDAE</t>
  </si>
  <si>
    <t>Add together your custard portion, two toppings, whipped cream and a cherry. Don't forget to add on a  waffle bowl as well!</t>
  </si>
  <si>
    <t>Chcoolate Strawberry</t>
  </si>
  <si>
    <t>Small Portion</t>
  </si>
  <si>
    <t>CONES &amp; BOWLS</t>
  </si>
  <si>
    <t>Fresh Baked Waffle Bowl</t>
  </si>
  <si>
    <t>Fresh Baked Waffle Cone</t>
  </si>
  <si>
    <t>Waffle Bowl</t>
  </si>
  <si>
    <t>Waffle Cone</t>
  </si>
  <si>
    <t>Regular Custard Average</t>
  </si>
  <si>
    <t>Regular Custard Range</t>
  </si>
  <si>
    <t>Regular Sundae Average</t>
  </si>
  <si>
    <t>Regular Sundae Range</t>
  </si>
  <si>
    <t>Regular Sidekick Sundae Range</t>
  </si>
  <si>
    <t>Large Sidekick Sundae Range</t>
  </si>
  <si>
    <t>.</t>
  </si>
  <si>
    <t>DIPPED CONES/BOWLS</t>
  </si>
  <si>
    <t xml:space="preserve"> (cone, dip and topping included)--per serving</t>
  </si>
  <si>
    <t>Chocolate Dipped Waffle Cone</t>
  </si>
  <si>
    <t>Chocolate Rainbow Sprinkle Dipped Waffle Cone</t>
  </si>
  <si>
    <t>Chocolate Chocolate Sprinkle Dipped Waffle Cone</t>
  </si>
  <si>
    <t>Chocolate Oreo Dipped Waffle Cone</t>
  </si>
  <si>
    <t>Chocolate Nilla Dipped Waffle Cone</t>
  </si>
  <si>
    <t>Chocolate Choc Chip Dipped Waffle Cone</t>
  </si>
  <si>
    <t>Chocolate Peanut Dipped Waffle Cone</t>
  </si>
  <si>
    <t>Chocolate Heath Dipped Waffle Cone</t>
  </si>
  <si>
    <t>Chocolate Fruity Pebble Dipped Waffle Cone</t>
  </si>
  <si>
    <t>Chocolate Dipped Waffle Bowl</t>
  </si>
  <si>
    <t>Chocolate Rainbow Sprinkle Dipped Waffle Bowl</t>
  </si>
  <si>
    <t>Chocolate Chocolate Sprinkle Dipped Waffle Bowl</t>
  </si>
  <si>
    <t>Chocolate Oreo Dipped Waffle Bowl</t>
  </si>
  <si>
    <t>Chocolate Nilla Dipped Waffle Bowl</t>
  </si>
  <si>
    <t>Chocolate Choc Chip Dipped Waffle Bowl</t>
  </si>
  <si>
    <t>Chocolate Peanut Dipped Waffle Bowl</t>
  </si>
  <si>
    <t>Chocolate Heath Dipped Waffle Bowl</t>
  </si>
  <si>
    <t>Chocolate Fruity Pebble Dipped Waffle Bowl</t>
  </si>
  <si>
    <t>Chocolate Dipped Cake Cone</t>
  </si>
  <si>
    <t>Chocolate Rainbow Sprinkle Dipped Cake Cone</t>
  </si>
  <si>
    <t>Chocolate Chocolate Sprinkle Dipped Cake Cone</t>
  </si>
  <si>
    <t>Chocolate Oreo Dipped Cake Cone</t>
  </si>
  <si>
    <t>Chocolate Nilla Dipped Cake Cone</t>
  </si>
  <si>
    <t>Chocolate Choc Chip Dipped Cake Cone</t>
  </si>
  <si>
    <t>Chocolate Peanut Dipped Cake Cone</t>
  </si>
  <si>
    <t>Chocolate Heath Dipped Cake Cone</t>
  </si>
  <si>
    <t>Chocolate Fruity Pebble Dipped Cake Cone</t>
  </si>
  <si>
    <t>Cone/Bowl Dipped Low</t>
  </si>
  <si>
    <t>Cone/Bowl Dipped High</t>
  </si>
  <si>
    <t>Average Dipped</t>
  </si>
  <si>
    <t>Cone/Bowl Dipped w/ Topping Low</t>
  </si>
  <si>
    <t>Cone/Bowl Dipped w/ Topping High</t>
  </si>
  <si>
    <t>Average Dipped with Topping</t>
  </si>
  <si>
    <t>Dipped Custard</t>
  </si>
  <si>
    <t>Cherry Kids</t>
  </si>
  <si>
    <t>Chocolate Kids</t>
  </si>
  <si>
    <t>Butterscotch Kids</t>
  </si>
  <si>
    <t>Cherry Regular</t>
  </si>
  <si>
    <t>Chocolate Regular</t>
  </si>
  <si>
    <t>Butterscotch Regular</t>
  </si>
  <si>
    <t>Cherry Large</t>
  </si>
  <si>
    <t>Chocolate Large</t>
  </si>
  <si>
    <t>Butterscotch Large</t>
  </si>
  <si>
    <t>Single Dip Low</t>
  </si>
  <si>
    <t>Single Dip High</t>
  </si>
  <si>
    <t>Single Dip Range</t>
  </si>
  <si>
    <t>Cherry Double Kids</t>
  </si>
  <si>
    <t>Chocolate Double Kids</t>
  </si>
  <si>
    <t>Butterscotch Double Kids</t>
  </si>
  <si>
    <t>Cherry Double Regular</t>
  </si>
  <si>
    <t>Chocolate Double Regular</t>
  </si>
  <si>
    <t>Butterscotch Double Regular</t>
  </si>
  <si>
    <t>Cherry Double Large</t>
  </si>
  <si>
    <t>Chocolate Double Large</t>
  </si>
  <si>
    <t>Butterscotch Double Large</t>
  </si>
  <si>
    <t>Double Dip High</t>
  </si>
  <si>
    <t>Double Dip Range</t>
  </si>
  <si>
    <t>Cherry Triple Kids</t>
  </si>
  <si>
    <t>Chocolate Triple Kids</t>
  </si>
  <si>
    <t>Butterscotch Triple Kids</t>
  </si>
  <si>
    <t>Cherry Triple Regular</t>
  </si>
  <si>
    <t>Chocolate Triple Regular</t>
  </si>
  <si>
    <t>Butterscotch Triple Regular</t>
  </si>
  <si>
    <t>Cherry Triple Large</t>
  </si>
  <si>
    <t>Chocolate Triple Large</t>
  </si>
  <si>
    <t>Butterscotch Triple Large</t>
  </si>
  <si>
    <t>Tiriple Dip Low</t>
  </si>
  <si>
    <t>Triple Dip High</t>
  </si>
  <si>
    <t>Triple Dip Range</t>
  </si>
  <si>
    <t>Extra Custard Upcharge- 1 ounce</t>
  </si>
  <si>
    <t>Strawberry Custard</t>
  </si>
  <si>
    <t>Orange Cream Custard</t>
  </si>
  <si>
    <t>Coffee Custard</t>
  </si>
  <si>
    <t>Average</t>
  </si>
  <si>
    <t>Range</t>
  </si>
  <si>
    <t>Custard Pint- 11 ounces</t>
  </si>
  <si>
    <t>Median</t>
  </si>
  <si>
    <t>Low</t>
  </si>
  <si>
    <t>High</t>
  </si>
  <si>
    <t>Butter Pecan Custard</t>
  </si>
  <si>
    <t>Mint Custard</t>
  </si>
  <si>
    <t>Cheesecake Custard</t>
  </si>
  <si>
    <t>Cotton Candy Custard</t>
  </si>
  <si>
    <t xml:space="preserve">CUSTARD </t>
  </si>
  <si>
    <t>Per Ounce</t>
  </si>
  <si>
    <t xml:space="preserve">Average Per Ounce </t>
  </si>
  <si>
    <t xml:space="preserve">Range Per Ounce </t>
  </si>
  <si>
    <t>BOOST FROZEN DRINK</t>
  </si>
  <si>
    <t xml:space="preserve">Size </t>
  </si>
  <si>
    <t>Regular</t>
  </si>
  <si>
    <t>BOOST</t>
  </si>
  <si>
    <t xml:space="preserve">Large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</si>
</sst>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0000"/>
  </numFmts>
  <fonts count="99">
    <font>
      <sz val="10"/>
      <name val="Arial"/>
    </font>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theme="10"/>
      <name val="Arial"/>
      <family val="2"/>
    </font>
    <font>
      <u/>
      <sz val="10"/>
      <color theme="11"/>
      <name val="Arial"/>
      <family val="2"/>
    </font>
    <font>
      <sz val="10"/>
      <name val="Arial"/>
      <family val="2"/>
    </font>
    <font>
      <sz val="10"/>
      <name val="Verdana"/>
      <family val="2"/>
    </font>
    <font>
      <sz val="11"/>
      <name val="Verdana"/>
      <family val="2"/>
    </font>
    <font>
      <sz val="11"/>
      <color theme="1"/>
      <name val="Verdana"/>
      <family val="2"/>
    </font>
    <font>
      <i/>
      <sz val="11"/>
      <name val="Verdana"/>
      <family val="2"/>
    </font>
    <font>
      <b/>
      <sz val="18"/>
      <color theme="0"/>
      <name val="Verdana"/>
      <family val="2"/>
    </font>
    <font>
      <b/>
      <sz val="14"/>
      <color theme="0"/>
      <name val="Verdana"/>
      <family val="2"/>
    </font>
    <font>
      <b/>
      <sz val="11"/>
      <color theme="0"/>
      <name val="Verdana"/>
      <family val="2"/>
    </font>
    <font>
      <sz val="11"/>
      <color theme="0"/>
      <name val="Verdana"/>
      <family val="2"/>
    </font>
    <font>
      <b/>
      <sz val="10"/>
      <color theme="0"/>
      <name val="Verdana"/>
      <family val="2"/>
    </font>
    <font>
      <b/>
      <sz val="11"/>
      <name val="Verdana"/>
      <family val="2"/>
    </font>
    <font>
      <b/>
      <sz val="18"/>
      <name val="Verdana"/>
      <family val="2"/>
    </font>
    <font>
      <b/>
      <sz val="12"/>
      <color theme="0"/>
      <name val="Verdana"/>
      <family val="2"/>
    </font>
    <font>
      <sz val="12"/>
      <color theme="0"/>
      <name val="Verdana"/>
      <family val="2"/>
    </font>
    <font>
      <sz val="12"/>
      <name val="Verdana"/>
      <family val="2"/>
    </font>
    <font>
      <b/>
      <sz val="12"/>
      <name val="Verdana"/>
      <family val="2"/>
    </font>
    <font>
      <b/>
      <sz val="11"/>
      <color theme="1"/>
      <name val="Verdana"/>
      <family val="2"/>
    </font>
    <font>
      <b/>
      <sz val="8"/>
      <color theme="0"/>
      <name val="Verdana"/>
      <family val="2"/>
    </font>
    <font>
      <sz val="12"/>
      <name val="Calibri Light"/>
      <family val="2"/>
    </font>
    <font>
      <b/>
      <sz val="12"/>
      <color theme="0"/>
      <name val="Calibri Light"/>
      <family val="2"/>
    </font>
    <font>
      <b/>
      <sz val="12"/>
      <name val="Calibri Light"/>
      <family val="2"/>
    </font>
    <font>
      <sz val="12"/>
      <color theme="0"/>
      <name val="Calibri Light"/>
      <family val="2"/>
    </font>
    <font>
      <i/>
      <sz val="12"/>
      <name val="Calibri Light"/>
      <family val="2"/>
    </font>
    <font>
      <b/>
      <i/>
      <sz val="12"/>
      <name val="Calibri Light"/>
      <family val="2"/>
    </font>
    <font>
      <sz val="12"/>
      <color theme="1"/>
      <name val="Calibri Light"/>
      <family val="2"/>
    </font>
    <font>
      <b/>
      <sz val="12"/>
      <color theme="1"/>
      <name val="Calibri Light"/>
      <family val="2"/>
    </font>
    <font>
      <b/>
      <sz val="11"/>
      <color theme="0"/>
      <name val="Calibri Light"/>
      <family val="2"/>
    </font>
    <font>
      <b/>
      <sz val="11"/>
      <color theme="1"/>
      <name val="Calibri"/>
      <family val="2"/>
      <scheme val="minor"/>
    </font>
    <font>
      <sz val="10"/>
      <name val="Arial"/>
      <family val="2"/>
    </font>
    <font>
      <sz val="14"/>
      <color theme="1"/>
      <name val="Calibri"/>
      <family val="2"/>
      <scheme val="minor"/>
    </font>
    <font>
      <sz val="14"/>
      <name val="Calibri"/>
      <family val="2"/>
      <scheme val="minor"/>
    </font>
    <font>
      <sz val="10"/>
      <name val="Calibri"/>
      <family val="2"/>
      <scheme val="minor"/>
    </font>
    <font>
      <b/>
      <sz val="14"/>
      <name val="Calibri"/>
      <family val="2"/>
      <scheme val="minor"/>
    </font>
    <font>
      <b/>
      <sz val="14"/>
      <color theme="0" tint="-4.9989318521683403E-2"/>
      <name val="Calibri"/>
      <family val="2"/>
      <scheme val="minor"/>
    </font>
    <font>
      <b/>
      <sz val="14"/>
      <color theme="0"/>
      <name val="Calibri"/>
      <family val="2"/>
      <scheme val="minor"/>
    </font>
    <font>
      <sz val="14"/>
      <color theme="0"/>
      <name val="Calibri"/>
      <family val="2"/>
      <scheme val="minor"/>
    </font>
    <font>
      <sz val="11"/>
      <name val="Calibri"/>
      <family val="2"/>
      <scheme val="minor"/>
    </font>
    <font>
      <sz val="10"/>
      <name val=" calibr"/>
    </font>
    <font>
      <sz val="14"/>
      <color theme="1"/>
      <name val=" calibr"/>
    </font>
    <font>
      <b/>
      <sz val="14"/>
      <color theme="1"/>
      <name val=" calibr"/>
    </font>
    <font>
      <sz val="14"/>
      <color theme="0"/>
      <name val=" calibr"/>
    </font>
    <font>
      <b/>
      <sz val="14"/>
      <color theme="0"/>
      <name val=" calibr"/>
    </font>
    <font>
      <sz val="14"/>
      <name val=" calibr"/>
    </font>
    <font>
      <b/>
      <sz val="14"/>
      <color theme="1"/>
      <name val="Calibri"/>
      <family val="2"/>
      <scheme val="minor"/>
    </font>
    <font>
      <b/>
      <sz val="16"/>
      <color theme="0"/>
      <name val="Calibri"/>
      <family val="2"/>
      <scheme val="minor"/>
    </font>
    <font>
      <b/>
      <sz val="11"/>
      <color theme="0"/>
      <name val="Calibri"/>
      <family val="2"/>
      <scheme val="minor"/>
    </font>
    <font>
      <sz val="11"/>
      <color theme="0"/>
      <name val="Calibri"/>
      <family val="2"/>
      <scheme val="minor"/>
    </font>
    <font>
      <i/>
      <sz val="14"/>
      <name val="Calibri"/>
      <family val="2"/>
      <scheme val="minor"/>
    </font>
    <font>
      <sz val="12"/>
      <name val="Calibri"/>
      <family val="2"/>
      <scheme val="minor"/>
    </font>
    <font>
      <b/>
      <sz val="10"/>
      <color theme="0"/>
      <name val="Calibri Light"/>
      <family val="2"/>
    </font>
    <font>
      <sz val="14"/>
      <color theme="0"/>
      <name val="Calibri Light"/>
      <family val="2"/>
    </font>
    <font>
      <sz val="12"/>
      <color theme="0"/>
      <name val="Calibri"/>
      <family val="2"/>
    </font>
    <font>
      <b/>
      <sz val="9"/>
      <color theme="0"/>
      <name val="Calibri Light"/>
      <family val="2"/>
    </font>
    <font>
      <b/>
      <sz val="9"/>
      <color theme="0"/>
      <name val="Calibri"/>
      <family val="2"/>
      <scheme val="minor"/>
    </font>
    <font>
      <sz val="11"/>
      <name val="Arial"/>
      <family val="2"/>
    </font>
    <font>
      <sz val="12"/>
      <color theme="1"/>
      <name val="Calibri"/>
      <family val="2"/>
      <scheme val="minor"/>
    </font>
    <font>
      <sz val="14"/>
      <name val="Calibri Light"/>
      <family val="2"/>
    </font>
    <font>
      <sz val="11"/>
      <name val="Calibri Light"/>
      <family val="2"/>
    </font>
    <font>
      <sz val="11"/>
      <color rgb="FFFF0000"/>
      <name val="Calibri"/>
      <family val="2"/>
      <scheme val="minor"/>
    </font>
    <font>
      <sz val="10"/>
      <color theme="1"/>
      <name val="Arial"/>
    </font>
    <font>
      <sz val="11"/>
      <name val="Calibri"/>
      <scheme val="minor"/>
    </font>
    <font>
      <sz val="12"/>
      <name val="Calibri"/>
      <scheme val="minor"/>
    </font>
    <font>
      <sz val="12"/>
      <color rgb="FF000000"/>
      <name val="Calibri Light"/>
      <family val="2"/>
    </font>
    <font>
      <i/>
      <sz val="12"/>
      <color theme="1"/>
      <name val="Calibri Light"/>
      <family val="2"/>
    </font>
    <font>
      <sz val="10"/>
      <name val="Arial"/>
    </font>
    <font>
      <sz val="10"/>
      <color theme="1"/>
      <name val="Arial"/>
      <family val="2"/>
    </font>
    <font>
      <sz val="10"/>
      <color theme="1"/>
      <name val="Calibri"/>
      <family val="2"/>
      <scheme val="minor"/>
    </font>
    <font>
      <sz val="10"/>
      <name val="Open Sans"/>
      <family val="2"/>
      <charset val="1"/>
    </font>
    <font>
      <sz val="11"/>
      <color rgb="FF000000"/>
      <name val="Calibri Light"/>
      <family val="2"/>
    </font>
    <font>
      <sz val="12"/>
      <name val="Aptos"/>
      <family val="2"/>
    </font>
    <font>
      <b/>
      <sz val="12"/>
      <color theme="0"/>
      <name val="Aptos"/>
      <family val="2"/>
    </font>
    <font>
      <b/>
      <sz val="12"/>
      <name val="Aptos"/>
      <family val="2"/>
    </font>
    <font>
      <sz val="12"/>
      <color theme="0"/>
      <name val="Aptos"/>
      <family val="2"/>
    </font>
    <font>
      <sz val="12"/>
      <color theme="1"/>
      <name val="Aptos"/>
      <family val="2"/>
    </font>
    <font>
      <sz val="12"/>
      <color rgb="FF000000"/>
      <name val="Aptos"/>
      <family val="2"/>
    </font>
    <font>
      <sz val="11"/>
      <name val="Aptos"/>
      <family val="2"/>
    </font>
    <font>
      <sz val="11"/>
      <color theme="1"/>
      <name val="Aptos"/>
      <family val="2"/>
    </font>
    <font>
      <i/>
      <sz val="12"/>
      <color theme="1"/>
      <name val="Aptos"/>
      <family val="2"/>
    </font>
    <font>
      <i/>
      <sz val="12"/>
      <name val="Aptos"/>
      <family val="2"/>
    </font>
    <font>
      <i/>
      <sz val="12"/>
      <color rgb="FF000000"/>
      <name val="Aptos"/>
      <family val="2"/>
    </font>
    <font>
      <sz val="11"/>
      <color rgb="FF000000"/>
      <name val="Aptos"/>
      <family val="2"/>
    </font>
    <font>
      <b/>
      <sz val="14"/>
      <color theme="0"/>
      <name val="Aptos"/>
      <family val="2"/>
    </font>
  </fonts>
  <fills count="19">
    <fill>
      <patternFill patternType="none"/>
    </fill>
    <fill>
      <patternFill patternType="gray125"/>
    </fill>
    <fill>
      <patternFill patternType="solid">
        <fgColor rgb="FF132C55"/>
        <bgColor indexed="64"/>
      </patternFill>
    </fill>
    <fill>
      <patternFill patternType="solid">
        <fgColor theme="0" tint="-0.499984740745262"/>
        <bgColor indexed="64"/>
      </patternFill>
    </fill>
    <fill>
      <patternFill patternType="solid">
        <fgColor theme="0"/>
        <bgColor indexed="64"/>
      </patternFill>
    </fill>
    <fill>
      <patternFill patternType="solid">
        <fgColor rgb="FF002060"/>
        <bgColor indexed="64"/>
      </patternFill>
    </fill>
    <fill>
      <patternFill patternType="solid">
        <fgColor rgb="FFFFFF00"/>
        <bgColor indexed="64"/>
      </patternFill>
    </fill>
    <fill>
      <patternFill patternType="solid">
        <fgColor rgb="FF00B050"/>
        <bgColor indexed="64"/>
      </patternFill>
    </fill>
    <fill>
      <patternFill patternType="solid">
        <fgColor theme="2" tint="-0.499984740745262"/>
        <bgColor indexed="64"/>
      </patternFill>
    </fill>
    <fill>
      <patternFill patternType="solid">
        <fgColor theme="1" tint="0.499984740745262"/>
        <bgColor indexed="64"/>
      </patternFill>
    </fill>
    <fill>
      <patternFill patternType="solid">
        <fgColor rgb="FFFF0000"/>
        <bgColor indexed="64"/>
      </patternFill>
    </fill>
    <fill>
      <patternFill patternType="solid">
        <fgColor rgb="FF00B0F0"/>
        <bgColor indexed="64"/>
      </patternFill>
    </fill>
    <fill>
      <patternFill patternType="solid">
        <fgColor rgb="FF92D050"/>
        <bgColor indexed="64"/>
      </patternFill>
    </fill>
    <fill>
      <patternFill patternType="solid">
        <fgColor theme="5" tint="0.39997558519241921"/>
        <bgColor indexed="64"/>
      </patternFill>
    </fill>
    <fill>
      <patternFill patternType="solid">
        <fgColor theme="9" tint="-0.249977111117893"/>
        <bgColor indexed="64"/>
      </patternFill>
    </fill>
    <fill>
      <patternFill patternType="solid">
        <fgColor rgb="FFC000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7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medium">
        <color indexed="64"/>
      </bottom>
      <diagonal/>
    </border>
    <border>
      <left/>
      <right style="thin">
        <color auto="1"/>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auto="1"/>
      </left>
      <right/>
      <top/>
      <bottom/>
      <diagonal/>
    </border>
    <border>
      <left style="medium">
        <color indexed="64"/>
      </left>
      <right/>
      <top style="thin">
        <color auto="1"/>
      </top>
      <bottom style="thin">
        <color auto="1"/>
      </bottom>
      <diagonal/>
    </border>
    <border>
      <left style="medium">
        <color indexed="64"/>
      </left>
      <right/>
      <top style="thin">
        <color indexed="64"/>
      </top>
      <bottom style="medium">
        <color indexed="64"/>
      </bottom>
      <diagonal/>
    </border>
    <border>
      <left style="thin">
        <color auto="1"/>
      </left>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top style="thin">
        <color auto="1"/>
      </top>
      <bottom style="thin">
        <color auto="1"/>
      </bottom>
      <diagonal/>
    </border>
    <border>
      <left style="medium">
        <color indexed="64"/>
      </left>
      <right/>
      <top style="thin">
        <color auto="1"/>
      </top>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medium">
        <color indexed="64"/>
      </left>
      <right style="thin">
        <color auto="1"/>
      </right>
      <top style="thin">
        <color auto="1"/>
      </top>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right/>
      <top style="thin">
        <color auto="1"/>
      </top>
      <bottom style="medium">
        <color indexed="64"/>
      </bottom>
      <diagonal/>
    </border>
    <border>
      <left style="thin">
        <color auto="1"/>
      </left>
      <right style="thin">
        <color auto="1"/>
      </right>
      <top/>
      <bottom/>
      <diagonal/>
    </border>
    <border>
      <left style="thin">
        <color auto="1"/>
      </left>
      <right/>
      <top/>
      <bottom style="medium">
        <color indexed="64"/>
      </bottom>
      <diagonal/>
    </border>
    <border>
      <left style="thin">
        <color auto="1"/>
      </left>
      <right style="medium">
        <color indexed="64"/>
      </right>
      <top style="thin">
        <color auto="1"/>
      </top>
      <bottom/>
      <diagonal/>
    </border>
    <border>
      <left style="medium">
        <color indexed="64"/>
      </left>
      <right style="medium">
        <color indexed="64"/>
      </right>
      <top style="thin">
        <color auto="1"/>
      </top>
      <bottom/>
      <diagonal/>
    </border>
    <border>
      <left/>
      <right style="medium">
        <color indexed="64"/>
      </right>
      <top/>
      <bottom style="thin">
        <color indexed="64"/>
      </bottom>
      <diagonal/>
    </border>
    <border>
      <left style="medium">
        <color indexed="64"/>
      </left>
      <right/>
      <top/>
      <bottom style="thin">
        <color auto="1"/>
      </bottom>
      <diagonal/>
    </border>
    <border>
      <left style="thin">
        <color auto="1"/>
      </left>
      <right style="thin">
        <color auto="1"/>
      </right>
      <top/>
      <bottom style="medium">
        <color indexed="64"/>
      </bottom>
      <diagonal/>
    </border>
    <border>
      <left style="medium">
        <color indexed="64"/>
      </left>
      <right style="medium">
        <color indexed="64"/>
      </right>
      <top/>
      <bottom style="thin">
        <color auto="1"/>
      </bottom>
      <diagonal/>
    </border>
    <border>
      <left style="thin">
        <color auto="1"/>
      </left>
      <right style="medium">
        <color indexed="64"/>
      </right>
      <top/>
      <bottom/>
      <diagonal/>
    </border>
    <border>
      <left style="thin">
        <color rgb="FF000000"/>
      </left>
      <right style="thin">
        <color rgb="FF000000"/>
      </right>
      <top style="thin">
        <color rgb="FF000000"/>
      </top>
      <bottom style="thin">
        <color rgb="FF000000"/>
      </bottom>
      <diagonal/>
    </border>
    <border>
      <left/>
      <right/>
      <top style="thin">
        <color rgb="FFDDDDDD"/>
      </top>
      <bottom/>
      <diagonal/>
    </border>
  </borders>
  <cellStyleXfs count="776">
    <xf numFmtId="0" fontId="0" fillId="0" borderId="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4" fillId="0" borderId="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3" fillId="0" borderId="0"/>
    <xf numFmtId="0" fontId="15"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2" fillId="0" borderId="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1" fillId="0" borderId="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1" fillId="0" borderId="0"/>
    <xf numFmtId="0" fontId="15"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1" fillId="0" borderId="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xf numFmtId="0" fontId="10" fillId="0" borderId="0"/>
    <xf numFmtId="0" fontId="9" fillId="0" borderId="0"/>
    <xf numFmtId="0" fontId="8" fillId="0" borderId="0"/>
    <xf numFmtId="0" fontId="45"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9" fontId="81" fillId="0" borderId="0" applyFont="0" applyFill="0" applyBorder="0" applyAlignment="0" applyProtection="0"/>
  </cellStyleXfs>
  <cellXfs count="1440">
    <xf numFmtId="0" fontId="0" fillId="0" borderId="0" xfId="0"/>
    <xf numFmtId="0" fontId="26" fillId="3" borderId="24" xfId="0" applyFont="1" applyFill="1" applyBorder="1" applyAlignment="1">
      <alignment horizontal="center" vertical="center" wrapText="1"/>
    </xf>
    <xf numFmtId="0" fontId="26" fillId="3" borderId="24" xfId="763" applyFont="1" applyFill="1" applyBorder="1" applyAlignment="1">
      <alignment horizontal="center" vertical="center" wrapText="1"/>
    </xf>
    <xf numFmtId="0" fontId="26" fillId="3" borderId="25" xfId="763" applyFont="1" applyFill="1" applyBorder="1" applyAlignment="1">
      <alignment horizontal="center" vertical="center" wrapText="1"/>
    </xf>
    <xf numFmtId="1" fontId="27"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19" fillId="0" borderId="0" xfId="0" applyFont="1" applyAlignment="1">
      <alignment horizontal="center" vertical="center" wrapText="1"/>
    </xf>
    <xf numFmtId="49" fontId="27" fillId="0" borderId="1" xfId="0" applyNumberFormat="1" applyFont="1" applyBorder="1" applyAlignment="1">
      <alignment horizontal="center" vertical="center" wrapText="1"/>
    </xf>
    <xf numFmtId="0" fontId="24" fillId="3" borderId="18" xfId="0" applyFont="1" applyFill="1" applyBorder="1" applyAlignment="1">
      <alignment vertical="center" wrapText="1"/>
    </xf>
    <xf numFmtId="0" fontId="24" fillId="3" borderId="16" xfId="0" applyFont="1" applyFill="1" applyBorder="1" applyAlignment="1">
      <alignment vertical="center" wrapText="1"/>
    </xf>
    <xf numFmtId="0" fontId="19" fillId="0" borderId="0" xfId="0" applyFont="1" applyAlignment="1">
      <alignment vertical="center" wrapText="1"/>
    </xf>
    <xf numFmtId="0" fontId="25" fillId="0" borderId="0" xfId="0" applyFont="1"/>
    <xf numFmtId="0" fontId="24" fillId="3" borderId="21" xfId="0" applyFont="1" applyFill="1" applyBorder="1" applyAlignment="1">
      <alignment horizontal="center" vertical="center" wrapText="1"/>
    </xf>
    <xf numFmtId="0" fontId="24" fillId="3" borderId="24" xfId="0" applyFont="1" applyFill="1" applyBorder="1" applyAlignment="1">
      <alignment horizontal="center" vertical="center" wrapText="1"/>
    </xf>
    <xf numFmtId="0" fontId="20" fillId="0" borderId="0" xfId="765" applyFont="1" applyAlignment="1">
      <alignment horizontal="center"/>
    </xf>
    <xf numFmtId="1" fontId="20" fillId="0" borderId="0" xfId="765" applyNumberFormat="1" applyFont="1" applyAlignment="1">
      <alignment horizontal="center"/>
    </xf>
    <xf numFmtId="0" fontId="23" fillId="0" borderId="0" xfId="0" applyFont="1" applyAlignment="1">
      <alignment horizontal="center" vertical="center" wrapText="1"/>
    </xf>
    <xf numFmtId="0" fontId="24" fillId="0" borderId="0" xfId="0" applyFont="1" applyAlignment="1">
      <alignment horizontal="center" vertical="center" textRotation="90" wrapText="1"/>
    </xf>
    <xf numFmtId="0" fontId="24" fillId="0" borderId="0" xfId="0" applyFont="1" applyAlignment="1">
      <alignment horizontal="center" vertical="center" wrapText="1"/>
    </xf>
    <xf numFmtId="0" fontId="24" fillId="0" borderId="0" xfId="763" applyFont="1" applyAlignment="1">
      <alignment horizontal="center" vertical="center" wrapText="1"/>
    </xf>
    <xf numFmtId="1" fontId="27" fillId="0" borderId="0" xfId="0" applyNumberFormat="1" applyFont="1" applyAlignment="1">
      <alignment horizontal="center" vertical="center" wrapText="1"/>
    </xf>
    <xf numFmtId="0" fontId="24" fillId="3" borderId="24" xfId="0" applyFont="1" applyFill="1" applyBorder="1" applyAlignment="1">
      <alignment horizontal="left" vertical="center" wrapText="1"/>
    </xf>
    <xf numFmtId="0" fontId="20" fillId="0" borderId="0" xfId="765" applyFont="1" applyAlignment="1">
      <alignment horizontal="left"/>
    </xf>
    <xf numFmtId="0" fontId="19" fillId="0" borderId="0" xfId="0" applyFont="1" applyAlignment="1">
      <alignment horizontal="left" vertical="center" wrapText="1"/>
    </xf>
    <xf numFmtId="0" fontId="24" fillId="0" borderId="0" xfId="0" applyFont="1" applyAlignment="1">
      <alignment horizontal="left" vertical="center" wrapText="1"/>
    </xf>
    <xf numFmtId="0" fontId="24" fillId="3" borderId="36" xfId="0" applyFont="1" applyFill="1" applyBorder="1" applyAlignment="1">
      <alignment horizontal="left" vertical="center" wrapText="1"/>
    </xf>
    <xf numFmtId="0" fontId="18" fillId="0" borderId="0" xfId="0" applyFont="1" applyAlignment="1">
      <alignment horizontal="center"/>
    </xf>
    <xf numFmtId="0" fontId="18" fillId="0" borderId="0" xfId="0" applyFont="1" applyAlignment="1">
      <alignment horizontal="left"/>
    </xf>
    <xf numFmtId="0" fontId="18" fillId="0" borderId="0" xfId="0" applyFont="1" applyAlignment="1">
      <alignment horizontal="center" wrapText="1"/>
    </xf>
    <xf numFmtId="0" fontId="31" fillId="0" borderId="0" xfId="0" applyFont="1" applyAlignment="1">
      <alignment vertical="center" wrapText="1"/>
    </xf>
    <xf numFmtId="0" fontId="32" fillId="0" borderId="0" xfId="0" applyFont="1" applyAlignment="1">
      <alignment vertical="center" wrapText="1"/>
    </xf>
    <xf numFmtId="0" fontId="31" fillId="0" borderId="0" xfId="0" applyFont="1" applyAlignment="1">
      <alignment horizontal="center" vertical="center" wrapText="1"/>
    </xf>
    <xf numFmtId="0" fontId="27" fillId="0" borderId="0" xfId="0" applyFont="1" applyAlignment="1">
      <alignment vertical="center" wrapText="1"/>
    </xf>
    <xf numFmtId="0" fontId="19" fillId="0" borderId="0" xfId="0" applyFont="1"/>
    <xf numFmtId="0" fontId="19" fillId="0" borderId="0" xfId="0" applyFont="1" applyAlignment="1">
      <alignment horizontal="center"/>
    </xf>
    <xf numFmtId="0" fontId="21" fillId="0" borderId="0" xfId="0" applyFont="1" applyAlignment="1">
      <alignment vertical="center" wrapText="1"/>
    </xf>
    <xf numFmtId="49" fontId="19" fillId="0" borderId="0" xfId="0" applyNumberFormat="1" applyFont="1" applyAlignment="1">
      <alignment vertical="center" wrapText="1"/>
    </xf>
    <xf numFmtId="0" fontId="18" fillId="0" borderId="0" xfId="0" applyFont="1"/>
    <xf numFmtId="0" fontId="24" fillId="3" borderId="15" xfId="0" applyFont="1" applyFill="1" applyBorder="1" applyAlignment="1">
      <alignment vertical="center" wrapText="1"/>
    </xf>
    <xf numFmtId="1" fontId="20" fillId="0" borderId="0" xfId="765" applyNumberFormat="1" applyFont="1"/>
    <xf numFmtId="0" fontId="0" fillId="0" borderId="0" xfId="0" applyAlignment="1">
      <alignment horizontal="center"/>
    </xf>
    <xf numFmtId="0" fontId="25" fillId="5" borderId="45" xfId="0" applyFont="1" applyFill="1" applyBorder="1"/>
    <xf numFmtId="0" fontId="25" fillId="5" borderId="31" xfId="0" applyFont="1" applyFill="1" applyBorder="1"/>
    <xf numFmtId="0" fontId="25" fillId="5" borderId="46" xfId="0" applyFont="1" applyFill="1" applyBorder="1"/>
    <xf numFmtId="0" fontId="26" fillId="3" borderId="16" xfId="0" applyFont="1" applyFill="1" applyBorder="1" applyAlignment="1">
      <alignment horizontal="center" vertical="center" wrapText="1"/>
    </xf>
    <xf numFmtId="0" fontId="26" fillId="3" borderId="16" xfId="763" applyFont="1" applyFill="1" applyBorder="1" applyAlignment="1">
      <alignment horizontal="center" vertical="center" wrapText="1"/>
    </xf>
    <xf numFmtId="0" fontId="26" fillId="3" borderId="17" xfId="763" applyFont="1" applyFill="1" applyBorder="1" applyAlignment="1">
      <alignment horizontal="center" vertical="center" wrapText="1"/>
    </xf>
    <xf numFmtId="0" fontId="32" fillId="0" borderId="1" xfId="0" applyFont="1" applyBorder="1" applyAlignment="1">
      <alignment horizontal="center"/>
    </xf>
    <xf numFmtId="0" fontId="24" fillId="3" borderId="5" xfId="0" applyFont="1" applyFill="1" applyBorder="1" applyAlignment="1">
      <alignment vertical="center" wrapText="1"/>
    </xf>
    <xf numFmtId="0" fontId="25" fillId="5" borderId="35" xfId="0" applyFont="1" applyFill="1" applyBorder="1"/>
    <xf numFmtId="0" fontId="25" fillId="5" borderId="40" xfId="0" applyFont="1" applyFill="1" applyBorder="1"/>
    <xf numFmtId="0" fontId="26" fillId="3" borderId="4" xfId="0" applyFont="1" applyFill="1" applyBorder="1" applyAlignment="1">
      <alignment horizontal="center" vertical="center" wrapText="1"/>
    </xf>
    <xf numFmtId="0" fontId="26" fillId="3" borderId="4" xfId="763" applyFont="1" applyFill="1" applyBorder="1" applyAlignment="1">
      <alignment horizontal="center" vertical="center" wrapText="1"/>
    </xf>
    <xf numFmtId="0" fontId="25" fillId="5" borderId="50" xfId="0" applyFont="1" applyFill="1" applyBorder="1" applyAlignment="1">
      <alignment horizontal="left" vertical="center" wrapText="1"/>
    </xf>
    <xf numFmtId="0" fontId="25" fillId="5" borderId="51" xfId="0" applyFont="1" applyFill="1" applyBorder="1" applyAlignment="1">
      <alignment horizontal="left" vertical="center" wrapText="1"/>
    </xf>
    <xf numFmtId="0" fontId="25" fillId="5" borderId="52" xfId="0" applyFont="1" applyFill="1" applyBorder="1" applyAlignment="1">
      <alignment horizontal="left" vertical="center" wrapText="1"/>
    </xf>
    <xf numFmtId="0" fontId="25" fillId="5" borderId="51" xfId="0" applyFont="1" applyFill="1" applyBorder="1" applyAlignment="1">
      <alignment horizontal="left"/>
    </xf>
    <xf numFmtId="0" fontId="25" fillId="5" borderId="41" xfId="765" applyFont="1" applyFill="1" applyBorder="1" applyAlignment="1">
      <alignment horizontal="left"/>
    </xf>
    <xf numFmtId="0" fontId="25" fillId="5" borderId="43" xfId="765" applyFont="1" applyFill="1" applyBorder="1" applyAlignment="1">
      <alignment horizontal="left"/>
    </xf>
    <xf numFmtId="0" fontId="25" fillId="5" borderId="50" xfId="0" applyFont="1" applyFill="1" applyBorder="1" applyAlignment="1">
      <alignment horizontal="left"/>
    </xf>
    <xf numFmtId="0" fontId="25" fillId="5" borderId="52" xfId="0" applyFont="1" applyFill="1" applyBorder="1" applyAlignment="1">
      <alignment horizontal="left"/>
    </xf>
    <xf numFmtId="0" fontId="25" fillId="5" borderId="50" xfId="765" applyFont="1" applyFill="1" applyBorder="1" applyAlignment="1">
      <alignment horizontal="left"/>
    </xf>
    <xf numFmtId="0" fontId="25" fillId="5" borderId="51" xfId="765" applyFont="1" applyFill="1" applyBorder="1" applyAlignment="1">
      <alignment horizontal="left"/>
    </xf>
    <xf numFmtId="0" fontId="25" fillId="5" borderId="52" xfId="765" applyFont="1" applyFill="1" applyBorder="1" applyAlignment="1">
      <alignment horizontal="left"/>
    </xf>
    <xf numFmtId="0" fontId="25" fillId="5" borderId="42" xfId="765" applyFont="1" applyFill="1" applyBorder="1" applyAlignment="1">
      <alignment horizontal="left"/>
    </xf>
    <xf numFmtId="0" fontId="25" fillId="5" borderId="13" xfId="0" applyFont="1" applyFill="1" applyBorder="1" applyAlignment="1">
      <alignment vertical="center" wrapText="1"/>
    </xf>
    <xf numFmtId="0" fontId="25" fillId="5" borderId="19" xfId="0" applyFont="1" applyFill="1" applyBorder="1" applyAlignment="1">
      <alignment vertical="center" wrapText="1"/>
    </xf>
    <xf numFmtId="0" fontId="25" fillId="5" borderId="20" xfId="0" applyFont="1" applyFill="1" applyBorder="1" applyAlignment="1">
      <alignment vertical="center" wrapText="1"/>
    </xf>
    <xf numFmtId="0" fontId="27" fillId="0" borderId="1" xfId="0" applyFont="1" applyBorder="1" applyAlignment="1">
      <alignment horizontal="center" wrapText="1"/>
    </xf>
    <xf numFmtId="0" fontId="32" fillId="4" borderId="1" xfId="0" applyFont="1" applyFill="1" applyBorder="1" applyAlignment="1">
      <alignment horizontal="center" vertical="center" wrapText="1"/>
    </xf>
    <xf numFmtId="0" fontId="33" fillId="0" borderId="1" xfId="0" applyFont="1" applyBorder="1" applyAlignment="1">
      <alignment horizontal="center"/>
    </xf>
    <xf numFmtId="0" fontId="25" fillId="5" borderId="21" xfId="0" applyFont="1" applyFill="1" applyBorder="1" applyAlignment="1">
      <alignment vertical="center" wrapText="1"/>
    </xf>
    <xf numFmtId="0" fontId="25" fillId="5" borderId="54" xfId="0" applyFont="1" applyFill="1" applyBorder="1" applyAlignment="1">
      <alignment vertical="center" wrapText="1"/>
    </xf>
    <xf numFmtId="0" fontId="25" fillId="5" borderId="55" xfId="0" applyFont="1" applyFill="1" applyBorder="1"/>
    <xf numFmtId="0" fontId="25" fillId="5" borderId="56" xfId="0" applyFont="1" applyFill="1" applyBorder="1"/>
    <xf numFmtId="0" fontId="24" fillId="5" borderId="1" xfId="0" applyFont="1" applyFill="1" applyBorder="1" applyAlignment="1">
      <alignment vertical="center" wrapText="1"/>
    </xf>
    <xf numFmtId="0" fontId="25" fillId="5" borderId="39" xfId="0" applyFont="1" applyFill="1" applyBorder="1" applyAlignment="1">
      <alignment vertical="center" wrapText="1"/>
    </xf>
    <xf numFmtId="0" fontId="24" fillId="3" borderId="31" xfId="0" applyFont="1" applyFill="1" applyBorder="1" applyAlignment="1">
      <alignment vertical="center" wrapText="1"/>
    </xf>
    <xf numFmtId="0" fontId="19" fillId="6" borderId="6" xfId="0" applyFont="1" applyFill="1" applyBorder="1" applyAlignment="1">
      <alignment horizontal="center"/>
    </xf>
    <xf numFmtId="0" fontId="20" fillId="6" borderId="6" xfId="0" applyFont="1" applyFill="1" applyBorder="1" applyAlignment="1">
      <alignment horizontal="center"/>
    </xf>
    <xf numFmtId="0" fontId="19" fillId="6" borderId="7" xfId="0" applyFont="1" applyFill="1" applyBorder="1" applyAlignment="1">
      <alignment horizontal="center"/>
    </xf>
    <xf numFmtId="0" fontId="19" fillId="6" borderId="1" xfId="0" applyFont="1" applyFill="1" applyBorder="1" applyAlignment="1">
      <alignment horizontal="center"/>
    </xf>
    <xf numFmtId="0" fontId="19" fillId="6" borderId="9" xfId="0" applyFont="1" applyFill="1" applyBorder="1" applyAlignment="1">
      <alignment horizontal="center"/>
    </xf>
    <xf numFmtId="0" fontId="19" fillId="6" borderId="11" xfId="0" applyFont="1" applyFill="1" applyBorder="1" applyAlignment="1">
      <alignment horizontal="center"/>
    </xf>
    <xf numFmtId="0" fontId="19" fillId="6" borderId="12" xfId="0" applyFont="1" applyFill="1" applyBorder="1" applyAlignment="1">
      <alignment horizontal="center"/>
    </xf>
    <xf numFmtId="0" fontId="19" fillId="6" borderId="1" xfId="0" applyFont="1" applyFill="1" applyBorder="1" applyAlignment="1">
      <alignment horizontal="center" vertical="center" wrapText="1"/>
    </xf>
    <xf numFmtId="0" fontId="19" fillId="6" borderId="9" xfId="0" applyFont="1" applyFill="1" applyBorder="1" applyAlignment="1">
      <alignment horizontal="center" vertical="center" wrapText="1"/>
    </xf>
    <xf numFmtId="1" fontId="19" fillId="6" borderId="1" xfId="0" applyNumberFormat="1" applyFont="1" applyFill="1" applyBorder="1" applyAlignment="1">
      <alignment horizontal="center"/>
    </xf>
    <xf numFmtId="0" fontId="20" fillId="6" borderId="1" xfId="0" applyFont="1" applyFill="1" applyBorder="1" applyAlignment="1">
      <alignment horizontal="center" vertical="center" wrapText="1"/>
    </xf>
    <xf numFmtId="0" fontId="20" fillId="6" borderId="9" xfId="0" applyFont="1" applyFill="1" applyBorder="1" applyAlignment="1">
      <alignment horizontal="center" vertical="center" wrapText="1"/>
    </xf>
    <xf numFmtId="1" fontId="19" fillId="6" borderId="11" xfId="0" applyNumberFormat="1" applyFont="1" applyFill="1" applyBorder="1" applyAlignment="1">
      <alignment horizontal="center"/>
    </xf>
    <xf numFmtId="0" fontId="19" fillId="6" borderId="11" xfId="0" applyFont="1" applyFill="1" applyBorder="1" applyAlignment="1">
      <alignment horizontal="center" vertical="center"/>
    </xf>
    <xf numFmtId="0" fontId="19" fillId="6" borderId="12" xfId="0" applyFont="1" applyFill="1" applyBorder="1" applyAlignment="1">
      <alignment horizontal="center" vertical="center"/>
    </xf>
    <xf numFmtId="1" fontId="19" fillId="6" borderId="6" xfId="0" applyNumberFormat="1" applyFont="1" applyFill="1" applyBorder="1" applyAlignment="1">
      <alignment horizontal="center"/>
    </xf>
    <xf numFmtId="1" fontId="19" fillId="6" borderId="31" xfId="0" applyNumberFormat="1" applyFont="1" applyFill="1" applyBorder="1" applyAlignment="1">
      <alignment horizontal="center"/>
    </xf>
    <xf numFmtId="1" fontId="19" fillId="6" borderId="9" xfId="0" applyNumberFormat="1" applyFont="1" applyFill="1" applyBorder="1" applyAlignment="1">
      <alignment horizontal="center"/>
    </xf>
    <xf numFmtId="1" fontId="19" fillId="6" borderId="12" xfId="0" applyNumberFormat="1" applyFont="1" applyFill="1" applyBorder="1" applyAlignment="1">
      <alignment horizontal="center"/>
    </xf>
    <xf numFmtId="1" fontId="19" fillId="6" borderId="7" xfId="0" applyNumberFormat="1" applyFont="1" applyFill="1" applyBorder="1" applyAlignment="1">
      <alignment horizontal="center"/>
    </xf>
    <xf numFmtId="1" fontId="20" fillId="6" borderId="48" xfId="765" applyNumberFormat="1" applyFont="1" applyFill="1" applyBorder="1" applyAlignment="1">
      <alignment horizontal="center"/>
    </xf>
    <xf numFmtId="1" fontId="20" fillId="6" borderId="6" xfId="765" applyNumberFormat="1" applyFont="1" applyFill="1" applyBorder="1" applyAlignment="1">
      <alignment horizontal="center"/>
    </xf>
    <xf numFmtId="1" fontId="20" fillId="6" borderId="35" xfId="765" applyNumberFormat="1" applyFont="1" applyFill="1" applyBorder="1" applyAlignment="1">
      <alignment horizontal="center"/>
    </xf>
    <xf numFmtId="0" fontId="18" fillId="6" borderId="6" xfId="0" applyFont="1" applyFill="1" applyBorder="1"/>
    <xf numFmtId="0" fontId="18" fillId="6" borderId="7" xfId="0" applyFont="1" applyFill="1" applyBorder="1"/>
    <xf numFmtId="1" fontId="20" fillId="6" borderId="44" xfId="765" applyNumberFormat="1" applyFont="1" applyFill="1" applyBorder="1" applyAlignment="1">
      <alignment horizontal="center"/>
    </xf>
    <xf numFmtId="1" fontId="20" fillId="6" borderId="1" xfId="765" applyNumberFormat="1" applyFont="1" applyFill="1" applyBorder="1" applyAlignment="1">
      <alignment horizontal="center"/>
    </xf>
    <xf numFmtId="1" fontId="20" fillId="6" borderId="31" xfId="765" applyNumberFormat="1" applyFont="1" applyFill="1" applyBorder="1" applyAlignment="1">
      <alignment horizontal="center"/>
    </xf>
    <xf numFmtId="0" fontId="18" fillId="6" borderId="1" xfId="0" applyFont="1" applyFill="1" applyBorder="1"/>
    <xf numFmtId="0" fontId="18" fillId="6" borderId="9" xfId="0" applyFont="1" applyFill="1" applyBorder="1"/>
    <xf numFmtId="1" fontId="20" fillId="6" borderId="49" xfId="765" applyNumberFormat="1" applyFont="1" applyFill="1" applyBorder="1" applyAlignment="1">
      <alignment horizontal="center"/>
    </xf>
    <xf numFmtId="1" fontId="20" fillId="6" borderId="11" xfId="765" applyNumberFormat="1" applyFont="1" applyFill="1" applyBorder="1" applyAlignment="1">
      <alignment horizontal="center"/>
    </xf>
    <xf numFmtId="1" fontId="20" fillId="6" borderId="40" xfId="765" applyNumberFormat="1" applyFont="1" applyFill="1" applyBorder="1" applyAlignment="1">
      <alignment horizontal="center"/>
    </xf>
    <xf numFmtId="0" fontId="18" fillId="6" borderId="11" xfId="0" applyFont="1" applyFill="1" applyBorder="1"/>
    <xf numFmtId="0" fontId="18" fillId="6" borderId="12" xfId="0" applyFont="1" applyFill="1" applyBorder="1"/>
    <xf numFmtId="0" fontId="19" fillId="6" borderId="35" xfId="0" applyFont="1" applyFill="1" applyBorder="1" applyAlignment="1">
      <alignment horizontal="center"/>
    </xf>
    <xf numFmtId="0" fontId="19" fillId="6" borderId="31" xfId="0" applyFont="1" applyFill="1" applyBorder="1" applyAlignment="1">
      <alignment horizontal="center"/>
    </xf>
    <xf numFmtId="164" fontId="19" fillId="6" borderId="1" xfId="0" applyNumberFormat="1" applyFont="1" applyFill="1" applyBorder="1" applyAlignment="1">
      <alignment horizontal="center"/>
    </xf>
    <xf numFmtId="0" fontId="19" fillId="6" borderId="31" xfId="0" applyFont="1" applyFill="1" applyBorder="1" applyAlignment="1">
      <alignment horizontal="center" vertical="center" wrapText="1"/>
    </xf>
    <xf numFmtId="0" fontId="19" fillId="6" borderId="40" xfId="0" applyFont="1" applyFill="1" applyBorder="1" applyAlignment="1">
      <alignment horizontal="center"/>
    </xf>
    <xf numFmtId="1" fontId="20" fillId="6" borderId="7" xfId="765" applyNumberFormat="1" applyFont="1" applyFill="1" applyBorder="1" applyAlignment="1">
      <alignment horizontal="center"/>
    </xf>
    <xf numFmtId="1" fontId="20" fillId="6" borderId="9" xfId="765" applyNumberFormat="1" applyFont="1" applyFill="1" applyBorder="1" applyAlignment="1">
      <alignment horizontal="center"/>
    </xf>
    <xf numFmtId="1" fontId="20" fillId="6" borderId="12" xfId="765" applyNumberFormat="1" applyFont="1" applyFill="1" applyBorder="1" applyAlignment="1">
      <alignment horizontal="center"/>
    </xf>
    <xf numFmtId="0" fontId="25" fillId="5" borderId="35" xfId="0" applyFont="1" applyFill="1" applyBorder="1" applyAlignment="1">
      <alignment horizontal="left"/>
    </xf>
    <xf numFmtId="0" fontId="25" fillId="5" borderId="31" xfId="0" applyFont="1" applyFill="1" applyBorder="1" applyAlignment="1">
      <alignment horizontal="left"/>
    </xf>
    <xf numFmtId="0" fontId="25" fillId="5" borderId="40" xfId="0" applyFont="1" applyFill="1" applyBorder="1" applyAlignment="1">
      <alignment horizontal="left"/>
    </xf>
    <xf numFmtId="1" fontId="20" fillId="6" borderId="13" xfId="765" applyNumberFormat="1" applyFont="1" applyFill="1" applyBorder="1" applyAlignment="1">
      <alignment horizontal="center"/>
    </xf>
    <xf numFmtId="1" fontId="20" fillId="6" borderId="19" xfId="765" applyNumberFormat="1" applyFont="1" applyFill="1" applyBorder="1" applyAlignment="1">
      <alignment horizontal="center"/>
    </xf>
    <xf numFmtId="1" fontId="20" fillId="6" borderId="20" xfId="765" applyNumberFormat="1" applyFont="1" applyFill="1" applyBorder="1" applyAlignment="1">
      <alignment horizontal="center"/>
    </xf>
    <xf numFmtId="0" fontId="19" fillId="6" borderId="19" xfId="0" applyFont="1" applyFill="1" applyBorder="1" applyAlignment="1">
      <alignment horizontal="center"/>
    </xf>
    <xf numFmtId="0" fontId="19" fillId="6" borderId="44" xfId="0" applyFont="1" applyFill="1" applyBorder="1" applyAlignment="1">
      <alignment horizontal="center"/>
    </xf>
    <xf numFmtId="0" fontId="19" fillId="6" borderId="13" xfId="0" applyFont="1" applyFill="1" applyBorder="1" applyAlignment="1">
      <alignment horizontal="center"/>
    </xf>
    <xf numFmtId="0" fontId="19" fillId="6" borderId="20" xfId="0" applyFont="1" applyFill="1" applyBorder="1" applyAlignment="1">
      <alignment horizontal="center"/>
    </xf>
    <xf numFmtId="1" fontId="19" fillId="6" borderId="19" xfId="0" applyNumberFormat="1" applyFont="1" applyFill="1" applyBorder="1" applyAlignment="1">
      <alignment horizontal="center"/>
    </xf>
    <xf numFmtId="0" fontId="19" fillId="6" borderId="1" xfId="0" applyFont="1" applyFill="1" applyBorder="1" applyAlignment="1">
      <alignment horizontal="center" vertical="center"/>
    </xf>
    <xf numFmtId="1" fontId="19" fillId="7" borderId="6" xfId="0" applyNumberFormat="1" applyFont="1" applyFill="1" applyBorder="1" applyAlignment="1">
      <alignment horizontal="center"/>
    </xf>
    <xf numFmtId="0" fontId="19" fillId="7" borderId="6" xfId="0" applyFont="1" applyFill="1" applyBorder="1" applyAlignment="1">
      <alignment horizontal="center" vertical="center" wrapText="1"/>
    </xf>
    <xf numFmtId="0" fontId="19" fillId="7" borderId="7" xfId="0" applyFont="1" applyFill="1" applyBorder="1" applyAlignment="1">
      <alignment horizontal="center" vertical="center" wrapText="1"/>
    </xf>
    <xf numFmtId="1" fontId="19" fillId="7" borderId="1" xfId="0" applyNumberFormat="1" applyFont="1" applyFill="1" applyBorder="1" applyAlignment="1">
      <alignment horizontal="center"/>
    </xf>
    <xf numFmtId="0" fontId="19" fillId="7" borderId="1" xfId="0" applyFont="1" applyFill="1" applyBorder="1" applyAlignment="1">
      <alignment horizontal="center" vertical="center" wrapText="1"/>
    </xf>
    <xf numFmtId="0" fontId="19" fillId="7" borderId="9" xfId="0" applyFont="1" applyFill="1" applyBorder="1" applyAlignment="1">
      <alignment horizontal="center" vertical="center" wrapText="1"/>
    </xf>
    <xf numFmtId="0" fontId="19" fillId="7" borderId="1" xfId="0" applyFont="1" applyFill="1" applyBorder="1" applyAlignment="1">
      <alignment horizontal="center" vertical="center"/>
    </xf>
    <xf numFmtId="0" fontId="20" fillId="7" borderId="1" xfId="0" applyFont="1" applyFill="1" applyBorder="1" applyAlignment="1">
      <alignment horizontal="center" vertical="center" wrapText="1"/>
    </xf>
    <xf numFmtId="0" fontId="20" fillId="7" borderId="9" xfId="0" applyFont="1" applyFill="1" applyBorder="1" applyAlignment="1">
      <alignment horizontal="center" vertical="center" wrapText="1"/>
    </xf>
    <xf numFmtId="0" fontId="19" fillId="7" borderId="9" xfId="0" applyFont="1" applyFill="1" applyBorder="1" applyAlignment="1">
      <alignment horizontal="center" vertical="center"/>
    </xf>
    <xf numFmtId="1" fontId="19" fillId="7" borderId="9" xfId="0" applyNumberFormat="1" applyFont="1" applyFill="1" applyBorder="1" applyAlignment="1">
      <alignment horizontal="center"/>
    </xf>
    <xf numFmtId="0" fontId="19" fillId="7" borderId="11" xfId="0" applyFont="1" applyFill="1" applyBorder="1" applyAlignment="1">
      <alignment horizontal="center" vertical="center" wrapText="1"/>
    </xf>
    <xf numFmtId="0" fontId="19" fillId="7" borderId="12" xfId="0" applyFont="1" applyFill="1" applyBorder="1" applyAlignment="1">
      <alignment horizontal="center" vertical="center" wrapText="1"/>
    </xf>
    <xf numFmtId="1" fontId="19" fillId="7" borderId="2" xfId="0" applyNumberFormat="1" applyFont="1" applyFill="1" applyBorder="1" applyAlignment="1">
      <alignment horizontal="center"/>
    </xf>
    <xf numFmtId="0" fontId="19" fillId="7" borderId="2" xfId="0" applyFont="1" applyFill="1" applyBorder="1" applyAlignment="1">
      <alignment horizontal="center" vertical="center" wrapText="1"/>
    </xf>
    <xf numFmtId="0" fontId="19" fillId="7" borderId="14" xfId="0" applyFont="1" applyFill="1" applyBorder="1" applyAlignment="1">
      <alignment horizontal="center" vertical="center" wrapText="1"/>
    </xf>
    <xf numFmtId="1" fontId="19" fillId="7" borderId="11" xfId="0" applyNumberFormat="1" applyFont="1" applyFill="1" applyBorder="1" applyAlignment="1">
      <alignment horizontal="center"/>
    </xf>
    <xf numFmtId="1" fontId="19" fillId="7" borderId="7" xfId="0" applyNumberFormat="1" applyFont="1" applyFill="1" applyBorder="1" applyAlignment="1">
      <alignment horizontal="center"/>
    </xf>
    <xf numFmtId="1" fontId="19" fillId="7" borderId="12" xfId="0" applyNumberFormat="1" applyFont="1" applyFill="1" applyBorder="1" applyAlignment="1">
      <alignment horizontal="center"/>
    </xf>
    <xf numFmtId="0" fontId="19" fillId="6" borderId="19" xfId="0" applyFont="1" applyFill="1" applyBorder="1" applyAlignment="1">
      <alignment horizontal="center" vertical="center"/>
    </xf>
    <xf numFmtId="0" fontId="19" fillId="6" borderId="9" xfId="0" applyFont="1" applyFill="1" applyBorder="1" applyAlignment="1">
      <alignment horizontal="center" vertical="center"/>
    </xf>
    <xf numFmtId="0" fontId="19" fillId="6" borderId="48" xfId="0" applyFont="1" applyFill="1" applyBorder="1" applyAlignment="1">
      <alignment horizontal="center"/>
    </xf>
    <xf numFmtId="1" fontId="19" fillId="6" borderId="1" xfId="0" applyNumberFormat="1" applyFont="1" applyFill="1" applyBorder="1" applyAlignment="1">
      <alignment horizontal="center" vertical="center" wrapText="1"/>
    </xf>
    <xf numFmtId="1" fontId="19" fillId="6" borderId="11" xfId="0" applyNumberFormat="1" applyFont="1" applyFill="1" applyBorder="1" applyAlignment="1">
      <alignment horizontal="center" vertical="center" wrapText="1"/>
    </xf>
    <xf numFmtId="1" fontId="19" fillId="6" borderId="6" xfId="0" applyNumberFormat="1" applyFont="1" applyFill="1" applyBorder="1" applyAlignment="1">
      <alignment horizontal="center" vertical="center" wrapText="1"/>
    </xf>
    <xf numFmtId="0" fontId="25" fillId="5" borderId="10" xfId="0" applyFont="1" applyFill="1" applyBorder="1" applyAlignment="1">
      <alignment vertical="center" wrapText="1"/>
    </xf>
    <xf numFmtId="0" fontId="18" fillId="7" borderId="1" xfId="0" applyFont="1" applyFill="1" applyBorder="1" applyAlignment="1">
      <alignment horizontal="center"/>
    </xf>
    <xf numFmtId="0" fontId="18" fillId="6" borderId="1" xfId="0" applyFont="1" applyFill="1" applyBorder="1" applyAlignment="1">
      <alignment horizontal="center"/>
    </xf>
    <xf numFmtId="0" fontId="25" fillId="5" borderId="13" xfId="0" applyFont="1" applyFill="1" applyBorder="1" applyAlignment="1">
      <alignment horizontal="left" vertical="center" wrapText="1"/>
    </xf>
    <xf numFmtId="0" fontId="18" fillId="6" borderId="6" xfId="0" applyFont="1" applyFill="1" applyBorder="1" applyAlignment="1">
      <alignment horizontal="center"/>
    </xf>
    <xf numFmtId="0" fontId="18" fillId="6" borderId="7" xfId="0" applyFont="1" applyFill="1" applyBorder="1" applyAlignment="1">
      <alignment horizontal="center"/>
    </xf>
    <xf numFmtId="0" fontId="25" fillId="5" borderId="19" xfId="0" applyFont="1" applyFill="1" applyBorder="1" applyAlignment="1">
      <alignment horizontal="left" vertical="center" wrapText="1"/>
    </xf>
    <xf numFmtId="0" fontId="18" fillId="6" borderId="9" xfId="0" applyFont="1" applyFill="1" applyBorder="1" applyAlignment="1">
      <alignment horizontal="center"/>
    </xf>
    <xf numFmtId="0" fontId="25" fillId="5" borderId="20" xfId="0" applyFont="1" applyFill="1" applyBorder="1" applyAlignment="1">
      <alignment horizontal="left" vertical="center" wrapText="1"/>
    </xf>
    <xf numFmtId="0" fontId="18" fillId="6" borderId="11" xfId="0" applyFont="1" applyFill="1" applyBorder="1" applyAlignment="1">
      <alignment horizontal="center"/>
    </xf>
    <xf numFmtId="0" fontId="18" fillId="6" borderId="12" xfId="0" applyFont="1" applyFill="1" applyBorder="1" applyAlignment="1">
      <alignment horizontal="center"/>
    </xf>
    <xf numFmtId="1" fontId="19" fillId="7" borderId="6" xfId="0" applyNumberFormat="1" applyFont="1" applyFill="1" applyBorder="1" applyAlignment="1">
      <alignment horizontal="center" vertical="center" wrapText="1"/>
    </xf>
    <xf numFmtId="0" fontId="18" fillId="7" borderId="6" xfId="0" applyFont="1" applyFill="1" applyBorder="1" applyAlignment="1">
      <alignment horizontal="center"/>
    </xf>
    <xf numFmtId="0" fontId="18" fillId="7" borderId="7" xfId="0" applyFont="1" applyFill="1" applyBorder="1" applyAlignment="1">
      <alignment horizontal="center"/>
    </xf>
    <xf numFmtId="1" fontId="19" fillId="7" borderId="1" xfId="0" applyNumberFormat="1" applyFont="1" applyFill="1" applyBorder="1" applyAlignment="1">
      <alignment horizontal="center" vertical="center" wrapText="1"/>
    </xf>
    <xf numFmtId="0" fontId="18" fillId="7" borderId="9" xfId="0" applyFont="1" applyFill="1" applyBorder="1" applyAlignment="1">
      <alignment horizontal="center"/>
    </xf>
    <xf numFmtId="1" fontId="19" fillId="7" borderId="11" xfId="0" applyNumberFormat="1" applyFont="1" applyFill="1" applyBorder="1" applyAlignment="1">
      <alignment horizontal="center" vertical="center" wrapText="1"/>
    </xf>
    <xf numFmtId="0" fontId="18" fillId="7" borderId="11" xfId="0" applyFont="1" applyFill="1" applyBorder="1" applyAlignment="1">
      <alignment horizontal="center"/>
    </xf>
    <xf numFmtId="0" fontId="18" fillId="7" borderId="12" xfId="0" applyFont="1" applyFill="1" applyBorder="1" applyAlignment="1">
      <alignment horizontal="center"/>
    </xf>
    <xf numFmtId="1" fontId="0" fillId="0" borderId="0" xfId="0" applyNumberFormat="1"/>
    <xf numFmtId="1" fontId="35" fillId="5" borderId="0" xfId="0" applyNumberFormat="1" applyFont="1" applyFill="1" applyAlignment="1">
      <alignment horizontal="center" vertical="center" wrapText="1"/>
    </xf>
    <xf numFmtId="1" fontId="35" fillId="0" borderId="0" xfId="0" applyNumberFormat="1" applyFont="1" applyAlignment="1">
      <alignment horizontal="center" vertical="center" wrapText="1"/>
    </xf>
    <xf numFmtId="1" fontId="35" fillId="3" borderId="18" xfId="0" applyNumberFormat="1" applyFont="1" applyFill="1" applyBorder="1" applyAlignment="1">
      <alignment horizontal="center" vertical="center" wrapText="1"/>
    </xf>
    <xf numFmtId="1" fontId="36" fillId="3" borderId="16" xfId="0" applyNumberFormat="1" applyFont="1" applyFill="1" applyBorder="1" applyAlignment="1">
      <alignment horizontal="center" vertical="center" wrapText="1"/>
    </xf>
    <xf numFmtId="1" fontId="36" fillId="3" borderId="16" xfId="763" applyNumberFormat="1" applyFont="1" applyFill="1" applyBorder="1" applyAlignment="1">
      <alignment horizontal="center" vertical="center" wrapText="1"/>
    </xf>
    <xf numFmtId="1" fontId="36" fillId="3" borderId="17" xfId="763" applyNumberFormat="1" applyFont="1" applyFill="1" applyBorder="1" applyAlignment="1">
      <alignment horizontal="center" vertical="center" wrapText="1"/>
    </xf>
    <xf numFmtId="1" fontId="36" fillId="0" borderId="0" xfId="0" applyNumberFormat="1" applyFont="1" applyAlignment="1">
      <alignment horizontal="center" vertical="center" wrapText="1"/>
    </xf>
    <xf numFmtId="1" fontId="35" fillId="5" borderId="21" xfId="0" applyNumberFormat="1" applyFont="1" applyFill="1" applyBorder="1" applyAlignment="1">
      <alignment horizontal="center" vertical="center" wrapText="1"/>
    </xf>
    <xf numFmtId="1" fontId="38" fillId="5" borderId="1" xfId="0" applyNumberFormat="1" applyFont="1" applyFill="1" applyBorder="1" applyAlignment="1">
      <alignment horizontal="center" vertical="center" wrapText="1"/>
    </xf>
    <xf numFmtId="1" fontId="35" fillId="6" borderId="1" xfId="0" applyNumberFormat="1" applyFont="1" applyFill="1" applyBorder="1" applyAlignment="1">
      <alignment horizontal="center" vertical="center" wrapText="1"/>
    </xf>
    <xf numFmtId="1" fontId="35" fillId="0" borderId="1" xfId="0" applyNumberFormat="1" applyFont="1" applyBorder="1" applyAlignment="1">
      <alignment horizontal="center" vertical="center" wrapText="1"/>
    </xf>
    <xf numFmtId="1" fontId="35" fillId="5" borderId="22" xfId="0" applyNumberFormat="1" applyFont="1" applyFill="1" applyBorder="1" applyAlignment="1">
      <alignment horizontal="center" vertical="center" wrapText="1"/>
    </xf>
    <xf numFmtId="1" fontId="35" fillId="5" borderId="23" xfId="0" applyNumberFormat="1" applyFont="1" applyFill="1" applyBorder="1" applyAlignment="1">
      <alignment horizontal="center" vertical="center" wrapText="1"/>
    </xf>
    <xf numFmtId="1" fontId="37" fillId="0" borderId="1" xfId="0" applyNumberFormat="1" applyFont="1" applyBorder="1" applyAlignment="1">
      <alignment horizontal="center" vertical="center" wrapText="1"/>
    </xf>
    <xf numFmtId="1" fontId="35" fillId="3" borderId="0" xfId="0" applyNumberFormat="1" applyFont="1" applyFill="1" applyAlignment="1">
      <alignment horizontal="center" vertical="center" wrapText="1"/>
    </xf>
    <xf numFmtId="1" fontId="36" fillId="3" borderId="1" xfId="0" applyNumberFormat="1" applyFont="1" applyFill="1" applyBorder="1" applyAlignment="1">
      <alignment horizontal="center" vertical="center" wrapText="1"/>
    </xf>
    <xf numFmtId="1" fontId="36" fillId="3" borderId="1" xfId="763" applyNumberFormat="1" applyFont="1" applyFill="1" applyBorder="1" applyAlignment="1">
      <alignment horizontal="center" vertical="center" wrapText="1"/>
    </xf>
    <xf numFmtId="1" fontId="35" fillId="0" borderId="1" xfId="0" applyNumberFormat="1" applyFont="1" applyBorder="1" applyAlignment="1">
      <alignment horizontal="center" vertical="center"/>
    </xf>
    <xf numFmtId="1" fontId="38" fillId="0" borderId="1" xfId="0" applyNumberFormat="1" applyFont="1" applyBorder="1" applyAlignment="1">
      <alignment horizontal="center" vertical="center" wrapText="1"/>
    </xf>
    <xf numFmtId="1" fontId="39" fillId="0" borderId="1" xfId="0" applyNumberFormat="1" applyFont="1" applyBorder="1" applyAlignment="1">
      <alignment horizontal="center" vertical="center" wrapText="1"/>
    </xf>
    <xf numFmtId="1" fontId="40" fillId="0" borderId="1" xfId="0" applyNumberFormat="1" applyFont="1" applyBorder="1" applyAlignment="1">
      <alignment horizontal="center" vertical="center" wrapText="1"/>
    </xf>
    <xf numFmtId="1" fontId="36" fillId="3" borderId="4" xfId="0" applyNumberFormat="1" applyFont="1" applyFill="1" applyBorder="1" applyAlignment="1">
      <alignment horizontal="center" vertical="center" wrapText="1"/>
    </xf>
    <xf numFmtId="1" fontId="36" fillId="3" borderId="4" xfId="763" applyNumberFormat="1" applyFont="1" applyFill="1" applyBorder="1" applyAlignment="1">
      <alignment horizontal="center" vertical="center" wrapText="1"/>
    </xf>
    <xf numFmtId="1" fontId="38" fillId="5" borderId="50" xfId="0" applyNumberFormat="1" applyFont="1" applyFill="1" applyBorder="1" applyAlignment="1">
      <alignment horizontal="center" vertical="center" wrapText="1"/>
    </xf>
    <xf numFmtId="1" fontId="35" fillId="0" borderId="48" xfId="0" applyNumberFormat="1" applyFont="1" applyBorder="1" applyAlignment="1">
      <alignment horizontal="center" vertical="center" wrapText="1"/>
    </xf>
    <xf numFmtId="1" fontId="35" fillId="0" borderId="6" xfId="0" applyNumberFormat="1" applyFont="1" applyBorder="1" applyAlignment="1">
      <alignment horizontal="center" vertical="center" wrapText="1"/>
    </xf>
    <xf numFmtId="1" fontId="35" fillId="0" borderId="7" xfId="0" applyNumberFormat="1" applyFont="1" applyBorder="1" applyAlignment="1">
      <alignment horizontal="center" vertical="center" wrapText="1"/>
    </xf>
    <xf numFmtId="1" fontId="38" fillId="5" borderId="51" xfId="0" applyNumberFormat="1" applyFont="1" applyFill="1" applyBorder="1" applyAlignment="1">
      <alignment horizontal="center" vertical="center" wrapText="1"/>
    </xf>
    <xf numFmtId="1" fontId="35" fillId="0" borderId="44" xfId="0" applyNumberFormat="1" applyFont="1" applyBorder="1" applyAlignment="1">
      <alignment horizontal="center" vertical="center" wrapText="1"/>
    </xf>
    <xf numFmtId="1" fontId="35" fillId="0" borderId="9" xfId="0" applyNumberFormat="1" applyFont="1" applyBorder="1" applyAlignment="1">
      <alignment horizontal="center" vertical="center" wrapText="1"/>
    </xf>
    <xf numFmtId="1" fontId="38" fillId="5" borderId="52" xfId="0" applyNumberFormat="1" applyFont="1" applyFill="1" applyBorder="1" applyAlignment="1">
      <alignment horizontal="center" vertical="center" wrapText="1"/>
    </xf>
    <xf numFmtId="1" fontId="35" fillId="0" borderId="49" xfId="0" applyNumberFormat="1" applyFont="1" applyBorder="1" applyAlignment="1">
      <alignment horizontal="center" vertical="center" wrapText="1"/>
    </xf>
    <xf numFmtId="1" fontId="35" fillId="0" borderId="11" xfId="0" applyNumberFormat="1" applyFont="1" applyBorder="1" applyAlignment="1">
      <alignment horizontal="center" vertical="center" wrapText="1"/>
    </xf>
    <xf numFmtId="1" fontId="35" fillId="0" borderId="12" xfId="0" applyNumberFormat="1" applyFont="1" applyBorder="1" applyAlignment="1">
      <alignment horizontal="center" vertical="center" wrapText="1"/>
    </xf>
    <xf numFmtId="1" fontId="35" fillId="0" borderId="0" xfId="0" applyNumberFormat="1" applyFont="1" applyAlignment="1">
      <alignment horizontal="center" vertical="center"/>
    </xf>
    <xf numFmtId="1" fontId="36" fillId="3" borderId="15" xfId="0" applyNumberFormat="1" applyFont="1" applyFill="1" applyBorder="1" applyAlignment="1">
      <alignment horizontal="center" vertical="center" wrapText="1"/>
    </xf>
    <xf numFmtId="1" fontId="36" fillId="3" borderId="24" xfId="0" applyNumberFormat="1" applyFont="1" applyFill="1" applyBorder="1" applyAlignment="1">
      <alignment horizontal="center" vertical="center" wrapText="1"/>
    </xf>
    <xf numFmtId="1" fontId="36" fillId="3" borderId="24" xfId="763" applyNumberFormat="1" applyFont="1" applyFill="1" applyBorder="1" applyAlignment="1">
      <alignment horizontal="center" vertical="center" wrapText="1"/>
    </xf>
    <xf numFmtId="1" fontId="38" fillId="5" borderId="31" xfId="0" applyNumberFormat="1" applyFont="1" applyFill="1" applyBorder="1" applyAlignment="1">
      <alignment horizontal="center" vertical="center" wrapText="1"/>
    </xf>
    <xf numFmtId="1" fontId="38" fillId="5" borderId="31" xfId="0" applyNumberFormat="1" applyFont="1" applyFill="1" applyBorder="1" applyAlignment="1">
      <alignment horizontal="center" vertical="center"/>
    </xf>
    <xf numFmtId="1" fontId="38" fillId="5" borderId="46" xfId="0" applyNumberFormat="1" applyFont="1" applyFill="1" applyBorder="1" applyAlignment="1">
      <alignment horizontal="center" vertical="center" wrapText="1"/>
    </xf>
    <xf numFmtId="1" fontId="35" fillId="0" borderId="4" xfId="0" applyNumberFormat="1" applyFont="1" applyBorder="1" applyAlignment="1">
      <alignment horizontal="center" vertical="center"/>
    </xf>
    <xf numFmtId="1" fontId="35" fillId="0" borderId="2" xfId="0" applyNumberFormat="1" applyFont="1" applyBorder="1" applyAlignment="1">
      <alignment horizontal="center" vertical="center" wrapText="1"/>
    </xf>
    <xf numFmtId="1" fontId="35" fillId="0" borderId="2" xfId="0" applyNumberFormat="1" applyFont="1" applyBorder="1" applyAlignment="1">
      <alignment horizontal="center" vertical="center"/>
    </xf>
    <xf numFmtId="1" fontId="37" fillId="0" borderId="1" xfId="0" applyNumberFormat="1" applyFont="1" applyBorder="1" applyAlignment="1">
      <alignment horizontal="center" vertical="center"/>
    </xf>
    <xf numFmtId="1" fontId="37" fillId="0" borderId="0" xfId="0" applyNumberFormat="1" applyFont="1" applyAlignment="1">
      <alignment horizontal="center" vertical="center" wrapText="1"/>
    </xf>
    <xf numFmtId="1" fontId="38" fillId="5" borderId="47" xfId="0" applyNumberFormat="1" applyFont="1" applyFill="1" applyBorder="1" applyAlignment="1">
      <alignment horizontal="center" vertical="center"/>
    </xf>
    <xf numFmtId="1" fontId="38" fillId="5" borderId="31" xfId="764" applyNumberFormat="1" applyFont="1" applyFill="1" applyBorder="1" applyAlignment="1">
      <alignment horizontal="center" vertical="center"/>
    </xf>
    <xf numFmtId="1" fontId="35" fillId="0" borderId="1" xfId="0" quotePrefix="1" applyNumberFormat="1" applyFont="1" applyBorder="1" applyAlignment="1">
      <alignment horizontal="center" vertical="center" wrapText="1"/>
    </xf>
    <xf numFmtId="1" fontId="36" fillId="0" borderId="0" xfId="0" applyNumberFormat="1" applyFont="1" applyAlignment="1">
      <alignment horizontal="center" vertical="center" textRotation="90" wrapText="1"/>
    </xf>
    <xf numFmtId="1" fontId="38" fillId="0" borderId="1" xfId="764" applyNumberFormat="1" applyFont="1" applyBorder="1" applyAlignment="1">
      <alignment horizontal="center" vertical="center"/>
    </xf>
    <xf numFmtId="1" fontId="35" fillId="0" borderId="4" xfId="0" applyNumberFormat="1" applyFont="1" applyBorder="1" applyAlignment="1">
      <alignment horizontal="center" vertical="center" wrapText="1"/>
    </xf>
    <xf numFmtId="1" fontId="35" fillId="0" borderId="63" xfId="0" applyNumberFormat="1" applyFont="1" applyBorder="1" applyAlignment="1">
      <alignment horizontal="center" vertical="center" wrapText="1"/>
    </xf>
    <xf numFmtId="1" fontId="37" fillId="0" borderId="13" xfId="0" applyNumberFormat="1" applyFont="1" applyBorder="1" applyAlignment="1">
      <alignment horizontal="center" vertical="center" wrapText="1"/>
    </xf>
    <xf numFmtId="1" fontId="37" fillId="0" borderId="6" xfId="0" applyNumberFormat="1" applyFont="1" applyBorder="1" applyAlignment="1">
      <alignment horizontal="center" vertical="center" wrapText="1"/>
    </xf>
    <xf numFmtId="1" fontId="37" fillId="0" borderId="7" xfId="0" applyNumberFormat="1" applyFont="1" applyBorder="1" applyAlignment="1">
      <alignment horizontal="center" vertical="center" wrapText="1"/>
    </xf>
    <xf numFmtId="1" fontId="37" fillId="0" borderId="19" xfId="0" applyNumberFormat="1" applyFont="1" applyBorder="1" applyAlignment="1">
      <alignment horizontal="center" vertical="center" wrapText="1"/>
    </xf>
    <xf numFmtId="1" fontId="37" fillId="0" borderId="20" xfId="0" applyNumberFormat="1" applyFont="1" applyBorder="1" applyAlignment="1">
      <alignment horizontal="center" vertical="center" wrapText="1"/>
    </xf>
    <xf numFmtId="1" fontId="38" fillId="5" borderId="6" xfId="0" applyNumberFormat="1" applyFont="1" applyFill="1" applyBorder="1" applyAlignment="1">
      <alignment horizontal="center" vertical="center" wrapText="1"/>
    </xf>
    <xf numFmtId="1" fontId="35" fillId="0" borderId="6" xfId="0" applyNumberFormat="1" applyFont="1" applyBorder="1" applyAlignment="1">
      <alignment horizontal="center" vertical="center"/>
    </xf>
    <xf numFmtId="1" fontId="35" fillId="0" borderId="7" xfId="0" applyNumberFormat="1" applyFont="1" applyBorder="1" applyAlignment="1">
      <alignment horizontal="center" vertical="center"/>
    </xf>
    <xf numFmtId="1" fontId="35" fillId="0" borderId="9" xfId="0" applyNumberFormat="1" applyFont="1" applyBorder="1" applyAlignment="1">
      <alignment horizontal="center" vertical="center"/>
    </xf>
    <xf numFmtId="1" fontId="38" fillId="5" borderId="11" xfId="0" applyNumberFormat="1" applyFont="1" applyFill="1" applyBorder="1" applyAlignment="1">
      <alignment horizontal="center" vertical="center" wrapText="1"/>
    </xf>
    <xf numFmtId="1" fontId="35" fillId="0" borderId="11" xfId="0" applyNumberFormat="1" applyFont="1" applyBorder="1" applyAlignment="1">
      <alignment horizontal="center" vertical="center"/>
    </xf>
    <xf numFmtId="1" fontId="35" fillId="0" borderId="12" xfId="0" applyNumberFormat="1" applyFont="1" applyBorder="1" applyAlignment="1">
      <alignment horizontal="center" vertical="center"/>
    </xf>
    <xf numFmtId="1" fontId="36" fillId="0" borderId="1" xfId="0" applyNumberFormat="1" applyFont="1" applyBorder="1" applyAlignment="1">
      <alignment horizontal="center" vertical="center" wrapText="1"/>
    </xf>
    <xf numFmtId="1" fontId="38" fillId="3" borderId="15" xfId="0" applyNumberFormat="1" applyFont="1" applyFill="1" applyBorder="1" applyAlignment="1">
      <alignment horizontal="center" vertical="center" wrapText="1"/>
    </xf>
    <xf numFmtId="1" fontId="36" fillId="3" borderId="34" xfId="0" applyNumberFormat="1" applyFont="1" applyFill="1" applyBorder="1" applyAlignment="1">
      <alignment vertical="center" wrapText="1"/>
    </xf>
    <xf numFmtId="1" fontId="38" fillId="5" borderId="1" xfId="0" applyNumberFormat="1" applyFont="1" applyFill="1" applyBorder="1" applyAlignment="1">
      <alignment horizontal="center" vertical="center"/>
    </xf>
    <xf numFmtId="1" fontId="41" fillId="0" borderId="1" xfId="0" applyNumberFormat="1" applyFont="1" applyBorder="1" applyAlignment="1">
      <alignment horizontal="center" vertical="center"/>
    </xf>
    <xf numFmtId="1" fontId="39" fillId="0" borderId="0" xfId="0" applyNumberFormat="1" applyFont="1" applyAlignment="1">
      <alignment horizontal="center" vertical="center" wrapText="1"/>
    </xf>
    <xf numFmtId="1" fontId="38" fillId="0" borderId="1" xfId="0" applyNumberFormat="1" applyFont="1" applyBorder="1" applyAlignment="1">
      <alignment horizontal="center" vertical="center"/>
    </xf>
    <xf numFmtId="1" fontId="36" fillId="3" borderId="21" xfId="0" applyNumberFormat="1" applyFont="1" applyFill="1" applyBorder="1" applyAlignment="1">
      <alignment horizontal="center" vertical="center" wrapText="1"/>
    </xf>
    <xf numFmtId="1" fontId="36" fillId="3" borderId="5" xfId="0" applyNumberFormat="1" applyFont="1" applyFill="1" applyBorder="1" applyAlignment="1">
      <alignment horizontal="center" vertical="center" wrapText="1"/>
    </xf>
    <xf numFmtId="1" fontId="39" fillId="0" borderId="0" xfId="0" applyNumberFormat="1" applyFont="1" applyAlignment="1">
      <alignment horizontal="center" vertical="center"/>
    </xf>
    <xf numFmtId="1" fontId="36" fillId="3" borderId="18" xfId="0" applyNumberFormat="1" applyFont="1" applyFill="1" applyBorder="1" applyAlignment="1">
      <alignment horizontal="center" vertical="center" wrapText="1"/>
    </xf>
    <xf numFmtId="0" fontId="35" fillId="0" borderId="1" xfId="0" applyFont="1" applyBorder="1" applyAlignment="1">
      <alignment horizontal="center" vertical="center"/>
    </xf>
    <xf numFmtId="1" fontId="36" fillId="0" borderId="0" xfId="0" applyNumberFormat="1" applyFont="1" applyAlignment="1">
      <alignment horizontal="center" vertical="center" textRotation="90"/>
    </xf>
    <xf numFmtId="1" fontId="37" fillId="0" borderId="9" xfId="0" applyNumberFormat="1" applyFont="1" applyBorder="1" applyAlignment="1">
      <alignment horizontal="center" vertical="center" wrapText="1"/>
    </xf>
    <xf numFmtId="1" fontId="37" fillId="0" borderId="11" xfId="0" applyNumberFormat="1" applyFont="1" applyBorder="1" applyAlignment="1">
      <alignment horizontal="center" vertical="center" wrapText="1"/>
    </xf>
    <xf numFmtId="1" fontId="37" fillId="0" borderId="12" xfId="0" applyNumberFormat="1" applyFont="1" applyBorder="1" applyAlignment="1">
      <alignment horizontal="center" vertical="center" wrapText="1"/>
    </xf>
    <xf numFmtId="1" fontId="36" fillId="3" borderId="31" xfId="0" applyNumberFormat="1" applyFont="1" applyFill="1" applyBorder="1" applyAlignment="1">
      <alignment horizontal="center" vertical="center" wrapText="1"/>
    </xf>
    <xf numFmtId="1" fontId="41" fillId="0" borderId="1" xfId="0" applyNumberFormat="1" applyFont="1" applyBorder="1" applyAlignment="1">
      <alignment horizontal="center" vertical="center" wrapText="1"/>
    </xf>
    <xf numFmtId="1" fontId="42" fillId="0" borderId="1" xfId="0" applyNumberFormat="1" applyFont="1" applyBorder="1" applyAlignment="1">
      <alignment horizontal="center" vertical="center"/>
    </xf>
    <xf numFmtId="1" fontId="38" fillId="5" borderId="38" xfId="0" applyNumberFormat="1" applyFont="1" applyFill="1" applyBorder="1" applyAlignment="1">
      <alignment horizontal="center" vertical="center" wrapText="1"/>
    </xf>
    <xf numFmtId="1" fontId="38" fillId="5" borderId="39" xfId="0" applyNumberFormat="1" applyFont="1" applyFill="1" applyBorder="1" applyAlignment="1">
      <alignment horizontal="center" vertical="center" wrapText="1"/>
    </xf>
    <xf numFmtId="1" fontId="38" fillId="5" borderId="38" xfId="0" applyNumberFormat="1" applyFont="1" applyFill="1" applyBorder="1" applyAlignment="1">
      <alignment horizontal="center" vertical="center"/>
    </xf>
    <xf numFmtId="1" fontId="38" fillId="5" borderId="39" xfId="0" applyNumberFormat="1" applyFont="1" applyFill="1" applyBorder="1" applyAlignment="1">
      <alignment horizontal="center" vertical="center"/>
    </xf>
    <xf numFmtId="1" fontId="38" fillId="0" borderId="0" xfId="0" applyNumberFormat="1" applyFont="1" applyAlignment="1">
      <alignment horizontal="center" vertical="center"/>
    </xf>
    <xf numFmtId="1" fontId="36" fillId="3" borderId="25" xfId="763" applyNumberFormat="1" applyFont="1" applyFill="1" applyBorder="1" applyAlignment="1">
      <alignment horizontal="center" vertical="center" wrapText="1"/>
    </xf>
    <xf numFmtId="1" fontId="38" fillId="5" borderId="6" xfId="0" applyNumberFormat="1" applyFont="1" applyFill="1" applyBorder="1" applyAlignment="1">
      <alignment horizontal="center" vertical="center"/>
    </xf>
    <xf numFmtId="1" fontId="37" fillId="0" borderId="0" xfId="0" applyNumberFormat="1" applyFont="1" applyAlignment="1">
      <alignment horizontal="center" vertical="center"/>
    </xf>
    <xf numFmtId="1" fontId="35" fillId="0" borderId="13" xfId="0" applyNumberFormat="1" applyFont="1" applyBorder="1" applyAlignment="1">
      <alignment horizontal="center" vertical="center"/>
    </xf>
    <xf numFmtId="1" fontId="35" fillId="0" borderId="19" xfId="0" applyNumberFormat="1" applyFont="1" applyBorder="1" applyAlignment="1">
      <alignment horizontal="center" vertical="center"/>
    </xf>
    <xf numFmtId="1" fontId="40" fillId="0" borderId="0" xfId="0" applyNumberFormat="1" applyFont="1" applyAlignment="1">
      <alignment horizontal="center" vertical="center" wrapText="1"/>
    </xf>
    <xf numFmtId="1" fontId="38" fillId="5" borderId="40" xfId="0" applyNumberFormat="1" applyFont="1" applyFill="1" applyBorder="1" applyAlignment="1">
      <alignment horizontal="center" vertical="center" wrapText="1"/>
    </xf>
    <xf numFmtId="1" fontId="35" fillId="0" borderId="20" xfId="0" applyNumberFormat="1" applyFont="1" applyBorder="1" applyAlignment="1">
      <alignment horizontal="center" vertical="center"/>
    </xf>
    <xf numFmtId="1" fontId="37" fillId="0" borderId="0" xfId="0" applyNumberFormat="1" applyFont="1" applyAlignment="1">
      <alignment horizontal="center" vertical="center" textRotation="90" wrapText="1"/>
    </xf>
    <xf numFmtId="1" fontId="37" fillId="0" borderId="44" xfId="0" applyNumberFormat="1" applyFont="1" applyBorder="1" applyAlignment="1">
      <alignment horizontal="center" vertical="center" wrapText="1"/>
    </xf>
    <xf numFmtId="1" fontId="38" fillId="5" borderId="4" xfId="0" applyNumberFormat="1" applyFont="1" applyFill="1" applyBorder="1" applyAlignment="1">
      <alignment horizontal="center" vertical="center" wrapText="1"/>
    </xf>
    <xf numFmtId="1" fontId="38" fillId="5" borderId="54" xfId="0" applyNumberFormat="1" applyFont="1" applyFill="1" applyBorder="1" applyAlignment="1">
      <alignment horizontal="center" vertical="center" wrapText="1"/>
    </xf>
    <xf numFmtId="1" fontId="36" fillId="3" borderId="22" xfId="0" applyNumberFormat="1" applyFont="1" applyFill="1" applyBorder="1" applyAlignment="1">
      <alignment horizontal="center" vertical="center" wrapText="1"/>
    </xf>
    <xf numFmtId="1" fontId="38" fillId="0" borderId="0" xfId="0" applyNumberFormat="1" applyFont="1" applyAlignment="1">
      <alignment horizontal="center" vertical="center" wrapText="1"/>
    </xf>
    <xf numFmtId="0" fontId="35" fillId="0" borderId="0" xfId="0" applyFont="1"/>
    <xf numFmtId="1" fontId="35" fillId="0" borderId="32" xfId="0" applyNumberFormat="1" applyFont="1" applyBorder="1" applyAlignment="1">
      <alignment horizontal="center" vertical="center"/>
    </xf>
    <xf numFmtId="1" fontId="36" fillId="0" borderId="22" xfId="0" applyNumberFormat="1" applyFont="1" applyBorder="1" applyAlignment="1">
      <alignment horizontal="center" vertical="center" textRotation="90" wrapText="1"/>
    </xf>
    <xf numFmtId="0" fontId="29" fillId="3" borderId="19" xfId="0" applyFont="1" applyFill="1" applyBorder="1" applyAlignment="1">
      <alignment horizontal="center" vertical="center" wrapText="1"/>
    </xf>
    <xf numFmtId="0" fontId="29" fillId="3" borderId="1" xfId="0" applyFont="1" applyFill="1" applyBorder="1" applyAlignment="1">
      <alignment horizontal="center" vertical="center" wrapText="1"/>
    </xf>
    <xf numFmtId="1" fontId="0" fillId="0" borderId="1" xfId="0" applyNumberFormat="1" applyBorder="1" applyAlignment="1">
      <alignment horizontal="center" vertical="center"/>
    </xf>
    <xf numFmtId="1" fontId="0" fillId="0" borderId="9" xfId="0" applyNumberFormat="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1" fontId="0" fillId="0" borderId="11" xfId="0" applyNumberFormat="1" applyBorder="1" applyAlignment="1">
      <alignment horizontal="center" vertical="center"/>
    </xf>
    <xf numFmtId="1" fontId="0" fillId="0" borderId="12" xfId="0" applyNumberFormat="1" applyBorder="1" applyAlignment="1">
      <alignment horizontal="center" vertical="center"/>
    </xf>
    <xf numFmtId="1" fontId="32" fillId="0" borderId="1" xfId="0" applyNumberFormat="1" applyFont="1" applyBorder="1" applyAlignment="1">
      <alignment horizontal="center"/>
    </xf>
    <xf numFmtId="0" fontId="30" fillId="5" borderId="31" xfId="0" applyFont="1" applyFill="1" applyBorder="1" applyAlignment="1">
      <alignment horizontal="left" vertical="center" wrapText="1"/>
    </xf>
    <xf numFmtId="0" fontId="30" fillId="5" borderId="40" xfId="0" applyFont="1" applyFill="1" applyBorder="1" applyAlignment="1">
      <alignment horizontal="left" vertical="center" wrapText="1"/>
    </xf>
    <xf numFmtId="1" fontId="0" fillId="0" borderId="13" xfId="0" applyNumberFormat="1" applyBorder="1" applyAlignment="1">
      <alignment horizontal="center" vertical="center"/>
    </xf>
    <xf numFmtId="1" fontId="0" fillId="0" borderId="6" xfId="0" applyNumberFormat="1" applyBorder="1" applyAlignment="1">
      <alignment horizontal="center" vertical="center"/>
    </xf>
    <xf numFmtId="1" fontId="0" fillId="0" borderId="7" xfId="0" applyNumberFormat="1" applyBorder="1" applyAlignment="1">
      <alignment horizontal="center" vertical="center"/>
    </xf>
    <xf numFmtId="1" fontId="0" fillId="0" borderId="19" xfId="0" applyNumberFormat="1" applyBorder="1" applyAlignment="1">
      <alignment horizontal="center" vertical="center"/>
    </xf>
    <xf numFmtId="0" fontId="0" fillId="0" borderId="19" xfId="0" applyBorder="1" applyAlignment="1">
      <alignment horizontal="center" vertical="center"/>
    </xf>
    <xf numFmtId="1" fontId="0" fillId="0" borderId="20" xfId="0" applyNumberFormat="1" applyBorder="1" applyAlignment="1">
      <alignment horizontal="center" vertical="center"/>
    </xf>
    <xf numFmtId="1" fontId="43" fillId="3" borderId="4" xfId="0" applyNumberFormat="1" applyFont="1" applyFill="1" applyBorder="1" applyAlignment="1">
      <alignment horizontal="center" vertical="center" wrapText="1"/>
    </xf>
    <xf numFmtId="1" fontId="43" fillId="3" borderId="4" xfId="763" applyNumberFormat="1" applyFont="1" applyFill="1" applyBorder="1" applyAlignment="1">
      <alignment horizontal="center" vertical="center" wrapText="1"/>
    </xf>
    <xf numFmtId="1" fontId="43" fillId="3" borderId="65" xfId="763" applyNumberFormat="1" applyFont="1" applyFill="1" applyBorder="1" applyAlignment="1">
      <alignment horizontal="center" vertical="center" wrapText="1"/>
    </xf>
    <xf numFmtId="0" fontId="41" fillId="0" borderId="1" xfId="0" applyFont="1" applyBorder="1" applyAlignment="1">
      <alignment horizontal="center" vertical="center"/>
    </xf>
    <xf numFmtId="1" fontId="35" fillId="0" borderId="63" xfId="763" applyNumberFormat="1" applyFont="1" applyBorder="1" applyAlignment="1">
      <alignment horizontal="center" vertical="center" wrapText="1"/>
    </xf>
    <xf numFmtId="1" fontId="35" fillId="0" borderId="37" xfId="763" applyNumberFormat="1" applyFont="1" applyBorder="1" applyAlignment="1">
      <alignment horizontal="center" vertical="center" wrapText="1"/>
    </xf>
    <xf numFmtId="1" fontId="38" fillId="5" borderId="63" xfId="0" applyNumberFormat="1" applyFont="1" applyFill="1" applyBorder="1" applyAlignment="1">
      <alignment horizontal="center" vertical="center" wrapText="1"/>
    </xf>
    <xf numFmtId="0" fontId="35" fillId="0" borderId="1" xfId="0" applyFont="1" applyBorder="1" applyAlignment="1">
      <alignment horizontal="center"/>
    </xf>
    <xf numFmtId="1" fontId="35" fillId="0" borderId="1" xfId="763" applyNumberFormat="1" applyFont="1" applyBorder="1" applyAlignment="1">
      <alignment horizontal="center" vertical="center" wrapText="1"/>
    </xf>
    <xf numFmtId="1" fontId="35" fillId="0" borderId="65" xfId="0" applyNumberFormat="1" applyFont="1" applyBorder="1" applyAlignment="1">
      <alignment horizontal="center" vertical="center"/>
    </xf>
    <xf numFmtId="1" fontId="38" fillId="5" borderId="2" xfId="0" applyNumberFormat="1" applyFont="1" applyFill="1" applyBorder="1" applyAlignment="1">
      <alignment horizontal="center" vertical="center" wrapText="1"/>
    </xf>
    <xf numFmtId="0" fontId="8" fillId="0" borderId="0" xfId="766"/>
    <xf numFmtId="1" fontId="36" fillId="3" borderId="24" xfId="766" applyNumberFormat="1" applyFont="1" applyFill="1" applyBorder="1" applyAlignment="1">
      <alignment horizontal="left" vertical="center" wrapText="1"/>
    </xf>
    <xf numFmtId="1" fontId="36" fillId="3" borderId="24" xfId="766" applyNumberFormat="1" applyFont="1" applyFill="1" applyBorder="1" applyAlignment="1">
      <alignment horizontal="center" vertical="center" wrapText="1"/>
    </xf>
    <xf numFmtId="1" fontId="38" fillId="5" borderId="1" xfId="766" applyNumberFormat="1" applyFont="1" applyFill="1" applyBorder="1" applyAlignment="1">
      <alignment horizontal="left" vertical="center" wrapText="1"/>
    </xf>
    <xf numFmtId="1" fontId="35" fillId="0" borderId="1" xfId="766" applyNumberFormat="1" applyFont="1" applyBorder="1" applyAlignment="1">
      <alignment horizontal="center" vertical="center"/>
    </xf>
    <xf numFmtId="1" fontId="35" fillId="0" borderId="1" xfId="766" applyNumberFormat="1" applyFont="1" applyBorder="1" applyAlignment="1">
      <alignment horizontal="center" vertical="center" wrapText="1"/>
    </xf>
    <xf numFmtId="1" fontId="38" fillId="5" borderId="63" xfId="766" applyNumberFormat="1" applyFont="1" applyFill="1" applyBorder="1" applyAlignment="1">
      <alignment horizontal="left" vertical="center" wrapText="1"/>
    </xf>
    <xf numFmtId="1" fontId="35" fillId="0" borderId="63" xfId="766" applyNumberFormat="1" applyFont="1" applyBorder="1" applyAlignment="1">
      <alignment horizontal="center" vertical="center" wrapText="1"/>
    </xf>
    <xf numFmtId="1" fontId="41" fillId="0" borderId="1" xfId="766" applyNumberFormat="1" applyFont="1" applyBorder="1" applyAlignment="1">
      <alignment horizontal="center" vertical="center" wrapText="1"/>
    </xf>
    <xf numFmtId="1" fontId="38" fillId="5" borderId="0" xfId="766" applyNumberFormat="1" applyFont="1" applyFill="1" applyAlignment="1">
      <alignment horizontal="left" vertical="center" wrapText="1"/>
    </xf>
    <xf numFmtId="1" fontId="38" fillId="5" borderId="31" xfId="766" applyNumberFormat="1" applyFont="1" applyFill="1" applyBorder="1" applyAlignment="1">
      <alignment horizontal="left" vertical="center" wrapText="1"/>
    </xf>
    <xf numFmtId="0" fontId="44" fillId="0" borderId="1" xfId="766" applyFont="1" applyBorder="1" applyAlignment="1">
      <alignment horizontal="left"/>
    </xf>
    <xf numFmtId="0" fontId="44" fillId="0" borderId="1" xfId="766" applyFont="1" applyBorder="1" applyAlignment="1">
      <alignment horizontal="center" vertical="center"/>
    </xf>
    <xf numFmtId="1" fontId="44" fillId="0" borderId="1" xfId="766" applyNumberFormat="1" applyFont="1" applyBorder="1" applyAlignment="1">
      <alignment horizontal="center" vertical="center"/>
    </xf>
    <xf numFmtId="0" fontId="8" fillId="0" borderId="0" xfId="766" applyAlignment="1">
      <alignment horizontal="left"/>
    </xf>
    <xf numFmtId="1" fontId="38" fillId="5" borderId="44" xfId="0" applyNumberFormat="1" applyFont="1" applyFill="1" applyBorder="1" applyAlignment="1">
      <alignment horizontal="center" vertical="center" wrapText="1"/>
    </xf>
    <xf numFmtId="1" fontId="38" fillId="5" borderId="44" xfId="0" applyNumberFormat="1" applyFont="1" applyFill="1" applyBorder="1" applyAlignment="1">
      <alignment horizontal="center" vertical="center"/>
    </xf>
    <xf numFmtId="1" fontId="38" fillId="5" borderId="48" xfId="0" applyNumberFormat="1" applyFont="1" applyFill="1" applyBorder="1" applyAlignment="1">
      <alignment horizontal="center" vertical="center" wrapText="1"/>
    </xf>
    <xf numFmtId="1" fontId="35" fillId="0" borderId="6" xfId="763" applyNumberFormat="1" applyFont="1" applyBorder="1" applyAlignment="1">
      <alignment horizontal="center" vertical="center" wrapText="1"/>
    </xf>
    <xf numFmtId="1" fontId="35" fillId="0" borderId="7" xfId="763" applyNumberFormat="1" applyFont="1" applyBorder="1" applyAlignment="1">
      <alignment horizontal="center" vertical="center" wrapText="1"/>
    </xf>
    <xf numFmtId="1" fontId="35" fillId="0" borderId="9" xfId="763" applyNumberFormat="1" applyFont="1" applyBorder="1" applyAlignment="1">
      <alignment horizontal="center" vertical="center" wrapText="1"/>
    </xf>
    <xf numFmtId="1" fontId="38" fillId="5" borderId="1" xfId="0" applyNumberFormat="1" applyFont="1" applyFill="1" applyBorder="1" applyAlignment="1">
      <alignment horizontal="left" vertical="center" wrapText="1"/>
    </xf>
    <xf numFmtId="1" fontId="37" fillId="0" borderId="1" xfId="0" applyNumberFormat="1" applyFont="1" applyBorder="1" applyAlignment="1">
      <alignment horizontal="left" vertical="center" wrapText="1"/>
    </xf>
    <xf numFmtId="1" fontId="36" fillId="3" borderId="24" xfId="0" applyNumberFormat="1" applyFont="1" applyFill="1" applyBorder="1" applyAlignment="1">
      <alignment horizontal="left" vertical="center" wrapText="1"/>
    </xf>
    <xf numFmtId="1" fontId="38" fillId="5" borderId="63" xfId="0" applyNumberFormat="1" applyFont="1" applyFill="1" applyBorder="1" applyAlignment="1">
      <alignment horizontal="left" vertical="center" wrapText="1"/>
    </xf>
    <xf numFmtId="1" fontId="38" fillId="5" borderId="39" xfId="0" applyNumberFormat="1" applyFont="1" applyFill="1" applyBorder="1" applyAlignment="1">
      <alignment horizontal="left" vertical="center" wrapText="1"/>
    </xf>
    <xf numFmtId="1" fontId="38" fillId="0" borderId="0" xfId="0" applyNumberFormat="1" applyFont="1" applyAlignment="1">
      <alignment horizontal="left" vertical="center" wrapText="1"/>
    </xf>
    <xf numFmtId="1" fontId="35" fillId="0" borderId="0" xfId="0" applyNumberFormat="1" applyFont="1" applyAlignment="1">
      <alignment horizontal="left" vertical="center" wrapText="1"/>
    </xf>
    <xf numFmtId="1" fontId="38" fillId="5" borderId="54" xfId="0" applyNumberFormat="1" applyFont="1" applyFill="1" applyBorder="1" applyAlignment="1">
      <alignment horizontal="center" vertical="center"/>
    </xf>
    <xf numFmtId="1" fontId="35" fillId="0" borderId="58" xfId="0" applyNumberFormat="1" applyFont="1" applyBorder="1" applyAlignment="1">
      <alignment horizontal="center" vertical="center"/>
    </xf>
    <xf numFmtId="1" fontId="35" fillId="0" borderId="0" xfId="767" applyNumberFormat="1" applyFont="1" applyAlignment="1">
      <alignment horizontal="center" vertical="center" wrapText="1"/>
    </xf>
    <xf numFmtId="1" fontId="36" fillId="3" borderId="1" xfId="767" applyNumberFormat="1" applyFont="1" applyFill="1" applyBorder="1" applyAlignment="1">
      <alignment horizontal="center" vertical="center" wrapText="1"/>
    </xf>
    <xf numFmtId="1" fontId="37" fillId="0" borderId="0" xfId="767" applyNumberFormat="1" applyFont="1" applyAlignment="1">
      <alignment horizontal="center" vertical="center" wrapText="1"/>
    </xf>
    <xf numFmtId="1" fontId="35" fillId="0" borderId="1" xfId="767" applyNumberFormat="1" applyFont="1" applyBorder="1" applyAlignment="1">
      <alignment horizontal="center" vertical="center"/>
    </xf>
    <xf numFmtId="1" fontId="35" fillId="0" borderId="1" xfId="767" applyNumberFormat="1" applyFont="1" applyBorder="1" applyAlignment="1">
      <alignment horizontal="center" vertical="center" wrapText="1"/>
    </xf>
    <xf numFmtId="1" fontId="35" fillId="0" borderId="0" xfId="767" applyNumberFormat="1" applyFont="1" applyAlignment="1">
      <alignment horizontal="center" vertical="center"/>
    </xf>
    <xf numFmtId="1" fontId="37" fillId="0" borderId="1" xfId="767" applyNumberFormat="1" applyFont="1" applyBorder="1" applyAlignment="1">
      <alignment horizontal="center" vertical="center" wrapText="1"/>
    </xf>
    <xf numFmtId="1" fontId="38" fillId="5" borderId="1" xfId="767" applyNumberFormat="1" applyFont="1" applyFill="1" applyBorder="1" applyAlignment="1">
      <alignment horizontal="center" vertical="center" wrapText="1"/>
    </xf>
    <xf numFmtId="1" fontId="39" fillId="0" borderId="0" xfId="767" applyNumberFormat="1" applyFont="1" applyAlignment="1">
      <alignment horizontal="center" vertical="center" wrapText="1"/>
    </xf>
    <xf numFmtId="1" fontId="38" fillId="5" borderId="1" xfId="767" applyNumberFormat="1" applyFont="1" applyFill="1" applyBorder="1" applyAlignment="1">
      <alignment horizontal="center" vertical="center"/>
    </xf>
    <xf numFmtId="1" fontId="36" fillId="3" borderId="24" xfId="767" applyNumberFormat="1" applyFont="1" applyFill="1" applyBorder="1" applyAlignment="1">
      <alignment horizontal="center" vertical="center" wrapText="1"/>
    </xf>
    <xf numFmtId="1" fontId="37" fillId="0" borderId="0" xfId="767" applyNumberFormat="1" applyFont="1" applyAlignment="1">
      <alignment horizontal="center" vertical="center" textRotation="90" wrapText="1"/>
    </xf>
    <xf numFmtId="1" fontId="37" fillId="0" borderId="44" xfId="767" applyNumberFormat="1" applyFont="1" applyBorder="1" applyAlignment="1">
      <alignment horizontal="center" vertical="center" wrapText="1"/>
    </xf>
    <xf numFmtId="1" fontId="37" fillId="0" borderId="13" xfId="767" applyNumberFormat="1" applyFont="1" applyBorder="1" applyAlignment="1">
      <alignment horizontal="center" vertical="center" wrapText="1"/>
    </xf>
    <xf numFmtId="1" fontId="37" fillId="0" borderId="6" xfId="767" applyNumberFormat="1" applyFont="1" applyBorder="1" applyAlignment="1">
      <alignment horizontal="center" vertical="center" wrapText="1"/>
    </xf>
    <xf numFmtId="1" fontId="37" fillId="0" borderId="7" xfId="767" applyNumberFormat="1" applyFont="1" applyBorder="1" applyAlignment="1">
      <alignment horizontal="center" vertical="center" wrapText="1"/>
    </xf>
    <xf numFmtId="1" fontId="37" fillId="0" borderId="20" xfId="767" applyNumberFormat="1" applyFont="1" applyBorder="1" applyAlignment="1">
      <alignment horizontal="center" vertical="center" wrapText="1"/>
    </xf>
    <xf numFmtId="1" fontId="37" fillId="0" borderId="11" xfId="767" applyNumberFormat="1" applyFont="1" applyBorder="1" applyAlignment="1">
      <alignment horizontal="center" vertical="center" wrapText="1"/>
    </xf>
    <xf numFmtId="1" fontId="37" fillId="0" borderId="12" xfId="767" applyNumberFormat="1" applyFont="1" applyBorder="1" applyAlignment="1">
      <alignment horizontal="center" vertical="center" wrapText="1"/>
    </xf>
    <xf numFmtId="1" fontId="35" fillId="5" borderId="32" xfId="767" applyNumberFormat="1" applyFont="1" applyFill="1" applyBorder="1" applyAlignment="1">
      <alignment horizontal="center" vertical="center" wrapText="1"/>
    </xf>
    <xf numFmtId="1" fontId="35" fillId="3" borderId="32" xfId="767" applyNumberFormat="1" applyFont="1" applyFill="1" applyBorder="1" applyAlignment="1">
      <alignment horizontal="center" vertical="center"/>
    </xf>
    <xf numFmtId="1" fontId="36" fillId="3" borderId="15" xfId="767" applyNumberFormat="1" applyFont="1" applyFill="1" applyBorder="1" applyAlignment="1">
      <alignment horizontal="center" vertical="center" wrapText="1"/>
    </xf>
    <xf numFmtId="1" fontId="38" fillId="5" borderId="1" xfId="768" applyNumberFormat="1" applyFont="1" applyFill="1" applyBorder="1" applyAlignment="1">
      <alignment horizontal="center" vertical="center"/>
    </xf>
    <xf numFmtId="0" fontId="35" fillId="0" borderId="1" xfId="767" applyFont="1" applyBorder="1"/>
    <xf numFmtId="1" fontId="37" fillId="5" borderId="32" xfId="767" applyNumberFormat="1" applyFont="1" applyFill="1" applyBorder="1" applyAlignment="1">
      <alignment horizontal="center" vertical="center" wrapText="1"/>
    </xf>
    <xf numFmtId="1" fontId="38" fillId="5" borderId="4" xfId="768" applyNumberFormat="1" applyFont="1" applyFill="1" applyBorder="1" applyAlignment="1">
      <alignment horizontal="center" vertical="center"/>
    </xf>
    <xf numFmtId="1" fontId="35" fillId="0" borderId="4" xfId="767" applyNumberFormat="1" applyFont="1" applyBorder="1" applyAlignment="1">
      <alignment horizontal="center" vertical="center"/>
    </xf>
    <xf numFmtId="0" fontId="35" fillId="0" borderId="4" xfId="767" applyFont="1" applyBorder="1"/>
    <xf numFmtId="1" fontId="46" fillId="0" borderId="1" xfId="769" applyNumberFormat="1" applyFont="1" applyBorder="1" applyAlignment="1">
      <alignment horizontal="center" vertical="center"/>
    </xf>
    <xf numFmtId="1" fontId="46" fillId="0" borderId="4" xfId="769" applyNumberFormat="1" applyFont="1" applyBorder="1" applyAlignment="1">
      <alignment horizontal="center" vertical="center"/>
    </xf>
    <xf numFmtId="1" fontId="47" fillId="0" borderId="1" xfId="769" applyNumberFormat="1" applyFont="1" applyBorder="1" applyAlignment="1">
      <alignment horizontal="center" vertical="center"/>
    </xf>
    <xf numFmtId="0" fontId="48" fillId="0" borderId="0" xfId="0" applyFont="1"/>
    <xf numFmtId="0" fontId="46" fillId="0" borderId="0" xfId="770" applyFont="1"/>
    <xf numFmtId="0" fontId="49" fillId="0" borderId="1" xfId="770" applyFont="1" applyBorder="1" applyAlignment="1">
      <alignment horizontal="center" vertical="center" wrapText="1"/>
    </xf>
    <xf numFmtId="0" fontId="50" fillId="8" borderId="44" xfId="770" applyFont="1" applyFill="1" applyBorder="1" applyAlignment="1">
      <alignment horizontal="center" vertical="center" wrapText="1"/>
    </xf>
    <xf numFmtId="1" fontId="49" fillId="0" borderId="1" xfId="770" applyNumberFormat="1" applyFont="1" applyBorder="1" applyAlignment="1">
      <alignment horizontal="center" vertical="center" wrapText="1"/>
    </xf>
    <xf numFmtId="0" fontId="50" fillId="8" borderId="1" xfId="770" applyFont="1" applyFill="1" applyBorder="1" applyAlignment="1">
      <alignment horizontal="center" vertical="center" wrapText="1"/>
    </xf>
    <xf numFmtId="0" fontId="47" fillId="0" borderId="0" xfId="770" applyFont="1" applyAlignment="1">
      <alignment vertical="center" wrapText="1"/>
    </xf>
    <xf numFmtId="1" fontId="51" fillId="0" borderId="0" xfId="770" applyNumberFormat="1" applyFont="1" applyAlignment="1">
      <alignment horizontal="center" vertical="center" textRotation="90"/>
    </xf>
    <xf numFmtId="0" fontId="47" fillId="0" borderId="0" xfId="770" applyFont="1" applyAlignment="1">
      <alignment horizontal="center" vertical="center"/>
    </xf>
    <xf numFmtId="1" fontId="47" fillId="0" borderId="0" xfId="770" applyNumberFormat="1" applyFont="1" applyAlignment="1">
      <alignment horizontal="center" vertical="center"/>
    </xf>
    <xf numFmtId="1" fontId="52" fillId="0" borderId="0" xfId="770" applyNumberFormat="1" applyFont="1" applyAlignment="1">
      <alignment horizontal="left" vertical="center"/>
    </xf>
    <xf numFmtId="0" fontId="47" fillId="0" borderId="1" xfId="770" applyFont="1" applyBorder="1" applyAlignment="1">
      <alignment horizontal="center" vertical="center"/>
    </xf>
    <xf numFmtId="1" fontId="47" fillId="0" borderId="1" xfId="770" applyNumberFormat="1" applyFont="1" applyBorder="1" applyAlignment="1">
      <alignment horizontal="center" vertical="center"/>
    </xf>
    <xf numFmtId="1" fontId="52" fillId="5" borderId="1" xfId="770" applyNumberFormat="1" applyFont="1" applyFill="1" applyBorder="1" applyAlignment="1">
      <alignment horizontal="left" vertical="center"/>
    </xf>
    <xf numFmtId="1" fontId="52" fillId="5" borderId="1" xfId="770" applyNumberFormat="1" applyFont="1" applyFill="1" applyBorder="1" applyAlignment="1">
      <alignment horizontal="left" vertical="center" wrapText="1"/>
    </xf>
    <xf numFmtId="1" fontId="46" fillId="0" borderId="1" xfId="770" applyNumberFormat="1" applyFont="1" applyBorder="1" applyAlignment="1">
      <alignment horizontal="center" vertical="center"/>
    </xf>
    <xf numFmtId="1" fontId="52" fillId="5" borderId="38" xfId="770" applyNumberFormat="1" applyFont="1" applyFill="1" applyBorder="1" applyAlignment="1">
      <alignment horizontal="left" vertical="center" wrapText="1"/>
    </xf>
    <xf numFmtId="1" fontId="51" fillId="3" borderId="24" xfId="763" applyNumberFormat="1" applyFont="1" applyFill="1" applyBorder="1" applyAlignment="1">
      <alignment horizontal="center" vertical="center" wrapText="1"/>
    </xf>
    <xf numFmtId="1" fontId="51" fillId="3" borderId="24" xfId="770" applyNumberFormat="1" applyFont="1" applyFill="1" applyBorder="1" applyAlignment="1">
      <alignment horizontal="center" vertical="center" wrapText="1"/>
    </xf>
    <xf numFmtId="1" fontId="51" fillId="3" borderId="15" xfId="770" applyNumberFormat="1" applyFont="1" applyFill="1" applyBorder="1" applyAlignment="1">
      <alignment horizontal="center" vertical="center" wrapText="1"/>
    </xf>
    <xf numFmtId="0" fontId="51" fillId="3" borderId="18" xfId="770" applyFont="1" applyFill="1" applyBorder="1" applyAlignment="1">
      <alignment vertical="center" wrapText="1"/>
    </xf>
    <xf numFmtId="0" fontId="54" fillId="0" borderId="0" xfId="0" applyFont="1"/>
    <xf numFmtId="0" fontId="55" fillId="0" borderId="0" xfId="771" applyFont="1"/>
    <xf numFmtId="0" fontId="55" fillId="0" borderId="1" xfId="771" applyFont="1" applyBorder="1" applyAlignment="1">
      <alignment horizontal="center"/>
    </xf>
    <xf numFmtId="0" fontId="55" fillId="0" borderId="1" xfId="771" applyFont="1" applyBorder="1" applyAlignment="1">
      <alignment horizontal="center" vertical="center"/>
    </xf>
    <xf numFmtId="0" fontId="55" fillId="0" borderId="1" xfId="771" quotePrefix="1" applyFont="1" applyBorder="1" applyAlignment="1">
      <alignment horizontal="center"/>
    </xf>
    <xf numFmtId="1" fontId="56" fillId="0" borderId="1" xfId="771" applyNumberFormat="1" applyFont="1" applyBorder="1" applyAlignment="1">
      <alignment horizontal="center"/>
    </xf>
    <xf numFmtId="0" fontId="56" fillId="0" borderId="1" xfId="771" applyFont="1" applyBorder="1"/>
    <xf numFmtId="0" fontId="57" fillId="5" borderId="1" xfId="771" applyFont="1" applyFill="1" applyBorder="1"/>
    <xf numFmtId="1" fontId="58" fillId="3" borderId="63" xfId="763" applyNumberFormat="1" applyFont="1" applyFill="1" applyBorder="1" applyAlignment="1">
      <alignment horizontal="center" vertical="center" wrapText="1"/>
    </xf>
    <xf numFmtId="1" fontId="58" fillId="3" borderId="63" xfId="771" applyNumberFormat="1" applyFont="1" applyFill="1" applyBorder="1" applyAlignment="1">
      <alignment horizontal="center" vertical="center" wrapText="1"/>
    </xf>
    <xf numFmtId="0" fontId="58" fillId="3" borderId="63" xfId="771" applyFont="1" applyFill="1" applyBorder="1" applyAlignment="1">
      <alignment vertical="center" wrapText="1"/>
    </xf>
    <xf numFmtId="0" fontId="59" fillId="0" borderId="0" xfId="771" applyFont="1" applyAlignment="1">
      <alignment horizontal="center"/>
    </xf>
    <xf numFmtId="0" fontId="57" fillId="0" borderId="0" xfId="771" applyFont="1"/>
    <xf numFmtId="0" fontId="59" fillId="0" borderId="1" xfId="771" applyFont="1" applyBorder="1" applyAlignment="1">
      <alignment horizontal="center" vertical="center"/>
    </xf>
    <xf numFmtId="1" fontId="59" fillId="0" borderId="1" xfId="771" applyNumberFormat="1" applyFont="1" applyBorder="1" applyAlignment="1">
      <alignment horizontal="center" vertical="center"/>
    </xf>
    <xf numFmtId="1" fontId="57" fillId="5" borderId="1" xfId="771" applyNumberFormat="1" applyFont="1" applyFill="1" applyBorder="1" applyAlignment="1">
      <alignment horizontal="left" vertical="center"/>
    </xf>
    <xf numFmtId="1" fontId="59" fillId="0" borderId="1" xfId="771" applyNumberFormat="1" applyFont="1" applyBorder="1" applyAlignment="1">
      <alignment horizontal="center" vertical="center" wrapText="1"/>
    </xf>
    <xf numFmtId="1" fontId="59" fillId="0" borderId="0" xfId="771" applyNumberFormat="1" applyFont="1" applyAlignment="1">
      <alignment horizontal="center" vertical="center"/>
    </xf>
    <xf numFmtId="1" fontId="59" fillId="0" borderId="2" xfId="771" applyNumberFormat="1" applyFont="1" applyBorder="1" applyAlignment="1">
      <alignment horizontal="center" vertical="center"/>
    </xf>
    <xf numFmtId="1" fontId="57" fillId="5" borderId="2" xfId="771" applyNumberFormat="1" applyFont="1" applyFill="1" applyBorder="1" applyAlignment="1">
      <alignment horizontal="left" vertical="center"/>
    </xf>
    <xf numFmtId="1" fontId="57" fillId="0" borderId="0" xfId="771" applyNumberFormat="1" applyFont="1" applyAlignment="1">
      <alignment horizontal="left" vertical="center" wrapText="1"/>
    </xf>
    <xf numFmtId="1" fontId="58" fillId="0" borderId="0" xfId="763" applyNumberFormat="1" applyFont="1" applyAlignment="1">
      <alignment horizontal="center" vertical="center" textRotation="90"/>
    </xf>
    <xf numFmtId="1" fontId="57" fillId="5" borderId="1" xfId="771" applyNumberFormat="1" applyFont="1" applyFill="1" applyBorder="1" applyAlignment="1">
      <alignment horizontal="left" vertical="center" wrapText="1"/>
    </xf>
    <xf numFmtId="1" fontId="55" fillId="0" borderId="1" xfId="771" applyNumberFormat="1" applyFont="1" applyBorder="1" applyAlignment="1">
      <alignment horizontal="center" vertical="center"/>
    </xf>
    <xf numFmtId="1" fontId="57" fillId="5" borderId="38" xfId="771" applyNumberFormat="1" applyFont="1" applyFill="1" applyBorder="1" applyAlignment="1">
      <alignment horizontal="left" vertical="center" wrapText="1"/>
    </xf>
    <xf numFmtId="1" fontId="55" fillId="0" borderId="0" xfId="771" applyNumberFormat="1" applyFont="1"/>
    <xf numFmtId="1" fontId="55" fillId="0" borderId="1" xfId="771" applyNumberFormat="1" applyFont="1" applyBorder="1" applyAlignment="1">
      <alignment horizontal="center"/>
    </xf>
    <xf numFmtId="0" fontId="57" fillId="5" borderId="38" xfId="771" applyFont="1" applyFill="1" applyBorder="1"/>
    <xf numFmtId="0" fontId="57" fillId="5" borderId="54" xfId="771" applyFont="1" applyFill="1" applyBorder="1"/>
    <xf numFmtId="0" fontId="57" fillId="5" borderId="68" xfId="771" applyFont="1" applyFill="1" applyBorder="1"/>
    <xf numFmtId="0" fontId="57" fillId="5" borderId="22" xfId="771" applyFont="1" applyFill="1" applyBorder="1"/>
    <xf numFmtId="0" fontId="58" fillId="5" borderId="21" xfId="771" applyFont="1" applyFill="1" applyBorder="1" applyAlignment="1">
      <alignment vertical="center" wrapText="1"/>
    </xf>
    <xf numFmtId="0" fontId="58" fillId="3" borderId="24" xfId="763" applyFont="1" applyFill="1" applyBorder="1" applyAlignment="1">
      <alignment horizontal="center" vertical="center" wrapText="1"/>
    </xf>
    <xf numFmtId="0" fontId="58" fillId="3" borderId="25" xfId="763" applyFont="1" applyFill="1" applyBorder="1" applyAlignment="1">
      <alignment horizontal="center" vertical="center" wrapText="1"/>
    </xf>
    <xf numFmtId="0" fontId="58" fillId="3" borderId="36" xfId="763" applyFont="1" applyFill="1" applyBorder="1" applyAlignment="1">
      <alignment horizontal="center" vertical="center" wrapText="1"/>
    </xf>
    <xf numFmtId="0" fontId="58" fillId="3" borderId="24" xfId="771" applyFont="1" applyFill="1" applyBorder="1" applyAlignment="1">
      <alignment horizontal="center" vertical="center" wrapText="1"/>
    </xf>
    <xf numFmtId="0" fontId="58" fillId="3" borderId="5" xfId="771" applyFont="1" applyFill="1" applyBorder="1" applyAlignment="1">
      <alignment vertical="center" wrapText="1"/>
    </xf>
    <xf numFmtId="0" fontId="58" fillId="3" borderId="15" xfId="771" applyFont="1" applyFill="1" applyBorder="1" applyAlignment="1">
      <alignment vertical="center" wrapText="1"/>
    </xf>
    <xf numFmtId="0" fontId="46" fillId="0" borderId="0" xfId="770" applyFont="1" applyAlignment="1">
      <alignment horizontal="center" vertical="center"/>
    </xf>
    <xf numFmtId="1" fontId="60" fillId="0" borderId="60" xfId="770" applyNumberFormat="1" applyFont="1" applyBorder="1" applyAlignment="1">
      <alignment horizontal="center" vertical="center"/>
    </xf>
    <xf numFmtId="1" fontId="60" fillId="0" borderId="1" xfId="770" applyNumberFormat="1" applyFont="1" applyBorder="1" applyAlignment="1">
      <alignment horizontal="center" vertical="center"/>
    </xf>
    <xf numFmtId="0" fontId="60" fillId="0" borderId="1" xfId="770" applyFont="1" applyBorder="1"/>
    <xf numFmtId="1" fontId="60" fillId="0" borderId="2" xfId="770" applyNumberFormat="1" applyFont="1" applyBorder="1" applyAlignment="1">
      <alignment horizontal="center" vertical="center"/>
    </xf>
    <xf numFmtId="0" fontId="60" fillId="0" borderId="2" xfId="770" applyFont="1" applyBorder="1"/>
    <xf numFmtId="1" fontId="46" fillId="0" borderId="44" xfId="770" applyNumberFormat="1" applyFont="1" applyBorder="1" applyAlignment="1">
      <alignment horizontal="center" vertical="center"/>
    </xf>
    <xf numFmtId="1" fontId="46" fillId="0" borderId="53" xfId="770" applyNumberFormat="1" applyFont="1" applyBorder="1" applyAlignment="1">
      <alignment horizontal="center" vertical="center"/>
    </xf>
    <xf numFmtId="0" fontId="52" fillId="0" borderId="31" xfId="771" applyFont="1" applyBorder="1"/>
    <xf numFmtId="1" fontId="52" fillId="3" borderId="24" xfId="763" applyNumberFormat="1" applyFont="1" applyFill="1" applyBorder="1" applyAlignment="1">
      <alignment horizontal="center" vertical="center" wrapText="1"/>
    </xf>
    <xf numFmtId="1" fontId="52" fillId="3" borderId="24" xfId="770" applyNumberFormat="1" applyFont="1" applyFill="1" applyBorder="1" applyAlignment="1">
      <alignment horizontal="center" vertical="center" wrapText="1"/>
    </xf>
    <xf numFmtId="0" fontId="51" fillId="3" borderId="69" xfId="770" applyFont="1" applyFill="1" applyBorder="1" applyAlignment="1">
      <alignment vertical="center" wrapText="1"/>
    </xf>
    <xf numFmtId="0" fontId="52" fillId="0" borderId="0" xfId="770" applyFont="1"/>
    <xf numFmtId="0" fontId="52" fillId="5" borderId="1" xfId="771" applyFont="1" applyFill="1" applyBorder="1"/>
    <xf numFmtId="0" fontId="52" fillId="5" borderId="58" xfId="771" applyFont="1" applyFill="1" applyBorder="1"/>
    <xf numFmtId="0" fontId="52" fillId="5" borderId="19" xfId="771" applyFont="1" applyFill="1" applyBorder="1"/>
    <xf numFmtId="1" fontId="52" fillId="5" borderId="58" xfId="770" applyNumberFormat="1" applyFont="1" applyFill="1" applyBorder="1" applyAlignment="1">
      <alignment horizontal="left" vertical="center" wrapText="1"/>
    </xf>
    <xf numFmtId="1" fontId="52" fillId="5" borderId="57" xfId="770" applyNumberFormat="1" applyFont="1" applyFill="1" applyBorder="1" applyAlignment="1">
      <alignment horizontal="left" vertical="center" wrapText="1"/>
    </xf>
    <xf numFmtId="1" fontId="52" fillId="3" borderId="5" xfId="770" applyNumberFormat="1" applyFont="1" applyFill="1" applyBorder="1" applyAlignment="1">
      <alignment horizontal="center" vertical="center" wrapText="1"/>
    </xf>
    <xf numFmtId="0" fontId="46" fillId="0" borderId="0" xfId="771" applyFont="1"/>
    <xf numFmtId="1" fontId="60" fillId="0" borderId="1" xfId="771" applyNumberFormat="1" applyFont="1" applyBorder="1" applyAlignment="1">
      <alignment horizontal="center"/>
    </xf>
    <xf numFmtId="0" fontId="60" fillId="0" borderId="1" xfId="771" applyFont="1" applyBorder="1"/>
    <xf numFmtId="0" fontId="47" fillId="0" borderId="0" xfId="771" applyFont="1" applyAlignment="1">
      <alignment horizontal="center" vertical="center"/>
    </xf>
    <xf numFmtId="1" fontId="47" fillId="0" borderId="0" xfId="771" applyNumberFormat="1" applyFont="1" applyAlignment="1">
      <alignment horizontal="center" vertical="center"/>
    </xf>
    <xf numFmtId="1" fontId="52" fillId="0" borderId="0" xfId="771" applyNumberFormat="1" applyFont="1" applyAlignment="1">
      <alignment horizontal="left" vertical="center"/>
    </xf>
    <xf numFmtId="0" fontId="47" fillId="0" borderId="1" xfId="771" applyFont="1" applyBorder="1" applyAlignment="1">
      <alignment horizontal="center" vertical="center"/>
    </xf>
    <xf numFmtId="1" fontId="47" fillId="0" borderId="1" xfId="771" applyNumberFormat="1" applyFont="1" applyBorder="1" applyAlignment="1">
      <alignment horizontal="center" vertical="center"/>
    </xf>
    <xf numFmtId="1" fontId="52" fillId="5" borderId="1" xfId="771" applyNumberFormat="1" applyFont="1" applyFill="1" applyBorder="1" applyAlignment="1">
      <alignment horizontal="left" vertical="center"/>
    </xf>
    <xf numFmtId="1" fontId="52" fillId="3" borderId="24" xfId="771" applyNumberFormat="1" applyFont="1" applyFill="1" applyBorder="1" applyAlignment="1">
      <alignment horizontal="center" vertical="center" wrapText="1"/>
    </xf>
    <xf numFmtId="0" fontId="51" fillId="3" borderId="69" xfId="771" applyFont="1" applyFill="1" applyBorder="1" applyAlignment="1">
      <alignment vertical="center" wrapText="1"/>
    </xf>
    <xf numFmtId="1" fontId="46" fillId="0" borderId="1" xfId="771" applyNumberFormat="1" applyFont="1" applyBorder="1" applyAlignment="1">
      <alignment horizontal="center" vertical="center"/>
    </xf>
    <xf numFmtId="0" fontId="52" fillId="5" borderId="57" xfId="771" applyFont="1" applyFill="1" applyBorder="1"/>
    <xf numFmtId="1" fontId="52" fillId="3" borderId="15" xfId="771" applyNumberFormat="1" applyFont="1" applyFill="1" applyBorder="1" applyAlignment="1">
      <alignment horizontal="center" vertical="center" wrapText="1"/>
    </xf>
    <xf numFmtId="0" fontId="46" fillId="0" borderId="0" xfId="773" applyFont="1"/>
    <xf numFmtId="0" fontId="49" fillId="0" borderId="1" xfId="773" applyFont="1" applyBorder="1" applyAlignment="1">
      <alignment horizontal="center" vertical="center" wrapText="1"/>
    </xf>
    <xf numFmtId="0" fontId="47" fillId="0" borderId="0" xfId="773" applyFont="1" applyAlignment="1">
      <alignment vertical="center" wrapText="1"/>
    </xf>
    <xf numFmtId="1" fontId="49" fillId="0" borderId="1" xfId="773" applyNumberFormat="1" applyFont="1" applyBorder="1" applyAlignment="1">
      <alignment horizontal="center" vertical="center" wrapText="1"/>
    </xf>
    <xf numFmtId="49" fontId="49" fillId="0" borderId="1" xfId="773" applyNumberFormat="1" applyFont="1" applyBorder="1" applyAlignment="1">
      <alignment horizontal="center" vertical="center" wrapText="1"/>
    </xf>
    <xf numFmtId="0" fontId="47" fillId="0" borderId="0" xfId="773" applyFont="1"/>
    <xf numFmtId="0" fontId="64" fillId="0" borderId="0" xfId="773" applyFont="1" applyAlignment="1">
      <alignment vertical="center" wrapText="1"/>
    </xf>
    <xf numFmtId="0" fontId="47" fillId="0" borderId="0" xfId="773" applyFont="1" applyAlignment="1">
      <alignment horizontal="center" vertical="center" wrapText="1"/>
    </xf>
    <xf numFmtId="0" fontId="4" fillId="0" borderId="4" xfId="773" applyBorder="1" applyAlignment="1">
      <alignment horizontal="center" vertical="center"/>
    </xf>
    <xf numFmtId="1" fontId="53" fillId="0" borderId="4" xfId="773" applyNumberFormat="1" applyFont="1" applyBorder="1" applyAlignment="1">
      <alignment horizontal="center" vertical="center"/>
    </xf>
    <xf numFmtId="0" fontId="63" fillId="5" borderId="54" xfId="773" applyFont="1" applyFill="1" applyBorder="1" applyAlignment="1">
      <alignment vertical="center" wrapText="1"/>
    </xf>
    <xf numFmtId="0" fontId="4" fillId="0" borderId="1" xfId="773" applyBorder="1" applyAlignment="1">
      <alignment horizontal="center" vertical="center"/>
    </xf>
    <xf numFmtId="1" fontId="53" fillId="0" borderId="1" xfId="773" applyNumberFormat="1" applyFont="1" applyBorder="1" applyAlignment="1">
      <alignment horizontal="center" vertical="center"/>
    </xf>
    <xf numFmtId="0" fontId="63" fillId="5" borderId="38" xfId="773" applyFont="1" applyFill="1" applyBorder="1" applyAlignment="1">
      <alignment vertical="center" wrapText="1"/>
    </xf>
    <xf numFmtId="0" fontId="63" fillId="5" borderId="47" xfId="773" applyFont="1" applyFill="1" applyBorder="1" applyAlignment="1">
      <alignment vertical="center" wrapText="1"/>
    </xf>
    <xf numFmtId="0" fontId="63" fillId="5" borderId="39" xfId="773" applyFont="1" applyFill="1" applyBorder="1" applyAlignment="1">
      <alignment vertical="center" wrapText="1"/>
    </xf>
    <xf numFmtId="0" fontId="53" fillId="0" borderId="1" xfId="773" applyFont="1" applyBorder="1" applyAlignment="1">
      <alignment horizontal="center" vertical="center" wrapText="1"/>
    </xf>
    <xf numFmtId="0" fontId="63" fillId="5" borderId="11" xfId="773" applyFont="1" applyFill="1" applyBorder="1" applyAlignment="1">
      <alignment vertical="center" wrapText="1"/>
    </xf>
    <xf numFmtId="0" fontId="4" fillId="0" borderId="9" xfId="773" applyBorder="1" applyAlignment="1">
      <alignment horizontal="center" vertical="center"/>
    </xf>
    <xf numFmtId="0" fontId="63" fillId="5" borderId="1" xfId="773" applyFont="1" applyFill="1" applyBorder="1" applyAlignment="1">
      <alignment vertical="center" wrapText="1"/>
    </xf>
    <xf numFmtId="0" fontId="63" fillId="5" borderId="6" xfId="773" applyFont="1" applyFill="1" applyBorder="1" applyAlignment="1">
      <alignment vertical="center" wrapText="1"/>
    </xf>
    <xf numFmtId="0" fontId="63" fillId="5" borderId="4" xfId="773" applyFont="1" applyFill="1" applyBorder="1" applyAlignment="1">
      <alignment vertical="center" wrapText="1"/>
    </xf>
    <xf numFmtId="0" fontId="51" fillId="3" borderId="24" xfId="763" applyFont="1" applyFill="1" applyBorder="1" applyAlignment="1">
      <alignment horizontal="center" vertical="center" wrapText="1"/>
    </xf>
    <xf numFmtId="0" fontId="51" fillId="3" borderId="24" xfId="773" applyFont="1" applyFill="1" applyBorder="1" applyAlignment="1">
      <alignment horizontal="center" vertical="center" wrapText="1"/>
    </xf>
    <xf numFmtId="0" fontId="51" fillId="3" borderId="5" xfId="773" applyFont="1" applyFill="1" applyBorder="1" applyAlignment="1">
      <alignment vertical="center" wrapText="1"/>
    </xf>
    <xf numFmtId="0" fontId="51" fillId="3" borderId="46" xfId="773" applyFont="1" applyFill="1" applyBorder="1" applyAlignment="1">
      <alignment vertical="center" wrapText="1"/>
    </xf>
    <xf numFmtId="0" fontId="47" fillId="0" borderId="1" xfId="773" applyFont="1" applyBorder="1" applyAlignment="1">
      <alignment horizontal="center" vertical="center" wrapText="1"/>
    </xf>
    <xf numFmtId="1" fontId="63" fillId="5" borderId="4" xfId="773" applyNumberFormat="1" applyFont="1" applyFill="1" applyBorder="1"/>
    <xf numFmtId="1" fontId="63" fillId="5" borderId="1" xfId="773" applyNumberFormat="1" applyFont="1" applyFill="1" applyBorder="1"/>
    <xf numFmtId="0" fontId="4" fillId="0" borderId="65" xfId="773" applyBorder="1" applyAlignment="1">
      <alignment horizontal="center" vertical="center"/>
    </xf>
    <xf numFmtId="0" fontId="63" fillId="5" borderId="44" xfId="773" applyFont="1" applyFill="1" applyBorder="1" applyAlignment="1">
      <alignment vertical="center" wrapText="1"/>
    </xf>
    <xf numFmtId="0" fontId="63" fillId="5" borderId="59" xfId="773" applyFont="1" applyFill="1" applyBorder="1" applyAlignment="1">
      <alignment vertical="center" wrapText="1"/>
    </xf>
    <xf numFmtId="0" fontId="63" fillId="5" borderId="48" xfId="773" applyFont="1" applyFill="1" applyBorder="1" applyAlignment="1">
      <alignment vertical="center" wrapText="1"/>
    </xf>
    <xf numFmtId="0" fontId="63" fillId="5" borderId="0" xfId="773" applyFont="1" applyFill="1" applyAlignment="1">
      <alignment vertical="center" wrapText="1"/>
    </xf>
    <xf numFmtId="1" fontId="66" fillId="3" borderId="1" xfId="767" applyNumberFormat="1" applyFont="1" applyFill="1" applyBorder="1" applyAlignment="1">
      <alignment horizontal="center" vertical="center" wrapText="1"/>
    </xf>
    <xf numFmtId="1" fontId="66" fillId="3" borderId="1" xfId="763" applyNumberFormat="1" applyFont="1" applyFill="1" applyBorder="1" applyAlignment="1">
      <alignment horizontal="center" vertical="center" wrapText="1"/>
    </xf>
    <xf numFmtId="1" fontId="38" fillId="5" borderId="59" xfId="0" applyNumberFormat="1" applyFont="1" applyFill="1" applyBorder="1" applyAlignment="1">
      <alignment horizontal="center" vertical="center" wrapText="1"/>
    </xf>
    <xf numFmtId="1" fontId="35" fillId="0" borderId="2" xfId="763" applyNumberFormat="1" applyFont="1" applyBorder="1" applyAlignment="1">
      <alignment horizontal="center" vertical="center" wrapText="1"/>
    </xf>
    <xf numFmtId="1" fontId="35" fillId="0" borderId="14" xfId="763" applyNumberFormat="1" applyFont="1" applyBorder="1" applyAlignment="1">
      <alignment horizontal="center" vertical="center" wrapText="1"/>
    </xf>
    <xf numFmtId="1" fontId="36" fillId="5" borderId="1" xfId="0" applyNumberFormat="1" applyFont="1" applyFill="1" applyBorder="1" applyAlignment="1">
      <alignment horizontal="center" vertical="center" textRotation="90" wrapText="1"/>
    </xf>
    <xf numFmtId="1" fontId="36" fillId="5" borderId="42" xfId="0" applyNumberFormat="1" applyFont="1" applyFill="1" applyBorder="1" applyAlignment="1">
      <alignment horizontal="center" vertical="center" textRotation="90" wrapText="1"/>
    </xf>
    <xf numFmtId="1" fontId="38" fillId="5" borderId="53" xfId="0" applyNumberFormat="1" applyFont="1" applyFill="1" applyBorder="1" applyAlignment="1">
      <alignment horizontal="center" vertical="center" wrapText="1"/>
    </xf>
    <xf numFmtId="0" fontId="63" fillId="5" borderId="60" xfId="773" applyFont="1" applyFill="1" applyBorder="1" applyAlignment="1">
      <alignment vertical="center" wrapText="1"/>
    </xf>
    <xf numFmtId="1" fontId="35" fillId="4" borderId="1" xfId="0" applyNumberFormat="1" applyFont="1" applyFill="1" applyBorder="1" applyAlignment="1">
      <alignment horizontal="center" vertical="center" wrapText="1"/>
    </xf>
    <xf numFmtId="1" fontId="37" fillId="6" borderId="1" xfId="0" applyNumberFormat="1" applyFont="1" applyFill="1" applyBorder="1" applyAlignment="1">
      <alignment horizontal="center" vertical="center" wrapText="1"/>
    </xf>
    <xf numFmtId="1" fontId="37" fillId="6" borderId="11" xfId="0" applyNumberFormat="1" applyFont="1" applyFill="1" applyBorder="1" applyAlignment="1">
      <alignment horizontal="center" vertical="center" wrapText="1"/>
    </xf>
    <xf numFmtId="0" fontId="3" fillId="0" borderId="1" xfId="774" applyBorder="1" applyAlignment="1">
      <alignment horizontal="center"/>
    </xf>
    <xf numFmtId="0" fontId="0" fillId="0" borderId="1" xfId="0" applyBorder="1" applyAlignment="1">
      <alignment horizontal="center"/>
    </xf>
    <xf numFmtId="0" fontId="0" fillId="0" borderId="1" xfId="0" applyBorder="1"/>
    <xf numFmtId="0" fontId="17" fillId="0" borderId="1" xfId="0" applyFont="1" applyBorder="1" applyAlignment="1">
      <alignment horizontal="center"/>
    </xf>
    <xf numFmtId="0" fontId="71" fillId="0" borderId="1" xfId="0" applyFont="1" applyBorder="1" applyAlignment="1">
      <alignment horizontal="center"/>
    </xf>
    <xf numFmtId="0" fontId="62" fillId="5" borderId="42" xfId="773" applyFont="1" applyFill="1" applyBorder="1" applyAlignment="1">
      <alignment horizontal="center" vertical="center" textRotation="90" wrapText="1"/>
    </xf>
    <xf numFmtId="0" fontId="62" fillId="5" borderId="22" xfId="773" applyFont="1" applyFill="1" applyBorder="1" applyAlignment="1">
      <alignment horizontal="center" vertical="center" textRotation="90" wrapText="1"/>
    </xf>
    <xf numFmtId="0" fontId="62" fillId="5" borderId="13" xfId="773" applyFont="1" applyFill="1" applyBorder="1" applyAlignment="1">
      <alignment horizontal="center" vertical="center" textRotation="90" wrapText="1"/>
    </xf>
    <xf numFmtId="0" fontId="53" fillId="0" borderId="4" xfId="773" applyFont="1" applyBorder="1" applyAlignment="1">
      <alignment horizontal="center" vertical="center" wrapText="1"/>
    </xf>
    <xf numFmtId="0" fontId="46" fillId="6" borderId="0" xfId="770" applyFont="1" applyFill="1"/>
    <xf numFmtId="1" fontId="38" fillId="5" borderId="60" xfId="0" applyNumberFormat="1" applyFont="1" applyFill="1" applyBorder="1" applyAlignment="1">
      <alignment horizontal="center" vertical="center" wrapText="1"/>
    </xf>
    <xf numFmtId="17" fontId="48" fillId="0" borderId="0" xfId="0" applyNumberFormat="1" applyFont="1"/>
    <xf numFmtId="1" fontId="38" fillId="9" borderId="1" xfId="0" applyNumberFormat="1" applyFont="1" applyFill="1" applyBorder="1" applyAlignment="1">
      <alignment horizontal="center" vertical="center" wrapText="1"/>
    </xf>
    <xf numFmtId="1" fontId="52" fillId="9" borderId="1" xfId="770" applyNumberFormat="1" applyFont="1" applyFill="1" applyBorder="1" applyAlignment="1">
      <alignment horizontal="left" vertical="center" wrapText="1"/>
    </xf>
    <xf numFmtId="1" fontId="67" fillId="9" borderId="1" xfId="0" applyNumberFormat="1" applyFont="1" applyFill="1" applyBorder="1" applyAlignment="1">
      <alignment horizontal="left" vertical="center" wrapText="1"/>
    </xf>
    <xf numFmtId="1" fontId="63" fillId="9" borderId="1" xfId="773" applyNumberFormat="1" applyFont="1" applyFill="1" applyBorder="1"/>
    <xf numFmtId="1" fontId="63" fillId="9" borderId="4" xfId="773" applyNumberFormat="1" applyFont="1" applyFill="1" applyBorder="1"/>
    <xf numFmtId="1" fontId="38" fillId="9" borderId="6" xfId="0" applyNumberFormat="1" applyFont="1" applyFill="1" applyBorder="1" applyAlignment="1">
      <alignment horizontal="center" vertical="center"/>
    </xf>
    <xf numFmtId="1" fontId="38" fillId="9" borderId="1" xfId="0" applyNumberFormat="1" applyFont="1" applyFill="1" applyBorder="1" applyAlignment="1">
      <alignment horizontal="center" vertical="center"/>
    </xf>
    <xf numFmtId="1" fontId="38" fillId="9" borderId="1" xfId="767" applyNumberFormat="1" applyFont="1" applyFill="1" applyBorder="1" applyAlignment="1">
      <alignment horizontal="center" vertical="center"/>
    </xf>
    <xf numFmtId="1" fontId="75" fillId="6" borderId="4" xfId="773" applyNumberFormat="1" applyFont="1" applyFill="1" applyBorder="1"/>
    <xf numFmtId="0" fontId="75" fillId="6" borderId="60" xfId="773" applyFont="1" applyFill="1" applyBorder="1" applyAlignment="1">
      <alignment vertical="center" wrapText="1"/>
    </xf>
    <xf numFmtId="2" fontId="0" fillId="0" borderId="1" xfId="0" applyNumberFormat="1" applyBorder="1" applyAlignment="1">
      <alignment horizontal="center"/>
    </xf>
    <xf numFmtId="0" fontId="0" fillId="6" borderId="1" xfId="0" applyFill="1" applyBorder="1" applyAlignment="1">
      <alignment horizontal="center"/>
    </xf>
    <xf numFmtId="0" fontId="76" fillId="6" borderId="1" xfId="0" applyFont="1" applyFill="1" applyBorder="1" applyAlignment="1">
      <alignment horizontal="center"/>
    </xf>
    <xf numFmtId="165" fontId="35" fillId="0" borderId="1" xfId="0" applyNumberFormat="1" applyFont="1" applyBorder="1" applyAlignment="1">
      <alignment horizontal="center" vertical="center"/>
    </xf>
    <xf numFmtId="1" fontId="41" fillId="6" borderId="0" xfId="0" applyNumberFormat="1" applyFont="1" applyFill="1" applyAlignment="1">
      <alignment horizontal="center" vertical="center" wrapText="1"/>
    </xf>
    <xf numFmtId="1" fontId="35" fillId="6" borderId="0" xfId="0" applyNumberFormat="1" applyFont="1" applyFill="1" applyAlignment="1">
      <alignment horizontal="center" vertical="center" wrapText="1"/>
    </xf>
    <xf numFmtId="1" fontId="80" fillId="6" borderId="0" xfId="0" applyNumberFormat="1" applyFont="1" applyFill="1" applyAlignment="1">
      <alignment horizontal="center" vertical="center" wrapText="1"/>
    </xf>
    <xf numFmtId="1" fontId="78" fillId="0" borderId="1" xfId="0" applyNumberFormat="1" applyFont="1" applyBorder="1" applyAlignment="1">
      <alignment horizontal="center" vertical="center"/>
    </xf>
    <xf numFmtId="1" fontId="41" fillId="4" borderId="0" xfId="0" applyNumberFormat="1" applyFont="1" applyFill="1" applyAlignment="1">
      <alignment horizontal="center" vertical="center" wrapText="1"/>
    </xf>
    <xf numFmtId="2" fontId="53" fillId="0" borderId="1" xfId="773" applyNumberFormat="1" applyFont="1" applyBorder="1" applyAlignment="1">
      <alignment horizontal="center" vertical="center"/>
    </xf>
    <xf numFmtId="2" fontId="71" fillId="0" borderId="1" xfId="0" applyNumberFormat="1" applyFont="1" applyBorder="1" applyAlignment="1">
      <alignment horizontal="center"/>
    </xf>
    <xf numFmtId="2" fontId="71" fillId="0" borderId="1" xfId="0" applyNumberFormat="1" applyFont="1" applyBorder="1"/>
    <xf numFmtId="2" fontId="4" fillId="0" borderId="1" xfId="773" applyNumberFormat="1" applyBorder="1" applyAlignment="1">
      <alignment horizontal="center" vertical="center"/>
    </xf>
    <xf numFmtId="2" fontId="53" fillId="0" borderId="4" xfId="773" applyNumberFormat="1" applyFont="1" applyBorder="1" applyAlignment="1">
      <alignment horizontal="center" vertical="center"/>
    </xf>
    <xf numFmtId="2" fontId="47" fillId="0" borderId="0" xfId="773" applyNumberFormat="1" applyFont="1" applyAlignment="1">
      <alignment horizontal="center" vertical="center" wrapText="1"/>
    </xf>
    <xf numFmtId="2" fontId="49" fillId="0" borderId="1" xfId="773" applyNumberFormat="1" applyFont="1" applyBorder="1" applyAlignment="1">
      <alignment horizontal="center" vertical="center" wrapText="1"/>
    </xf>
    <xf numFmtId="2" fontId="48" fillId="0" borderId="0" xfId="0" applyNumberFormat="1" applyFont="1"/>
    <xf numFmtId="2" fontId="53" fillId="0" borderId="1" xfId="773" applyNumberFormat="1" applyFont="1" applyBorder="1" applyAlignment="1">
      <alignment horizontal="center" vertical="center" wrapText="1"/>
    </xf>
    <xf numFmtId="2" fontId="53" fillId="0" borderId="4" xfId="773" applyNumberFormat="1" applyFont="1" applyBorder="1" applyAlignment="1">
      <alignment horizontal="center" vertical="center" wrapText="1"/>
    </xf>
    <xf numFmtId="0" fontId="53" fillId="0" borderId="1" xfId="0" applyFont="1" applyBorder="1" applyAlignment="1">
      <alignment horizontal="center" vertical="center"/>
    </xf>
    <xf numFmtId="165" fontId="36" fillId="3" borderId="24" xfId="0" applyNumberFormat="1" applyFont="1" applyFill="1" applyBorder="1" applyAlignment="1">
      <alignment horizontal="center" vertical="center" wrapText="1"/>
    </xf>
    <xf numFmtId="165" fontId="0" fillId="0" borderId="1" xfId="0" applyNumberFormat="1" applyBorder="1" applyAlignment="1">
      <alignment horizontal="center"/>
    </xf>
    <xf numFmtId="165" fontId="35" fillId="0" borderId="1" xfId="0" applyNumberFormat="1" applyFont="1" applyBorder="1" applyAlignment="1">
      <alignment horizontal="center" vertical="center" wrapText="1"/>
    </xf>
    <xf numFmtId="165" fontId="0" fillId="0" borderId="1" xfId="0" applyNumberFormat="1" applyBorder="1" applyAlignment="1">
      <alignment horizontal="center" vertical="center"/>
    </xf>
    <xf numFmtId="165" fontId="35" fillId="0" borderId="1" xfId="0" applyNumberFormat="1" applyFont="1" applyBorder="1" applyAlignment="1">
      <alignment horizontal="center"/>
    </xf>
    <xf numFmtId="165" fontId="35" fillId="0" borderId="0" xfId="0" applyNumberFormat="1" applyFont="1" applyAlignment="1">
      <alignment horizontal="center" vertical="center" wrapText="1"/>
    </xf>
    <xf numFmtId="165" fontId="37" fillId="0" borderId="1" xfId="0" applyNumberFormat="1" applyFont="1" applyBorder="1" applyAlignment="1">
      <alignment horizontal="center" vertical="center" wrapText="1"/>
    </xf>
    <xf numFmtId="165" fontId="36" fillId="3" borderId="24" xfId="763" applyNumberFormat="1" applyFont="1" applyFill="1" applyBorder="1" applyAlignment="1">
      <alignment horizontal="center" vertical="center" wrapText="1"/>
    </xf>
    <xf numFmtId="165" fontId="41" fillId="0" borderId="1" xfId="0" applyNumberFormat="1" applyFont="1" applyBorder="1" applyAlignment="1">
      <alignment horizontal="center" vertical="center" wrapText="1"/>
    </xf>
    <xf numFmtId="165" fontId="35" fillId="0" borderId="0" xfId="0" applyNumberFormat="1" applyFont="1" applyAlignment="1">
      <alignment horizontal="center" vertical="center"/>
    </xf>
    <xf numFmtId="165" fontId="36" fillId="3" borderId="25" xfId="763" applyNumberFormat="1" applyFont="1" applyFill="1" applyBorder="1" applyAlignment="1">
      <alignment horizontal="center" vertical="center" wrapText="1"/>
    </xf>
    <xf numFmtId="166" fontId="35" fillId="0" borderId="0" xfId="0" applyNumberFormat="1" applyFont="1" applyAlignment="1">
      <alignment horizontal="center" vertical="center"/>
    </xf>
    <xf numFmtId="166" fontId="37" fillId="0" borderId="1" xfId="0" applyNumberFormat="1" applyFont="1" applyBorder="1" applyAlignment="1">
      <alignment horizontal="center" vertical="center" wrapText="1"/>
    </xf>
    <xf numFmtId="166" fontId="35" fillId="0" borderId="0" xfId="0" applyNumberFormat="1" applyFont="1" applyAlignment="1">
      <alignment horizontal="center" vertical="center" wrapText="1"/>
    </xf>
    <xf numFmtId="166" fontId="35" fillId="0" borderId="0" xfId="775" applyNumberFormat="1" applyFont="1" applyAlignment="1">
      <alignment horizontal="center" vertical="center"/>
    </xf>
    <xf numFmtId="166" fontId="37" fillId="0" borderId="1" xfId="775" applyNumberFormat="1" applyFont="1" applyBorder="1" applyAlignment="1">
      <alignment horizontal="center" vertical="center" wrapText="1"/>
    </xf>
    <xf numFmtId="166" fontId="35" fillId="0" borderId="0" xfId="775" applyNumberFormat="1" applyFont="1" applyAlignment="1">
      <alignment horizontal="center" vertical="center" wrapText="1"/>
    </xf>
    <xf numFmtId="0" fontId="35" fillId="0" borderId="0" xfId="0" applyFont="1" applyAlignment="1">
      <alignment horizontal="center" vertical="center"/>
    </xf>
    <xf numFmtId="1" fontId="53" fillId="6" borderId="1" xfId="773" applyNumberFormat="1" applyFont="1" applyFill="1" applyBorder="1" applyAlignment="1">
      <alignment horizontal="center" vertical="center"/>
    </xf>
    <xf numFmtId="0" fontId="4" fillId="6" borderId="1" xfId="773" applyFill="1" applyBorder="1" applyAlignment="1">
      <alignment horizontal="center" vertical="center"/>
    </xf>
    <xf numFmtId="0" fontId="4" fillId="6" borderId="9" xfId="773" applyFill="1" applyBorder="1" applyAlignment="1">
      <alignment horizontal="center" vertical="center"/>
    </xf>
    <xf numFmtId="0" fontId="46" fillId="6" borderId="0" xfId="773" applyFont="1" applyFill="1"/>
    <xf numFmtId="165" fontId="53" fillId="0" borderId="1" xfId="773" applyNumberFormat="1" applyFont="1" applyBorder="1" applyAlignment="1">
      <alignment horizontal="center" vertical="center" wrapText="1"/>
    </xf>
    <xf numFmtId="165" fontId="71" fillId="0" borderId="1" xfId="0" applyNumberFormat="1" applyFont="1" applyBorder="1" applyAlignment="1">
      <alignment horizontal="center"/>
    </xf>
    <xf numFmtId="165" fontId="53" fillId="6" borderId="1" xfId="773" applyNumberFormat="1" applyFont="1" applyFill="1" applyBorder="1" applyAlignment="1">
      <alignment horizontal="center" vertical="center"/>
    </xf>
    <xf numFmtId="165" fontId="4" fillId="0" borderId="1" xfId="773" applyNumberFormat="1" applyBorder="1" applyAlignment="1">
      <alignment horizontal="center" vertical="center"/>
    </xf>
    <xf numFmtId="165" fontId="53" fillId="0" borderId="1" xfId="773" applyNumberFormat="1" applyFont="1" applyBorder="1" applyAlignment="1">
      <alignment horizontal="center" vertical="center"/>
    </xf>
    <xf numFmtId="167" fontId="53" fillId="0" borderId="1" xfId="773" applyNumberFormat="1" applyFont="1" applyBorder="1" applyAlignment="1">
      <alignment horizontal="center" vertical="center" wrapText="1"/>
    </xf>
    <xf numFmtId="165" fontId="0" fillId="6" borderId="1" xfId="0" applyNumberFormat="1" applyFill="1" applyBorder="1" applyAlignment="1">
      <alignment horizontal="center"/>
    </xf>
    <xf numFmtId="165" fontId="4" fillId="0" borderId="72" xfId="773" applyNumberFormat="1" applyBorder="1" applyAlignment="1">
      <alignment horizontal="center" vertical="center"/>
    </xf>
    <xf numFmtId="2" fontId="4" fillId="0" borderId="31" xfId="773" applyNumberFormat="1" applyBorder="1" applyAlignment="1">
      <alignment horizontal="center" vertical="center"/>
    </xf>
    <xf numFmtId="0" fontId="4" fillId="0" borderId="44" xfId="773" applyBorder="1" applyAlignment="1">
      <alignment horizontal="center" vertical="center"/>
    </xf>
    <xf numFmtId="165" fontId="4" fillId="0" borderId="4" xfId="773" applyNumberFormat="1" applyBorder="1" applyAlignment="1">
      <alignment horizontal="center" vertical="center"/>
    </xf>
    <xf numFmtId="165" fontId="53" fillId="0" borderId="2" xfId="773" applyNumberFormat="1" applyFont="1" applyBorder="1" applyAlignment="1">
      <alignment horizontal="center" vertical="center" wrapText="1"/>
    </xf>
    <xf numFmtId="165" fontId="4" fillId="6" borderId="1" xfId="773" applyNumberFormat="1" applyFill="1" applyBorder="1" applyAlignment="1">
      <alignment horizontal="center" vertical="center"/>
    </xf>
    <xf numFmtId="165" fontId="4" fillId="0" borderId="2" xfId="773" applyNumberFormat="1" applyBorder="1" applyAlignment="1">
      <alignment horizontal="center" vertical="center"/>
    </xf>
    <xf numFmtId="0" fontId="51" fillId="5" borderId="19" xfId="773" applyFont="1" applyFill="1" applyBorder="1" applyAlignment="1">
      <alignment horizontal="center" vertical="center" textRotation="90" wrapText="1"/>
    </xf>
    <xf numFmtId="0" fontId="51" fillId="5" borderId="58" xfId="773" applyFont="1" applyFill="1" applyBorder="1" applyAlignment="1">
      <alignment horizontal="center" vertical="center" textRotation="90" wrapText="1"/>
    </xf>
    <xf numFmtId="0" fontId="51" fillId="5" borderId="39" xfId="773" applyFont="1" applyFill="1" applyBorder="1" applyAlignment="1">
      <alignment horizontal="center" vertical="center" textRotation="90" wrapText="1"/>
    </xf>
    <xf numFmtId="165" fontId="53" fillId="6" borderId="1" xfId="773" applyNumberFormat="1" applyFont="1" applyFill="1" applyBorder="1" applyAlignment="1">
      <alignment horizontal="center" vertical="center" wrapText="1"/>
    </xf>
    <xf numFmtId="165" fontId="53" fillId="0" borderId="4" xfId="773" applyNumberFormat="1" applyFont="1" applyBorder="1" applyAlignment="1">
      <alignment horizontal="center" vertical="center" wrapText="1"/>
    </xf>
    <xf numFmtId="1" fontId="41" fillId="4" borderId="0" xfId="0" applyNumberFormat="1" applyFont="1" applyFill="1" applyAlignment="1">
      <alignment horizontal="center" vertical="center"/>
    </xf>
    <xf numFmtId="165" fontId="71" fillId="0" borderId="1" xfId="0" applyNumberFormat="1" applyFont="1" applyBorder="1"/>
    <xf numFmtId="1" fontId="36" fillId="3" borderId="31" xfId="763" applyNumberFormat="1" applyFont="1" applyFill="1" applyBorder="1" applyAlignment="1">
      <alignment horizontal="center" vertical="center" wrapText="1"/>
    </xf>
    <xf numFmtId="1" fontId="53" fillId="6" borderId="1" xfId="773" applyNumberFormat="1" applyFont="1" applyFill="1" applyBorder="1" applyAlignment="1">
      <alignment horizontal="center" vertical="center" wrapText="1"/>
    </xf>
    <xf numFmtId="0" fontId="53" fillId="0" borderId="1" xfId="773" applyFont="1" applyBorder="1" applyAlignment="1">
      <alignment horizontal="center" vertical="center"/>
    </xf>
    <xf numFmtId="165" fontId="4" fillId="0" borderId="9" xfId="773" applyNumberFormat="1" applyBorder="1" applyAlignment="1">
      <alignment horizontal="center" vertical="center"/>
    </xf>
    <xf numFmtId="165" fontId="4" fillId="0" borderId="65" xfId="773" applyNumberFormat="1" applyBorder="1" applyAlignment="1">
      <alignment horizontal="center" vertical="center"/>
    </xf>
    <xf numFmtId="165" fontId="4" fillId="6" borderId="9" xfId="773" applyNumberFormat="1" applyFill="1" applyBorder="1" applyAlignment="1">
      <alignment horizontal="center" vertical="center"/>
    </xf>
    <xf numFmtId="0" fontId="60" fillId="5" borderId="19" xfId="773" applyFont="1" applyFill="1" applyBorder="1" applyAlignment="1">
      <alignment horizontal="center" vertical="center" textRotation="90" wrapText="1"/>
    </xf>
    <xf numFmtId="0" fontId="46" fillId="5" borderId="4" xfId="773" applyFont="1" applyFill="1" applyBorder="1" applyAlignment="1">
      <alignment vertical="center" wrapText="1"/>
    </xf>
    <xf numFmtId="1" fontId="35" fillId="0" borderId="72" xfId="0" applyNumberFormat="1" applyFont="1" applyBorder="1" applyAlignment="1">
      <alignment horizontal="center" vertical="center" wrapText="1"/>
    </xf>
    <xf numFmtId="1" fontId="35" fillId="0" borderId="72" xfId="0" applyNumberFormat="1" applyFont="1" applyBorder="1" applyAlignment="1">
      <alignment horizontal="center" vertical="center"/>
    </xf>
    <xf numFmtId="1" fontId="37" fillId="0" borderId="72" xfId="0" applyNumberFormat="1" applyFont="1" applyBorder="1" applyAlignment="1">
      <alignment horizontal="center" vertical="center" wrapText="1"/>
    </xf>
    <xf numFmtId="1" fontId="39" fillId="0" borderId="72" xfId="0" applyNumberFormat="1" applyFont="1" applyBorder="1" applyAlignment="1">
      <alignment horizontal="center" vertical="center" wrapText="1"/>
    </xf>
    <xf numFmtId="1" fontId="37" fillId="0" borderId="31" xfId="0" applyNumberFormat="1" applyFont="1" applyBorder="1" applyAlignment="1">
      <alignment horizontal="center" vertical="center" wrapText="1"/>
    </xf>
    <xf numFmtId="165" fontId="35" fillId="0" borderId="31" xfId="0" applyNumberFormat="1" applyFont="1" applyBorder="1" applyAlignment="1">
      <alignment horizontal="center" vertical="center"/>
    </xf>
    <xf numFmtId="1" fontId="36" fillId="3" borderId="72" xfId="763" applyNumberFormat="1" applyFont="1" applyFill="1" applyBorder="1" applyAlignment="1">
      <alignment horizontal="center" vertical="center" wrapText="1"/>
    </xf>
    <xf numFmtId="165" fontId="35" fillId="0" borderId="72" xfId="0" applyNumberFormat="1" applyFont="1" applyBorder="1" applyAlignment="1">
      <alignment horizontal="center" vertical="center"/>
    </xf>
    <xf numFmtId="165" fontId="35" fillId="0" borderId="31" xfId="0" applyNumberFormat="1" applyFont="1" applyBorder="1" applyAlignment="1">
      <alignment horizontal="center" vertical="center" wrapText="1"/>
    </xf>
    <xf numFmtId="165" fontId="35" fillId="0" borderId="72" xfId="0" applyNumberFormat="1" applyFont="1" applyBorder="1" applyAlignment="1">
      <alignment horizontal="center" vertical="center" wrapText="1"/>
    </xf>
    <xf numFmtId="165" fontId="35" fillId="6" borderId="1" xfId="0" applyNumberFormat="1" applyFont="1" applyFill="1" applyBorder="1" applyAlignment="1">
      <alignment horizontal="center" vertical="center"/>
    </xf>
    <xf numFmtId="165" fontId="0" fillId="0" borderId="31" xfId="0" applyNumberFormat="1" applyBorder="1" applyAlignment="1">
      <alignment horizontal="center"/>
    </xf>
    <xf numFmtId="165" fontId="0" fillId="0" borderId="72" xfId="0" applyNumberFormat="1" applyBorder="1" applyAlignment="1">
      <alignment horizontal="center"/>
    </xf>
    <xf numFmtId="165" fontId="41" fillId="0" borderId="31" xfId="0" applyNumberFormat="1" applyFont="1" applyBorder="1" applyAlignment="1">
      <alignment horizontal="center" vertical="center" wrapText="1"/>
    </xf>
    <xf numFmtId="165" fontId="41" fillId="0" borderId="72" xfId="0" applyNumberFormat="1" applyFont="1" applyBorder="1" applyAlignment="1">
      <alignment horizontal="center" vertical="center" wrapText="1"/>
    </xf>
    <xf numFmtId="165" fontId="35" fillId="0" borderId="31" xfId="0" applyNumberFormat="1" applyFont="1" applyBorder="1" applyAlignment="1">
      <alignment horizontal="center"/>
    </xf>
    <xf numFmtId="165" fontId="35" fillId="0" borderId="72" xfId="0" applyNumberFormat="1" applyFont="1" applyBorder="1" applyAlignment="1">
      <alignment horizontal="center"/>
    </xf>
    <xf numFmtId="0" fontId="51" fillId="5" borderId="57" xfId="773" applyFont="1" applyFill="1" applyBorder="1" applyAlignment="1">
      <alignment horizontal="center" vertical="center" textRotation="90" wrapText="1"/>
    </xf>
    <xf numFmtId="165" fontId="36" fillId="3" borderId="24" xfId="775" applyNumberFormat="1" applyFont="1" applyFill="1" applyBorder="1" applyAlignment="1">
      <alignment horizontal="center" vertical="center" wrapText="1"/>
    </xf>
    <xf numFmtId="165" fontId="38" fillId="5" borderId="63" xfId="0" applyNumberFormat="1" applyFont="1" applyFill="1" applyBorder="1" applyAlignment="1">
      <alignment horizontal="center" vertical="center" wrapText="1"/>
    </xf>
    <xf numFmtId="165" fontId="0" fillId="0" borderId="1" xfId="775" applyNumberFormat="1" applyFont="1" applyBorder="1" applyAlignment="1">
      <alignment horizontal="center"/>
    </xf>
    <xf numFmtId="165" fontId="38" fillId="5" borderId="1" xfId="0" applyNumberFormat="1" applyFont="1" applyFill="1" applyBorder="1" applyAlignment="1">
      <alignment horizontal="center" vertical="center" wrapText="1"/>
    </xf>
    <xf numFmtId="165" fontId="35" fillId="0" borderId="1" xfId="775" applyNumberFormat="1" applyFont="1" applyBorder="1" applyAlignment="1">
      <alignment horizontal="center" vertical="center" wrapText="1"/>
    </xf>
    <xf numFmtId="165" fontId="35" fillId="0" borderId="1" xfId="775" applyNumberFormat="1" applyFont="1" applyBorder="1" applyAlignment="1">
      <alignment horizontal="center" vertical="center"/>
    </xf>
    <xf numFmtId="165" fontId="41" fillId="0" borderId="1" xfId="775" applyNumberFormat="1" applyFont="1" applyBorder="1" applyAlignment="1">
      <alignment horizontal="center" vertical="center" wrapText="1"/>
    </xf>
    <xf numFmtId="165" fontId="0" fillId="0" borderId="1" xfId="775" applyNumberFormat="1" applyFont="1" applyBorder="1" applyAlignment="1">
      <alignment horizontal="center" vertical="center"/>
    </xf>
    <xf numFmtId="165" fontId="35" fillId="0" borderId="1" xfId="775" applyNumberFormat="1" applyFont="1" applyBorder="1" applyAlignment="1">
      <alignment horizontal="center"/>
    </xf>
    <xf numFmtId="165" fontId="38" fillId="5" borderId="39" xfId="0" applyNumberFormat="1" applyFont="1" applyFill="1" applyBorder="1" applyAlignment="1">
      <alignment horizontal="center" vertical="center" wrapText="1"/>
    </xf>
    <xf numFmtId="165" fontId="38" fillId="5" borderId="60" xfId="0" applyNumberFormat="1" applyFont="1" applyFill="1" applyBorder="1" applyAlignment="1">
      <alignment horizontal="center" vertical="center" wrapText="1"/>
    </xf>
    <xf numFmtId="165" fontId="36" fillId="3" borderId="15" xfId="0" applyNumberFormat="1" applyFont="1" applyFill="1" applyBorder="1" applyAlignment="1">
      <alignment horizontal="left" vertical="center" wrapText="1"/>
    </xf>
    <xf numFmtId="165" fontId="38" fillId="5" borderId="0" xfId="0" applyNumberFormat="1" applyFont="1" applyFill="1" applyAlignment="1">
      <alignment horizontal="left" vertical="center" wrapText="1"/>
    </xf>
    <xf numFmtId="165" fontId="38" fillId="5" borderId="31" xfId="0" applyNumberFormat="1" applyFont="1" applyFill="1" applyBorder="1" applyAlignment="1">
      <alignment horizontal="left" vertical="center" wrapText="1"/>
    </xf>
    <xf numFmtId="165" fontId="38" fillId="5" borderId="31" xfId="0" applyNumberFormat="1" applyFont="1" applyFill="1" applyBorder="1" applyAlignment="1">
      <alignment horizontal="left" vertical="center"/>
    </xf>
    <xf numFmtId="165" fontId="38" fillId="5" borderId="46" xfId="0" applyNumberFormat="1" applyFont="1" applyFill="1" applyBorder="1" applyAlignment="1">
      <alignment horizontal="left" vertical="center" wrapText="1"/>
    </xf>
    <xf numFmtId="165" fontId="35" fillId="0" borderId="62" xfId="0" applyNumberFormat="1" applyFont="1" applyBorder="1" applyAlignment="1">
      <alignment horizontal="left" vertical="center"/>
    </xf>
    <xf numFmtId="165" fontId="35" fillId="0" borderId="62" xfId="0" applyNumberFormat="1" applyFont="1" applyBorder="1" applyAlignment="1">
      <alignment horizontal="center" vertical="center"/>
    </xf>
    <xf numFmtId="165" fontId="35" fillId="0" borderId="0" xfId="0" applyNumberFormat="1" applyFont="1" applyAlignment="1">
      <alignment horizontal="left" vertical="center" wrapText="1"/>
    </xf>
    <xf numFmtId="165" fontId="35" fillId="0" borderId="0" xfId="0" applyNumberFormat="1" applyFont="1" applyAlignment="1">
      <alignment horizontal="left" vertical="center"/>
    </xf>
    <xf numFmtId="165" fontId="37" fillId="0" borderId="0" xfId="0" applyNumberFormat="1" applyFont="1" applyAlignment="1">
      <alignment horizontal="left" vertical="center" wrapText="1"/>
    </xf>
    <xf numFmtId="165" fontId="37" fillId="0" borderId="0" xfId="0" applyNumberFormat="1" applyFont="1" applyAlignment="1">
      <alignment horizontal="center" vertical="center"/>
    </xf>
    <xf numFmtId="165" fontId="37" fillId="0" borderId="0" xfId="0" applyNumberFormat="1" applyFont="1" applyAlignment="1">
      <alignment horizontal="center" vertical="center" wrapText="1"/>
    </xf>
    <xf numFmtId="1" fontId="47" fillId="6" borderId="1" xfId="773" applyNumberFormat="1" applyFont="1" applyFill="1" applyBorder="1" applyAlignment="1">
      <alignment horizontal="center" vertical="center"/>
    </xf>
    <xf numFmtId="1" fontId="47" fillId="6" borderId="1" xfId="773" applyNumberFormat="1" applyFont="1" applyFill="1" applyBorder="1" applyAlignment="1">
      <alignment horizontal="center" vertical="center" wrapText="1"/>
    </xf>
    <xf numFmtId="0" fontId="46" fillId="6" borderId="1" xfId="773" applyFont="1" applyFill="1" applyBorder="1" applyAlignment="1">
      <alignment horizontal="center" vertical="center"/>
    </xf>
    <xf numFmtId="0" fontId="46" fillId="6" borderId="9" xfId="773" applyFont="1" applyFill="1" applyBorder="1" applyAlignment="1">
      <alignment horizontal="center" vertical="center"/>
    </xf>
    <xf numFmtId="165" fontId="51" fillId="3" borderId="46" xfId="773" applyNumberFormat="1" applyFont="1" applyFill="1" applyBorder="1" applyAlignment="1">
      <alignment vertical="center" wrapText="1"/>
    </xf>
    <xf numFmtId="165" fontId="51" fillId="3" borderId="5" xfId="773" applyNumberFormat="1" applyFont="1" applyFill="1" applyBorder="1" applyAlignment="1">
      <alignment vertical="center" wrapText="1"/>
    </xf>
    <xf numFmtId="165" fontId="51" fillId="3" borderId="24" xfId="763" applyNumberFormat="1" applyFont="1" applyFill="1" applyBorder="1" applyAlignment="1">
      <alignment horizontal="center" vertical="center" wrapText="1"/>
    </xf>
    <xf numFmtId="165" fontId="62" fillId="5" borderId="42" xfId="773" applyNumberFormat="1" applyFont="1" applyFill="1" applyBorder="1" applyAlignment="1">
      <alignment horizontal="center" vertical="center" textRotation="90" wrapText="1"/>
    </xf>
    <xf numFmtId="165" fontId="62" fillId="5" borderId="22" xfId="773" applyNumberFormat="1" applyFont="1" applyFill="1" applyBorder="1" applyAlignment="1">
      <alignment horizontal="center" vertical="center" textRotation="90" wrapText="1"/>
    </xf>
    <xf numFmtId="165" fontId="47" fillId="0" borderId="1" xfId="770" applyNumberFormat="1" applyFont="1" applyBorder="1" applyAlignment="1">
      <alignment horizontal="center" vertical="center"/>
    </xf>
    <xf numFmtId="165" fontId="47" fillId="0" borderId="2" xfId="770" applyNumberFormat="1" applyFont="1" applyBorder="1" applyAlignment="1">
      <alignment horizontal="center" vertical="center"/>
    </xf>
    <xf numFmtId="165" fontId="35" fillId="0" borderId="63" xfId="0" applyNumberFormat="1" applyFont="1" applyBorder="1" applyAlignment="1">
      <alignment horizontal="center" vertical="center" wrapText="1"/>
    </xf>
    <xf numFmtId="165" fontId="37" fillId="0" borderId="13" xfId="0" applyNumberFormat="1" applyFont="1" applyBorder="1" applyAlignment="1">
      <alignment horizontal="center" vertical="center" wrapText="1"/>
    </xf>
    <xf numFmtId="165" fontId="37" fillId="0" borderId="6" xfId="0" applyNumberFormat="1" applyFont="1" applyBorder="1" applyAlignment="1">
      <alignment horizontal="center" vertical="center" wrapText="1"/>
    </xf>
    <xf numFmtId="165" fontId="37" fillId="0" borderId="19" xfId="0" applyNumberFormat="1" applyFont="1" applyBorder="1" applyAlignment="1">
      <alignment horizontal="center" vertical="center" wrapText="1"/>
    </xf>
    <xf numFmtId="165" fontId="37" fillId="0" borderId="9" xfId="0" applyNumberFormat="1" applyFont="1" applyBorder="1" applyAlignment="1">
      <alignment horizontal="center" vertical="center" wrapText="1"/>
    </xf>
    <xf numFmtId="165" fontId="37" fillId="0" borderId="20" xfId="0" applyNumberFormat="1" applyFont="1" applyBorder="1" applyAlignment="1">
      <alignment horizontal="center" vertical="center" wrapText="1"/>
    </xf>
    <xf numFmtId="165" fontId="37" fillId="0" borderId="11" xfId="0" applyNumberFormat="1" applyFont="1" applyBorder="1" applyAlignment="1">
      <alignment horizontal="center" vertical="center" wrapText="1"/>
    </xf>
    <xf numFmtId="165" fontId="37" fillId="0" borderId="12" xfId="0" applyNumberFormat="1" applyFont="1" applyBorder="1" applyAlignment="1">
      <alignment horizontal="center" vertical="center" wrapText="1"/>
    </xf>
    <xf numFmtId="0" fontId="71" fillId="6" borderId="1" xfId="0" applyFont="1" applyFill="1" applyBorder="1" applyAlignment="1">
      <alignment horizontal="center"/>
    </xf>
    <xf numFmtId="165" fontId="35" fillId="0" borderId="9" xfId="0" applyNumberFormat="1" applyFont="1" applyBorder="1" applyAlignment="1">
      <alignment horizontal="center" vertical="center"/>
    </xf>
    <xf numFmtId="1" fontId="36" fillId="9" borderId="24" xfId="0" applyNumberFormat="1" applyFont="1" applyFill="1" applyBorder="1" applyAlignment="1">
      <alignment horizontal="center" vertical="center" wrapText="1"/>
    </xf>
    <xf numFmtId="0" fontId="47" fillId="11" borderId="1" xfId="770" applyFont="1" applyFill="1" applyBorder="1" applyAlignment="1">
      <alignment horizontal="center" vertical="center"/>
    </xf>
    <xf numFmtId="165" fontId="47" fillId="11" borderId="1" xfId="770" applyNumberFormat="1" applyFont="1" applyFill="1" applyBorder="1" applyAlignment="1">
      <alignment horizontal="center" vertical="center"/>
    </xf>
    <xf numFmtId="165" fontId="35" fillId="0" borderId="1" xfId="767" applyNumberFormat="1" applyFont="1" applyBorder="1" applyAlignment="1">
      <alignment horizontal="center" vertical="center"/>
    </xf>
    <xf numFmtId="165" fontId="3" fillId="0" borderId="1" xfId="774" applyNumberFormat="1" applyBorder="1" applyAlignment="1">
      <alignment horizontal="center"/>
    </xf>
    <xf numFmtId="165" fontId="77" fillId="0" borderId="1" xfId="767" applyNumberFormat="1" applyFont="1" applyBorder="1" applyAlignment="1">
      <alignment horizontal="center" vertical="center"/>
    </xf>
    <xf numFmtId="165" fontId="77" fillId="0" borderId="1" xfId="0" applyNumberFormat="1" applyFont="1" applyBorder="1" applyAlignment="1">
      <alignment horizontal="center"/>
    </xf>
    <xf numFmtId="0" fontId="53" fillId="10" borderId="1" xfId="0" applyFont="1" applyFill="1" applyBorder="1" applyAlignment="1">
      <alignment horizontal="center" vertical="center"/>
    </xf>
    <xf numFmtId="165" fontId="71" fillId="0" borderId="72" xfId="0" applyNumberFormat="1" applyFont="1" applyBorder="1" applyAlignment="1">
      <alignment horizontal="center"/>
    </xf>
    <xf numFmtId="165" fontId="53" fillId="0" borderId="72" xfId="773" applyNumberFormat="1" applyFont="1" applyBorder="1" applyAlignment="1">
      <alignment horizontal="center" vertical="center"/>
    </xf>
    <xf numFmtId="165" fontId="53" fillId="0" borderId="72" xfId="773" applyNumberFormat="1" applyFont="1" applyBorder="1" applyAlignment="1">
      <alignment horizontal="center" vertical="center" wrapText="1"/>
    </xf>
    <xf numFmtId="1" fontId="35" fillId="12" borderId="1" xfId="0" applyNumberFormat="1" applyFont="1" applyFill="1" applyBorder="1" applyAlignment="1">
      <alignment horizontal="center" vertical="center"/>
    </xf>
    <xf numFmtId="165" fontId="53" fillId="0" borderId="63" xfId="773" applyNumberFormat="1" applyFont="1" applyBorder="1" applyAlignment="1">
      <alignment horizontal="center" vertical="center"/>
    </xf>
    <xf numFmtId="165" fontId="53" fillId="0" borderId="63" xfId="773" applyNumberFormat="1" applyFont="1" applyBorder="1" applyAlignment="1">
      <alignment horizontal="center" vertical="center" wrapText="1"/>
    </xf>
    <xf numFmtId="165" fontId="4" fillId="0" borderId="63" xfId="773" applyNumberFormat="1" applyBorder="1" applyAlignment="1">
      <alignment horizontal="center" vertical="center"/>
    </xf>
    <xf numFmtId="165" fontId="4" fillId="0" borderId="71" xfId="773" applyNumberFormat="1" applyBorder="1" applyAlignment="1">
      <alignment horizontal="center" vertical="center"/>
    </xf>
    <xf numFmtId="0" fontId="70" fillId="5" borderId="27" xfId="773" applyFont="1" applyFill="1" applyBorder="1" applyAlignment="1">
      <alignment horizontal="center" vertical="center" textRotation="90" wrapText="1"/>
    </xf>
    <xf numFmtId="1" fontId="35" fillId="4" borderId="0" xfId="0" applyNumberFormat="1" applyFont="1" applyFill="1" applyAlignment="1">
      <alignment horizontal="center" vertical="center" wrapText="1"/>
    </xf>
    <xf numFmtId="1" fontId="36" fillId="5" borderId="19" xfId="0" applyNumberFormat="1" applyFont="1" applyFill="1" applyBorder="1" applyAlignment="1">
      <alignment horizontal="center" vertical="center" textRotation="90" wrapText="1"/>
    </xf>
    <xf numFmtId="165" fontId="65" fillId="0" borderId="0" xfId="773" applyNumberFormat="1" applyFont="1" applyAlignment="1">
      <alignment horizontal="center" vertical="center" wrapText="1"/>
    </xf>
    <xf numFmtId="165" fontId="37" fillId="3" borderId="29" xfId="0" applyNumberFormat="1" applyFont="1" applyFill="1" applyBorder="1" applyAlignment="1">
      <alignment horizontal="center" vertical="center" wrapText="1"/>
    </xf>
    <xf numFmtId="165" fontId="36" fillId="3" borderId="59" xfId="0" applyNumberFormat="1" applyFont="1" applyFill="1" applyBorder="1" applyAlignment="1">
      <alignment horizontal="center" vertical="center" wrapText="1"/>
    </xf>
    <xf numFmtId="1" fontId="38" fillId="10" borderId="0" xfId="0" applyNumberFormat="1" applyFont="1" applyFill="1" applyAlignment="1">
      <alignment horizontal="center" vertical="center" wrapText="1"/>
    </xf>
    <xf numFmtId="1" fontId="41" fillId="10" borderId="0" xfId="0" applyNumberFormat="1" applyFont="1" applyFill="1" applyAlignment="1">
      <alignment horizontal="center" vertical="center" wrapText="1"/>
    </xf>
    <xf numFmtId="0" fontId="53" fillId="4" borderId="1" xfId="0" applyFont="1" applyFill="1" applyBorder="1" applyAlignment="1">
      <alignment horizontal="center" vertical="center"/>
    </xf>
    <xf numFmtId="1" fontId="80" fillId="4" borderId="0" xfId="0" applyNumberFormat="1" applyFont="1" applyFill="1" applyAlignment="1">
      <alignment horizontal="center" vertical="center" wrapText="1"/>
    </xf>
    <xf numFmtId="165" fontId="3" fillId="4" borderId="1" xfId="774" applyNumberFormat="1" applyFill="1" applyBorder="1" applyAlignment="1">
      <alignment horizontal="center"/>
    </xf>
    <xf numFmtId="1" fontId="35" fillId="13" borderId="0" xfId="0" applyNumberFormat="1" applyFont="1" applyFill="1" applyAlignment="1">
      <alignment horizontal="center" vertical="center" wrapText="1"/>
    </xf>
    <xf numFmtId="165" fontId="0" fillId="4" borderId="1" xfId="0" applyNumberFormat="1" applyFill="1" applyBorder="1" applyAlignment="1">
      <alignment horizontal="center"/>
    </xf>
    <xf numFmtId="165" fontId="0" fillId="4" borderId="1" xfId="775" applyNumberFormat="1" applyFont="1" applyFill="1" applyBorder="1" applyAlignment="1">
      <alignment horizontal="center"/>
    </xf>
    <xf numFmtId="165" fontId="35" fillId="4" borderId="1" xfId="0" applyNumberFormat="1" applyFont="1" applyFill="1" applyBorder="1" applyAlignment="1">
      <alignment horizontal="center" vertical="center"/>
    </xf>
    <xf numFmtId="165" fontId="35" fillId="4" borderId="1" xfId="0" applyNumberFormat="1" applyFont="1" applyFill="1" applyBorder="1" applyAlignment="1">
      <alignment horizontal="center" vertical="center" wrapText="1"/>
    </xf>
    <xf numFmtId="165" fontId="35" fillId="4" borderId="1" xfId="775" applyNumberFormat="1" applyFont="1" applyFill="1" applyBorder="1" applyAlignment="1">
      <alignment horizontal="center" vertical="center" wrapText="1"/>
    </xf>
    <xf numFmtId="165" fontId="35" fillId="4" borderId="1" xfId="775" applyNumberFormat="1" applyFont="1" applyFill="1" applyBorder="1" applyAlignment="1">
      <alignment horizontal="center" vertical="center"/>
    </xf>
    <xf numFmtId="165" fontId="41" fillId="4" borderId="1" xfId="0" applyNumberFormat="1" applyFont="1" applyFill="1" applyBorder="1" applyAlignment="1">
      <alignment horizontal="center" vertical="center" wrapText="1"/>
    </xf>
    <xf numFmtId="165" fontId="35" fillId="4" borderId="31" xfId="0" applyNumberFormat="1" applyFont="1" applyFill="1" applyBorder="1" applyAlignment="1">
      <alignment horizontal="center" vertical="center" wrapText="1"/>
    </xf>
    <xf numFmtId="165" fontId="35" fillId="4" borderId="72" xfId="0" applyNumberFormat="1" applyFont="1" applyFill="1" applyBorder="1" applyAlignment="1">
      <alignment horizontal="center" vertical="center" wrapText="1"/>
    </xf>
    <xf numFmtId="165" fontId="77" fillId="0" borderId="1" xfId="773" applyNumberFormat="1" applyFont="1" applyBorder="1" applyAlignment="1">
      <alignment horizontal="center" vertical="center"/>
    </xf>
    <xf numFmtId="165" fontId="77" fillId="0" borderId="1" xfId="773" applyNumberFormat="1" applyFont="1" applyBorder="1" applyAlignment="1">
      <alignment horizontal="center" vertical="center" wrapText="1"/>
    </xf>
    <xf numFmtId="165" fontId="35" fillId="4" borderId="31" xfId="0" applyNumberFormat="1" applyFont="1" applyFill="1" applyBorder="1" applyAlignment="1">
      <alignment horizontal="center" vertical="center"/>
    </xf>
    <xf numFmtId="165" fontId="35" fillId="4" borderId="72" xfId="0" applyNumberFormat="1" applyFont="1" applyFill="1" applyBorder="1" applyAlignment="1">
      <alignment horizontal="center" vertical="center"/>
    </xf>
    <xf numFmtId="165" fontId="0" fillId="4" borderId="31" xfId="0" applyNumberFormat="1" applyFill="1" applyBorder="1" applyAlignment="1">
      <alignment horizontal="center"/>
    </xf>
    <xf numFmtId="165" fontId="0" fillId="4" borderId="72" xfId="0" applyNumberFormat="1" applyFill="1" applyBorder="1" applyAlignment="1">
      <alignment horizontal="center"/>
    </xf>
    <xf numFmtId="165" fontId="41" fillId="4" borderId="31" xfId="0" applyNumberFormat="1" applyFont="1" applyFill="1" applyBorder="1" applyAlignment="1">
      <alignment horizontal="center" vertical="center" wrapText="1"/>
    </xf>
    <xf numFmtId="165" fontId="41" fillId="4" borderId="72" xfId="0" applyNumberFormat="1" applyFont="1" applyFill="1" applyBorder="1" applyAlignment="1">
      <alignment horizontal="center" vertical="center" wrapText="1"/>
    </xf>
    <xf numFmtId="2" fontId="0" fillId="4" borderId="1" xfId="0" applyNumberFormat="1" applyFill="1" applyBorder="1" applyAlignment="1">
      <alignment horizontal="center"/>
    </xf>
    <xf numFmtId="0" fontId="0" fillId="4" borderId="1" xfId="0" applyFill="1" applyBorder="1" applyAlignment="1">
      <alignment horizontal="center"/>
    </xf>
    <xf numFmtId="2" fontId="53" fillId="4" borderId="1" xfId="773" applyNumberFormat="1" applyFont="1" applyFill="1" applyBorder="1" applyAlignment="1">
      <alignment horizontal="center" vertical="center"/>
    </xf>
    <xf numFmtId="165" fontId="53" fillId="4" borderId="1" xfId="773" applyNumberFormat="1" applyFont="1" applyFill="1" applyBorder="1" applyAlignment="1">
      <alignment horizontal="center" vertical="center"/>
    </xf>
    <xf numFmtId="165" fontId="4" fillId="4" borderId="1" xfId="773" applyNumberFormat="1" applyFill="1" applyBorder="1" applyAlignment="1">
      <alignment horizontal="center" vertical="center"/>
    </xf>
    <xf numFmtId="0" fontId="4" fillId="4" borderId="1" xfId="773" applyFill="1" applyBorder="1" applyAlignment="1">
      <alignment horizontal="center" vertical="center"/>
    </xf>
    <xf numFmtId="2" fontId="53" fillId="4" borderId="1" xfId="773" applyNumberFormat="1" applyFont="1" applyFill="1" applyBorder="1" applyAlignment="1">
      <alignment horizontal="center" vertical="center" wrapText="1"/>
    </xf>
    <xf numFmtId="165" fontId="53" fillId="4" borderId="1" xfId="773" applyNumberFormat="1" applyFont="1" applyFill="1" applyBorder="1" applyAlignment="1">
      <alignment horizontal="center" vertical="center" wrapText="1"/>
    </xf>
    <xf numFmtId="0" fontId="4" fillId="4" borderId="9" xfId="773" applyFill="1" applyBorder="1" applyAlignment="1">
      <alignment horizontal="center" vertical="center"/>
    </xf>
    <xf numFmtId="0" fontId="4" fillId="4" borderId="31" xfId="773" applyFill="1" applyBorder="1" applyAlignment="1">
      <alignment horizontal="center" vertical="center"/>
    </xf>
    <xf numFmtId="165" fontId="77" fillId="0" borderId="4" xfId="773" applyNumberFormat="1" applyFont="1" applyBorder="1" applyAlignment="1">
      <alignment horizontal="center" vertical="center"/>
    </xf>
    <xf numFmtId="165" fontId="77" fillId="0" borderId="4" xfId="773" applyNumberFormat="1" applyFont="1" applyBorder="1" applyAlignment="1">
      <alignment horizontal="center" vertical="center" wrapText="1"/>
    </xf>
    <xf numFmtId="0" fontId="46" fillId="10" borderId="0" xfId="773" applyFont="1" applyFill="1"/>
    <xf numFmtId="0" fontId="0" fillId="4" borderId="1" xfId="0" applyFill="1" applyBorder="1"/>
    <xf numFmtId="2" fontId="4" fillId="4" borderId="1" xfId="773" applyNumberFormat="1" applyFill="1" applyBorder="1" applyAlignment="1">
      <alignment horizontal="center" vertical="center"/>
    </xf>
    <xf numFmtId="1" fontId="35" fillId="4" borderId="1" xfId="0" applyNumberFormat="1" applyFont="1" applyFill="1" applyBorder="1" applyAlignment="1">
      <alignment horizontal="center" vertical="center"/>
    </xf>
    <xf numFmtId="165" fontId="35" fillId="4" borderId="1" xfId="767" applyNumberFormat="1" applyFont="1" applyFill="1" applyBorder="1" applyAlignment="1">
      <alignment horizontal="center" vertical="center"/>
    </xf>
    <xf numFmtId="165" fontId="35" fillId="12" borderId="1" xfId="767" applyNumberFormat="1" applyFont="1" applyFill="1" applyBorder="1" applyAlignment="1">
      <alignment horizontal="center" vertical="center"/>
    </xf>
    <xf numFmtId="165" fontId="53" fillId="12" borderId="1" xfId="0" applyNumberFormat="1" applyFont="1" applyFill="1" applyBorder="1" applyAlignment="1">
      <alignment horizontal="center" vertical="center"/>
    </xf>
    <xf numFmtId="165" fontId="53" fillId="0" borderId="1" xfId="0" applyNumberFormat="1" applyFont="1" applyBorder="1" applyAlignment="1">
      <alignment horizontal="center" vertical="center"/>
    </xf>
    <xf numFmtId="165" fontId="35" fillId="0" borderId="1" xfId="767" applyNumberFormat="1" applyFont="1" applyBorder="1" applyAlignment="1">
      <alignment horizontal="center" vertical="center" wrapText="1"/>
    </xf>
    <xf numFmtId="1" fontId="35" fillId="10" borderId="0" xfId="0" applyNumberFormat="1" applyFont="1" applyFill="1" applyAlignment="1">
      <alignment horizontal="center" vertical="center" wrapText="1"/>
    </xf>
    <xf numFmtId="1" fontId="35" fillId="10" borderId="0" xfId="767" applyNumberFormat="1" applyFont="1" applyFill="1" applyAlignment="1">
      <alignment horizontal="center" vertical="center" wrapText="1"/>
    </xf>
    <xf numFmtId="165" fontId="35" fillId="4" borderId="1" xfId="0" applyNumberFormat="1" applyFont="1" applyFill="1" applyBorder="1" applyAlignment="1">
      <alignment horizontal="center"/>
    </xf>
    <xf numFmtId="165" fontId="77" fillId="4" borderId="1" xfId="773" applyNumberFormat="1" applyFont="1" applyFill="1" applyBorder="1" applyAlignment="1">
      <alignment horizontal="center" vertical="center" wrapText="1"/>
    </xf>
    <xf numFmtId="165" fontId="77" fillId="4" borderId="1" xfId="773" applyNumberFormat="1" applyFont="1" applyFill="1" applyBorder="1" applyAlignment="1">
      <alignment horizontal="center" vertical="center"/>
    </xf>
    <xf numFmtId="1" fontId="46" fillId="0" borderId="0" xfId="770" applyNumberFormat="1" applyFont="1"/>
    <xf numFmtId="2" fontId="47" fillId="0" borderId="0" xfId="770" applyNumberFormat="1" applyFont="1" applyAlignment="1">
      <alignment horizontal="center" vertical="center"/>
    </xf>
    <xf numFmtId="165" fontId="47" fillId="0" borderId="1" xfId="0" applyNumberFormat="1" applyFont="1" applyBorder="1" applyAlignment="1">
      <alignment horizontal="center"/>
    </xf>
    <xf numFmtId="165" fontId="46" fillId="0" borderId="1" xfId="770" applyNumberFormat="1" applyFont="1" applyBorder="1" applyAlignment="1">
      <alignment horizontal="center" vertical="center"/>
    </xf>
    <xf numFmtId="165" fontId="65" fillId="0" borderId="1" xfId="0" applyNumberFormat="1" applyFont="1" applyBorder="1" applyAlignment="1">
      <alignment horizontal="center"/>
    </xf>
    <xf numFmtId="165" fontId="35" fillId="12" borderId="1" xfId="0" applyNumberFormat="1" applyFont="1" applyFill="1" applyBorder="1" applyAlignment="1">
      <alignment horizontal="center" vertical="center"/>
    </xf>
    <xf numFmtId="164" fontId="35" fillId="0" borderId="1" xfId="0" applyNumberFormat="1" applyFont="1" applyBorder="1" applyAlignment="1">
      <alignment horizontal="center" vertical="center"/>
    </xf>
    <xf numFmtId="1" fontId="0" fillId="0" borderId="1" xfId="0" applyNumberFormat="1" applyBorder="1" applyAlignment="1">
      <alignment horizontal="center"/>
    </xf>
    <xf numFmtId="1" fontId="77" fillId="0" borderId="1" xfId="0" applyNumberFormat="1" applyFont="1" applyBorder="1" applyAlignment="1">
      <alignment horizontal="center"/>
    </xf>
    <xf numFmtId="165" fontId="35" fillId="12" borderId="1" xfId="0" applyNumberFormat="1" applyFont="1" applyFill="1" applyBorder="1" applyAlignment="1">
      <alignment horizontal="center" vertical="center" wrapText="1"/>
    </xf>
    <xf numFmtId="165" fontId="53" fillId="4" borderId="1" xfId="0" applyNumberFormat="1" applyFont="1" applyFill="1" applyBorder="1" applyAlignment="1">
      <alignment horizontal="center" vertical="center"/>
    </xf>
    <xf numFmtId="1" fontId="53" fillId="4" borderId="1" xfId="0" applyNumberFormat="1" applyFont="1" applyFill="1" applyBorder="1" applyAlignment="1">
      <alignment horizontal="center" vertical="center"/>
    </xf>
    <xf numFmtId="165" fontId="77" fillId="0" borderId="1" xfId="767" applyNumberFormat="1" applyFont="1" applyBorder="1" applyAlignment="1">
      <alignment horizontal="center" vertical="center" wrapText="1"/>
    </xf>
    <xf numFmtId="165" fontId="53" fillId="0" borderId="1" xfId="767" applyNumberFormat="1" applyFont="1" applyBorder="1" applyAlignment="1">
      <alignment horizontal="center" vertical="center" wrapText="1"/>
    </xf>
    <xf numFmtId="165" fontId="53" fillId="0" borderId="1" xfId="767" applyNumberFormat="1" applyFont="1" applyBorder="1" applyAlignment="1">
      <alignment horizontal="center" vertical="center"/>
    </xf>
    <xf numFmtId="165" fontId="65" fillId="0" borderId="1" xfId="0" applyNumberFormat="1" applyFont="1" applyBorder="1" applyAlignment="1">
      <alignment horizontal="center" vertical="center" wrapText="1"/>
    </xf>
    <xf numFmtId="1" fontId="41" fillId="0" borderId="0" xfId="0" applyNumberFormat="1" applyFont="1" applyAlignment="1">
      <alignment horizontal="center" vertical="center" wrapText="1"/>
    </xf>
    <xf numFmtId="165" fontId="65" fillId="0" borderId="1" xfId="0" applyNumberFormat="1" applyFont="1" applyBorder="1" applyAlignment="1">
      <alignment horizontal="center" vertical="center"/>
    </xf>
    <xf numFmtId="165" fontId="72" fillId="0" borderId="1" xfId="0" applyNumberFormat="1" applyFont="1" applyBorder="1" applyAlignment="1">
      <alignment horizontal="center" vertical="center" wrapText="1"/>
    </xf>
    <xf numFmtId="165" fontId="83" fillId="0" borderId="1" xfId="0" applyNumberFormat="1" applyFont="1" applyBorder="1" applyAlignment="1">
      <alignment horizontal="center"/>
    </xf>
    <xf numFmtId="165" fontId="82" fillId="0" borderId="1" xfId="0" applyNumberFormat="1" applyFont="1" applyBorder="1" applyAlignment="1">
      <alignment horizontal="center"/>
    </xf>
    <xf numFmtId="165" fontId="41" fillId="0" borderId="1" xfId="0" applyNumberFormat="1" applyFont="1" applyBorder="1" applyAlignment="1">
      <alignment horizontal="center" vertical="center"/>
    </xf>
    <xf numFmtId="165" fontId="53" fillId="0" borderId="1" xfId="0" applyNumberFormat="1" applyFont="1" applyBorder="1" applyAlignment="1">
      <alignment horizontal="center" vertical="center" wrapText="1"/>
    </xf>
    <xf numFmtId="165" fontId="41" fillId="0" borderId="1" xfId="0" applyNumberFormat="1" applyFont="1" applyBorder="1" applyAlignment="1">
      <alignment horizontal="center"/>
    </xf>
    <xf numFmtId="165" fontId="2" fillId="0" borderId="1" xfId="774" applyNumberFormat="1" applyFont="1" applyBorder="1" applyAlignment="1">
      <alignment horizontal="center"/>
    </xf>
    <xf numFmtId="165" fontId="0" fillId="0" borderId="1" xfId="775" applyNumberFormat="1" applyFont="1" applyFill="1" applyBorder="1" applyAlignment="1">
      <alignment horizontal="center"/>
    </xf>
    <xf numFmtId="165" fontId="35" fillId="0" borderId="1" xfId="775" applyNumberFormat="1" applyFont="1" applyFill="1" applyBorder="1" applyAlignment="1">
      <alignment horizontal="center" vertical="center"/>
    </xf>
    <xf numFmtId="165" fontId="35" fillId="0" borderId="1" xfId="775" applyNumberFormat="1" applyFont="1" applyFill="1" applyBorder="1" applyAlignment="1">
      <alignment horizontal="center" vertical="center" wrapText="1"/>
    </xf>
    <xf numFmtId="164" fontId="35" fillId="0" borderId="1" xfId="0" applyNumberFormat="1" applyFont="1" applyBorder="1" applyAlignment="1">
      <alignment horizontal="center" vertical="center" wrapText="1"/>
    </xf>
    <xf numFmtId="164" fontId="35" fillId="4" borderId="1" xfId="0" applyNumberFormat="1" applyFont="1" applyFill="1" applyBorder="1" applyAlignment="1">
      <alignment horizontal="center" vertical="center"/>
    </xf>
    <xf numFmtId="0" fontId="53" fillId="4" borderId="1" xfId="773" applyFont="1" applyFill="1" applyBorder="1" applyAlignment="1">
      <alignment horizontal="center" vertical="center"/>
    </xf>
    <xf numFmtId="0" fontId="53" fillId="4" borderId="1" xfId="773" applyFont="1" applyFill="1" applyBorder="1" applyAlignment="1">
      <alignment horizontal="center" vertical="center" wrapText="1"/>
    </xf>
    <xf numFmtId="165" fontId="74" fillId="0" borderId="1" xfId="0" applyNumberFormat="1" applyFont="1" applyBorder="1" applyAlignment="1">
      <alignment horizontal="center"/>
    </xf>
    <xf numFmtId="0" fontId="77" fillId="4" borderId="1" xfId="773" applyFont="1" applyFill="1" applyBorder="1" applyAlignment="1">
      <alignment horizontal="center" vertical="center"/>
    </xf>
    <xf numFmtId="0" fontId="77" fillId="4" borderId="1" xfId="773" applyFont="1" applyFill="1" applyBorder="1" applyAlignment="1">
      <alignment horizontal="center" vertical="center" wrapText="1"/>
    </xf>
    <xf numFmtId="164" fontId="53" fillId="4" borderId="1" xfId="0" applyNumberFormat="1" applyFont="1" applyFill="1" applyBorder="1" applyAlignment="1">
      <alignment horizontal="center" vertical="center"/>
    </xf>
    <xf numFmtId="165" fontId="35" fillId="0" borderId="1" xfId="763" applyNumberFormat="1" applyFont="1" applyBorder="1" applyAlignment="1">
      <alignment horizontal="center" vertical="center" wrapText="1"/>
    </xf>
    <xf numFmtId="165" fontId="35" fillId="0" borderId="9" xfId="763" applyNumberFormat="1" applyFont="1" applyBorder="1" applyAlignment="1">
      <alignment horizontal="center" vertical="center" wrapText="1"/>
    </xf>
    <xf numFmtId="165" fontId="35" fillId="0" borderId="2" xfId="0" applyNumberFormat="1" applyFont="1" applyBorder="1" applyAlignment="1">
      <alignment horizontal="center" vertical="center" wrapText="1"/>
    </xf>
    <xf numFmtId="165" fontId="35" fillId="0" borderId="2" xfId="763" applyNumberFormat="1" applyFont="1" applyBorder="1" applyAlignment="1">
      <alignment horizontal="center" vertical="center" wrapText="1"/>
    </xf>
    <xf numFmtId="165" fontId="35" fillId="0" borderId="14" xfId="763" applyNumberFormat="1" applyFont="1" applyBorder="1" applyAlignment="1">
      <alignment horizontal="center" vertical="center" wrapText="1"/>
    </xf>
    <xf numFmtId="1" fontId="36" fillId="2" borderId="63" xfId="0" applyNumberFormat="1" applyFont="1" applyFill="1" applyBorder="1" applyAlignment="1">
      <alignment horizontal="center" vertical="center" wrapText="1"/>
    </xf>
    <xf numFmtId="165" fontId="35" fillId="12" borderId="31" xfId="0" applyNumberFormat="1" applyFont="1" applyFill="1" applyBorder="1" applyAlignment="1">
      <alignment horizontal="center" vertical="center" wrapText="1"/>
    </xf>
    <xf numFmtId="165" fontId="35" fillId="12" borderId="72" xfId="0" applyNumberFormat="1" applyFont="1" applyFill="1" applyBorder="1" applyAlignment="1">
      <alignment horizontal="center" vertical="center" wrapText="1"/>
    </xf>
    <xf numFmtId="2" fontId="35" fillId="0" borderId="4" xfId="0" applyNumberFormat="1" applyFont="1" applyBorder="1" applyAlignment="1">
      <alignment horizontal="center"/>
    </xf>
    <xf numFmtId="165" fontId="35" fillId="0" borderId="4" xfId="0" applyNumberFormat="1" applyFont="1" applyBorder="1" applyAlignment="1">
      <alignment horizontal="center"/>
    </xf>
    <xf numFmtId="0" fontId="35" fillId="0" borderId="4" xfId="0" applyFont="1" applyBorder="1" applyAlignment="1">
      <alignment horizontal="center"/>
    </xf>
    <xf numFmtId="1" fontId="38" fillId="3" borderId="1" xfId="0" applyNumberFormat="1" applyFont="1" applyFill="1" applyBorder="1" applyAlignment="1">
      <alignment horizontal="center" vertical="center" wrapText="1"/>
    </xf>
    <xf numFmtId="1" fontId="38" fillId="3" borderId="1" xfId="767" applyNumberFormat="1" applyFont="1" applyFill="1" applyBorder="1" applyAlignment="1">
      <alignment horizontal="center" vertical="center"/>
    </xf>
    <xf numFmtId="1" fontId="53" fillId="0" borderId="4" xfId="773" applyNumberFormat="1" applyFont="1" applyBorder="1"/>
    <xf numFmtId="0" fontId="53" fillId="0" borderId="60" xfId="773" applyFont="1" applyBorder="1" applyAlignment="1">
      <alignment vertical="center" wrapText="1"/>
    </xf>
    <xf numFmtId="0" fontId="52" fillId="14" borderId="59" xfId="771" applyFont="1" applyFill="1" applyBorder="1" applyAlignment="1">
      <alignment wrapText="1"/>
    </xf>
    <xf numFmtId="1" fontId="35" fillId="4" borderId="0" xfId="0" applyNumberFormat="1" applyFont="1" applyFill="1" applyAlignment="1">
      <alignment horizontal="center" vertical="center"/>
    </xf>
    <xf numFmtId="165" fontId="77" fillId="4" borderId="1" xfId="0" applyNumberFormat="1" applyFont="1" applyFill="1" applyBorder="1" applyAlignment="1">
      <alignment horizontal="center"/>
    </xf>
    <xf numFmtId="2" fontId="47" fillId="0" borderId="1" xfId="773" applyNumberFormat="1" applyFont="1" applyBorder="1" applyAlignment="1">
      <alignment horizontal="center" vertical="center"/>
    </xf>
    <xf numFmtId="2" fontId="47" fillId="0" borderId="1" xfId="773" applyNumberFormat="1" applyFont="1" applyBorder="1" applyAlignment="1">
      <alignment horizontal="center" vertical="center" wrapText="1"/>
    </xf>
    <xf numFmtId="2" fontId="46" fillId="0" borderId="1" xfId="773" applyNumberFormat="1" applyFont="1" applyBorder="1" applyAlignment="1">
      <alignment horizontal="center" vertical="center"/>
    </xf>
    <xf numFmtId="165" fontId="47" fillId="0" borderId="1" xfId="773" applyNumberFormat="1" applyFont="1" applyBorder="1" applyAlignment="1">
      <alignment horizontal="center" vertical="center"/>
    </xf>
    <xf numFmtId="165" fontId="47" fillId="0" borderId="1" xfId="773" applyNumberFormat="1" applyFont="1" applyBorder="1" applyAlignment="1">
      <alignment horizontal="center" vertical="center" wrapText="1"/>
    </xf>
    <xf numFmtId="165" fontId="46" fillId="0" borderId="1" xfId="773" applyNumberFormat="1" applyFont="1" applyBorder="1" applyAlignment="1">
      <alignment horizontal="center" vertical="center"/>
    </xf>
    <xf numFmtId="165" fontId="46" fillId="0" borderId="9" xfId="773" applyNumberFormat="1" applyFont="1" applyBorder="1" applyAlignment="1">
      <alignment horizontal="center" vertical="center"/>
    </xf>
    <xf numFmtId="1" fontId="47" fillId="0" borderId="1" xfId="771" applyNumberFormat="1" applyFont="1" applyBorder="1" applyAlignment="1">
      <alignment horizontal="center" vertical="center" wrapText="1"/>
    </xf>
    <xf numFmtId="1" fontId="35" fillId="4" borderId="1" xfId="767" applyNumberFormat="1" applyFont="1" applyFill="1" applyBorder="1" applyAlignment="1">
      <alignment horizontal="center" vertical="center"/>
    </xf>
    <xf numFmtId="2" fontId="46" fillId="0" borderId="9" xfId="773" applyNumberFormat="1" applyFont="1" applyBorder="1" applyAlignment="1">
      <alignment horizontal="center" vertical="center"/>
    </xf>
    <xf numFmtId="165" fontId="47" fillId="4" borderId="1" xfId="0" applyNumberFormat="1" applyFont="1" applyFill="1" applyBorder="1" applyAlignment="1">
      <alignment horizontal="center"/>
    </xf>
    <xf numFmtId="0" fontId="47" fillId="4" borderId="0" xfId="770" applyFont="1" applyFill="1" applyAlignment="1">
      <alignment horizontal="center" vertical="center"/>
    </xf>
    <xf numFmtId="0" fontId="46" fillId="4" borderId="0" xfId="770" applyFont="1" applyFill="1" applyAlignment="1">
      <alignment horizontal="center" vertical="center"/>
    </xf>
    <xf numFmtId="165" fontId="46" fillId="4" borderId="1" xfId="771" applyNumberFormat="1" applyFont="1" applyFill="1" applyBorder="1" applyAlignment="1">
      <alignment horizontal="center" vertical="center"/>
    </xf>
    <xf numFmtId="165" fontId="46" fillId="4" borderId="0" xfId="771" applyNumberFormat="1" applyFont="1" applyFill="1" applyAlignment="1">
      <alignment horizontal="center"/>
    </xf>
    <xf numFmtId="0" fontId="46" fillId="4" borderId="0" xfId="771" applyFont="1" applyFill="1"/>
    <xf numFmtId="0" fontId="48" fillId="4" borderId="0" xfId="0" applyFont="1" applyFill="1"/>
    <xf numFmtId="1" fontId="47" fillId="0" borderId="1" xfId="773" applyNumberFormat="1" applyFont="1" applyBorder="1" applyAlignment="1">
      <alignment horizontal="center" vertical="center"/>
    </xf>
    <xf numFmtId="1" fontId="47" fillId="0" borderId="1" xfId="773" applyNumberFormat="1" applyFont="1" applyBorder="1" applyAlignment="1">
      <alignment horizontal="center" vertical="center" wrapText="1"/>
    </xf>
    <xf numFmtId="0" fontId="46" fillId="0" borderId="1" xfId="773" applyFont="1" applyBorder="1" applyAlignment="1">
      <alignment horizontal="center" vertical="center"/>
    </xf>
    <xf numFmtId="0" fontId="46" fillId="0" borderId="9" xfId="773" applyFont="1" applyBorder="1" applyAlignment="1">
      <alignment horizontal="center" vertical="center"/>
    </xf>
    <xf numFmtId="1" fontId="85" fillId="4" borderId="63" xfId="0" applyNumberFormat="1" applyFont="1" applyFill="1" applyBorder="1" applyAlignment="1">
      <alignment horizontal="center" vertical="center" wrapText="1"/>
    </xf>
    <xf numFmtId="0" fontId="46" fillId="4" borderId="0" xfId="773" applyFont="1" applyFill="1"/>
    <xf numFmtId="0" fontId="63" fillId="10" borderId="38" xfId="773" applyFont="1" applyFill="1" applyBorder="1" applyAlignment="1">
      <alignment vertical="center" wrapText="1"/>
    </xf>
    <xf numFmtId="164" fontId="85" fillId="4" borderId="63" xfId="0" applyNumberFormat="1" applyFont="1" applyFill="1" applyBorder="1" applyAlignment="1">
      <alignment horizontal="center" vertical="center" wrapText="1"/>
    </xf>
    <xf numFmtId="165" fontId="85" fillId="4" borderId="63" xfId="0" applyNumberFormat="1" applyFont="1" applyFill="1" applyBorder="1" applyAlignment="1">
      <alignment horizontal="center" vertical="center" wrapText="1"/>
    </xf>
    <xf numFmtId="165" fontId="85" fillId="4" borderId="63" xfId="763" applyNumberFormat="1" applyFont="1" applyFill="1" applyBorder="1" applyAlignment="1">
      <alignment horizontal="center" vertical="center" wrapText="1"/>
    </xf>
    <xf numFmtId="165" fontId="85" fillId="4" borderId="37" xfId="763" applyNumberFormat="1" applyFont="1" applyFill="1" applyBorder="1" applyAlignment="1">
      <alignment horizontal="center" vertical="center" wrapText="1"/>
    </xf>
    <xf numFmtId="0" fontId="2" fillId="4" borderId="1" xfId="774" applyFont="1" applyFill="1" applyBorder="1" applyAlignment="1">
      <alignment horizontal="center"/>
    </xf>
    <xf numFmtId="165" fontId="71" fillId="4" borderId="1" xfId="0" applyNumberFormat="1" applyFont="1" applyFill="1" applyBorder="1" applyAlignment="1">
      <alignment horizontal="center"/>
    </xf>
    <xf numFmtId="165" fontId="53" fillId="4" borderId="2" xfId="773" applyNumberFormat="1" applyFont="1" applyFill="1" applyBorder="1" applyAlignment="1">
      <alignment horizontal="center" vertical="center"/>
    </xf>
    <xf numFmtId="165" fontId="4" fillId="4" borderId="2" xfId="773" applyNumberFormat="1" applyFill="1" applyBorder="1" applyAlignment="1">
      <alignment horizontal="center" vertical="center"/>
    </xf>
    <xf numFmtId="165" fontId="4" fillId="4" borderId="14" xfId="773" applyNumberFormat="1" applyFill="1" applyBorder="1" applyAlignment="1">
      <alignment horizontal="center" vertical="center"/>
    </xf>
    <xf numFmtId="0" fontId="46" fillId="15" borderId="0" xfId="773" applyFont="1" applyFill="1"/>
    <xf numFmtId="165" fontId="2" fillId="4" borderId="1" xfId="773" applyNumberFormat="1" applyFont="1" applyFill="1" applyBorder="1" applyAlignment="1">
      <alignment horizontal="center" vertical="center"/>
    </xf>
    <xf numFmtId="1" fontId="53" fillId="4" borderId="1" xfId="773" applyNumberFormat="1" applyFont="1" applyFill="1" applyBorder="1" applyAlignment="1">
      <alignment horizontal="center" vertical="center"/>
    </xf>
    <xf numFmtId="165" fontId="35" fillId="0" borderId="46" xfId="0" applyNumberFormat="1" applyFont="1" applyBorder="1" applyAlignment="1">
      <alignment horizontal="center" vertical="center"/>
    </xf>
    <xf numFmtId="165" fontId="47" fillId="0" borderId="31" xfId="770" applyNumberFormat="1" applyFont="1" applyBorder="1" applyAlignment="1">
      <alignment horizontal="center" vertical="center"/>
    </xf>
    <xf numFmtId="1" fontId="38" fillId="5" borderId="3" xfId="0" applyNumberFormat="1" applyFont="1" applyFill="1" applyBorder="1" applyAlignment="1">
      <alignment horizontal="center" vertical="center"/>
    </xf>
    <xf numFmtId="165" fontId="35" fillId="0" borderId="3" xfId="0" applyNumberFormat="1" applyFont="1" applyBorder="1" applyAlignment="1">
      <alignment horizontal="center" vertical="center"/>
    </xf>
    <xf numFmtId="0" fontId="17" fillId="0" borderId="0" xfId="0" applyFont="1"/>
    <xf numFmtId="164" fontId="37" fillId="0" borderId="1" xfId="0" applyNumberFormat="1" applyFont="1" applyBorder="1" applyAlignment="1">
      <alignment horizontal="center" vertical="center" wrapText="1"/>
    </xf>
    <xf numFmtId="164" fontId="35" fillId="0" borderId="0" xfId="0" applyNumberFormat="1" applyFont="1" applyAlignment="1">
      <alignment horizontal="center" vertical="center" wrapText="1"/>
    </xf>
    <xf numFmtId="164" fontId="37" fillId="0" borderId="0" xfId="0" applyNumberFormat="1" applyFont="1" applyAlignment="1">
      <alignment horizontal="center" vertical="center" wrapText="1"/>
    </xf>
    <xf numFmtId="164" fontId="71" fillId="0" borderId="1" xfId="0" applyNumberFormat="1" applyFont="1" applyBorder="1" applyAlignment="1">
      <alignment horizontal="center"/>
    </xf>
    <xf numFmtId="164" fontId="47" fillId="0" borderId="1" xfId="773" applyNumberFormat="1" applyFont="1" applyBorder="1" applyAlignment="1">
      <alignment horizontal="center" vertical="center" wrapText="1"/>
    </xf>
    <xf numFmtId="164" fontId="47" fillId="0" borderId="0" xfId="773" applyNumberFormat="1" applyFont="1" applyAlignment="1">
      <alignment horizontal="center" vertical="center" wrapText="1"/>
    </xf>
    <xf numFmtId="164" fontId="49" fillId="0" borderId="1" xfId="773" applyNumberFormat="1" applyFont="1" applyBorder="1" applyAlignment="1">
      <alignment horizontal="center" vertical="center" wrapText="1"/>
    </xf>
    <xf numFmtId="164" fontId="46" fillId="0" borderId="0" xfId="773" applyNumberFormat="1" applyFont="1"/>
    <xf numFmtId="164" fontId="48" fillId="0" borderId="0" xfId="0" applyNumberFormat="1" applyFont="1"/>
    <xf numFmtId="1" fontId="71" fillId="0" borderId="1" xfId="0" applyNumberFormat="1" applyFont="1" applyBorder="1" applyAlignment="1">
      <alignment horizontal="center"/>
    </xf>
    <xf numFmtId="1" fontId="47" fillId="0" borderId="0" xfId="773" applyNumberFormat="1" applyFont="1" applyAlignment="1">
      <alignment horizontal="center" vertical="center" wrapText="1"/>
    </xf>
    <xf numFmtId="1" fontId="46" fillId="0" borderId="0" xfId="773" applyNumberFormat="1" applyFont="1"/>
    <xf numFmtId="1" fontId="48" fillId="0" borderId="0" xfId="0" applyNumberFormat="1" applyFont="1"/>
    <xf numFmtId="164" fontId="47" fillId="0" borderId="1" xfId="773" applyNumberFormat="1" applyFont="1" applyBorder="1" applyAlignment="1">
      <alignment horizontal="center" vertical="center"/>
    </xf>
    <xf numFmtId="1" fontId="65" fillId="0" borderId="0" xfId="773" applyNumberFormat="1" applyFont="1" applyAlignment="1">
      <alignment horizontal="center" vertical="center" wrapText="1"/>
    </xf>
    <xf numFmtId="2" fontId="52" fillId="3" borderId="24" xfId="770" applyNumberFormat="1" applyFont="1" applyFill="1" applyBorder="1" applyAlignment="1">
      <alignment horizontal="center" vertical="center" wrapText="1"/>
    </xf>
    <xf numFmtId="2" fontId="46" fillId="0" borderId="1" xfId="770" applyNumberFormat="1" applyFont="1" applyBorder="1" applyAlignment="1">
      <alignment horizontal="center" vertical="center"/>
    </xf>
    <xf numFmtId="2" fontId="47" fillId="0" borderId="1" xfId="771" applyNumberFormat="1" applyFont="1" applyBorder="1" applyAlignment="1">
      <alignment horizontal="center" vertical="center"/>
    </xf>
    <xf numFmtId="2" fontId="46" fillId="0" borderId="53" xfId="770" applyNumberFormat="1" applyFont="1" applyBorder="1" applyAlignment="1">
      <alignment horizontal="center" vertical="center"/>
    </xf>
    <xf numFmtId="2" fontId="60" fillId="0" borderId="2" xfId="770" applyNumberFormat="1" applyFont="1" applyBorder="1" applyAlignment="1">
      <alignment horizontal="center" vertical="center"/>
    </xf>
    <xf numFmtId="2" fontId="60" fillId="0" borderId="1" xfId="770" applyNumberFormat="1" applyFont="1" applyBorder="1" applyAlignment="1">
      <alignment horizontal="center" vertical="center"/>
    </xf>
    <xf numFmtId="2" fontId="60" fillId="0" borderId="60" xfId="770" applyNumberFormat="1" applyFont="1" applyBorder="1" applyAlignment="1">
      <alignment horizontal="center" vertical="center"/>
    </xf>
    <xf numFmtId="164" fontId="47" fillId="0" borderId="1" xfId="771" applyNumberFormat="1" applyFont="1" applyBorder="1" applyAlignment="1">
      <alignment horizontal="center" vertical="center"/>
    </xf>
    <xf numFmtId="2" fontId="48" fillId="0" borderId="0" xfId="0" applyNumberFormat="1" applyFont="1" applyAlignment="1">
      <alignment horizontal="center"/>
    </xf>
    <xf numFmtId="165" fontId="48" fillId="0" borderId="0" xfId="0" applyNumberFormat="1" applyFont="1"/>
    <xf numFmtId="0" fontId="46" fillId="0" borderId="1" xfId="770" applyFont="1" applyBorder="1"/>
    <xf numFmtId="2" fontId="46" fillId="0" borderId="1" xfId="770" applyNumberFormat="1" applyFont="1" applyBorder="1" applyAlignment="1">
      <alignment horizontal="center"/>
    </xf>
    <xf numFmtId="165" fontId="0" fillId="16" borderId="1" xfId="0" applyNumberFormat="1" applyFill="1" applyBorder="1" applyAlignment="1">
      <alignment horizontal="center"/>
    </xf>
    <xf numFmtId="165" fontId="35" fillId="16" borderId="1" xfId="0" applyNumberFormat="1" applyFont="1" applyFill="1" applyBorder="1" applyAlignment="1">
      <alignment horizontal="center" vertical="center"/>
    </xf>
    <xf numFmtId="165" fontId="53" fillId="16" borderId="1" xfId="0" applyNumberFormat="1" applyFont="1" applyFill="1" applyBorder="1" applyAlignment="1">
      <alignment horizontal="center" vertical="center"/>
    </xf>
    <xf numFmtId="165" fontId="77" fillId="16" borderId="1" xfId="0" applyNumberFormat="1" applyFont="1" applyFill="1" applyBorder="1" applyAlignment="1">
      <alignment horizontal="center"/>
    </xf>
    <xf numFmtId="165" fontId="74" fillId="16" borderId="1" xfId="0" applyNumberFormat="1" applyFont="1" applyFill="1" applyBorder="1" applyAlignment="1">
      <alignment horizontal="center"/>
    </xf>
    <xf numFmtId="1" fontId="36" fillId="16" borderId="24" xfId="0" applyNumberFormat="1" applyFont="1" applyFill="1" applyBorder="1" applyAlignment="1">
      <alignment horizontal="center" vertical="center" wrapText="1"/>
    </xf>
    <xf numFmtId="165" fontId="77" fillId="16" borderId="1" xfId="0" applyNumberFormat="1" applyFont="1" applyFill="1" applyBorder="1" applyAlignment="1">
      <alignment horizontal="center" vertical="center"/>
    </xf>
    <xf numFmtId="165" fontId="41" fillId="16" borderId="1" xfId="0" applyNumberFormat="1" applyFont="1" applyFill="1" applyBorder="1" applyAlignment="1">
      <alignment horizontal="center" vertical="center"/>
    </xf>
    <xf numFmtId="1" fontId="37" fillId="16" borderId="1" xfId="0" applyNumberFormat="1" applyFont="1" applyFill="1" applyBorder="1" applyAlignment="1">
      <alignment horizontal="center" vertical="center" wrapText="1"/>
    </xf>
    <xf numFmtId="1" fontId="35" fillId="16" borderId="0" xfId="0" applyNumberFormat="1" applyFont="1" applyFill="1" applyAlignment="1">
      <alignment horizontal="center" vertical="center" wrapText="1"/>
    </xf>
    <xf numFmtId="164" fontId="36" fillId="3" borderId="24" xfId="0" applyNumberFormat="1" applyFont="1" applyFill="1" applyBorder="1" applyAlignment="1">
      <alignment horizontal="center" vertical="center" wrapText="1"/>
    </xf>
    <xf numFmtId="165" fontId="53" fillId="16" borderId="1" xfId="0" applyNumberFormat="1" applyFont="1" applyFill="1" applyBorder="1" applyAlignment="1">
      <alignment horizontal="center"/>
    </xf>
    <xf numFmtId="1" fontId="53" fillId="0" borderId="1" xfId="0" applyNumberFormat="1" applyFont="1" applyBorder="1" applyAlignment="1">
      <alignment horizontal="center" vertical="center"/>
    </xf>
    <xf numFmtId="1" fontId="36" fillId="9" borderId="26" xfId="0" applyNumberFormat="1" applyFont="1" applyFill="1" applyBorder="1" applyAlignment="1">
      <alignment horizontal="center" vertical="center" wrapText="1"/>
    </xf>
    <xf numFmtId="165" fontId="78" fillId="16" borderId="1" xfId="0" applyNumberFormat="1" applyFont="1" applyFill="1" applyBorder="1" applyAlignment="1">
      <alignment horizontal="center" vertical="center"/>
    </xf>
    <xf numFmtId="165" fontId="78" fillId="16" borderId="1" xfId="0" applyNumberFormat="1" applyFont="1" applyFill="1" applyBorder="1" applyAlignment="1">
      <alignment horizontal="center"/>
    </xf>
    <xf numFmtId="165" fontId="72" fillId="16" borderId="1" xfId="0" applyNumberFormat="1" applyFont="1" applyFill="1" applyBorder="1" applyAlignment="1">
      <alignment horizontal="center" vertical="center"/>
    </xf>
    <xf numFmtId="165" fontId="78" fillId="16" borderId="1" xfId="0" applyNumberFormat="1" applyFont="1" applyFill="1" applyBorder="1" applyAlignment="1">
      <alignment horizontal="center" vertical="center" wrapText="1"/>
    </xf>
    <xf numFmtId="165" fontId="83" fillId="16" borderId="1" xfId="0" applyNumberFormat="1" applyFont="1" applyFill="1" applyBorder="1" applyAlignment="1">
      <alignment horizontal="center"/>
    </xf>
    <xf numFmtId="165" fontId="2" fillId="16" borderId="1" xfId="0" applyNumberFormat="1" applyFont="1" applyFill="1" applyBorder="1" applyAlignment="1">
      <alignment horizontal="center" vertical="center"/>
    </xf>
    <xf numFmtId="165" fontId="41" fillId="16" borderId="1" xfId="0" applyNumberFormat="1" applyFont="1" applyFill="1" applyBorder="1" applyAlignment="1">
      <alignment horizontal="center" vertical="center" wrapText="1"/>
    </xf>
    <xf numFmtId="165" fontId="41" fillId="16" borderId="1" xfId="0" applyNumberFormat="1" applyFont="1" applyFill="1" applyBorder="1" applyAlignment="1">
      <alignment horizontal="center"/>
    </xf>
    <xf numFmtId="165" fontId="65" fillId="16" borderId="1" xfId="0" applyNumberFormat="1" applyFont="1" applyFill="1" applyBorder="1" applyAlignment="1">
      <alignment horizontal="center" vertical="center"/>
    </xf>
    <xf numFmtId="165" fontId="82" fillId="16" borderId="1" xfId="0" applyNumberFormat="1" applyFont="1" applyFill="1" applyBorder="1" applyAlignment="1">
      <alignment horizontal="center"/>
    </xf>
    <xf numFmtId="0" fontId="35" fillId="16" borderId="0" xfId="0" applyFont="1" applyFill="1" applyAlignment="1">
      <alignment horizontal="center" vertical="center" wrapText="1"/>
    </xf>
    <xf numFmtId="1" fontId="41" fillId="0" borderId="1" xfId="0" applyNumberFormat="1" applyFont="1" applyBorder="1" applyAlignment="1">
      <alignment horizontal="center"/>
    </xf>
    <xf numFmtId="164" fontId="41" fillId="0" borderId="1" xfId="0" applyNumberFormat="1" applyFont="1" applyBorder="1" applyAlignment="1">
      <alignment horizontal="center" vertical="center"/>
    </xf>
    <xf numFmtId="1" fontId="65" fillId="0" borderId="1" xfId="0" applyNumberFormat="1" applyFont="1" applyBorder="1" applyAlignment="1">
      <alignment horizontal="center" vertical="center"/>
    </xf>
    <xf numFmtId="1" fontId="82" fillId="0" borderId="1" xfId="0" applyNumberFormat="1" applyFont="1" applyBorder="1" applyAlignment="1">
      <alignment horizontal="center"/>
    </xf>
    <xf numFmtId="165" fontId="36" fillId="16" borderId="24" xfId="0" applyNumberFormat="1" applyFont="1" applyFill="1" applyBorder="1" applyAlignment="1">
      <alignment horizontal="center" vertical="center" wrapText="1"/>
    </xf>
    <xf numFmtId="165" fontId="35" fillId="16" borderId="1" xfId="0" applyNumberFormat="1" applyFont="1" applyFill="1" applyBorder="1" applyAlignment="1">
      <alignment horizontal="center" vertical="center" wrapText="1"/>
    </xf>
    <xf numFmtId="165" fontId="0" fillId="16" borderId="1" xfId="0" applyNumberFormat="1" applyFill="1" applyBorder="1" applyAlignment="1">
      <alignment horizontal="center" vertical="center"/>
    </xf>
    <xf numFmtId="165" fontId="35" fillId="16" borderId="1" xfId="0" applyNumberFormat="1" applyFont="1" applyFill="1" applyBorder="1" applyAlignment="1">
      <alignment horizontal="center"/>
    </xf>
    <xf numFmtId="165" fontId="35" fillId="16" borderId="0" xfId="0" applyNumberFormat="1" applyFont="1" applyFill="1" applyAlignment="1">
      <alignment horizontal="center" vertical="center" wrapText="1"/>
    </xf>
    <xf numFmtId="165" fontId="37" fillId="16" borderId="1" xfId="0" applyNumberFormat="1" applyFont="1" applyFill="1" applyBorder="1" applyAlignment="1">
      <alignment horizontal="center" vertical="center" wrapText="1"/>
    </xf>
    <xf numFmtId="165" fontId="35" fillId="4" borderId="0" xfId="0" applyNumberFormat="1" applyFont="1" applyFill="1" applyAlignment="1">
      <alignment horizontal="center" vertical="center" wrapText="1"/>
    </xf>
    <xf numFmtId="1" fontId="35" fillId="0" borderId="1" xfId="0" applyNumberFormat="1" applyFont="1" applyBorder="1" applyAlignment="1">
      <alignment horizontal="center"/>
    </xf>
    <xf numFmtId="1" fontId="0" fillId="4" borderId="1" xfId="0" applyNumberFormat="1" applyFill="1" applyBorder="1" applyAlignment="1">
      <alignment horizontal="center"/>
    </xf>
    <xf numFmtId="1" fontId="47" fillId="0" borderId="1" xfId="0" applyNumberFormat="1" applyFont="1" applyBorder="1" applyAlignment="1">
      <alignment horizontal="center"/>
    </xf>
    <xf numFmtId="1" fontId="51" fillId="16" borderId="24" xfId="770" applyNumberFormat="1" applyFont="1" applyFill="1" applyBorder="1" applyAlignment="1">
      <alignment horizontal="center" vertical="center" wrapText="1"/>
    </xf>
    <xf numFmtId="165" fontId="47" fillId="16" borderId="1" xfId="0" applyNumberFormat="1" applyFont="1" applyFill="1" applyBorder="1" applyAlignment="1">
      <alignment horizontal="center"/>
    </xf>
    <xf numFmtId="0" fontId="47" fillId="16" borderId="0" xfId="770" applyFont="1" applyFill="1" applyAlignment="1">
      <alignment horizontal="center" vertical="center"/>
    </xf>
    <xf numFmtId="0" fontId="48" fillId="16" borderId="0" xfId="0" applyFont="1" applyFill="1"/>
    <xf numFmtId="1" fontId="67" fillId="5" borderId="38" xfId="0" applyNumberFormat="1" applyFont="1" applyFill="1" applyBorder="1" applyAlignment="1">
      <alignment horizontal="left" vertical="center" wrapText="1"/>
    </xf>
    <xf numFmtId="165" fontId="46" fillId="0" borderId="1" xfId="770" applyNumberFormat="1" applyFont="1" applyBorder="1"/>
    <xf numFmtId="165" fontId="47" fillId="0" borderId="0" xfId="0" applyNumberFormat="1" applyFont="1" applyAlignment="1">
      <alignment horizontal="center"/>
    </xf>
    <xf numFmtId="0" fontId="73" fillId="0" borderId="0" xfId="0" applyFont="1" applyAlignment="1">
      <alignment horizontal="center"/>
    </xf>
    <xf numFmtId="165" fontId="0" fillId="0" borderId="0" xfId="0" applyNumberFormat="1" applyAlignment="1">
      <alignment horizontal="center"/>
    </xf>
    <xf numFmtId="165" fontId="65" fillId="16" borderId="1" xfId="0" applyNumberFormat="1" applyFont="1" applyFill="1" applyBorder="1" applyAlignment="1">
      <alignment horizontal="center"/>
    </xf>
    <xf numFmtId="165" fontId="35" fillId="16" borderId="62" xfId="0" applyNumberFormat="1" applyFont="1" applyFill="1" applyBorder="1" applyAlignment="1">
      <alignment horizontal="center" vertical="center"/>
    </xf>
    <xf numFmtId="165" fontId="35" fillId="16" borderId="0" xfId="0" applyNumberFormat="1" applyFont="1" applyFill="1" applyAlignment="1">
      <alignment horizontal="center" vertical="center"/>
    </xf>
    <xf numFmtId="165" fontId="37" fillId="16" borderId="0" xfId="0" applyNumberFormat="1" applyFont="1" applyFill="1" applyAlignment="1">
      <alignment horizontal="center" vertical="center"/>
    </xf>
    <xf numFmtId="165" fontId="37" fillId="16" borderId="0" xfId="0" applyNumberFormat="1" applyFont="1" applyFill="1" applyAlignment="1">
      <alignment horizontal="center" vertical="center" wrapText="1"/>
    </xf>
    <xf numFmtId="164" fontId="35" fillId="0" borderId="0" xfId="0" applyNumberFormat="1" applyFont="1" applyAlignment="1">
      <alignment horizontal="center" vertical="center"/>
    </xf>
    <xf numFmtId="1" fontId="35" fillId="0" borderId="62" xfId="0" applyNumberFormat="1" applyFont="1" applyBorder="1" applyAlignment="1">
      <alignment horizontal="center" vertical="center"/>
    </xf>
    <xf numFmtId="1" fontId="36" fillId="5" borderId="1" xfId="0" applyNumberFormat="1" applyFont="1" applyFill="1" applyBorder="1" applyAlignment="1">
      <alignment vertical="center" textRotation="90" wrapText="1"/>
    </xf>
    <xf numFmtId="164" fontId="36" fillId="3" borderId="31" xfId="0" applyNumberFormat="1" applyFont="1" applyFill="1" applyBorder="1" applyAlignment="1">
      <alignment horizontal="center" vertical="center" wrapText="1"/>
    </xf>
    <xf numFmtId="1" fontId="38" fillId="5" borderId="0" xfId="0" applyNumberFormat="1" applyFont="1" applyFill="1" applyAlignment="1">
      <alignment horizontal="center" vertical="center" wrapText="1"/>
    </xf>
    <xf numFmtId="1" fontId="38" fillId="9" borderId="37" xfId="0" applyNumberFormat="1" applyFont="1" applyFill="1" applyBorder="1" applyAlignment="1">
      <alignment horizontal="center" vertical="center" wrapText="1"/>
    </xf>
    <xf numFmtId="165" fontId="53" fillId="4" borderId="0" xfId="0" applyNumberFormat="1" applyFont="1" applyFill="1" applyAlignment="1">
      <alignment horizontal="center" vertical="center"/>
    </xf>
    <xf numFmtId="1" fontId="36" fillId="16" borderId="31" xfId="0" applyNumberFormat="1" applyFont="1" applyFill="1" applyBorder="1" applyAlignment="1">
      <alignment horizontal="center" vertical="center" wrapText="1"/>
    </xf>
    <xf numFmtId="165" fontId="53" fillId="16" borderId="0" xfId="0" applyNumberFormat="1" applyFont="1" applyFill="1" applyAlignment="1">
      <alignment horizontal="center" vertical="center"/>
    </xf>
    <xf numFmtId="1" fontId="37" fillId="16" borderId="0" xfId="0" applyNumberFormat="1" applyFont="1" applyFill="1" applyAlignment="1">
      <alignment horizontal="center" vertical="center" wrapText="1"/>
    </xf>
    <xf numFmtId="164" fontId="53" fillId="4" borderId="0" xfId="0" applyNumberFormat="1" applyFont="1" applyFill="1" applyAlignment="1">
      <alignment horizontal="center" vertical="center"/>
    </xf>
    <xf numFmtId="1" fontId="53" fillId="4" borderId="0" xfId="0" applyNumberFormat="1" applyFont="1" applyFill="1" applyAlignment="1">
      <alignment horizontal="center" vertical="center"/>
    </xf>
    <xf numFmtId="1" fontId="38" fillId="5" borderId="1" xfId="0" applyNumberFormat="1" applyFont="1" applyFill="1" applyBorder="1" applyAlignment="1">
      <alignment vertical="center" wrapText="1"/>
    </xf>
    <xf numFmtId="1" fontId="35" fillId="0" borderId="1" xfId="0" applyNumberFormat="1" applyFont="1" applyBorder="1" applyAlignment="1">
      <alignment vertical="center" wrapText="1"/>
    </xf>
    <xf numFmtId="1" fontId="36" fillId="5" borderId="1" xfId="0" applyNumberFormat="1" applyFont="1" applyFill="1" applyBorder="1" applyAlignment="1">
      <alignment vertical="center" wrapText="1"/>
    </xf>
    <xf numFmtId="1" fontId="36" fillId="16" borderId="1" xfId="0" applyNumberFormat="1" applyFont="1" applyFill="1" applyBorder="1" applyAlignment="1">
      <alignment vertical="center" wrapText="1"/>
    </xf>
    <xf numFmtId="1" fontId="36" fillId="16" borderId="1" xfId="0" applyNumberFormat="1" applyFont="1" applyFill="1" applyBorder="1" applyAlignment="1">
      <alignment horizontal="center" vertical="center" wrapText="1"/>
    </xf>
    <xf numFmtId="1" fontId="35" fillId="16" borderId="1" xfId="0" applyNumberFormat="1" applyFont="1" applyFill="1" applyBorder="1" applyAlignment="1">
      <alignment vertical="center" wrapText="1"/>
    </xf>
    <xf numFmtId="165" fontId="79" fillId="16" borderId="1" xfId="0" applyNumberFormat="1" applyFont="1" applyFill="1" applyBorder="1" applyAlignment="1">
      <alignment horizontal="center" vertical="center"/>
    </xf>
    <xf numFmtId="165" fontId="79" fillId="16" borderId="1" xfId="0" applyNumberFormat="1" applyFont="1" applyFill="1" applyBorder="1" applyAlignment="1">
      <alignment horizontal="center" vertical="center" wrapText="1"/>
    </xf>
    <xf numFmtId="165" fontId="35" fillId="16" borderId="73" xfId="0" applyNumberFormat="1" applyFont="1" applyFill="1" applyBorder="1" applyAlignment="1">
      <alignment horizontal="center" vertical="center"/>
    </xf>
    <xf numFmtId="165" fontId="84" fillId="16" borderId="1" xfId="0" applyNumberFormat="1" applyFont="1" applyFill="1" applyBorder="1" applyAlignment="1">
      <alignment horizontal="center" wrapText="1"/>
    </xf>
    <xf numFmtId="1" fontId="38" fillId="5" borderId="0" xfId="0" applyNumberFormat="1" applyFont="1" applyFill="1" applyAlignment="1">
      <alignment vertical="center" wrapText="1"/>
    </xf>
    <xf numFmtId="0" fontId="53" fillId="16" borderId="1" xfId="0" applyFont="1" applyFill="1" applyBorder="1" applyAlignment="1">
      <alignment horizontal="center" vertical="center"/>
    </xf>
    <xf numFmtId="165" fontId="17" fillId="16" borderId="1" xfId="0" applyNumberFormat="1" applyFont="1" applyFill="1" applyBorder="1" applyAlignment="1">
      <alignment horizontal="center"/>
    </xf>
    <xf numFmtId="1" fontId="38" fillId="5" borderId="59" xfId="0" applyNumberFormat="1" applyFont="1" applyFill="1" applyBorder="1" applyAlignment="1">
      <alignment horizontal="center" vertical="center"/>
    </xf>
    <xf numFmtId="165" fontId="35" fillId="0" borderId="2" xfId="0" applyNumberFormat="1" applyFont="1" applyBorder="1" applyAlignment="1">
      <alignment horizontal="center" vertical="center"/>
    </xf>
    <xf numFmtId="165" fontId="35" fillId="0" borderId="14" xfId="0" applyNumberFormat="1" applyFont="1" applyBorder="1" applyAlignment="1">
      <alignment horizontal="center" vertical="center"/>
    </xf>
    <xf numFmtId="165" fontId="47" fillId="0" borderId="9" xfId="770" applyNumberFormat="1" applyFont="1" applyBorder="1" applyAlignment="1">
      <alignment horizontal="center" vertical="center"/>
    </xf>
    <xf numFmtId="164" fontId="35" fillId="0" borderId="2" xfId="0" applyNumberFormat="1" applyFont="1" applyBorder="1" applyAlignment="1">
      <alignment horizontal="center" vertical="center" wrapText="1"/>
    </xf>
    <xf numFmtId="164" fontId="35" fillId="0" borderId="2" xfId="0" applyNumberFormat="1" applyFont="1" applyBorder="1" applyAlignment="1">
      <alignment horizontal="center" vertical="center"/>
    </xf>
    <xf numFmtId="1" fontId="47" fillId="0" borderId="2" xfId="770" applyNumberFormat="1" applyFont="1" applyBorder="1" applyAlignment="1">
      <alignment horizontal="center" vertical="center"/>
    </xf>
    <xf numFmtId="165" fontId="35" fillId="0" borderId="31" xfId="763" applyNumberFormat="1" applyFont="1" applyBorder="1" applyAlignment="1">
      <alignment horizontal="center" vertical="center" wrapText="1"/>
    </xf>
    <xf numFmtId="1" fontId="47" fillId="0" borderId="2" xfId="0" applyNumberFormat="1" applyFont="1" applyBorder="1" applyAlignment="1">
      <alignment horizontal="center"/>
    </xf>
    <xf numFmtId="1" fontId="35" fillId="0" borderId="0" xfId="767" applyNumberFormat="1" applyFont="1" applyAlignment="1">
      <alignment vertical="center" wrapText="1"/>
    </xf>
    <xf numFmtId="1" fontId="37" fillId="0" borderId="0" xfId="767" applyNumberFormat="1" applyFont="1" applyAlignment="1">
      <alignment vertical="center" textRotation="90" wrapText="1"/>
    </xf>
    <xf numFmtId="1" fontId="36" fillId="5" borderId="31" xfId="767" applyNumberFormat="1" applyFont="1" applyFill="1" applyBorder="1" applyAlignment="1">
      <alignment vertical="center" wrapText="1"/>
    </xf>
    <xf numFmtId="1" fontId="36" fillId="5" borderId="53" xfId="767" applyNumberFormat="1" applyFont="1" applyFill="1" applyBorder="1" applyAlignment="1">
      <alignment vertical="center" wrapText="1"/>
    </xf>
    <xf numFmtId="1" fontId="36" fillId="5" borderId="44" xfId="767" applyNumberFormat="1" applyFont="1" applyFill="1" applyBorder="1" applyAlignment="1">
      <alignment vertical="center" wrapText="1"/>
    </xf>
    <xf numFmtId="1" fontId="36" fillId="5" borderId="1" xfId="767" applyNumberFormat="1" applyFont="1" applyFill="1" applyBorder="1" applyAlignment="1">
      <alignment vertical="center" wrapText="1"/>
    </xf>
    <xf numFmtId="1" fontId="35" fillId="0" borderId="45" xfId="767" applyNumberFormat="1" applyFont="1" applyBorder="1" applyAlignment="1">
      <alignment vertical="center" wrapText="1"/>
    </xf>
    <xf numFmtId="1" fontId="35" fillId="0" borderId="3" xfId="767" applyNumberFormat="1" applyFont="1" applyBorder="1" applyAlignment="1">
      <alignment vertical="center" wrapText="1"/>
    </xf>
    <xf numFmtId="1" fontId="38" fillId="5" borderId="0" xfId="767" applyNumberFormat="1" applyFont="1" applyFill="1" applyAlignment="1">
      <alignment horizontal="center" vertical="center" wrapText="1"/>
    </xf>
    <xf numFmtId="1" fontId="38" fillId="9" borderId="44" xfId="767" applyNumberFormat="1" applyFont="1" applyFill="1" applyBorder="1" applyAlignment="1">
      <alignment horizontal="center" vertical="center"/>
    </xf>
    <xf numFmtId="165" fontId="35" fillId="4" borderId="0" xfId="767" applyNumberFormat="1" applyFont="1" applyFill="1" applyAlignment="1">
      <alignment horizontal="center" vertical="center"/>
    </xf>
    <xf numFmtId="1" fontId="38" fillId="5" borderId="44" xfId="767" applyNumberFormat="1" applyFont="1" applyFill="1" applyBorder="1" applyAlignment="1">
      <alignment horizontal="center" vertical="center" wrapText="1"/>
    </xf>
    <xf numFmtId="1" fontId="38" fillId="5" borderId="59" xfId="767" applyNumberFormat="1" applyFont="1" applyFill="1" applyBorder="1" applyAlignment="1">
      <alignment horizontal="center" vertical="center" wrapText="1"/>
    </xf>
    <xf numFmtId="165" fontId="35" fillId="0" borderId="2" xfId="767" applyNumberFormat="1" applyFont="1" applyBorder="1" applyAlignment="1">
      <alignment horizontal="center" vertical="center"/>
    </xf>
    <xf numFmtId="1" fontId="35" fillId="0" borderId="3" xfId="0" applyNumberFormat="1" applyFont="1" applyBorder="1" applyAlignment="1">
      <alignment horizontal="center" vertical="center"/>
    </xf>
    <xf numFmtId="165" fontId="35" fillId="0" borderId="9" xfId="767" applyNumberFormat="1" applyFont="1" applyBorder="1" applyAlignment="1">
      <alignment horizontal="center" vertical="center"/>
    </xf>
    <xf numFmtId="1" fontId="36" fillId="17" borderId="53" xfId="767" applyNumberFormat="1" applyFont="1" applyFill="1" applyBorder="1" applyAlignment="1">
      <alignment vertical="center" wrapText="1"/>
    </xf>
    <xf numFmtId="1" fontId="36" fillId="17" borderId="1" xfId="767" applyNumberFormat="1" applyFont="1" applyFill="1" applyBorder="1" applyAlignment="1">
      <alignment vertical="center" wrapText="1"/>
    </xf>
    <xf numFmtId="1" fontId="66" fillId="17" borderId="1" xfId="767" applyNumberFormat="1" applyFont="1" applyFill="1" applyBorder="1" applyAlignment="1">
      <alignment horizontal="center" vertical="center" wrapText="1"/>
    </xf>
    <xf numFmtId="165" fontId="35" fillId="17" borderId="1" xfId="767" applyNumberFormat="1" applyFont="1" applyFill="1" applyBorder="1" applyAlignment="1">
      <alignment horizontal="center" vertical="center"/>
    </xf>
    <xf numFmtId="165" fontId="0" fillId="17" borderId="1" xfId="0" applyNumberFormat="1" applyFill="1" applyBorder="1" applyAlignment="1">
      <alignment horizontal="center"/>
    </xf>
    <xf numFmtId="165" fontId="53" fillId="17" borderId="1" xfId="0" applyNumberFormat="1" applyFont="1" applyFill="1" applyBorder="1" applyAlignment="1">
      <alignment horizontal="center" vertical="center"/>
    </xf>
    <xf numFmtId="165" fontId="35" fillId="17" borderId="1" xfId="0" applyNumberFormat="1" applyFont="1" applyFill="1" applyBorder="1" applyAlignment="1">
      <alignment horizontal="center"/>
    </xf>
    <xf numFmtId="165" fontId="35" fillId="17" borderId="3" xfId="0" applyNumberFormat="1" applyFont="1" applyFill="1" applyBorder="1" applyAlignment="1">
      <alignment horizontal="center" vertical="center"/>
    </xf>
    <xf numFmtId="1" fontId="35" fillId="17" borderId="3" xfId="767" applyNumberFormat="1" applyFont="1" applyFill="1" applyBorder="1" applyAlignment="1">
      <alignment vertical="center" wrapText="1"/>
    </xf>
    <xf numFmtId="0" fontId="0" fillId="17" borderId="0" xfId="0" applyFill="1"/>
    <xf numFmtId="0" fontId="17" fillId="17" borderId="0" xfId="0" applyFont="1" applyFill="1"/>
    <xf numFmtId="165" fontId="0" fillId="17" borderId="0" xfId="0" applyNumberFormat="1" applyFill="1"/>
    <xf numFmtId="1" fontId="0" fillId="17" borderId="0" xfId="0" applyNumberFormat="1" applyFill="1"/>
    <xf numFmtId="165" fontId="35" fillId="0" borderId="6" xfId="0" applyNumberFormat="1" applyFont="1" applyBorder="1" applyAlignment="1">
      <alignment horizontal="center" vertical="center"/>
    </xf>
    <xf numFmtId="165" fontId="35" fillId="0" borderId="7" xfId="0" applyNumberFormat="1" applyFont="1" applyBorder="1" applyAlignment="1">
      <alignment horizontal="center" vertical="center"/>
    </xf>
    <xf numFmtId="165" fontId="53" fillId="0" borderId="1" xfId="0" applyNumberFormat="1" applyFont="1" applyBorder="1" applyAlignment="1">
      <alignment horizontal="center"/>
    </xf>
    <xf numFmtId="164" fontId="35" fillId="0" borderId="6" xfId="0" applyNumberFormat="1" applyFont="1" applyBorder="1" applyAlignment="1">
      <alignment horizontal="center" vertical="center"/>
    </xf>
    <xf numFmtId="164" fontId="37" fillId="0" borderId="1" xfId="0" applyNumberFormat="1" applyFont="1" applyBorder="1" applyAlignment="1">
      <alignment horizontal="center" vertical="center"/>
    </xf>
    <xf numFmtId="0" fontId="50" fillId="8" borderId="61" xfId="770" applyFont="1" applyFill="1" applyBorder="1" applyAlignment="1">
      <alignment horizontal="center" vertical="center" wrapText="1"/>
    </xf>
    <xf numFmtId="0" fontId="49" fillId="0" borderId="4" xfId="770" applyFont="1" applyBorder="1" applyAlignment="1">
      <alignment horizontal="center" vertical="center" wrapText="1"/>
    </xf>
    <xf numFmtId="0" fontId="46" fillId="16" borderId="1" xfId="770" applyFont="1" applyFill="1" applyBorder="1"/>
    <xf numFmtId="1" fontId="46" fillId="0" borderId="1" xfId="770" applyNumberFormat="1" applyFont="1" applyBorder="1"/>
    <xf numFmtId="1" fontId="48" fillId="0" borderId="1" xfId="0" applyNumberFormat="1" applyFont="1" applyBorder="1"/>
    <xf numFmtId="0" fontId="48" fillId="16" borderId="1" xfId="0" applyFont="1" applyFill="1" applyBorder="1"/>
    <xf numFmtId="164" fontId="52" fillId="3" borderId="24" xfId="771" applyNumberFormat="1" applyFont="1" applyFill="1" applyBorder="1" applyAlignment="1">
      <alignment horizontal="center" vertical="center" wrapText="1"/>
    </xf>
    <xf numFmtId="164" fontId="48" fillId="16" borderId="1" xfId="0" applyNumberFormat="1" applyFont="1" applyFill="1" applyBorder="1"/>
    <xf numFmtId="164" fontId="48" fillId="0" borderId="1" xfId="0" applyNumberFormat="1" applyFont="1" applyBorder="1"/>
    <xf numFmtId="1" fontId="49" fillId="0" borderId="4" xfId="770" applyNumberFormat="1" applyFont="1" applyBorder="1" applyAlignment="1">
      <alignment horizontal="center" vertical="center" wrapText="1"/>
    </xf>
    <xf numFmtId="1" fontId="48" fillId="16" borderId="1" xfId="0" applyNumberFormat="1" applyFont="1" applyFill="1" applyBorder="1"/>
    <xf numFmtId="1" fontId="48" fillId="16" borderId="0" xfId="0" applyNumberFormat="1" applyFont="1" applyFill="1"/>
    <xf numFmtId="164" fontId="46" fillId="0" borderId="1" xfId="770" applyNumberFormat="1" applyFont="1" applyBorder="1" applyAlignment="1">
      <alignment horizontal="center" vertical="center"/>
    </xf>
    <xf numFmtId="164" fontId="46" fillId="4" borderId="1" xfId="771" applyNumberFormat="1" applyFont="1" applyFill="1" applyBorder="1" applyAlignment="1">
      <alignment horizontal="center" vertical="center"/>
    </xf>
    <xf numFmtId="1" fontId="46" fillId="4" borderId="1" xfId="771" applyNumberFormat="1" applyFont="1" applyFill="1" applyBorder="1" applyAlignment="1">
      <alignment horizontal="center" vertical="center"/>
    </xf>
    <xf numFmtId="164" fontId="46" fillId="0" borderId="1" xfId="771" applyNumberFormat="1" applyFont="1" applyBorder="1" applyAlignment="1">
      <alignment horizontal="center" vertical="center"/>
    </xf>
    <xf numFmtId="164" fontId="47" fillId="0" borderId="0" xfId="771" applyNumberFormat="1" applyFont="1" applyAlignment="1">
      <alignment horizontal="center" vertical="center"/>
    </xf>
    <xf numFmtId="164" fontId="46" fillId="0" borderId="0" xfId="771" applyNumberFormat="1" applyFont="1"/>
    <xf numFmtId="164" fontId="60" fillId="0" borderId="1" xfId="771" applyNumberFormat="1" applyFont="1" applyBorder="1" applyAlignment="1">
      <alignment horizontal="center"/>
    </xf>
    <xf numFmtId="164" fontId="48" fillId="16" borderId="0" xfId="0" applyNumberFormat="1" applyFont="1" applyFill="1"/>
    <xf numFmtId="0" fontId="62" fillId="5" borderId="0" xfId="773" applyFont="1" applyFill="1" applyAlignment="1">
      <alignment horizontal="center" vertical="center" textRotation="90" wrapText="1"/>
    </xf>
    <xf numFmtId="1" fontId="63" fillId="9" borderId="0" xfId="773" applyNumberFormat="1" applyFont="1" applyFill="1"/>
    <xf numFmtId="165" fontId="53" fillId="4" borderId="0" xfId="773" applyNumberFormat="1" applyFont="1" applyFill="1" applyAlignment="1">
      <alignment horizontal="center" vertical="center"/>
    </xf>
    <xf numFmtId="1" fontId="71" fillId="0" borderId="0" xfId="0" applyNumberFormat="1" applyFont="1" applyAlignment="1">
      <alignment horizontal="center"/>
    </xf>
    <xf numFmtId="165" fontId="53" fillId="4" borderId="32" xfId="773" applyNumberFormat="1" applyFont="1" applyFill="1" applyBorder="1" applyAlignment="1">
      <alignment horizontal="center" vertical="center"/>
    </xf>
    <xf numFmtId="1" fontId="71" fillId="0" borderId="1" xfId="0" applyNumberFormat="1" applyFont="1" applyBorder="1"/>
    <xf numFmtId="164" fontId="53" fillId="0" borderId="4" xfId="773" applyNumberFormat="1" applyFont="1" applyBorder="1" applyAlignment="1">
      <alignment horizontal="center" vertical="center"/>
    </xf>
    <xf numFmtId="1" fontId="38" fillId="5" borderId="47" xfId="767" applyNumberFormat="1" applyFont="1" applyFill="1" applyBorder="1" applyAlignment="1">
      <alignment horizontal="center" vertical="center" wrapText="1"/>
    </xf>
    <xf numFmtId="165" fontId="35" fillId="12" borderId="9" xfId="767" applyNumberFormat="1" applyFont="1" applyFill="1" applyBorder="1" applyAlignment="1">
      <alignment horizontal="center" vertical="center"/>
    </xf>
    <xf numFmtId="1" fontId="38" fillId="5" borderId="54" xfId="767" applyNumberFormat="1" applyFont="1" applyFill="1" applyBorder="1" applyAlignment="1">
      <alignment horizontal="center" vertical="center" wrapText="1"/>
    </xf>
    <xf numFmtId="1" fontId="38" fillId="5" borderId="38" xfId="767" applyNumberFormat="1" applyFont="1" applyFill="1" applyBorder="1" applyAlignment="1">
      <alignment horizontal="center" vertical="center" wrapText="1"/>
    </xf>
    <xf numFmtId="165" fontId="35" fillId="0" borderId="2" xfId="767" applyNumberFormat="1" applyFont="1" applyBorder="1" applyAlignment="1">
      <alignment horizontal="center" vertical="center" wrapText="1"/>
    </xf>
    <xf numFmtId="165" fontId="35" fillId="0" borderId="9" xfId="767" applyNumberFormat="1" applyFont="1" applyBorder="1" applyAlignment="1">
      <alignment horizontal="center" vertical="center" wrapText="1"/>
    </xf>
    <xf numFmtId="165" fontId="35" fillId="4" borderId="9" xfId="767" applyNumberFormat="1" applyFont="1" applyFill="1" applyBorder="1" applyAlignment="1">
      <alignment horizontal="center" vertical="center"/>
    </xf>
    <xf numFmtId="165" fontId="35" fillId="0" borderId="14" xfId="767" applyNumberFormat="1" applyFont="1" applyBorder="1" applyAlignment="1">
      <alignment horizontal="center" vertical="center" wrapText="1"/>
    </xf>
    <xf numFmtId="1" fontId="52" fillId="5" borderId="0" xfId="771" applyNumberFormat="1" applyFont="1" applyFill="1" applyAlignment="1">
      <alignment horizontal="left" vertical="center"/>
    </xf>
    <xf numFmtId="1" fontId="47" fillId="0" borderId="0" xfId="0" applyNumberFormat="1" applyFont="1" applyAlignment="1">
      <alignment horizontal="center"/>
    </xf>
    <xf numFmtId="1" fontId="47" fillId="0" borderId="0" xfId="771" applyNumberFormat="1" applyFont="1" applyAlignment="1">
      <alignment horizontal="center" vertical="center" wrapText="1"/>
    </xf>
    <xf numFmtId="1" fontId="86" fillId="0" borderId="0" xfId="767" applyNumberFormat="1" applyFont="1" applyAlignment="1">
      <alignment horizontal="center" vertical="center" wrapText="1"/>
    </xf>
    <xf numFmtId="1" fontId="88" fillId="0" borderId="0" xfId="767" applyNumberFormat="1" applyFont="1" applyAlignment="1">
      <alignment horizontal="center" vertical="center" wrapText="1"/>
    </xf>
    <xf numFmtId="165" fontId="87" fillId="16" borderId="1" xfId="767" applyNumberFormat="1" applyFont="1" applyFill="1" applyBorder="1" applyAlignment="1">
      <alignment horizontal="center" vertical="center" wrapText="1"/>
    </xf>
    <xf numFmtId="1" fontId="87" fillId="3" borderId="1" xfId="767" applyNumberFormat="1" applyFont="1" applyFill="1" applyBorder="1" applyAlignment="1">
      <alignment horizontal="center" vertical="center" wrapText="1"/>
    </xf>
    <xf numFmtId="165" fontId="87" fillId="3" borderId="1" xfId="767" applyNumberFormat="1" applyFont="1" applyFill="1" applyBorder="1" applyAlignment="1">
      <alignment horizontal="center" vertical="center" wrapText="1"/>
    </xf>
    <xf numFmtId="165" fontId="87" fillId="3" borderId="1" xfId="763" applyNumberFormat="1" applyFont="1" applyFill="1" applyBorder="1" applyAlignment="1">
      <alignment horizontal="center" vertical="center" wrapText="1"/>
    </xf>
    <xf numFmtId="165" fontId="86" fillId="16" borderId="1" xfId="767" applyNumberFormat="1" applyFont="1" applyFill="1" applyBorder="1" applyAlignment="1">
      <alignment horizontal="center" vertical="center"/>
    </xf>
    <xf numFmtId="1" fontId="86" fillId="0" borderId="1" xfId="767" applyNumberFormat="1" applyFont="1" applyBorder="1" applyAlignment="1">
      <alignment horizontal="center" vertical="center"/>
    </xf>
    <xf numFmtId="1" fontId="86" fillId="0" borderId="1" xfId="0" applyNumberFormat="1" applyFont="1" applyBorder="1" applyAlignment="1">
      <alignment horizontal="center"/>
    </xf>
    <xf numFmtId="164" fontId="86" fillId="0" borderId="1" xfId="767" applyNumberFormat="1" applyFont="1" applyBorder="1" applyAlignment="1">
      <alignment horizontal="center" vertical="center"/>
    </xf>
    <xf numFmtId="164" fontId="86" fillId="0" borderId="1" xfId="0" applyNumberFormat="1" applyFont="1" applyBorder="1" applyAlignment="1">
      <alignment horizontal="center"/>
    </xf>
    <xf numFmtId="1" fontId="90" fillId="4" borderId="1" xfId="774" applyNumberFormat="1" applyFont="1" applyFill="1" applyBorder="1" applyAlignment="1">
      <alignment horizontal="center"/>
    </xf>
    <xf numFmtId="1" fontId="90" fillId="0" borderId="1" xfId="774" applyNumberFormat="1" applyFont="1" applyBorder="1" applyAlignment="1">
      <alignment horizontal="center"/>
    </xf>
    <xf numFmtId="1" fontId="91" fillId="0" borderId="0" xfId="767" applyNumberFormat="1" applyFont="1" applyAlignment="1">
      <alignment horizontal="center" vertical="center" wrapText="1"/>
    </xf>
    <xf numFmtId="1" fontId="89" fillId="2" borderId="1" xfId="767" applyNumberFormat="1" applyFont="1" applyFill="1" applyBorder="1" applyAlignment="1">
      <alignment horizontal="left" vertical="center" wrapText="1"/>
    </xf>
    <xf numFmtId="1" fontId="92" fillId="0" borderId="1" xfId="0" applyNumberFormat="1" applyFont="1" applyBorder="1" applyAlignment="1">
      <alignment horizontal="center"/>
    </xf>
    <xf numFmtId="165" fontId="92" fillId="0" borderId="1" xfId="767" applyNumberFormat="1" applyFont="1" applyBorder="1" applyAlignment="1">
      <alignment horizontal="center" vertical="center" wrapText="1"/>
    </xf>
    <xf numFmtId="165" fontId="93" fillId="0" borderId="1" xfId="767" applyNumberFormat="1" applyFont="1" applyBorder="1" applyAlignment="1">
      <alignment horizontal="center" vertical="center" wrapText="1"/>
    </xf>
    <xf numFmtId="165" fontId="93" fillId="0" borderId="1" xfId="774" applyNumberFormat="1" applyFont="1" applyBorder="1" applyAlignment="1">
      <alignment horizontal="center"/>
    </xf>
    <xf numFmtId="165" fontId="92" fillId="0" borderId="1" xfId="767" applyNumberFormat="1" applyFont="1" applyBorder="1" applyAlignment="1">
      <alignment horizontal="center" vertical="center"/>
    </xf>
    <xf numFmtId="1" fontId="90" fillId="0" borderId="0" xfId="767" applyNumberFormat="1" applyFont="1" applyAlignment="1">
      <alignment horizontal="center" vertical="center" wrapText="1"/>
    </xf>
    <xf numFmtId="1" fontId="86" fillId="0" borderId="0" xfId="767" applyNumberFormat="1" applyFont="1" applyAlignment="1">
      <alignment horizontal="center" vertical="center"/>
    </xf>
    <xf numFmtId="165" fontId="86" fillId="16" borderId="1" xfId="0" applyNumberFormat="1" applyFont="1" applyFill="1" applyBorder="1" applyAlignment="1">
      <alignment horizontal="center"/>
    </xf>
    <xf numFmtId="165" fontId="91" fillId="16" borderId="1" xfId="0" applyNumberFormat="1" applyFont="1" applyFill="1" applyBorder="1" applyAlignment="1">
      <alignment horizontal="center"/>
    </xf>
    <xf numFmtId="165" fontId="86" fillId="16" borderId="1" xfId="0" applyNumberFormat="1" applyFont="1" applyFill="1" applyBorder="1" applyAlignment="1">
      <alignment horizontal="center" vertical="center"/>
    </xf>
    <xf numFmtId="165" fontId="90" fillId="16" borderId="1" xfId="767" applyNumberFormat="1" applyFont="1" applyFill="1" applyBorder="1" applyAlignment="1">
      <alignment horizontal="center" vertical="center"/>
    </xf>
    <xf numFmtId="1" fontId="90" fillId="0" borderId="0" xfId="767" applyNumberFormat="1" applyFont="1" applyAlignment="1">
      <alignment horizontal="center" vertical="center"/>
    </xf>
    <xf numFmtId="165" fontId="86" fillId="16" borderId="1" xfId="767" applyNumberFormat="1" applyFont="1" applyFill="1" applyBorder="1" applyAlignment="1">
      <alignment horizontal="center" vertical="center" wrapText="1"/>
    </xf>
    <xf numFmtId="165" fontId="90" fillId="16" borderId="1" xfId="774" applyNumberFormat="1" applyFont="1" applyFill="1" applyBorder="1" applyAlignment="1">
      <alignment horizontal="center"/>
    </xf>
    <xf numFmtId="1" fontId="86" fillId="4" borderId="0" xfId="767" applyNumberFormat="1" applyFont="1" applyFill="1" applyAlignment="1">
      <alignment horizontal="center" vertical="center" wrapText="1"/>
    </xf>
    <xf numFmtId="165" fontId="90" fillId="16" borderId="1" xfId="767" applyNumberFormat="1" applyFont="1" applyFill="1" applyBorder="1" applyAlignment="1">
      <alignment horizontal="center" vertical="center" wrapText="1"/>
    </xf>
    <xf numFmtId="165" fontId="92" fillId="16" borderId="1" xfId="0" applyNumberFormat="1" applyFont="1" applyFill="1" applyBorder="1" applyAlignment="1">
      <alignment horizontal="center"/>
    </xf>
    <xf numFmtId="165" fontId="93" fillId="4" borderId="1" xfId="774" applyNumberFormat="1" applyFont="1" applyFill="1" applyBorder="1" applyAlignment="1">
      <alignment horizontal="center"/>
    </xf>
    <xf numFmtId="165" fontId="93" fillId="16" borderId="1" xfId="0" applyNumberFormat="1" applyFont="1" applyFill="1" applyBorder="1" applyAlignment="1">
      <alignment horizontal="center"/>
    </xf>
    <xf numFmtId="165" fontId="92" fillId="16" borderId="1" xfId="0" applyNumberFormat="1" applyFont="1" applyFill="1" applyBorder="1" applyAlignment="1">
      <alignment horizontal="center" vertical="center"/>
    </xf>
    <xf numFmtId="1" fontId="89" fillId="0" borderId="0" xfId="767" applyNumberFormat="1" applyFont="1" applyAlignment="1">
      <alignment horizontal="left" vertical="center" wrapText="1"/>
    </xf>
    <xf numFmtId="1" fontId="86" fillId="16" borderId="0" xfId="767" applyNumberFormat="1" applyFont="1" applyFill="1" applyAlignment="1">
      <alignment horizontal="center" vertical="center"/>
    </xf>
    <xf numFmtId="0" fontId="86" fillId="16" borderId="0" xfId="767" applyFont="1" applyFill="1" applyAlignment="1">
      <alignment horizontal="center" vertical="center"/>
    </xf>
    <xf numFmtId="0" fontId="86" fillId="0" borderId="0" xfId="767" applyFont="1" applyAlignment="1">
      <alignment horizontal="center" vertical="center"/>
    </xf>
    <xf numFmtId="164" fontId="86" fillId="0" borderId="0" xfId="767" applyNumberFormat="1" applyFont="1" applyAlignment="1">
      <alignment horizontal="center" vertical="center"/>
    </xf>
    <xf numFmtId="165" fontId="86" fillId="16" borderId="0" xfId="767" applyNumberFormat="1" applyFont="1" applyFill="1" applyAlignment="1">
      <alignment horizontal="center" vertical="center"/>
    </xf>
    <xf numFmtId="2" fontId="86" fillId="16" borderId="0" xfId="767" applyNumberFormat="1" applyFont="1" applyFill="1" applyAlignment="1">
      <alignment horizontal="center" vertical="center"/>
    </xf>
    <xf numFmtId="165" fontId="86" fillId="0" borderId="0" xfId="767" applyNumberFormat="1" applyFont="1" applyAlignment="1">
      <alignment horizontal="center" vertical="center"/>
    </xf>
    <xf numFmtId="1" fontId="86" fillId="16" borderId="0" xfId="767" applyNumberFormat="1" applyFont="1" applyFill="1" applyAlignment="1">
      <alignment horizontal="center" vertical="center" wrapText="1"/>
    </xf>
    <xf numFmtId="164" fontId="86" fillId="0" borderId="0" xfId="767" applyNumberFormat="1" applyFont="1" applyAlignment="1">
      <alignment horizontal="center" vertical="center" wrapText="1"/>
    </xf>
    <xf numFmtId="165" fontId="86" fillId="16" borderId="0" xfId="767" applyNumberFormat="1" applyFont="1" applyFill="1" applyAlignment="1">
      <alignment horizontal="center" vertical="center" wrapText="1"/>
    </xf>
    <xf numFmtId="2" fontId="86" fillId="16" borderId="0" xfId="767" applyNumberFormat="1" applyFont="1" applyFill="1" applyAlignment="1">
      <alignment horizontal="center" vertical="center" wrapText="1"/>
    </xf>
    <xf numFmtId="165" fontId="86" fillId="0" borderId="0" xfId="767" applyNumberFormat="1" applyFont="1" applyAlignment="1">
      <alignment horizontal="center" vertical="center" wrapText="1"/>
    </xf>
    <xf numFmtId="1" fontId="86" fillId="0" borderId="0" xfId="767" applyNumberFormat="1" applyFont="1" applyAlignment="1">
      <alignment horizontal="left" vertical="center" wrapText="1"/>
    </xf>
    <xf numFmtId="165" fontId="87" fillId="18" borderId="1" xfId="763" applyNumberFormat="1" applyFont="1" applyFill="1" applyBorder="1" applyAlignment="1">
      <alignment horizontal="center" vertical="center" wrapText="1"/>
    </xf>
    <xf numFmtId="165" fontId="86" fillId="18" borderId="1" xfId="0" applyNumberFormat="1" applyFont="1" applyFill="1" applyBorder="1" applyAlignment="1">
      <alignment horizontal="center"/>
    </xf>
    <xf numFmtId="165" fontId="86" fillId="18" borderId="1" xfId="767" applyNumberFormat="1" applyFont="1" applyFill="1" applyBorder="1" applyAlignment="1">
      <alignment horizontal="center" vertical="center" wrapText="1"/>
    </xf>
    <xf numFmtId="165" fontId="91" fillId="18" borderId="1" xfId="0" applyNumberFormat="1" applyFont="1" applyFill="1" applyBorder="1" applyAlignment="1">
      <alignment horizontal="center"/>
    </xf>
    <xf numFmtId="165" fontId="86" fillId="18" borderId="1" xfId="0" applyNumberFormat="1" applyFont="1" applyFill="1" applyBorder="1" applyAlignment="1">
      <alignment horizontal="center" vertical="center" wrapText="1"/>
    </xf>
    <xf numFmtId="165" fontId="90" fillId="18" borderId="1" xfId="767" applyNumberFormat="1" applyFont="1" applyFill="1" applyBorder="1" applyAlignment="1">
      <alignment horizontal="center" vertical="center" wrapText="1"/>
    </xf>
    <xf numFmtId="165" fontId="90" fillId="18" borderId="1" xfId="774" applyNumberFormat="1" applyFont="1" applyFill="1" applyBorder="1" applyAlignment="1">
      <alignment horizontal="center"/>
    </xf>
    <xf numFmtId="0" fontId="86" fillId="18" borderId="0" xfId="767" applyFont="1" applyFill="1" applyAlignment="1">
      <alignment horizontal="center" vertical="center"/>
    </xf>
    <xf numFmtId="1" fontId="86" fillId="18" borderId="0" xfId="767" applyNumberFormat="1" applyFont="1" applyFill="1" applyAlignment="1">
      <alignment horizontal="center" vertical="center" wrapText="1"/>
    </xf>
    <xf numFmtId="9" fontId="86" fillId="0" borderId="1" xfId="775" applyFont="1" applyBorder="1" applyAlignment="1">
      <alignment horizontal="center"/>
    </xf>
    <xf numFmtId="1" fontId="87" fillId="3" borderId="0" xfId="767" applyNumberFormat="1" applyFont="1" applyFill="1" applyAlignment="1">
      <alignment horizontal="center" vertical="center" wrapText="1"/>
    </xf>
    <xf numFmtId="1" fontId="87" fillId="9" borderId="4" xfId="767" applyNumberFormat="1" applyFont="1" applyFill="1" applyBorder="1" applyAlignment="1">
      <alignment horizontal="left" vertical="center" wrapText="1"/>
    </xf>
    <xf numFmtId="1" fontId="89" fillId="2" borderId="1" xfId="767" applyNumberFormat="1" applyFont="1" applyFill="1" applyBorder="1" applyAlignment="1">
      <alignment horizontal="center" vertical="center" wrapText="1"/>
    </xf>
    <xf numFmtId="165" fontId="87" fillId="16" borderId="1" xfId="763" applyNumberFormat="1" applyFont="1" applyFill="1" applyBorder="1" applyAlignment="1">
      <alignment horizontal="center" vertical="center" wrapText="1"/>
    </xf>
    <xf numFmtId="165" fontId="86" fillId="16" borderId="1" xfId="0" applyNumberFormat="1" applyFont="1" applyFill="1" applyBorder="1" applyAlignment="1">
      <alignment horizontal="center" vertical="center" wrapText="1"/>
    </xf>
    <xf numFmtId="1" fontId="90" fillId="0" borderId="1" xfId="767" applyNumberFormat="1" applyFont="1" applyBorder="1" applyAlignment="1">
      <alignment horizontal="center" vertical="center"/>
    </xf>
    <xf numFmtId="165" fontId="90" fillId="16" borderId="31" xfId="774" applyNumberFormat="1" applyFont="1" applyFill="1" applyBorder="1" applyAlignment="1">
      <alignment horizontal="center"/>
    </xf>
    <xf numFmtId="165" fontId="90" fillId="16" borderId="72" xfId="774" applyNumberFormat="1" applyFont="1" applyFill="1" applyBorder="1" applyAlignment="1">
      <alignment horizontal="center"/>
    </xf>
    <xf numFmtId="165" fontId="90" fillId="16" borderId="1" xfId="0" applyNumberFormat="1" applyFont="1" applyFill="1" applyBorder="1" applyAlignment="1">
      <alignment horizontal="center"/>
    </xf>
    <xf numFmtId="1" fontId="86" fillId="0" borderId="0" xfId="0" applyNumberFormat="1" applyFont="1" applyAlignment="1">
      <alignment horizontal="center" vertical="center" wrapText="1"/>
    </xf>
    <xf numFmtId="1" fontId="86" fillId="0" borderId="0" xfId="0" applyNumberFormat="1" applyFont="1" applyAlignment="1">
      <alignment vertical="center" wrapText="1"/>
    </xf>
    <xf numFmtId="1" fontId="88" fillId="0" borderId="0" xfId="0" applyNumberFormat="1" applyFont="1" applyAlignment="1">
      <alignment horizontal="center" vertical="center" wrapText="1"/>
    </xf>
    <xf numFmtId="1" fontId="87" fillId="3" borderId="24" xfId="0" applyNumberFormat="1" applyFont="1" applyFill="1" applyBorder="1" applyAlignment="1">
      <alignment horizontal="left" vertical="center" wrapText="1"/>
    </xf>
    <xf numFmtId="1" fontId="87" fillId="16" borderId="24" xfId="0" applyNumberFormat="1" applyFont="1" applyFill="1" applyBorder="1" applyAlignment="1">
      <alignment horizontal="center" vertical="center" wrapText="1"/>
    </xf>
    <xf numFmtId="1" fontId="87" fillId="3" borderId="24" xfId="0" applyNumberFormat="1" applyFont="1" applyFill="1" applyBorder="1" applyAlignment="1">
      <alignment horizontal="center" vertical="center" wrapText="1"/>
    </xf>
    <xf numFmtId="1" fontId="87" fillId="3" borderId="24" xfId="763" applyNumberFormat="1" applyFont="1" applyFill="1" applyBorder="1" applyAlignment="1">
      <alignment horizontal="center" vertical="center" wrapText="1"/>
    </xf>
    <xf numFmtId="1" fontId="87" fillId="3" borderId="25" xfId="763" applyNumberFormat="1" applyFont="1" applyFill="1" applyBorder="1" applyAlignment="1">
      <alignment horizontal="center" vertical="center" wrapText="1"/>
    </xf>
    <xf numFmtId="1" fontId="94" fillId="6" borderId="0" xfId="0" applyNumberFormat="1" applyFont="1" applyFill="1" applyAlignment="1">
      <alignment horizontal="center" vertical="center" wrapText="1"/>
    </xf>
    <xf numFmtId="1" fontId="89" fillId="5" borderId="1" xfId="0" applyNumberFormat="1" applyFont="1" applyFill="1" applyBorder="1" applyAlignment="1">
      <alignment horizontal="left" vertical="center" wrapText="1"/>
    </xf>
    <xf numFmtId="1" fontId="92" fillId="0" borderId="1" xfId="0" applyNumberFormat="1" applyFont="1" applyBorder="1" applyAlignment="1">
      <alignment horizontal="center" vertical="center"/>
    </xf>
    <xf numFmtId="1" fontId="92" fillId="0" borderId="1" xfId="0" applyNumberFormat="1" applyFont="1" applyBorder="1" applyAlignment="1">
      <alignment horizontal="center" vertical="center" wrapText="1"/>
    </xf>
    <xf numFmtId="165" fontId="92" fillId="0" borderId="1" xfId="0" applyNumberFormat="1" applyFont="1" applyBorder="1" applyAlignment="1">
      <alignment horizontal="center" vertical="center"/>
    </xf>
    <xf numFmtId="165" fontId="93" fillId="16" borderId="1" xfId="0" applyNumberFormat="1" applyFont="1" applyFill="1" applyBorder="1" applyAlignment="1">
      <alignment horizontal="center" vertical="center"/>
    </xf>
    <xf numFmtId="165" fontId="93" fillId="0" borderId="1" xfId="0" applyNumberFormat="1" applyFont="1" applyBorder="1" applyAlignment="1">
      <alignment horizontal="center" vertical="center"/>
    </xf>
    <xf numFmtId="165" fontId="93" fillId="4" borderId="1" xfId="0" applyNumberFormat="1" applyFont="1" applyFill="1" applyBorder="1" applyAlignment="1">
      <alignment horizontal="center"/>
    </xf>
    <xf numFmtId="1" fontId="90" fillId="4" borderId="0" xfId="0" applyNumberFormat="1" applyFont="1" applyFill="1" applyAlignment="1">
      <alignment horizontal="center" vertical="center" wrapText="1"/>
    </xf>
    <xf numFmtId="1" fontId="86" fillId="6" borderId="0" xfId="0" applyNumberFormat="1" applyFont="1" applyFill="1" applyAlignment="1">
      <alignment horizontal="center" vertical="center" wrapText="1"/>
    </xf>
    <xf numFmtId="165" fontId="92" fillId="16" borderId="1" xfId="0" applyNumberFormat="1" applyFont="1" applyFill="1" applyBorder="1" applyAlignment="1">
      <alignment horizontal="center" vertical="center" wrapText="1"/>
    </xf>
    <xf numFmtId="165" fontId="92" fillId="0" borderId="1" xfId="0" applyNumberFormat="1" applyFont="1" applyBorder="1" applyAlignment="1">
      <alignment horizontal="center" vertical="center" wrapText="1"/>
    </xf>
    <xf numFmtId="1" fontId="95" fillId="0" borderId="0" xfId="0" applyNumberFormat="1" applyFont="1" applyAlignment="1">
      <alignment horizontal="center" vertical="center" wrapText="1"/>
    </xf>
    <xf numFmtId="1" fontId="90" fillId="6" borderId="0" xfId="0" applyNumberFormat="1" applyFont="1" applyFill="1" applyAlignment="1">
      <alignment horizontal="center" vertical="center" wrapText="1"/>
    </xf>
    <xf numFmtId="1" fontId="86" fillId="0" borderId="0" xfId="0" applyNumberFormat="1" applyFont="1" applyAlignment="1">
      <alignment horizontal="center" vertical="center"/>
    </xf>
    <xf numFmtId="1" fontId="96" fillId="6" borderId="0" xfId="0" applyNumberFormat="1" applyFont="1" applyFill="1" applyAlignment="1">
      <alignment horizontal="center" vertical="center" wrapText="1"/>
    </xf>
    <xf numFmtId="165" fontId="93" fillId="0" borderId="1" xfId="0" applyNumberFormat="1" applyFont="1" applyBorder="1" applyAlignment="1">
      <alignment horizontal="center"/>
    </xf>
    <xf numFmtId="165" fontId="92" fillId="4" borderId="1" xfId="0" applyNumberFormat="1" applyFont="1" applyFill="1" applyBorder="1" applyAlignment="1">
      <alignment horizontal="center" vertical="center"/>
    </xf>
    <xf numFmtId="165" fontId="92" fillId="0" borderId="1" xfId="0" applyNumberFormat="1" applyFont="1" applyBorder="1" applyAlignment="1">
      <alignment horizontal="center"/>
    </xf>
    <xf numFmtId="165" fontId="97" fillId="16" borderId="1" xfId="0" applyNumberFormat="1" applyFont="1" applyFill="1" applyBorder="1" applyAlignment="1">
      <alignment horizontal="center" vertical="center"/>
    </xf>
    <xf numFmtId="165" fontId="97" fillId="0" borderId="1" xfId="0" applyNumberFormat="1" applyFont="1" applyBorder="1" applyAlignment="1">
      <alignment horizontal="center" vertical="center" wrapText="1"/>
    </xf>
    <xf numFmtId="1" fontId="96" fillId="4" borderId="0" xfId="0" applyNumberFormat="1" applyFont="1" applyFill="1" applyAlignment="1">
      <alignment horizontal="center" vertical="center" wrapText="1"/>
    </xf>
    <xf numFmtId="1" fontId="95" fillId="4" borderId="0" xfId="0" applyNumberFormat="1" applyFont="1" applyFill="1" applyAlignment="1">
      <alignment horizontal="center" vertical="center" wrapText="1"/>
    </xf>
    <xf numFmtId="1" fontId="95" fillId="6" borderId="0" xfId="0" applyNumberFormat="1" applyFont="1" applyFill="1" applyAlignment="1">
      <alignment horizontal="center" vertical="center" wrapText="1"/>
    </xf>
    <xf numFmtId="165" fontId="92" fillId="4" borderId="1" xfId="0" applyNumberFormat="1" applyFont="1" applyFill="1" applyBorder="1" applyAlignment="1">
      <alignment horizontal="center"/>
    </xf>
    <xf numFmtId="165" fontId="90" fillId="16" borderId="1" xfId="0" applyNumberFormat="1" applyFont="1" applyFill="1" applyBorder="1" applyAlignment="1">
      <alignment horizontal="center" vertical="center"/>
    </xf>
    <xf numFmtId="165" fontId="90" fillId="0" borderId="1" xfId="0" applyNumberFormat="1" applyFont="1" applyBorder="1" applyAlignment="1">
      <alignment horizontal="center" vertical="center"/>
    </xf>
    <xf numFmtId="165" fontId="90" fillId="0" borderId="1" xfId="0" applyNumberFormat="1" applyFont="1" applyBorder="1" applyAlignment="1">
      <alignment horizontal="center" vertical="center" wrapText="1"/>
    </xf>
    <xf numFmtId="1" fontId="86" fillId="6" borderId="1" xfId="0" applyNumberFormat="1" applyFont="1" applyFill="1" applyBorder="1" applyAlignment="1">
      <alignment horizontal="left" vertical="center" wrapText="1"/>
    </xf>
    <xf numFmtId="1" fontId="89" fillId="5" borderId="31" xfId="0" applyNumberFormat="1" applyFont="1" applyFill="1" applyBorder="1" applyAlignment="1">
      <alignment horizontal="left" vertical="center" wrapText="1"/>
    </xf>
    <xf numFmtId="165" fontId="90" fillId="16" borderId="53" xfId="0" applyNumberFormat="1" applyFont="1" applyFill="1" applyBorder="1" applyAlignment="1">
      <alignment horizontal="center" vertical="center"/>
    </xf>
    <xf numFmtId="1" fontId="92" fillId="0" borderId="53" xfId="0" applyNumberFormat="1" applyFont="1" applyBorder="1" applyAlignment="1">
      <alignment horizontal="center"/>
    </xf>
    <xf numFmtId="1" fontId="90" fillId="0" borderId="53" xfId="0" applyNumberFormat="1" applyFont="1" applyBorder="1" applyAlignment="1">
      <alignment horizontal="center" vertical="center"/>
    </xf>
    <xf numFmtId="165" fontId="90" fillId="0" borderId="53" xfId="0" applyNumberFormat="1" applyFont="1" applyBorder="1" applyAlignment="1">
      <alignment horizontal="center" vertical="center"/>
    </xf>
    <xf numFmtId="165" fontId="90" fillId="0" borderId="53" xfId="0" applyNumberFormat="1" applyFont="1" applyBorder="1" applyAlignment="1">
      <alignment horizontal="center" vertical="center" wrapText="1"/>
    </xf>
    <xf numFmtId="1" fontId="86" fillId="16" borderId="0" xfId="0" applyNumberFormat="1" applyFont="1" applyFill="1" applyAlignment="1">
      <alignment horizontal="center" vertical="center" wrapText="1"/>
    </xf>
    <xf numFmtId="1" fontId="86" fillId="0" borderId="0" xfId="0" applyNumberFormat="1" applyFont="1" applyAlignment="1">
      <alignment horizontal="left" vertical="center" wrapText="1"/>
    </xf>
    <xf numFmtId="165" fontId="2" fillId="4" borderId="1" xfId="774" applyNumberFormat="1" applyFont="1" applyFill="1" applyBorder="1" applyAlignment="1">
      <alignment horizontal="center"/>
    </xf>
    <xf numFmtId="165" fontId="2" fillId="16" borderId="1" xfId="0" applyNumberFormat="1" applyFont="1" applyFill="1" applyBorder="1" applyAlignment="1">
      <alignment horizontal="center"/>
    </xf>
    <xf numFmtId="165" fontId="2" fillId="0" borderId="0" xfId="774" applyNumberFormat="1" applyFont="1" applyAlignment="1">
      <alignment horizontal="center"/>
    </xf>
    <xf numFmtId="165" fontId="2" fillId="12" borderId="1" xfId="774" applyNumberFormat="1" applyFont="1" applyFill="1" applyBorder="1" applyAlignment="1">
      <alignment horizontal="center"/>
    </xf>
    <xf numFmtId="0" fontId="2" fillId="0" borderId="1" xfId="774" applyFont="1" applyBorder="1" applyAlignment="1">
      <alignment horizontal="center"/>
    </xf>
    <xf numFmtId="0" fontId="2" fillId="12" borderId="1" xfId="774" applyFont="1" applyFill="1" applyBorder="1" applyAlignment="1">
      <alignment horizontal="center"/>
    </xf>
    <xf numFmtId="0" fontId="2" fillId="0" borderId="0" xfId="774" applyFont="1" applyAlignment="1">
      <alignment horizontal="center"/>
    </xf>
    <xf numFmtId="1" fontId="2" fillId="6" borderId="2" xfId="773" applyNumberFormat="1" applyFont="1" applyFill="1" applyBorder="1" applyAlignment="1">
      <alignment horizontal="center" vertical="center"/>
    </xf>
    <xf numFmtId="0" fontId="2" fillId="6" borderId="2" xfId="773" applyFont="1" applyFill="1" applyBorder="1" applyAlignment="1">
      <alignment horizontal="center" vertical="center"/>
    </xf>
    <xf numFmtId="0" fontId="2" fillId="6" borderId="14" xfId="773" applyFont="1" applyFill="1" applyBorder="1" applyAlignment="1">
      <alignment horizontal="center" vertical="center"/>
    </xf>
    <xf numFmtId="1" fontId="2" fillId="6" borderId="1" xfId="773" applyNumberFormat="1" applyFont="1" applyFill="1" applyBorder="1" applyAlignment="1">
      <alignment horizontal="center" vertical="center"/>
    </xf>
    <xf numFmtId="0" fontId="2" fillId="6" borderId="1" xfId="773" applyFont="1" applyFill="1" applyBorder="1" applyAlignment="1">
      <alignment horizontal="center" vertical="center"/>
    </xf>
    <xf numFmtId="0" fontId="2" fillId="6" borderId="9" xfId="773" applyFont="1" applyFill="1" applyBorder="1" applyAlignment="1">
      <alignment horizontal="center" vertical="center"/>
    </xf>
    <xf numFmtId="1" fontId="2" fillId="6" borderId="1" xfId="773" applyNumberFormat="1" applyFont="1" applyFill="1" applyBorder="1" applyAlignment="1">
      <alignment horizontal="center" vertical="center" wrapText="1"/>
    </xf>
    <xf numFmtId="0" fontId="2" fillId="6" borderId="31" xfId="773" applyFont="1" applyFill="1" applyBorder="1" applyAlignment="1">
      <alignment horizontal="center" vertical="center"/>
    </xf>
    <xf numFmtId="0" fontId="2" fillId="6" borderId="1" xfId="773" applyFont="1" applyFill="1" applyBorder="1" applyAlignment="1">
      <alignment horizontal="center" vertical="center" wrapText="1"/>
    </xf>
    <xf numFmtId="0" fontId="2" fillId="10" borderId="1" xfId="774" applyFont="1" applyFill="1" applyBorder="1" applyAlignment="1">
      <alignment horizontal="center"/>
    </xf>
    <xf numFmtId="0" fontId="2" fillId="0" borderId="31" xfId="774" applyFont="1" applyBorder="1" applyAlignment="1">
      <alignment horizontal="center"/>
    </xf>
    <xf numFmtId="165" fontId="2" fillId="4" borderId="31" xfId="774" applyNumberFormat="1" applyFont="1" applyFill="1" applyBorder="1" applyAlignment="1">
      <alignment horizontal="center"/>
    </xf>
    <xf numFmtId="165" fontId="2" fillId="4" borderId="72" xfId="774" applyNumberFormat="1" applyFont="1" applyFill="1" applyBorder="1" applyAlignment="1">
      <alignment horizontal="center"/>
    </xf>
    <xf numFmtId="165" fontId="2" fillId="0" borderId="31" xfId="774" applyNumberFormat="1" applyFont="1" applyBorder="1" applyAlignment="1">
      <alignment horizontal="center"/>
    </xf>
    <xf numFmtId="165" fontId="2" fillId="0" borderId="72" xfId="774" applyNumberFormat="1" applyFont="1" applyBorder="1" applyAlignment="1">
      <alignment horizontal="center"/>
    </xf>
    <xf numFmtId="165" fontId="2" fillId="4" borderId="0" xfId="774" applyNumberFormat="1" applyFont="1" applyFill="1" applyAlignment="1">
      <alignment horizontal="center"/>
    </xf>
    <xf numFmtId="165" fontId="2" fillId="0" borderId="72" xfId="773" applyNumberFormat="1" applyFont="1" applyBorder="1"/>
    <xf numFmtId="165" fontId="2" fillId="0" borderId="72" xfId="773" applyNumberFormat="1" applyFont="1" applyBorder="1" applyAlignment="1">
      <alignment horizontal="center"/>
    </xf>
    <xf numFmtId="2" fontId="2" fillId="4" borderId="1" xfId="773" applyNumberFormat="1" applyFont="1" applyFill="1" applyBorder="1" applyAlignment="1">
      <alignment horizontal="center" vertical="center"/>
    </xf>
    <xf numFmtId="2" fontId="2" fillId="4" borderId="1" xfId="773" applyNumberFormat="1" applyFont="1" applyFill="1" applyBorder="1" applyAlignment="1">
      <alignment horizontal="center" vertical="center" wrapText="1"/>
    </xf>
    <xf numFmtId="165" fontId="2" fillId="4" borderId="1" xfId="773" applyNumberFormat="1" applyFont="1" applyFill="1" applyBorder="1" applyAlignment="1">
      <alignment horizontal="center" vertical="center" wrapText="1"/>
    </xf>
    <xf numFmtId="0" fontId="2" fillId="4" borderId="1" xfId="773" applyFont="1" applyFill="1" applyBorder="1" applyAlignment="1">
      <alignment horizontal="center" vertical="center"/>
    </xf>
    <xf numFmtId="0" fontId="2" fillId="0" borderId="0" xfId="773" applyFont="1" applyAlignment="1">
      <alignment horizontal="center"/>
    </xf>
    <xf numFmtId="165" fontId="2" fillId="0" borderId="1" xfId="773" applyNumberFormat="1" applyFont="1" applyBorder="1" applyAlignment="1">
      <alignment horizontal="center" vertical="center"/>
    </xf>
    <xf numFmtId="165" fontId="2" fillId="0" borderId="0" xfId="773" applyNumberFormat="1" applyFont="1" applyAlignment="1">
      <alignment horizontal="center"/>
    </xf>
    <xf numFmtId="165" fontId="1" fillId="4" borderId="1" xfId="773" applyNumberFormat="1" applyFont="1" applyFill="1" applyBorder="1" applyAlignment="1">
      <alignment horizontal="center" vertical="center"/>
    </xf>
    <xf numFmtId="165" fontId="1" fillId="4" borderId="9" xfId="773" applyNumberFormat="1" applyFont="1" applyFill="1" applyBorder="1" applyAlignment="1">
      <alignment horizontal="center" vertical="center"/>
    </xf>
    <xf numFmtId="165" fontId="1" fillId="0" borderId="1" xfId="773" applyNumberFormat="1" applyFont="1" applyBorder="1" applyAlignment="1">
      <alignment horizontal="center" vertical="center"/>
    </xf>
    <xf numFmtId="165" fontId="1" fillId="0" borderId="9" xfId="773" applyNumberFormat="1" applyFont="1" applyBorder="1" applyAlignment="1">
      <alignment horizontal="center" vertical="center"/>
    </xf>
    <xf numFmtId="165" fontId="1" fillId="0" borderId="31" xfId="773" applyNumberFormat="1" applyFont="1" applyBorder="1" applyAlignment="1">
      <alignment horizontal="center" vertical="center"/>
    </xf>
    <xf numFmtId="165" fontId="1" fillId="0" borderId="4" xfId="773" applyNumberFormat="1" applyFont="1" applyBorder="1" applyAlignment="1">
      <alignment horizontal="center" vertical="center"/>
    </xf>
    <xf numFmtId="165" fontId="1" fillId="0" borderId="46" xfId="773" applyNumberFormat="1" applyFont="1" applyBorder="1" applyAlignment="1">
      <alignment horizontal="center" vertical="center"/>
    </xf>
    <xf numFmtId="165" fontId="1" fillId="0" borderId="65" xfId="773" applyNumberFormat="1" applyFont="1" applyBorder="1" applyAlignment="1">
      <alignment horizontal="center" vertical="center"/>
    </xf>
    <xf numFmtId="0" fontId="1" fillId="4" borderId="1" xfId="773" applyFont="1" applyFill="1" applyBorder="1" applyAlignment="1">
      <alignment horizontal="center" vertical="center"/>
    </xf>
    <xf numFmtId="0" fontId="1" fillId="4" borderId="9" xfId="773" applyFont="1" applyFill="1" applyBorder="1" applyAlignment="1">
      <alignment horizontal="center" vertical="center"/>
    </xf>
    <xf numFmtId="165" fontId="2" fillId="12" borderId="9" xfId="774" applyNumberFormat="1" applyFont="1" applyFill="1" applyBorder="1" applyAlignment="1">
      <alignment horizontal="center"/>
    </xf>
    <xf numFmtId="165" fontId="2" fillId="0" borderId="9" xfId="774" applyNumberFormat="1" applyFont="1" applyBorder="1" applyAlignment="1">
      <alignment horizontal="center"/>
    </xf>
    <xf numFmtId="165" fontId="2" fillId="4" borderId="9" xfId="774" applyNumberFormat="1" applyFont="1" applyFill="1" applyBorder="1" applyAlignment="1">
      <alignment horizontal="center"/>
    </xf>
    <xf numFmtId="165" fontId="2" fillId="4" borderId="44" xfId="773" applyNumberFormat="1" applyFont="1" applyFill="1" applyBorder="1" applyAlignment="1">
      <alignment vertical="center" wrapText="1"/>
    </xf>
    <xf numFmtId="165" fontId="2" fillId="4" borderId="4" xfId="773" applyNumberFormat="1" applyFont="1" applyFill="1" applyBorder="1"/>
    <xf numFmtId="165" fontId="2" fillId="4" borderId="60" xfId="773" applyNumberFormat="1" applyFont="1" applyFill="1" applyBorder="1" applyAlignment="1">
      <alignment vertical="center" wrapText="1"/>
    </xf>
    <xf numFmtId="0" fontId="2" fillId="4" borderId="6" xfId="773" applyFont="1" applyFill="1" applyBorder="1" applyAlignment="1">
      <alignment vertical="center" wrapText="1"/>
    </xf>
    <xf numFmtId="1" fontId="2" fillId="4" borderId="1" xfId="773" applyNumberFormat="1" applyFont="1" applyFill="1" applyBorder="1"/>
    <xf numFmtId="0" fontId="2" fillId="4" borderId="44" xfId="773" applyFont="1" applyFill="1" applyBorder="1" applyAlignment="1">
      <alignment vertical="center" wrapText="1"/>
    </xf>
    <xf numFmtId="0" fontId="2" fillId="4" borderId="38" xfId="773" applyFont="1" applyFill="1" applyBorder="1" applyAlignment="1">
      <alignment vertical="center" wrapText="1"/>
    </xf>
    <xf numFmtId="1" fontId="36" fillId="5" borderId="1" xfId="0" applyNumberFormat="1" applyFont="1" applyFill="1" applyBorder="1" applyAlignment="1">
      <alignment horizontal="center" vertical="center" textRotation="90" wrapText="1"/>
    </xf>
    <xf numFmtId="0" fontId="36" fillId="5" borderId="22" xfId="0" applyFont="1" applyFill="1" applyBorder="1" applyAlignment="1">
      <alignment horizontal="center" vertical="center" wrapText="1"/>
    </xf>
    <xf numFmtId="0" fontId="36" fillId="5" borderId="0" xfId="0" applyFont="1" applyFill="1" applyAlignment="1">
      <alignment horizontal="center" vertical="center" wrapText="1"/>
    </xf>
    <xf numFmtId="1" fontId="36" fillId="5" borderId="4" xfId="0" applyNumberFormat="1" applyFont="1" applyFill="1" applyBorder="1" applyAlignment="1">
      <alignment horizontal="center" vertical="center" textRotation="90" wrapText="1"/>
    </xf>
    <xf numFmtId="1" fontId="36" fillId="5" borderId="63" xfId="0" applyNumberFormat="1" applyFont="1" applyFill="1" applyBorder="1" applyAlignment="1">
      <alignment horizontal="center" vertical="center" textRotation="90" wrapText="1"/>
    </xf>
    <xf numFmtId="1" fontId="36" fillId="5" borderId="2" xfId="0" applyNumberFormat="1" applyFont="1" applyFill="1" applyBorder="1" applyAlignment="1">
      <alignment horizontal="center" vertical="center" textRotation="90" wrapText="1"/>
    </xf>
    <xf numFmtId="1" fontId="36" fillId="5" borderId="21" xfId="0" applyNumberFormat="1" applyFont="1" applyFill="1" applyBorder="1" applyAlignment="1">
      <alignment horizontal="center" vertical="center" textRotation="90" wrapText="1"/>
    </xf>
    <xf numFmtId="1" fontId="36" fillId="5" borderId="22" xfId="0" applyNumberFormat="1" applyFont="1" applyFill="1" applyBorder="1" applyAlignment="1">
      <alignment horizontal="center" vertical="center" textRotation="90" wrapText="1"/>
    </xf>
    <xf numFmtId="1" fontId="35" fillId="5" borderId="22" xfId="0" applyNumberFormat="1" applyFont="1" applyFill="1" applyBorder="1" applyAlignment="1">
      <alignment horizontal="center" vertical="center" textRotation="90" wrapText="1"/>
    </xf>
    <xf numFmtId="1" fontId="35" fillId="5" borderId="23" xfId="0" applyNumberFormat="1" applyFont="1" applyFill="1" applyBorder="1" applyAlignment="1">
      <alignment horizontal="center" vertical="center" textRotation="90" wrapText="1"/>
    </xf>
    <xf numFmtId="1" fontId="35" fillId="0" borderId="31" xfId="0" applyNumberFormat="1" applyFont="1" applyBorder="1" applyAlignment="1">
      <alignment horizontal="center" vertical="center" wrapText="1"/>
    </xf>
    <xf numFmtId="1" fontId="35" fillId="0" borderId="53" xfId="0" applyNumberFormat="1" applyFont="1" applyBorder="1" applyAlignment="1">
      <alignment horizontal="center" vertical="center" wrapText="1"/>
    </xf>
    <xf numFmtId="1" fontId="35" fillId="0" borderId="44" xfId="0" applyNumberFormat="1" applyFont="1" applyBorder="1" applyAlignment="1">
      <alignment horizontal="center" vertical="center" wrapText="1"/>
    </xf>
    <xf numFmtId="1" fontId="36" fillId="5" borderId="1" xfId="0" applyNumberFormat="1" applyFont="1" applyFill="1" applyBorder="1" applyAlignment="1">
      <alignment horizontal="center" vertical="center" wrapText="1"/>
    </xf>
    <xf numFmtId="1" fontId="35" fillId="0" borderId="1" xfId="0" applyNumberFormat="1" applyFont="1" applyBorder="1" applyAlignment="1">
      <alignment horizontal="center" vertical="center" wrapText="1"/>
    </xf>
    <xf numFmtId="1" fontId="36" fillId="5" borderId="23" xfId="0" applyNumberFormat="1" applyFont="1" applyFill="1" applyBorder="1" applyAlignment="1">
      <alignment horizontal="center" vertical="center" textRotation="90" wrapText="1"/>
    </xf>
    <xf numFmtId="1" fontId="36" fillId="5" borderId="8" xfId="0" applyNumberFormat="1" applyFont="1" applyFill="1" applyBorder="1" applyAlignment="1">
      <alignment horizontal="center" vertical="center" textRotation="90" wrapText="1"/>
    </xf>
    <xf numFmtId="1" fontId="36" fillId="5" borderId="10" xfId="0" applyNumberFormat="1" applyFont="1" applyFill="1" applyBorder="1" applyAlignment="1">
      <alignment horizontal="center" vertical="center" textRotation="90" wrapText="1"/>
    </xf>
    <xf numFmtId="1" fontId="36" fillId="5" borderId="26" xfId="766" applyNumberFormat="1" applyFont="1" applyFill="1" applyBorder="1" applyAlignment="1">
      <alignment horizontal="center" vertical="center" wrapText="1"/>
    </xf>
    <xf numFmtId="1" fontId="36" fillId="5" borderId="29" xfId="766" applyNumberFormat="1" applyFont="1" applyFill="1" applyBorder="1" applyAlignment="1">
      <alignment horizontal="center" vertical="center" wrapText="1"/>
    </xf>
    <xf numFmtId="1" fontId="88" fillId="0" borderId="0" xfId="767" applyNumberFormat="1" applyFont="1" applyAlignment="1">
      <alignment horizontal="center" vertical="center" wrapText="1"/>
    </xf>
    <xf numFmtId="1" fontId="86" fillId="0" borderId="0" xfId="0" applyNumberFormat="1" applyFont="1" applyAlignment="1">
      <alignment horizontal="center" vertical="center" wrapText="1"/>
    </xf>
    <xf numFmtId="1" fontId="98" fillId="5" borderId="0" xfId="767" applyNumberFormat="1" applyFont="1" applyFill="1" applyAlignment="1">
      <alignment horizontal="center" vertical="center" wrapText="1"/>
    </xf>
    <xf numFmtId="1" fontId="98" fillId="5" borderId="32" xfId="767" applyNumberFormat="1" applyFont="1" applyFill="1" applyBorder="1" applyAlignment="1">
      <alignment horizontal="center" vertical="center" wrapText="1"/>
    </xf>
    <xf numFmtId="1" fontId="36" fillId="5" borderId="21" xfId="0" applyNumberFormat="1" applyFont="1" applyFill="1" applyBorder="1" applyAlignment="1">
      <alignment horizontal="center" vertical="center" wrapText="1"/>
    </xf>
    <xf numFmtId="1" fontId="36" fillId="5" borderId="26" xfId="0" applyNumberFormat="1" applyFont="1" applyFill="1" applyBorder="1" applyAlignment="1">
      <alignment horizontal="center" vertical="center" wrapText="1"/>
    </xf>
    <xf numFmtId="1" fontId="36" fillId="5" borderId="23" xfId="0" applyNumberFormat="1" applyFont="1" applyFill="1" applyBorder="1" applyAlignment="1">
      <alignment horizontal="center" vertical="center" wrapText="1"/>
    </xf>
    <xf numFmtId="1" fontId="36" fillId="5" borderId="29" xfId="0" applyNumberFormat="1" applyFont="1" applyFill="1" applyBorder="1" applyAlignment="1">
      <alignment horizontal="center" vertical="center" wrapText="1"/>
    </xf>
    <xf numFmtId="1" fontId="36" fillId="5" borderId="5" xfId="0" applyNumberFormat="1" applyFont="1" applyFill="1" applyBorder="1" applyAlignment="1">
      <alignment horizontal="center" vertical="center" textRotation="90" wrapText="1"/>
    </xf>
    <xf numFmtId="165" fontId="36" fillId="5" borderId="26" xfId="0" applyNumberFormat="1" applyFont="1" applyFill="1" applyBorder="1" applyAlignment="1">
      <alignment horizontal="center" vertical="center" wrapText="1"/>
    </xf>
    <xf numFmtId="165" fontId="36" fillId="5" borderId="29" xfId="0" applyNumberFormat="1" applyFont="1" applyFill="1" applyBorder="1" applyAlignment="1">
      <alignment horizontal="center" vertical="center" wrapText="1"/>
    </xf>
    <xf numFmtId="1" fontId="36" fillId="5" borderId="22" xfId="0" applyNumberFormat="1" applyFont="1" applyFill="1" applyBorder="1" applyAlignment="1">
      <alignment horizontal="center" vertical="center" wrapText="1"/>
    </xf>
    <xf numFmtId="1" fontId="36" fillId="5" borderId="0" xfId="0" applyNumberFormat="1" applyFont="1" applyFill="1" applyAlignment="1">
      <alignment horizontal="center" vertical="center" wrapText="1"/>
    </xf>
    <xf numFmtId="1" fontId="69" fillId="5" borderId="22" xfId="0" applyNumberFormat="1" applyFont="1" applyFill="1" applyBorder="1" applyAlignment="1">
      <alignment horizontal="center" vertical="center" textRotation="90" wrapText="1"/>
    </xf>
    <xf numFmtId="1" fontId="36" fillId="5" borderId="8" xfId="767" applyNumberFormat="1" applyFont="1" applyFill="1" applyBorder="1" applyAlignment="1">
      <alignment horizontal="center" vertical="center" textRotation="90" wrapText="1"/>
    </xf>
    <xf numFmtId="1" fontId="36" fillId="5" borderId="10" xfId="767" applyNumberFormat="1" applyFont="1" applyFill="1" applyBorder="1" applyAlignment="1">
      <alignment horizontal="center" vertical="center" textRotation="90" wrapText="1"/>
    </xf>
    <xf numFmtId="1" fontId="36" fillId="5" borderId="41" xfId="0" applyNumberFormat="1" applyFont="1" applyFill="1" applyBorder="1" applyAlignment="1">
      <alignment horizontal="center" vertical="center" textRotation="90" wrapText="1"/>
    </xf>
    <xf numFmtId="1" fontId="36" fillId="5" borderId="42" xfId="0" applyNumberFormat="1" applyFont="1" applyFill="1" applyBorder="1" applyAlignment="1">
      <alignment horizontal="center" vertical="center" textRotation="90" wrapText="1"/>
    </xf>
    <xf numFmtId="1" fontId="36" fillId="5" borderId="43" xfId="0" applyNumberFormat="1" applyFont="1" applyFill="1" applyBorder="1" applyAlignment="1">
      <alignment horizontal="center" vertical="center" textRotation="90" wrapText="1"/>
    </xf>
    <xf numFmtId="1" fontId="36" fillId="5" borderId="61" xfId="0" applyNumberFormat="1" applyFont="1" applyFill="1" applyBorder="1" applyAlignment="1">
      <alignment horizontal="center" vertical="center" textRotation="90" wrapText="1"/>
    </xf>
    <xf numFmtId="1" fontId="36" fillId="5" borderId="32" xfId="0" applyNumberFormat="1" applyFont="1" applyFill="1" applyBorder="1" applyAlignment="1">
      <alignment horizontal="center" vertical="center" textRotation="90" wrapText="1"/>
    </xf>
    <xf numFmtId="1" fontId="36" fillId="5" borderId="33" xfId="0" applyNumberFormat="1" applyFont="1" applyFill="1" applyBorder="1" applyAlignment="1">
      <alignment horizontal="center" vertical="center" textRotation="90" wrapText="1"/>
    </xf>
    <xf numFmtId="0" fontId="22" fillId="5" borderId="0" xfId="0" applyFont="1" applyFill="1" applyAlignment="1">
      <alignment horizontal="center" vertical="center" wrapText="1"/>
    </xf>
    <xf numFmtId="0" fontId="23" fillId="5" borderId="0" xfId="0" applyFont="1" applyFill="1" applyAlignment="1">
      <alignment horizontal="center" vertical="center" wrapText="1"/>
    </xf>
    <xf numFmtId="0" fontId="19" fillId="0" borderId="1" xfId="0" applyFont="1" applyBorder="1" applyAlignment="1">
      <alignment horizontal="center" vertical="center" wrapText="1"/>
    </xf>
    <xf numFmtId="0" fontId="29" fillId="5" borderId="47" xfId="0" applyFont="1" applyFill="1" applyBorder="1" applyAlignment="1">
      <alignment horizontal="center" vertical="center" textRotation="90" wrapText="1"/>
    </xf>
    <xf numFmtId="0" fontId="29" fillId="5" borderId="38" xfId="0" applyFont="1" applyFill="1" applyBorder="1" applyAlignment="1">
      <alignment horizontal="center" vertical="center" textRotation="90" wrapText="1"/>
    </xf>
    <xf numFmtId="0" fontId="29" fillId="5" borderId="39" xfId="0" applyFont="1" applyFill="1" applyBorder="1" applyAlignment="1">
      <alignment horizontal="center" vertical="center" textRotation="90" wrapText="1"/>
    </xf>
    <xf numFmtId="0" fontId="29" fillId="5" borderId="27" xfId="0" applyFont="1" applyFill="1" applyBorder="1" applyAlignment="1">
      <alignment horizontal="center" vertical="center" textRotation="90" wrapText="1"/>
    </xf>
    <xf numFmtId="0" fontId="29" fillId="5" borderId="28" xfId="0" applyFont="1" applyFill="1" applyBorder="1" applyAlignment="1">
      <alignment horizontal="center" vertical="center" textRotation="90" wrapText="1"/>
    </xf>
    <xf numFmtId="0" fontId="29" fillId="5" borderId="30" xfId="0" applyFont="1" applyFill="1" applyBorder="1" applyAlignment="1">
      <alignment horizontal="center" vertical="center" textRotation="90" wrapText="1"/>
    </xf>
    <xf numFmtId="1" fontId="35" fillId="0" borderId="46" xfId="0" applyNumberFormat="1" applyFont="1" applyBorder="1" applyAlignment="1">
      <alignment horizontal="center" vertical="center" wrapText="1"/>
    </xf>
    <xf numFmtId="1" fontId="35" fillId="0" borderId="60" xfId="0" applyNumberFormat="1" applyFont="1" applyBorder="1" applyAlignment="1">
      <alignment horizontal="center" vertical="center" wrapText="1"/>
    </xf>
    <xf numFmtId="1" fontId="35" fillId="0" borderId="61" xfId="0" applyNumberFormat="1" applyFont="1" applyBorder="1" applyAlignment="1">
      <alignment horizontal="center" vertical="center" wrapText="1"/>
    </xf>
    <xf numFmtId="1" fontId="35" fillId="0" borderId="37" xfId="0" applyNumberFormat="1" applyFont="1" applyBorder="1" applyAlignment="1">
      <alignment horizontal="center" vertical="center" wrapText="1"/>
    </xf>
    <xf numFmtId="1" fontId="35" fillId="0" borderId="0" xfId="0" applyNumberFormat="1" applyFont="1" applyAlignment="1">
      <alignment horizontal="center" vertical="center" wrapText="1"/>
    </xf>
    <xf numFmtId="1" fontId="35" fillId="0" borderId="32" xfId="0" applyNumberFormat="1" applyFont="1" applyBorder="1" applyAlignment="1">
      <alignment horizontal="center" vertical="center" wrapText="1"/>
    </xf>
    <xf numFmtId="1" fontId="35" fillId="0" borderId="45" xfId="0" applyNumberFormat="1" applyFont="1" applyBorder="1" applyAlignment="1">
      <alignment horizontal="center" vertical="center" wrapText="1"/>
    </xf>
    <xf numFmtId="1" fontId="35" fillId="0" borderId="3" xfId="0" applyNumberFormat="1" applyFont="1" applyBorder="1" applyAlignment="1">
      <alignment horizontal="center" vertical="center" wrapText="1"/>
    </xf>
    <xf numFmtId="1" fontId="35" fillId="0" borderId="59" xfId="0" applyNumberFormat="1" applyFont="1" applyBorder="1" applyAlignment="1">
      <alignment horizontal="center" vertical="center" wrapText="1"/>
    </xf>
    <xf numFmtId="1" fontId="36" fillId="5" borderId="32" xfId="0" applyNumberFormat="1" applyFont="1" applyFill="1" applyBorder="1" applyAlignment="1">
      <alignment horizontal="center" vertical="center" wrapText="1"/>
    </xf>
    <xf numFmtId="1" fontId="36" fillId="5" borderId="33" xfId="0" applyNumberFormat="1" applyFont="1" applyFill="1" applyBorder="1" applyAlignment="1">
      <alignment horizontal="center" vertical="center" wrapText="1"/>
    </xf>
    <xf numFmtId="1" fontId="36" fillId="5" borderId="5" xfId="0" applyNumberFormat="1" applyFont="1" applyFill="1" applyBorder="1" applyAlignment="1">
      <alignment horizontal="center" vertical="center" textRotation="90"/>
    </xf>
    <xf numFmtId="1" fontId="36" fillId="5" borderId="8" xfId="0" applyNumberFormat="1" applyFont="1" applyFill="1" applyBorder="1" applyAlignment="1">
      <alignment horizontal="center" vertical="center" textRotation="90"/>
    </xf>
    <xf numFmtId="1" fontId="36" fillId="5" borderId="10" xfId="0" applyNumberFormat="1" applyFont="1" applyFill="1" applyBorder="1" applyAlignment="1">
      <alignment horizontal="center" vertical="center" textRotation="90"/>
    </xf>
    <xf numFmtId="1" fontId="36" fillId="5" borderId="54" xfId="0" applyNumberFormat="1" applyFont="1" applyFill="1" applyBorder="1" applyAlignment="1">
      <alignment horizontal="center" vertical="center" textRotation="90" wrapText="1"/>
    </xf>
    <xf numFmtId="0" fontId="47" fillId="0" borderId="1" xfId="773" applyFont="1" applyBorder="1" applyAlignment="1">
      <alignment horizontal="center" vertical="center" wrapText="1"/>
    </xf>
    <xf numFmtId="0" fontId="51" fillId="5" borderId="22" xfId="773" applyFont="1" applyFill="1" applyBorder="1" applyAlignment="1">
      <alignment horizontal="center" vertical="center" wrapText="1"/>
    </xf>
    <xf numFmtId="0" fontId="51" fillId="5" borderId="0" xfId="773" applyFont="1" applyFill="1" applyAlignment="1">
      <alignment horizontal="center" vertical="center" wrapText="1"/>
    </xf>
    <xf numFmtId="0" fontId="51" fillId="5" borderId="27" xfId="773" applyFont="1" applyFill="1" applyBorder="1" applyAlignment="1">
      <alignment horizontal="center" vertical="center" textRotation="90" wrapText="1"/>
    </xf>
    <xf numFmtId="0" fontId="51" fillId="5" borderId="28" xfId="773" applyFont="1" applyFill="1" applyBorder="1" applyAlignment="1">
      <alignment horizontal="center" vertical="center" textRotation="90" wrapText="1"/>
    </xf>
    <xf numFmtId="0" fontId="51" fillId="5" borderId="30" xfId="773" applyFont="1" applyFill="1" applyBorder="1" applyAlignment="1">
      <alignment horizontal="center" vertical="center" textRotation="90" wrapText="1"/>
    </xf>
    <xf numFmtId="0" fontId="51" fillId="5" borderId="41" xfId="773" applyFont="1" applyFill="1" applyBorder="1" applyAlignment="1">
      <alignment horizontal="center" vertical="center" textRotation="90" wrapText="1"/>
    </xf>
    <xf numFmtId="0" fontId="51" fillId="5" borderId="42" xfId="773" applyFont="1" applyFill="1" applyBorder="1" applyAlignment="1">
      <alignment horizontal="center" vertical="center" textRotation="90" wrapText="1"/>
    </xf>
    <xf numFmtId="0" fontId="51" fillId="5" borderId="70" xfId="773" applyFont="1" applyFill="1" applyBorder="1" applyAlignment="1">
      <alignment horizontal="center" vertical="center" textRotation="90" wrapText="1"/>
    </xf>
    <xf numFmtId="0" fontId="51" fillId="5" borderId="5" xfId="773" applyFont="1" applyFill="1" applyBorder="1" applyAlignment="1">
      <alignment horizontal="center" vertical="center" textRotation="90" wrapText="1"/>
    </xf>
    <xf numFmtId="0" fontId="51" fillId="5" borderId="8" xfId="773" applyFont="1" applyFill="1" applyBorder="1" applyAlignment="1">
      <alignment horizontal="center" vertical="center" textRotation="90" wrapText="1"/>
    </xf>
    <xf numFmtId="0" fontId="51" fillId="5" borderId="57" xfId="773" applyFont="1" applyFill="1" applyBorder="1" applyAlignment="1">
      <alignment horizontal="center" vertical="center" textRotation="90" wrapText="1"/>
    </xf>
    <xf numFmtId="0" fontId="51" fillId="5" borderId="23" xfId="773" applyFont="1" applyFill="1" applyBorder="1" applyAlignment="1">
      <alignment horizontal="center" vertical="center" wrapText="1"/>
    </xf>
    <xf numFmtId="0" fontId="51" fillId="5" borderId="29" xfId="773" applyFont="1" applyFill="1" applyBorder="1" applyAlignment="1">
      <alignment horizontal="center" vertical="center" wrapText="1"/>
    </xf>
    <xf numFmtId="0" fontId="65" fillId="0" borderId="0" xfId="773" applyFont="1" applyAlignment="1">
      <alignment horizontal="center" vertical="center" wrapText="1"/>
    </xf>
    <xf numFmtId="0" fontId="65" fillId="0" borderId="32" xfId="773" applyFont="1" applyBorder="1" applyAlignment="1">
      <alignment horizontal="center" vertical="center" wrapText="1"/>
    </xf>
    <xf numFmtId="165" fontId="35" fillId="0" borderId="21" xfId="0" applyNumberFormat="1" applyFont="1" applyBorder="1" applyAlignment="1">
      <alignment horizontal="center" vertical="center" wrapText="1"/>
    </xf>
    <xf numFmtId="165" fontId="35" fillId="0" borderId="26" xfId="0" applyNumberFormat="1" applyFont="1" applyBorder="1" applyAlignment="1">
      <alignment horizontal="center" vertical="center" wrapText="1"/>
    </xf>
    <xf numFmtId="165" fontId="35" fillId="16" borderId="26" xfId="0" applyNumberFormat="1" applyFont="1" applyFill="1" applyBorder="1" applyAlignment="1">
      <alignment horizontal="center" vertical="center" wrapText="1"/>
    </xf>
    <xf numFmtId="165" fontId="35" fillId="0" borderId="27" xfId="0" applyNumberFormat="1" applyFont="1" applyBorder="1" applyAlignment="1">
      <alignment horizontal="center" vertical="center" wrapText="1"/>
    </xf>
    <xf numFmtId="165" fontId="35" fillId="0" borderId="23" xfId="0" applyNumberFormat="1" applyFont="1" applyBorder="1" applyAlignment="1">
      <alignment horizontal="center" vertical="center" wrapText="1"/>
    </xf>
    <xf numFmtId="165" fontId="35" fillId="0" borderId="29" xfId="0" applyNumberFormat="1" applyFont="1" applyBorder="1" applyAlignment="1">
      <alignment horizontal="center" vertical="center" wrapText="1"/>
    </xf>
    <xf numFmtId="165" fontId="35" fillId="16" borderId="29" xfId="0" applyNumberFormat="1" applyFont="1" applyFill="1" applyBorder="1" applyAlignment="1">
      <alignment horizontal="center" vertical="center" wrapText="1"/>
    </xf>
    <xf numFmtId="165" fontId="35" fillId="0" borderId="30" xfId="0" applyNumberFormat="1" applyFont="1" applyBorder="1" applyAlignment="1">
      <alignment horizontal="center" vertical="center" wrapText="1"/>
    </xf>
    <xf numFmtId="165" fontId="36" fillId="16" borderId="29" xfId="0" applyNumberFormat="1" applyFont="1" applyFill="1" applyBorder="1" applyAlignment="1">
      <alignment horizontal="center" vertical="center" wrapText="1"/>
    </xf>
    <xf numFmtId="0" fontId="51" fillId="5" borderId="22" xfId="770" applyFont="1" applyFill="1" applyBorder="1" applyAlignment="1">
      <alignment horizontal="center" vertical="center" wrapText="1"/>
    </xf>
    <xf numFmtId="0" fontId="51" fillId="5" borderId="0" xfId="770" applyFont="1" applyFill="1" applyAlignment="1">
      <alignment horizontal="center" vertical="center" wrapText="1"/>
    </xf>
    <xf numFmtId="0" fontId="51" fillId="5" borderId="23" xfId="770" applyFont="1" applyFill="1" applyBorder="1" applyAlignment="1">
      <alignment horizontal="center" vertical="center" wrapText="1"/>
    </xf>
    <xf numFmtId="0" fontId="51" fillId="5" borderId="29" xfId="770" applyFont="1" applyFill="1" applyBorder="1" applyAlignment="1">
      <alignment horizontal="center" vertical="center" wrapText="1"/>
    </xf>
    <xf numFmtId="0" fontId="61" fillId="5" borderId="37" xfId="770" applyFont="1" applyFill="1" applyBorder="1" applyAlignment="1">
      <alignment horizontal="center" vertical="center" wrapText="1"/>
    </xf>
    <xf numFmtId="0" fontId="61" fillId="5" borderId="0" xfId="770" applyFont="1" applyFill="1" applyAlignment="1">
      <alignment horizontal="center" vertical="center" wrapText="1"/>
    </xf>
    <xf numFmtId="0" fontId="51" fillId="5" borderId="37" xfId="770" applyFont="1" applyFill="1" applyBorder="1" applyAlignment="1">
      <alignment horizontal="center" vertical="center" wrapText="1"/>
    </xf>
    <xf numFmtId="0" fontId="53" fillId="0" borderId="21" xfId="770" applyFont="1" applyBorder="1" applyAlignment="1">
      <alignment horizontal="center" vertical="center" wrapText="1"/>
    </xf>
    <xf numFmtId="0" fontId="53" fillId="0" borderId="26" xfId="770" applyFont="1" applyBorder="1" applyAlignment="1">
      <alignment horizontal="center" vertical="center" wrapText="1"/>
    </xf>
    <xf numFmtId="0" fontId="53" fillId="0" borderId="27" xfId="770" applyFont="1" applyBorder="1" applyAlignment="1">
      <alignment horizontal="center" vertical="center" wrapText="1"/>
    </xf>
    <xf numFmtId="0" fontId="53" fillId="0" borderId="22" xfId="770" applyFont="1" applyBorder="1" applyAlignment="1">
      <alignment horizontal="center" vertical="center" wrapText="1"/>
    </xf>
    <xf numFmtId="0" fontId="53" fillId="0" borderId="0" xfId="770" applyFont="1" applyAlignment="1">
      <alignment horizontal="center" vertical="center" wrapText="1"/>
    </xf>
    <xf numFmtId="0" fontId="53" fillId="0" borderId="28" xfId="770" applyFont="1" applyBorder="1" applyAlignment="1">
      <alignment horizontal="center" vertical="center" wrapText="1"/>
    </xf>
    <xf numFmtId="0" fontId="53" fillId="0" borderId="23" xfId="770" applyFont="1" applyBorder="1" applyAlignment="1">
      <alignment horizontal="center" vertical="center" wrapText="1"/>
    </xf>
    <xf numFmtId="0" fontId="53" fillId="0" borderId="29" xfId="770" applyFont="1" applyBorder="1" applyAlignment="1">
      <alignment horizontal="center" vertical="center" wrapText="1"/>
    </xf>
    <xf numFmtId="0" fontId="53" fillId="0" borderId="30" xfId="770" applyFont="1" applyBorder="1" applyAlignment="1">
      <alignment horizontal="center" vertical="center" wrapText="1"/>
    </xf>
    <xf numFmtId="0" fontId="51" fillId="5" borderId="22" xfId="771" applyFont="1" applyFill="1" applyBorder="1" applyAlignment="1">
      <alignment horizontal="center" vertical="center" wrapText="1"/>
    </xf>
    <xf numFmtId="0" fontId="51" fillId="5" borderId="0" xfId="771" applyFont="1" applyFill="1" applyAlignment="1">
      <alignment horizontal="center" vertical="center" wrapText="1"/>
    </xf>
    <xf numFmtId="0" fontId="51" fillId="5" borderId="23" xfId="771" applyFont="1" applyFill="1" applyBorder="1" applyAlignment="1">
      <alignment horizontal="center" vertical="center" wrapText="1"/>
    </xf>
    <xf numFmtId="0" fontId="51" fillId="5" borderId="29" xfId="771" applyFont="1" applyFill="1" applyBorder="1" applyAlignment="1">
      <alignment horizontal="center" vertical="center" wrapText="1"/>
    </xf>
    <xf numFmtId="0" fontId="51" fillId="5" borderId="37" xfId="771" applyFont="1" applyFill="1" applyBorder="1" applyAlignment="1">
      <alignment horizontal="center" vertical="center" wrapText="1"/>
    </xf>
    <xf numFmtId="0" fontId="53" fillId="0" borderId="21" xfId="771" applyFont="1" applyBorder="1" applyAlignment="1">
      <alignment horizontal="center" vertical="center" wrapText="1"/>
    </xf>
    <xf numFmtId="0" fontId="53" fillId="0" borderId="26" xfId="771" applyFont="1" applyBorder="1" applyAlignment="1">
      <alignment horizontal="center" vertical="center" wrapText="1"/>
    </xf>
    <xf numFmtId="0" fontId="53" fillId="0" borderId="27" xfId="771" applyFont="1" applyBorder="1" applyAlignment="1">
      <alignment horizontal="center" vertical="center" wrapText="1"/>
    </xf>
    <xf numFmtId="0" fontId="53" fillId="0" borderId="22" xfId="771" applyFont="1" applyBorder="1" applyAlignment="1">
      <alignment horizontal="center" vertical="center" wrapText="1"/>
    </xf>
    <xf numFmtId="0" fontId="53" fillId="0" borderId="0" xfId="771" applyFont="1" applyAlignment="1">
      <alignment horizontal="center" vertical="center" wrapText="1"/>
    </xf>
    <xf numFmtId="0" fontId="53" fillId="0" borderId="28" xfId="771" applyFont="1" applyBorder="1" applyAlignment="1">
      <alignment horizontal="center" vertical="center" wrapText="1"/>
    </xf>
    <xf numFmtId="0" fontId="53" fillId="0" borderId="23" xfId="771" applyFont="1" applyBorder="1" applyAlignment="1">
      <alignment horizontal="center" vertical="center" wrapText="1"/>
    </xf>
    <xf numFmtId="0" fontId="53" fillId="0" borderId="29" xfId="771" applyFont="1" applyBorder="1" applyAlignment="1">
      <alignment horizontal="center" vertical="center" wrapText="1"/>
    </xf>
    <xf numFmtId="0" fontId="53" fillId="0" borderId="30" xfId="771" applyFont="1" applyBorder="1" applyAlignment="1">
      <alignment horizontal="center" vertical="center" wrapText="1"/>
    </xf>
    <xf numFmtId="0" fontId="22" fillId="5" borderId="21" xfId="0" applyFont="1" applyFill="1" applyBorder="1" applyAlignment="1">
      <alignment horizontal="center" vertical="center" wrapText="1"/>
    </xf>
    <xf numFmtId="0" fontId="22" fillId="5" borderId="26" xfId="0" applyFont="1" applyFill="1" applyBorder="1" applyAlignment="1">
      <alignment horizontal="center" vertical="center" wrapText="1"/>
    </xf>
    <xf numFmtId="0" fontId="22" fillId="5" borderId="27" xfId="0"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29" xfId="0" applyFont="1" applyFill="1" applyBorder="1" applyAlignment="1">
      <alignment horizontal="center" vertical="center" wrapText="1"/>
    </xf>
    <xf numFmtId="0" fontId="23" fillId="5" borderId="30" xfId="0" applyFont="1" applyFill="1" applyBorder="1" applyAlignment="1">
      <alignment horizontal="center" vertical="center" wrapText="1"/>
    </xf>
    <xf numFmtId="0" fontId="24" fillId="5" borderId="5" xfId="0" applyFont="1" applyFill="1" applyBorder="1" applyAlignment="1">
      <alignment horizontal="center" vertical="center" textRotation="90" wrapText="1"/>
    </xf>
    <xf numFmtId="0" fontId="24" fillId="5" borderId="8" xfId="0" applyFont="1" applyFill="1" applyBorder="1" applyAlignment="1">
      <alignment horizontal="center" vertical="center" textRotation="90" wrapText="1"/>
    </xf>
    <xf numFmtId="0" fontId="24" fillId="5" borderId="10" xfId="0" applyFont="1" applyFill="1" applyBorder="1" applyAlignment="1">
      <alignment horizontal="center" vertical="center" textRotation="90" wrapText="1"/>
    </xf>
    <xf numFmtId="0" fontId="22" fillId="5" borderId="22" xfId="0" applyFont="1" applyFill="1" applyBorder="1" applyAlignment="1">
      <alignment horizontal="center" vertical="center" wrapText="1"/>
    </xf>
    <xf numFmtId="0" fontId="26" fillId="5" borderId="47" xfId="0" applyFont="1" applyFill="1" applyBorder="1" applyAlignment="1">
      <alignment horizontal="center" vertical="center" textRotation="90" wrapText="1"/>
    </xf>
    <xf numFmtId="0" fontId="26" fillId="5" borderId="38" xfId="0" applyFont="1" applyFill="1" applyBorder="1" applyAlignment="1">
      <alignment horizontal="center" vertical="center" textRotation="90" wrapText="1"/>
    </xf>
    <xf numFmtId="0" fontId="26" fillId="5" borderId="39" xfId="0" applyFont="1" applyFill="1" applyBorder="1" applyAlignment="1">
      <alignment horizontal="center" vertical="center" textRotation="90" wrapText="1"/>
    </xf>
    <xf numFmtId="0" fontId="24" fillId="5" borderId="21" xfId="0" applyFont="1" applyFill="1" applyBorder="1" applyAlignment="1">
      <alignment horizontal="center" vertical="center" textRotation="90" wrapText="1"/>
    </xf>
    <xf numFmtId="0" fontId="24" fillId="5" borderId="22" xfId="0" applyFont="1" applyFill="1" applyBorder="1" applyAlignment="1">
      <alignment horizontal="center" vertical="center" textRotation="90" wrapText="1"/>
    </xf>
    <xf numFmtId="0" fontId="24" fillId="5" borderId="23" xfId="0" applyFont="1" applyFill="1" applyBorder="1" applyAlignment="1">
      <alignment horizontal="center" vertical="center" textRotation="90" wrapText="1"/>
    </xf>
    <xf numFmtId="0" fontId="28" fillId="5" borderId="0" xfId="0" applyFont="1" applyFill="1" applyAlignment="1">
      <alignment horizontal="center" vertical="center" wrapText="1"/>
    </xf>
    <xf numFmtId="0" fontId="34" fillId="5" borderId="21" xfId="765" applyFont="1" applyFill="1" applyBorder="1" applyAlignment="1">
      <alignment horizontal="center" textRotation="90"/>
    </xf>
    <xf numFmtId="0" fontId="34" fillId="5" borderId="23" xfId="765" applyFont="1" applyFill="1" applyBorder="1" applyAlignment="1">
      <alignment horizontal="center" textRotation="90"/>
    </xf>
    <xf numFmtId="0" fontId="24" fillId="5" borderId="47" xfId="0" applyFont="1" applyFill="1" applyBorder="1" applyAlignment="1">
      <alignment horizontal="center" vertical="center" textRotation="90" wrapText="1"/>
    </xf>
    <xf numFmtId="0" fontId="24" fillId="5" borderId="38" xfId="0" applyFont="1" applyFill="1" applyBorder="1" applyAlignment="1">
      <alignment horizontal="center" vertical="center" textRotation="90" wrapText="1"/>
    </xf>
    <xf numFmtId="0" fontId="24" fillId="5" borderId="39" xfId="0" applyFont="1" applyFill="1" applyBorder="1" applyAlignment="1">
      <alignment horizontal="center" vertical="center" textRotation="90" wrapText="1"/>
    </xf>
    <xf numFmtId="0" fontId="34" fillId="5" borderId="47" xfId="765" applyFont="1" applyFill="1" applyBorder="1" applyAlignment="1">
      <alignment horizontal="center" textRotation="90"/>
    </xf>
    <xf numFmtId="0" fontId="34" fillId="5" borderId="39" xfId="765" applyFont="1" applyFill="1" applyBorder="1" applyAlignment="1">
      <alignment horizontal="center" textRotation="90"/>
    </xf>
    <xf numFmtId="0" fontId="24" fillId="5" borderId="0" xfId="0" applyFont="1" applyFill="1" applyAlignment="1">
      <alignment horizontal="center" vertical="center" textRotation="90" wrapText="1"/>
    </xf>
    <xf numFmtId="0" fontId="24" fillId="5" borderId="13" xfId="0" applyFont="1" applyFill="1" applyBorder="1" applyAlignment="1">
      <alignment horizontal="center" vertical="center" textRotation="90" wrapText="1"/>
    </xf>
    <xf numFmtId="0" fontId="24" fillId="5" borderId="19" xfId="0" applyFont="1" applyFill="1" applyBorder="1" applyAlignment="1">
      <alignment horizontal="center" vertical="center" textRotation="90" wrapText="1"/>
    </xf>
    <xf numFmtId="0" fontId="24" fillId="5" borderId="20" xfId="0" applyFont="1" applyFill="1" applyBorder="1" applyAlignment="1">
      <alignment horizontal="center" vertical="center" textRotation="90" wrapText="1"/>
    </xf>
    <xf numFmtId="0" fontId="23" fillId="2" borderId="29" xfId="0" applyFont="1" applyFill="1" applyBorder="1" applyAlignment="1">
      <alignment horizontal="center" vertical="center" wrapText="1"/>
    </xf>
    <xf numFmtId="1" fontId="36" fillId="3" borderId="24" xfId="763" applyNumberFormat="1" applyFont="1" applyFill="1" applyBorder="1" applyAlignment="1">
      <alignment horizontal="center" vertical="center" wrapText="1"/>
    </xf>
    <xf numFmtId="1" fontId="36" fillId="3" borderId="2" xfId="763" applyNumberFormat="1" applyFont="1" applyFill="1" applyBorder="1" applyAlignment="1">
      <alignment horizontal="center" vertical="center" wrapText="1"/>
    </xf>
    <xf numFmtId="1" fontId="36" fillId="3" borderId="24" xfId="0" applyNumberFormat="1" applyFont="1" applyFill="1" applyBorder="1" applyAlignment="1">
      <alignment horizontal="center" vertical="center" wrapText="1"/>
    </xf>
    <xf numFmtId="1" fontId="36" fillId="3" borderId="2" xfId="0" applyNumberFormat="1" applyFont="1" applyFill="1" applyBorder="1" applyAlignment="1">
      <alignment horizontal="center" vertical="center" wrapText="1"/>
    </xf>
    <xf numFmtId="1" fontId="36" fillId="5" borderId="13" xfId="0" applyNumberFormat="1" applyFont="1" applyFill="1" applyBorder="1" applyAlignment="1">
      <alignment horizontal="center" vertical="center" textRotation="90" wrapText="1"/>
    </xf>
    <xf numFmtId="1" fontId="36" fillId="5" borderId="19" xfId="0" applyNumberFormat="1" applyFont="1" applyFill="1" applyBorder="1" applyAlignment="1">
      <alignment horizontal="center" vertical="center" textRotation="90" wrapText="1"/>
    </xf>
    <xf numFmtId="1" fontId="36" fillId="5" borderId="19" xfId="0" applyNumberFormat="1" applyFont="1" applyFill="1" applyBorder="1" applyAlignment="1">
      <alignment horizontal="center" vertical="center" textRotation="90"/>
    </xf>
    <xf numFmtId="1" fontId="36" fillId="5" borderId="20" xfId="0" applyNumberFormat="1" applyFont="1" applyFill="1" applyBorder="1" applyAlignment="1">
      <alignment horizontal="center" vertical="center" textRotation="90"/>
    </xf>
    <xf numFmtId="1" fontId="36" fillId="3" borderId="21" xfId="0" applyNumberFormat="1" applyFont="1" applyFill="1" applyBorder="1" applyAlignment="1">
      <alignment horizontal="center" vertical="center" wrapText="1"/>
    </xf>
    <xf numFmtId="1" fontId="36" fillId="3" borderId="22" xfId="0" applyNumberFormat="1" applyFont="1" applyFill="1" applyBorder="1" applyAlignment="1">
      <alignment horizontal="center" vertical="center" wrapText="1"/>
    </xf>
    <xf numFmtId="1" fontId="36" fillId="3" borderId="34" xfId="0" applyNumberFormat="1" applyFont="1" applyFill="1" applyBorder="1" applyAlignment="1">
      <alignment horizontal="center" vertical="center" wrapText="1"/>
    </xf>
    <xf numFmtId="1" fontId="36" fillId="3" borderId="59" xfId="0" applyNumberFormat="1" applyFont="1" applyFill="1" applyBorder="1" applyAlignment="1">
      <alignment horizontal="center" vertical="center" wrapText="1"/>
    </xf>
    <xf numFmtId="165" fontId="65" fillId="0" borderId="0" xfId="773" applyNumberFormat="1" applyFont="1" applyAlignment="1">
      <alignment horizontal="center" vertical="center" wrapText="1"/>
    </xf>
    <xf numFmtId="165" fontId="65" fillId="0" borderId="32" xfId="773" applyNumberFormat="1" applyFont="1" applyBorder="1" applyAlignment="1">
      <alignment horizontal="center" vertical="center" wrapText="1"/>
    </xf>
    <xf numFmtId="165" fontId="51" fillId="5" borderId="22" xfId="773" applyNumberFormat="1" applyFont="1" applyFill="1" applyBorder="1" applyAlignment="1">
      <alignment horizontal="center" vertical="center" wrapText="1"/>
    </xf>
    <xf numFmtId="165" fontId="51" fillId="5" borderId="0" xfId="773" applyNumberFormat="1" applyFont="1" applyFill="1" applyAlignment="1">
      <alignment horizontal="center" vertical="center" wrapText="1"/>
    </xf>
    <xf numFmtId="165" fontId="51" fillId="5" borderId="23" xfId="773" applyNumberFormat="1" applyFont="1" applyFill="1" applyBorder="1" applyAlignment="1">
      <alignment horizontal="center" vertical="center" wrapText="1"/>
    </xf>
    <xf numFmtId="165" fontId="51" fillId="5" borderId="29" xfId="773" applyNumberFormat="1" applyFont="1" applyFill="1" applyBorder="1" applyAlignment="1">
      <alignment horizontal="center" vertical="center" wrapText="1"/>
    </xf>
    <xf numFmtId="0" fontId="62" fillId="5" borderId="22" xfId="773" applyFont="1" applyFill="1" applyBorder="1" applyAlignment="1">
      <alignment horizontal="center" vertical="center" textRotation="90" wrapText="1"/>
    </xf>
    <xf numFmtId="1" fontId="86" fillId="0" borderId="31" xfId="0" applyNumberFormat="1" applyFont="1" applyBorder="1" applyAlignment="1">
      <alignment horizontal="center" vertical="center" wrapText="1"/>
    </xf>
    <xf numFmtId="1" fontId="86" fillId="0" borderId="53" xfId="0" applyNumberFormat="1" applyFont="1" applyBorder="1" applyAlignment="1">
      <alignment horizontal="center" vertical="center" wrapText="1"/>
    </xf>
    <xf numFmtId="1" fontId="86" fillId="16" borderId="53" xfId="0" applyNumberFormat="1" applyFont="1" applyFill="1" applyBorder="1" applyAlignment="1">
      <alignment horizontal="center" vertical="center" wrapText="1"/>
    </xf>
    <xf numFmtId="1" fontId="87" fillId="5" borderId="26" xfId="0" applyNumberFormat="1" applyFont="1" applyFill="1" applyBorder="1" applyAlignment="1">
      <alignment horizontal="center" vertical="center" wrapText="1"/>
    </xf>
    <xf numFmtId="1" fontId="87" fillId="16" borderId="26" xfId="0" applyNumberFormat="1" applyFont="1" applyFill="1" applyBorder="1" applyAlignment="1">
      <alignment horizontal="center" vertical="center" wrapText="1"/>
    </xf>
    <xf numFmtId="1" fontId="87" fillId="5" borderId="29" xfId="0" applyNumberFormat="1" applyFont="1" applyFill="1" applyBorder="1" applyAlignment="1">
      <alignment horizontal="center" vertical="center" wrapText="1"/>
    </xf>
    <xf numFmtId="1" fontId="87" fillId="16" borderId="29" xfId="0" applyNumberFormat="1" applyFont="1" applyFill="1" applyBorder="1" applyAlignment="1">
      <alignment horizontal="center" vertical="center" wrapText="1"/>
    </xf>
    <xf numFmtId="0" fontId="62" fillId="5" borderId="41" xfId="773" applyFont="1" applyFill="1" applyBorder="1" applyAlignment="1">
      <alignment horizontal="center" vertical="center" textRotation="90" wrapText="1"/>
    </xf>
    <xf numFmtId="0" fontId="62" fillId="5" borderId="42" xfId="773" applyFont="1" applyFill="1" applyBorder="1" applyAlignment="1">
      <alignment horizontal="center" vertical="center" textRotation="90" wrapText="1"/>
    </xf>
    <xf numFmtId="165" fontId="35" fillId="0" borderId="22" xfId="0" applyNumberFormat="1" applyFont="1" applyBorder="1" applyAlignment="1">
      <alignment horizontal="center" vertical="center" wrapText="1"/>
    </xf>
    <xf numFmtId="165" fontId="35" fillId="0" borderId="0" xfId="0" applyNumberFormat="1" applyFont="1" applyAlignment="1">
      <alignment horizontal="center" vertical="center" wrapText="1"/>
    </xf>
    <xf numFmtId="165" fontId="35" fillId="0" borderId="28" xfId="0" applyNumberFormat="1" applyFont="1" applyBorder="1" applyAlignment="1">
      <alignment horizontal="center" vertical="center" wrapText="1"/>
    </xf>
    <xf numFmtId="165" fontId="36" fillId="5" borderId="22" xfId="0" applyNumberFormat="1" applyFont="1" applyFill="1" applyBorder="1" applyAlignment="1">
      <alignment horizontal="center" vertical="center" wrapText="1"/>
    </xf>
    <xf numFmtId="165" fontId="36" fillId="5" borderId="0" xfId="0" applyNumberFormat="1" applyFont="1" applyFill="1" applyAlignment="1">
      <alignment horizontal="center" vertical="center" wrapText="1"/>
    </xf>
    <xf numFmtId="165" fontId="36" fillId="5" borderId="32" xfId="0" applyNumberFormat="1" applyFont="1" applyFill="1" applyBorder="1" applyAlignment="1">
      <alignment horizontal="center" vertical="center" wrapText="1"/>
    </xf>
    <xf numFmtId="165" fontId="36" fillId="5" borderId="0" xfId="0" applyNumberFormat="1" applyFont="1" applyFill="1" applyAlignment="1">
      <alignment horizontal="center" vertical="center" textRotation="90" wrapText="1"/>
    </xf>
    <xf numFmtId="1" fontId="36" fillId="5" borderId="37" xfId="767" applyNumberFormat="1" applyFont="1" applyFill="1" applyBorder="1" applyAlignment="1">
      <alignment horizontal="center" vertical="center" wrapText="1"/>
    </xf>
    <xf numFmtId="1" fontId="36" fillId="5" borderId="0" xfId="767" applyNumberFormat="1" applyFont="1" applyFill="1" applyAlignment="1">
      <alignment horizontal="center" vertical="center" wrapText="1"/>
    </xf>
    <xf numFmtId="1" fontId="36" fillId="5" borderId="64" xfId="767" applyNumberFormat="1" applyFont="1" applyFill="1" applyBorder="1" applyAlignment="1">
      <alignment horizontal="center" vertical="center" wrapText="1"/>
    </xf>
    <xf numFmtId="1" fontId="36" fillId="5" borderId="29" xfId="767" applyNumberFormat="1" applyFont="1" applyFill="1" applyBorder="1" applyAlignment="1">
      <alignment horizontal="center" vertical="center" wrapText="1"/>
    </xf>
    <xf numFmtId="1" fontId="35" fillId="0" borderId="1" xfId="767" applyNumberFormat="1" applyFont="1" applyBorder="1" applyAlignment="1">
      <alignment horizontal="center" vertical="center" wrapText="1"/>
    </xf>
    <xf numFmtId="0" fontId="55" fillId="0" borderId="1" xfId="771" applyFont="1" applyBorder="1" applyAlignment="1">
      <alignment horizontal="center" vertical="center" wrapText="1"/>
    </xf>
    <xf numFmtId="0" fontId="58" fillId="5" borderId="0" xfId="771" applyFont="1" applyFill="1" applyAlignment="1">
      <alignment horizontal="center" vertical="center" wrapText="1"/>
    </xf>
    <xf numFmtId="0" fontId="58" fillId="5" borderId="29" xfId="771" applyFont="1" applyFill="1" applyBorder="1" applyAlignment="1">
      <alignment horizontal="center" vertical="center" wrapText="1"/>
    </xf>
    <xf numFmtId="0" fontId="58" fillId="5" borderId="27" xfId="771" applyFont="1" applyFill="1" applyBorder="1" applyAlignment="1">
      <alignment horizontal="center" vertical="center" textRotation="90"/>
    </xf>
    <xf numFmtId="0" fontId="58" fillId="5" borderId="28" xfId="771" applyFont="1" applyFill="1" applyBorder="1" applyAlignment="1">
      <alignment horizontal="center" vertical="center" textRotation="90"/>
    </xf>
    <xf numFmtId="0" fontId="58" fillId="5" borderId="67" xfId="771" applyFont="1" applyFill="1" applyBorder="1" applyAlignment="1">
      <alignment horizontal="center" vertical="center" textRotation="90"/>
    </xf>
    <xf numFmtId="1" fontId="58" fillId="5" borderId="38" xfId="763" applyNumberFormat="1" applyFont="1" applyFill="1" applyBorder="1" applyAlignment="1">
      <alignment horizontal="center" vertical="center" textRotation="90"/>
    </xf>
    <xf numFmtId="1" fontId="58" fillId="5" borderId="1" xfId="763" applyNumberFormat="1" applyFont="1" applyFill="1" applyBorder="1" applyAlignment="1">
      <alignment horizontal="center" vertical="center" textRotation="90"/>
    </xf>
    <xf numFmtId="1" fontId="58" fillId="5" borderId="8" xfId="771" applyNumberFormat="1" applyFont="1" applyFill="1" applyBorder="1" applyAlignment="1">
      <alignment horizontal="center" vertical="center" textRotation="90"/>
    </xf>
    <xf numFmtId="1" fontId="58" fillId="5" borderId="10" xfId="771" applyNumberFormat="1" applyFont="1" applyFill="1" applyBorder="1" applyAlignment="1">
      <alignment horizontal="center" vertical="center" textRotation="90"/>
    </xf>
    <xf numFmtId="0" fontId="58" fillId="5" borderId="46" xfId="771" applyFont="1" applyFill="1" applyBorder="1" applyAlignment="1">
      <alignment horizontal="center" vertical="center" wrapText="1"/>
    </xf>
    <xf numFmtId="0" fontId="58" fillId="5" borderId="60" xfId="771" applyFont="1" applyFill="1" applyBorder="1" applyAlignment="1">
      <alignment horizontal="center" vertical="center" wrapText="1"/>
    </xf>
    <xf numFmtId="0" fontId="58" fillId="5" borderId="61" xfId="771" applyFont="1" applyFill="1" applyBorder="1" applyAlignment="1">
      <alignment horizontal="center" vertical="center" wrapText="1"/>
    </xf>
    <xf numFmtId="0" fontId="58" fillId="5" borderId="45" xfId="771" applyFont="1" applyFill="1" applyBorder="1" applyAlignment="1">
      <alignment horizontal="center" vertical="center" wrapText="1"/>
    </xf>
    <xf numFmtId="0" fontId="58" fillId="5" borderId="3" xfId="771" applyFont="1" applyFill="1" applyBorder="1" applyAlignment="1">
      <alignment horizontal="center" vertical="center" wrapText="1"/>
    </xf>
    <xf numFmtId="0" fontId="58" fillId="5" borderId="59" xfId="771" applyFont="1" applyFill="1" applyBorder="1" applyAlignment="1">
      <alignment horizontal="center" vertical="center" wrapText="1"/>
    </xf>
    <xf numFmtId="0" fontId="58" fillId="5" borderId="32" xfId="771" applyFont="1" applyFill="1" applyBorder="1" applyAlignment="1">
      <alignment horizontal="center" vertical="center" wrapText="1"/>
    </xf>
    <xf numFmtId="1" fontId="37" fillId="5" borderId="0" xfId="0" applyNumberFormat="1" applyFont="1" applyFill="1" applyAlignment="1">
      <alignment horizontal="center" vertical="center" wrapText="1"/>
    </xf>
    <xf numFmtId="1" fontId="37" fillId="5" borderId="29" xfId="0" applyNumberFormat="1" applyFont="1" applyFill="1" applyBorder="1" applyAlignment="1">
      <alignment horizontal="center" vertical="center" wrapText="1"/>
    </xf>
    <xf numFmtId="1" fontId="37" fillId="3" borderId="26" xfId="0" applyNumberFormat="1" applyFont="1" applyFill="1" applyBorder="1" applyAlignment="1">
      <alignment horizontal="center" vertical="center" wrapText="1"/>
    </xf>
    <xf numFmtId="1" fontId="37" fillId="3" borderId="29" xfId="0" applyNumberFormat="1" applyFont="1" applyFill="1" applyBorder="1" applyAlignment="1">
      <alignment horizontal="center" vertical="center" wrapText="1"/>
    </xf>
    <xf numFmtId="1" fontId="36" fillId="5" borderId="26" xfId="0" applyNumberFormat="1" applyFont="1" applyFill="1" applyBorder="1" applyAlignment="1">
      <alignment horizontal="center" vertical="center" textRotation="90" wrapText="1"/>
    </xf>
    <xf numFmtId="1" fontId="36" fillId="5" borderId="0" xfId="0" applyNumberFormat="1" applyFont="1" applyFill="1" applyAlignment="1">
      <alignment horizontal="center" vertical="center" textRotation="90" wrapText="1"/>
    </xf>
    <xf numFmtId="1" fontId="35" fillId="0" borderId="21" xfId="0" applyNumberFormat="1" applyFont="1" applyBorder="1" applyAlignment="1">
      <alignment horizontal="center" vertical="center" wrapText="1"/>
    </xf>
    <xf numFmtId="1" fontId="35" fillId="0" borderId="26" xfId="0" applyNumberFormat="1" applyFont="1" applyBorder="1" applyAlignment="1">
      <alignment horizontal="center" vertical="center" wrapText="1"/>
    </xf>
    <xf numFmtId="1" fontId="35" fillId="0" borderId="27" xfId="0" applyNumberFormat="1" applyFont="1" applyBorder="1" applyAlignment="1">
      <alignment horizontal="center" vertical="center" wrapText="1"/>
    </xf>
    <xf numFmtId="1" fontId="35" fillId="0" borderId="22" xfId="0" applyNumberFormat="1" applyFont="1" applyBorder="1" applyAlignment="1">
      <alignment horizontal="center" vertical="center" wrapText="1"/>
    </xf>
    <xf numFmtId="1" fontId="35" fillId="0" borderId="28" xfId="0" applyNumberFormat="1" applyFont="1" applyBorder="1" applyAlignment="1">
      <alignment horizontal="center" vertical="center" wrapText="1"/>
    </xf>
    <xf numFmtId="1" fontId="35" fillId="0" borderId="23" xfId="0" applyNumberFormat="1" applyFont="1" applyBorder="1" applyAlignment="1">
      <alignment horizontal="center" vertical="center" wrapText="1"/>
    </xf>
    <xf numFmtId="1" fontId="35" fillId="0" borderId="29" xfId="0" applyNumberFormat="1" applyFont="1" applyBorder="1" applyAlignment="1">
      <alignment horizontal="center" vertical="center" wrapText="1"/>
    </xf>
    <xf numFmtId="1" fontId="35" fillId="0" borderId="30" xfId="0" applyNumberFormat="1" applyFont="1" applyBorder="1" applyAlignment="1">
      <alignment horizontal="center" vertical="center" wrapText="1"/>
    </xf>
    <xf numFmtId="0" fontId="53" fillId="16" borderId="26" xfId="770" applyFont="1" applyFill="1" applyBorder="1" applyAlignment="1">
      <alignment horizontal="center" vertical="center" wrapText="1"/>
    </xf>
    <xf numFmtId="1" fontId="53" fillId="0" borderId="26" xfId="770" applyNumberFormat="1" applyFont="1" applyBorder="1" applyAlignment="1">
      <alignment horizontal="center" vertical="center" wrapText="1"/>
    </xf>
    <xf numFmtId="0" fontId="53" fillId="16" borderId="0" xfId="770" applyFont="1" applyFill="1" applyAlignment="1">
      <alignment horizontal="center" vertical="center" wrapText="1"/>
    </xf>
    <xf numFmtId="1" fontId="53" fillId="0" borderId="0" xfId="770" applyNumberFormat="1" applyFont="1" applyAlignment="1">
      <alignment horizontal="center" vertical="center" wrapText="1"/>
    </xf>
    <xf numFmtId="0" fontId="53" fillId="16" borderId="29" xfId="770" applyFont="1" applyFill="1" applyBorder="1" applyAlignment="1">
      <alignment horizontal="center" vertical="center" wrapText="1"/>
    </xf>
    <xf numFmtId="1" fontId="53" fillId="0" borderId="29" xfId="770" applyNumberFormat="1" applyFont="1" applyBorder="1" applyAlignment="1">
      <alignment horizontal="center" vertical="center" wrapText="1"/>
    </xf>
    <xf numFmtId="0" fontId="51" fillId="16" borderId="0" xfId="770" applyFont="1" applyFill="1" applyAlignment="1">
      <alignment horizontal="center" vertical="center" wrapText="1"/>
    </xf>
    <xf numFmtId="1" fontId="51" fillId="5" borderId="0" xfId="770" applyNumberFormat="1" applyFont="1" applyFill="1" applyAlignment="1">
      <alignment horizontal="center" vertical="center" wrapText="1"/>
    </xf>
    <xf numFmtId="0" fontId="51" fillId="16" borderId="29" xfId="770" applyFont="1" applyFill="1" applyBorder="1" applyAlignment="1">
      <alignment horizontal="center" vertical="center" wrapText="1"/>
    </xf>
    <xf numFmtId="1" fontId="51" fillId="5" borderId="29" xfId="770" applyNumberFormat="1" applyFont="1" applyFill="1" applyBorder="1" applyAlignment="1">
      <alignment horizontal="center" vertical="center" wrapText="1"/>
    </xf>
    <xf numFmtId="1" fontId="36" fillId="5" borderId="50" xfId="0" applyNumberFormat="1" applyFont="1" applyFill="1" applyBorder="1" applyAlignment="1">
      <alignment horizontal="center" vertical="center" textRotation="90" wrapText="1"/>
    </xf>
    <xf numFmtId="1" fontId="36" fillId="5" borderId="51" xfId="0" applyNumberFormat="1" applyFont="1" applyFill="1" applyBorder="1" applyAlignment="1">
      <alignment horizontal="center" vertical="center" textRotation="90" wrapText="1"/>
    </xf>
    <xf numFmtId="1" fontId="36" fillId="5" borderId="66" xfId="0" applyNumberFormat="1" applyFont="1" applyFill="1" applyBorder="1" applyAlignment="1">
      <alignment horizontal="center" vertical="center" textRotation="90" wrapText="1"/>
    </xf>
    <xf numFmtId="1" fontId="36" fillId="5" borderId="57" xfId="0" applyNumberFormat="1" applyFont="1" applyFill="1" applyBorder="1" applyAlignment="1">
      <alignment horizontal="center" vertical="center" textRotation="90"/>
    </xf>
    <xf numFmtId="1" fontId="36" fillId="5" borderId="58" xfId="0" applyNumberFormat="1" applyFont="1" applyFill="1" applyBorder="1" applyAlignment="1">
      <alignment horizontal="center" vertical="center" textRotation="90"/>
    </xf>
    <xf numFmtId="1" fontId="38" fillId="5" borderId="29" xfId="0" applyNumberFormat="1" applyFont="1" applyFill="1" applyBorder="1" applyAlignment="1">
      <alignment horizontal="center" vertical="center"/>
    </xf>
    <xf numFmtId="1" fontId="36" fillId="5" borderId="1" xfId="0" applyNumberFormat="1" applyFont="1" applyFill="1" applyBorder="1" applyAlignment="1">
      <alignment horizontal="center" vertical="center"/>
    </xf>
    <xf numFmtId="1" fontId="36" fillId="5" borderId="3" xfId="0" applyNumberFormat="1" applyFont="1" applyFill="1" applyBorder="1" applyAlignment="1">
      <alignment horizontal="center" vertical="center" wrapText="1"/>
    </xf>
    <xf numFmtId="0" fontId="29" fillId="5" borderId="19" xfId="0" applyFont="1" applyFill="1" applyBorder="1" applyAlignment="1">
      <alignment horizontal="center" vertical="center" textRotation="90" wrapText="1"/>
    </xf>
    <xf numFmtId="0" fontId="29" fillId="5" borderId="20" xfId="0" applyFont="1" applyFill="1" applyBorder="1" applyAlignment="1">
      <alignment horizontal="center" vertical="center" textRotation="90" wrapText="1"/>
    </xf>
    <xf numFmtId="0" fontId="22" fillId="5" borderId="13" xfId="0" applyFont="1" applyFill="1" applyBorder="1" applyAlignment="1">
      <alignment horizontal="center" vertical="center" wrapText="1"/>
    </xf>
    <xf numFmtId="0" fontId="22" fillId="5" borderId="6" xfId="0" applyFont="1" applyFill="1" applyBorder="1" applyAlignment="1">
      <alignment horizontal="center" vertical="center" wrapText="1"/>
    </xf>
    <xf numFmtId="0" fontId="22" fillId="5" borderId="7" xfId="0" applyFont="1" applyFill="1" applyBorder="1" applyAlignment="1">
      <alignment horizontal="center" vertical="center" wrapText="1"/>
    </xf>
    <xf numFmtId="0" fontId="23" fillId="5" borderId="19"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23" fillId="5" borderId="9" xfId="0" applyFont="1" applyFill="1" applyBorder="1" applyAlignment="1">
      <alignment horizontal="center" vertical="center" wrapText="1"/>
    </xf>
    <xf numFmtId="0" fontId="19" fillId="0" borderId="21"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0" xfId="0" applyFont="1" applyAlignment="1">
      <alignment horizontal="center" vertical="center" wrapText="1"/>
    </xf>
    <xf numFmtId="0" fontId="19" fillId="0" borderId="28"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22" fillId="5" borderId="28" xfId="0" applyFont="1" applyFill="1" applyBorder="1" applyAlignment="1">
      <alignment horizontal="center" vertical="center" wrapText="1"/>
    </xf>
  </cellXfs>
  <cellStyles count="776">
    <cellStyle name="Followed Hyperlink" xfId="10" builtinId="9" hidden="1"/>
    <cellStyle name="Followed Hyperlink" xfId="391" builtinId="9" hidden="1"/>
    <cellStyle name="Followed Hyperlink" xfId="633" builtinId="9" hidden="1"/>
    <cellStyle name="Followed Hyperlink" xfId="498" builtinId="9" hidden="1"/>
    <cellStyle name="Followed Hyperlink" xfId="167" builtinId="9" hidden="1"/>
    <cellStyle name="Followed Hyperlink" xfId="155" builtinId="9" hidden="1"/>
    <cellStyle name="Followed Hyperlink" xfId="255" builtinId="9" hidden="1"/>
    <cellStyle name="Followed Hyperlink" xfId="403" builtinId="9" hidden="1"/>
    <cellStyle name="Followed Hyperlink" xfId="386" builtinId="9" hidden="1"/>
    <cellStyle name="Followed Hyperlink" xfId="612" builtinId="9" hidden="1"/>
    <cellStyle name="Followed Hyperlink" xfId="687" builtinId="9" hidden="1"/>
    <cellStyle name="Followed Hyperlink" xfId="428" builtinId="9" hidden="1"/>
    <cellStyle name="Followed Hyperlink" xfId="715" builtinId="9" hidden="1"/>
    <cellStyle name="Followed Hyperlink" xfId="329" builtinId="9" hidden="1"/>
    <cellStyle name="Followed Hyperlink" xfId="683" builtinId="9" hidden="1"/>
    <cellStyle name="Followed Hyperlink" xfId="171" builtinId="9" hidden="1"/>
    <cellStyle name="Followed Hyperlink" xfId="527" builtinId="9" hidden="1"/>
    <cellStyle name="Followed Hyperlink" xfId="310" builtinId="9" hidden="1"/>
    <cellStyle name="Followed Hyperlink" xfId="323" builtinId="9" hidden="1"/>
    <cellStyle name="Followed Hyperlink" xfId="727" builtinId="9" hidden="1"/>
    <cellStyle name="Followed Hyperlink" xfId="542" builtinId="9" hidden="1"/>
    <cellStyle name="Followed Hyperlink" xfId="181" builtinId="9" hidden="1"/>
    <cellStyle name="Followed Hyperlink" xfId="228" builtinId="9" hidden="1"/>
    <cellStyle name="Followed Hyperlink" xfId="190" builtinId="9" hidden="1"/>
    <cellStyle name="Followed Hyperlink" xfId="471" builtinId="9" hidden="1"/>
    <cellStyle name="Followed Hyperlink" xfId="4" builtinId="9" hidden="1"/>
    <cellStyle name="Followed Hyperlink" xfId="410" builtinId="9" hidden="1"/>
    <cellStyle name="Followed Hyperlink" xfId="631" builtinId="9" hidden="1"/>
    <cellStyle name="Followed Hyperlink" xfId="455" builtinId="9" hidden="1"/>
    <cellStyle name="Followed Hyperlink" xfId="440" builtinId="9" hidden="1"/>
    <cellStyle name="Followed Hyperlink" xfId="596" builtinId="9" hidden="1"/>
    <cellStyle name="Followed Hyperlink" xfId="459" builtinId="9" hidden="1"/>
    <cellStyle name="Followed Hyperlink" xfId="451" builtinId="9" hidden="1"/>
    <cellStyle name="Followed Hyperlink" xfId="88" builtinId="9" hidden="1"/>
    <cellStyle name="Followed Hyperlink" xfId="98" builtinId="9" hidden="1"/>
    <cellStyle name="Followed Hyperlink" xfId="689" builtinId="9" hidden="1"/>
    <cellStyle name="Followed Hyperlink" xfId="290" builtinId="9" hidden="1"/>
    <cellStyle name="Followed Hyperlink" xfId="210" builtinId="9" hidden="1"/>
    <cellStyle name="Followed Hyperlink" xfId="380" builtinId="9" hidden="1"/>
    <cellStyle name="Followed Hyperlink" xfId="485" builtinId="9" hidden="1"/>
    <cellStyle name="Followed Hyperlink" xfId="497" builtinId="9" hidden="1"/>
    <cellStyle name="Followed Hyperlink" xfId="395" builtinId="9" hidden="1"/>
    <cellStyle name="Followed Hyperlink" xfId="598" builtinId="9" hidden="1"/>
    <cellStyle name="Followed Hyperlink" xfId="374" builtinId="9" hidden="1"/>
    <cellStyle name="Followed Hyperlink" xfId="304" builtinId="9" hidden="1"/>
    <cellStyle name="Followed Hyperlink" xfId="570" builtinId="9" hidden="1"/>
    <cellStyle name="Followed Hyperlink" xfId="554" builtinId="9" hidden="1"/>
    <cellStyle name="Followed Hyperlink" xfId="664" builtinId="9" hidden="1"/>
    <cellStyle name="Followed Hyperlink" xfId="758" builtinId="9" hidden="1"/>
    <cellStyle name="Followed Hyperlink" xfId="705" builtinId="9" hidden="1"/>
    <cellStyle name="Followed Hyperlink" xfId="361" builtinId="9" hidden="1"/>
    <cellStyle name="Followed Hyperlink" xfId="253" builtinId="9" hidden="1"/>
    <cellStyle name="Followed Hyperlink" xfId="331" builtinId="9" hidden="1"/>
    <cellStyle name="Followed Hyperlink" xfId="94" builtinId="9" hidden="1"/>
    <cellStyle name="Followed Hyperlink" xfId="750" builtinId="9" hidden="1"/>
    <cellStyle name="Followed Hyperlink" xfId="623" builtinId="9" hidden="1"/>
    <cellStyle name="Followed Hyperlink" xfId="546" builtinId="9" hidden="1"/>
    <cellStyle name="Followed Hyperlink" xfId="45" builtinId="9" hidden="1"/>
    <cellStyle name="Followed Hyperlink" xfId="113" builtinId="9" hidden="1"/>
    <cellStyle name="Followed Hyperlink" xfId="707" builtinId="9" hidden="1"/>
    <cellStyle name="Followed Hyperlink" xfId="194" builtinId="9" hidden="1"/>
    <cellStyle name="Followed Hyperlink" xfId="102" builtinId="9" hidden="1"/>
    <cellStyle name="Followed Hyperlink" xfId="257" builtinId="9" hidden="1"/>
    <cellStyle name="Followed Hyperlink" xfId="399" builtinId="9" hidden="1"/>
    <cellStyle name="Followed Hyperlink" xfId="179" builtinId="9" hidden="1"/>
    <cellStyle name="Followed Hyperlink" xfId="418" builtinId="9" hidden="1"/>
    <cellStyle name="Followed Hyperlink" xfId="620" builtinId="9" hidden="1"/>
    <cellStyle name="Followed Hyperlink" xfId="670" builtinId="9" hidden="1"/>
    <cellStyle name="Followed Hyperlink" xfId="737" builtinId="9" hidden="1"/>
    <cellStyle name="Followed Hyperlink" xfId="695" builtinId="9" hidden="1"/>
    <cellStyle name="Followed Hyperlink" xfId="719" builtinId="9" hidden="1"/>
    <cellStyle name="Followed Hyperlink" xfId="62" builtinId="9" hidden="1"/>
    <cellStyle name="Followed Hyperlink" xfId="590" builtinId="9" hidden="1"/>
    <cellStyle name="Followed Hyperlink" xfId="389" builtinId="9" hidden="1"/>
    <cellStyle name="Followed Hyperlink" xfId="500" builtinId="9" hidden="1"/>
    <cellStyle name="Followed Hyperlink" xfId="420" builtinId="9" hidden="1"/>
    <cellStyle name="Followed Hyperlink" xfId="35" builtinId="9" hidden="1"/>
    <cellStyle name="Followed Hyperlink" xfId="514" builtinId="9" hidden="1"/>
    <cellStyle name="Followed Hyperlink" xfId="540" builtinId="9" hidden="1"/>
    <cellStyle name="Followed Hyperlink" xfId="438" builtinId="9" hidden="1"/>
    <cellStyle name="Followed Hyperlink" xfId="510" builtinId="9" hidden="1"/>
    <cellStyle name="Followed Hyperlink" xfId="538" builtinId="9" hidden="1"/>
    <cellStyle name="Followed Hyperlink" xfId="642" builtinId="9" hidden="1"/>
    <cellStyle name="Followed Hyperlink" xfId="76" builtinId="9" hidden="1"/>
    <cellStyle name="Followed Hyperlink" xfId="445" builtinId="9" hidden="1"/>
    <cellStyle name="Followed Hyperlink" xfId="652" builtinId="9" hidden="1"/>
    <cellStyle name="Followed Hyperlink" xfId="327" builtinId="9" hidden="1"/>
    <cellStyle name="Followed Hyperlink" xfId="214" builtinId="9" hidden="1"/>
    <cellStyle name="Followed Hyperlink" xfId="363" builtinId="9" hidden="1"/>
    <cellStyle name="Followed Hyperlink" xfId="572" builtinId="9" hidden="1"/>
    <cellStyle name="Followed Hyperlink" xfId="697" builtinId="9" hidden="1"/>
    <cellStyle name="Followed Hyperlink" xfId="600" builtinId="9" hidden="1"/>
    <cellStyle name="Followed Hyperlink" xfId="271" builtinId="9" hidden="1"/>
    <cellStyle name="Followed Hyperlink" xfId="286" builtinId="9" hidden="1"/>
    <cellStyle name="Followed Hyperlink" xfId="406" builtinId="9" hidden="1"/>
    <cellStyle name="Followed Hyperlink" xfId="564" builtinId="9" hidden="1"/>
    <cellStyle name="Followed Hyperlink" xfId="436" builtinId="9" hidden="1"/>
    <cellStyle name="Followed Hyperlink" xfId="580" builtinId="9" hidden="1"/>
    <cellStyle name="Followed Hyperlink" xfId="119" builtinId="9" hidden="1"/>
    <cellStyle name="Followed Hyperlink" xfId="240" builtinId="9" hidden="1"/>
    <cellStyle name="Followed Hyperlink" xfId="357" builtinId="9" hidden="1"/>
    <cellStyle name="Followed Hyperlink" xfId="259" builtinId="9" hidden="1"/>
    <cellStyle name="Followed Hyperlink" xfId="426" builtinId="9" hidden="1"/>
    <cellStyle name="Followed Hyperlink" xfId="90" builtinId="9" hidden="1"/>
    <cellStyle name="Followed Hyperlink" xfId="365" builtinId="9" hidden="1"/>
    <cellStyle name="Followed Hyperlink" xfId="637" builtinId="9" hidden="1"/>
    <cellStyle name="Followed Hyperlink" xfId="465" builtinId="9" hidden="1"/>
    <cellStyle name="Followed Hyperlink" xfId="479" builtinId="9" hidden="1"/>
    <cellStyle name="Followed Hyperlink" xfId="140" builtinId="9" hidden="1"/>
    <cellStyle name="Followed Hyperlink" xfId="717" builtinId="9" hidden="1"/>
    <cellStyle name="Followed Hyperlink" xfId="654" builtinId="9" hidden="1"/>
    <cellStyle name="Followed Hyperlink" xfId="512" builtinId="9" hidden="1"/>
    <cellStyle name="Followed Hyperlink" xfId="312" builtinId="9" hidden="1"/>
    <cellStyle name="Followed Hyperlink" xfId="489" builtinId="9" hidden="1"/>
    <cellStyle name="Followed Hyperlink" xfId="108" builtinId="9" hidden="1"/>
    <cellStyle name="Followed Hyperlink" xfId="681" builtinId="9" hidden="1"/>
    <cellStyle name="Followed Hyperlink" xfId="746" builtinId="9" hidden="1"/>
    <cellStyle name="Followed Hyperlink" xfId="282" builtinId="9" hidden="1"/>
    <cellStyle name="Followed Hyperlink" xfId="475" builtinId="9" hidden="1"/>
    <cellStyle name="Followed Hyperlink" xfId="729" builtinId="9" hidden="1"/>
    <cellStyle name="Followed Hyperlink" xfId="177" builtinId="9" hidden="1"/>
    <cellStyle name="Followed Hyperlink" xfId="658" builtinId="9" hidden="1"/>
    <cellStyle name="Followed Hyperlink" xfId="55" builtinId="9" hidden="1"/>
    <cellStyle name="Followed Hyperlink" xfId="341" builtinId="9" hidden="1"/>
    <cellStyle name="Followed Hyperlink" xfId="80" builtinId="9" hidden="1"/>
    <cellStyle name="Followed Hyperlink" xfId="372" builtinId="9" hidden="1"/>
    <cellStyle name="Followed Hyperlink" xfId="739" builtinId="9" hidden="1"/>
    <cellStyle name="Followed Hyperlink" xfId="138" builtinId="9" hidden="1"/>
    <cellStyle name="Followed Hyperlink" xfId="110" builtinId="9" hidden="1"/>
    <cellStyle name="Followed Hyperlink" xfId="8" builtinId="9" hidden="1"/>
    <cellStyle name="Followed Hyperlink" xfId="483" builtinId="9" hidden="1"/>
    <cellStyle name="Followed Hyperlink" xfId="29" builtinId="9" hidden="1"/>
    <cellStyle name="Followed Hyperlink" xfId="314" builtinId="9" hidden="1"/>
    <cellStyle name="Followed Hyperlink" xfId="756" builtinId="9" hidden="1"/>
    <cellStyle name="Followed Hyperlink" xfId="296" builtinId="9" hidden="1"/>
    <cellStyle name="Followed Hyperlink" xfId="566" builtinId="9" hidden="1"/>
    <cellStyle name="Followed Hyperlink" xfId="449" builtinId="9" hidden="1"/>
    <cellStyle name="Followed Hyperlink" xfId="711" builtinId="9" hidden="1"/>
    <cellStyle name="Followed Hyperlink" xfId="249" builtinId="9" hidden="1"/>
    <cellStyle name="Followed Hyperlink" xfId="251" builtinId="9" hidden="1"/>
    <cellStyle name="Followed Hyperlink" xfId="232" builtinId="9" hidden="1"/>
    <cellStyle name="Followed Hyperlink" xfId="18" builtinId="9" hidden="1"/>
    <cellStyle name="Followed Hyperlink" xfId="43" builtinId="9" hidden="1"/>
    <cellStyle name="Followed Hyperlink" xfId="230" builtinId="9" hidden="1"/>
    <cellStyle name="Followed Hyperlink" xfId="625" builtinId="9" hidden="1"/>
    <cellStyle name="Followed Hyperlink" xfId="384" builtinId="9" hidden="1"/>
    <cellStyle name="Followed Hyperlink" xfId="606" builtinId="9" hidden="1"/>
    <cellStyle name="Followed Hyperlink" xfId="153" builtinId="9" hidden="1"/>
    <cellStyle name="Followed Hyperlink" xfId="735" builtinId="9" hidden="1"/>
    <cellStyle name="Followed Hyperlink" xfId="292" builtinId="9" hidden="1"/>
    <cellStyle name="Followed Hyperlink" xfId="204" builtinId="9" hidden="1"/>
    <cellStyle name="Followed Hyperlink" xfId="33" builtinId="9" hidden="1"/>
    <cellStyle name="Followed Hyperlink" xfId="144" builtinId="9" hidden="1"/>
    <cellStyle name="Followed Hyperlink" xfId="447" builtinId="9" hidden="1"/>
    <cellStyle name="Followed Hyperlink" xfId="495" builtinId="9" hidden="1"/>
    <cellStyle name="Followed Hyperlink" xfId="267" builtinId="9" hidden="1"/>
    <cellStyle name="Followed Hyperlink" xfId="66" builtinId="9" hidden="1"/>
    <cellStyle name="Followed Hyperlink" xfId="574" builtinId="9" hidden="1"/>
    <cellStyle name="Followed Hyperlink" xfId="721" builtinId="9" hidden="1"/>
    <cellStyle name="Followed Hyperlink" xfId="672" builtinId="9" hidden="1"/>
    <cellStyle name="Followed Hyperlink" xfId="506" builtinId="9" hidden="1"/>
    <cellStyle name="Followed Hyperlink" xfId="416" builtinId="9" hidden="1"/>
    <cellStyle name="Followed Hyperlink" xfId="359" builtinId="9" hidden="1"/>
    <cellStyle name="Followed Hyperlink" xfId="639" builtinId="9" hidden="1"/>
    <cellStyle name="Followed Hyperlink" xfId="68" builtinId="9" hidden="1"/>
    <cellStyle name="Followed Hyperlink" xfId="238" builtinId="9" hidden="1"/>
    <cellStyle name="Followed Hyperlink" xfId="31" builtinId="9" hidden="1"/>
    <cellStyle name="Followed Hyperlink" xfId="125" builtinId="9" hidden="1"/>
    <cellStyle name="Followed Hyperlink" xfId="408" builtinId="9" hidden="1"/>
    <cellStyle name="Followed Hyperlink" xfId="49" builtinId="9" hidden="1"/>
    <cellStyle name="Followed Hyperlink" xfId="14" builtinId="9" hidden="1"/>
    <cellStyle name="Followed Hyperlink" xfId="78" builtinId="9" hidden="1"/>
    <cellStyle name="Followed Hyperlink" xfId="367" builtinId="9" hidden="1"/>
    <cellStyle name="Followed Hyperlink" xfId="51" builtinId="9" hidden="1"/>
    <cellStyle name="Followed Hyperlink" xfId="112" builtinId="9" hidden="1"/>
    <cellStyle name="Followed Hyperlink" xfId="187" builtinId="9" hidden="1"/>
    <cellStyle name="Followed Hyperlink" xfId="648" builtinId="9" hidden="1"/>
    <cellStyle name="Followed Hyperlink" xfId="300" builtinId="9" hidden="1"/>
    <cellStyle name="Followed Hyperlink" xfId="582" builtinId="9" hidden="1"/>
    <cellStyle name="Followed Hyperlink" xfId="693" builtinId="9" hidden="1"/>
    <cellStyle name="Followed Hyperlink" xfId="192" builtinId="9" hidden="1"/>
    <cellStyle name="Followed Hyperlink" xfId="481" builtinId="9" hidden="1"/>
    <cellStyle name="Followed Hyperlink" xfId="525" builtinId="9" hidden="1"/>
    <cellStyle name="Followed Hyperlink" xfId="635" builtinId="9" hidden="1"/>
    <cellStyle name="Followed Hyperlink" xfId="414" builtinId="9" hidden="1"/>
    <cellStyle name="Followed Hyperlink" xfId="136" builtinId="9" hidden="1"/>
    <cellStyle name="Followed Hyperlink" xfId="86" builtinId="9" hidden="1"/>
    <cellStyle name="Followed Hyperlink" xfId="453" builtinId="9" hidden="1"/>
    <cellStyle name="Followed Hyperlink" xfId="234" builtinId="9" hidden="1"/>
    <cellStyle name="Followed Hyperlink" xfId="393" builtinId="9" hidden="1"/>
    <cellStyle name="Followed Hyperlink" xfId="245" builtinId="9" hidden="1"/>
    <cellStyle name="Followed Hyperlink" xfId="604" builtinId="9" hidden="1"/>
    <cellStyle name="Followed Hyperlink" xfId="92" builtinId="9" hidden="1"/>
    <cellStyle name="Followed Hyperlink" xfId="461" builtinId="9" hidden="1"/>
    <cellStyle name="Followed Hyperlink" xfId="142" builtinId="9" hidden="1"/>
    <cellStyle name="Followed Hyperlink" xfId="397" builtinId="9" hidden="1"/>
    <cellStyle name="Followed Hyperlink" xfId="275" builtinId="9" hidden="1"/>
    <cellStyle name="Followed Hyperlink" xfId="185" builtinId="9" hidden="1"/>
    <cellStyle name="Followed Hyperlink" xfId="134" builtinId="9" hidden="1"/>
    <cellStyle name="Followed Hyperlink" xfId="216" builtinId="9" hidden="1"/>
    <cellStyle name="Followed Hyperlink" xfId="618" builtinId="9" hidden="1"/>
    <cellStyle name="Followed Hyperlink" xfId="592" builtinId="9" hidden="1"/>
    <cellStyle name="Followed Hyperlink" xfId="668" builtinId="9" hidden="1"/>
    <cellStyle name="Followed Hyperlink" xfId="163" builtinId="9" hidden="1"/>
    <cellStyle name="Followed Hyperlink" xfId="473" builtinId="9" hidden="1"/>
    <cellStyle name="Followed Hyperlink" xfId="703" builtinId="9" hidden="1"/>
    <cellStyle name="Followed Hyperlink" xfId="60" builtinId="9" hidden="1"/>
    <cellStyle name="Followed Hyperlink" xfId="487" builtinId="9" hidden="1"/>
    <cellStyle name="Followed Hyperlink" xfId="117" builtinId="9" hidden="1"/>
    <cellStyle name="Followed Hyperlink" xfId="752" builtinId="9" hidden="1"/>
    <cellStyle name="Followed Hyperlink" xfId="72" builtinId="9" hidden="1"/>
    <cellStyle name="Followed Hyperlink" xfId="337" builtinId="9" hidden="1"/>
    <cellStyle name="Followed Hyperlink" xfId="568" builtinId="9" hidden="1"/>
    <cellStyle name="Followed Hyperlink" xfId="74" builtinId="9" hidden="1"/>
    <cellStyle name="Followed Hyperlink" xfId="25" builtinId="9" hidden="1"/>
    <cellStyle name="Followed Hyperlink" xfId="277" builtinId="9" hidden="1"/>
    <cellStyle name="Followed Hyperlink" xfId="382" builtinId="9" hidden="1"/>
    <cellStyle name="Followed Hyperlink" xfId="602" builtinId="9" hidden="1"/>
    <cellStyle name="Followed Hyperlink" xfId="699" builtinId="9" hidden="1"/>
    <cellStyle name="Followed Hyperlink" xfId="629" builtinId="9" hidden="1"/>
    <cellStyle name="Followed Hyperlink" xfId="157" builtinId="9" hidden="1"/>
    <cellStyle name="Followed Hyperlink" xfId="660" builtinId="9" hidden="1"/>
    <cellStyle name="Followed Hyperlink" xfId="369" builtinId="9" hidden="1"/>
    <cellStyle name="Followed Hyperlink" xfId="353" builtinId="9" hidden="1"/>
    <cellStyle name="Followed Hyperlink" xfId="743" builtinId="9" hidden="1"/>
    <cellStyle name="Followed Hyperlink" xfId="608" builtinId="9" hidden="1"/>
    <cellStyle name="Followed Hyperlink" xfId="502" builtinId="9" hidden="1"/>
    <cellStyle name="Followed Hyperlink" xfId="321" builtinId="9" hidden="1"/>
    <cellStyle name="Followed Hyperlink" xfId="432" builtinId="9" hidden="1"/>
    <cellStyle name="Followed Hyperlink" xfId="306" builtinId="9" hidden="1"/>
    <cellStyle name="Followed Hyperlink" xfId="308" builtinId="9" hidden="1"/>
    <cellStyle name="Followed Hyperlink" xfId="536" builtinId="9" hidden="1"/>
    <cellStyle name="Followed Hyperlink" xfId="376" builtinId="9" hidden="1"/>
    <cellStyle name="Followed Hyperlink" xfId="762" builtinId="9" hidden="1"/>
    <cellStyle name="Followed Hyperlink" xfId="388" builtinId="9" hidden="1"/>
    <cellStyle name="Followed Hyperlink" xfId="578" builtinId="9" hidden="1"/>
    <cellStyle name="Followed Hyperlink" xfId="463" builtinId="9" hidden="1"/>
    <cellStyle name="Followed Hyperlink" xfId="627" builtinId="9" hidden="1"/>
    <cellStyle name="Followed Hyperlink" xfId="263" builtinId="9" hidden="1"/>
    <cellStyle name="Followed Hyperlink" xfId="243" builtinId="9" hidden="1"/>
    <cellStyle name="Followed Hyperlink" xfId="16" builtinId="9" hidden="1"/>
    <cellStyle name="Followed Hyperlink" xfId="748" builtinId="9" hidden="1"/>
    <cellStyle name="Followed Hyperlink" xfId="100" builtinId="9" hidden="1"/>
    <cellStyle name="Followed Hyperlink" xfId="202" builtinId="9" hidden="1"/>
    <cellStyle name="Followed Hyperlink" xfId="544" builtinId="9" hidden="1"/>
    <cellStyle name="Followed Hyperlink" xfId="552" builtinId="9" hidden="1"/>
    <cellStyle name="Followed Hyperlink" xfId="586" builtinId="9" hidden="1"/>
    <cellStyle name="Followed Hyperlink" xfId="521" builtinId="9" hidden="1"/>
    <cellStyle name="Followed Hyperlink" xfId="222" builtinId="9" hidden="1"/>
    <cellStyle name="Followed Hyperlink" xfId="347" builtinId="9" hidden="1"/>
    <cellStyle name="Followed Hyperlink" xfId="556" builtinId="9" hidden="1"/>
    <cellStyle name="Followed Hyperlink" xfId="47" builtinId="9" hidden="1"/>
    <cellStyle name="Followed Hyperlink" xfId="325" builtinId="9" hidden="1"/>
    <cellStyle name="Followed Hyperlink" xfId="159" builtinId="9" hidden="1"/>
    <cellStyle name="Followed Hyperlink" xfId="701" builtinId="9" hidden="1"/>
    <cellStyle name="Followed Hyperlink" xfId="457" builtinId="9" hidden="1"/>
    <cellStyle name="Followed Hyperlink" xfId="2" builtinId="9" hidden="1"/>
    <cellStyle name="Followed Hyperlink" xfId="675" builtinId="9" hidden="1"/>
    <cellStyle name="Followed Hyperlink" xfId="725" builtinId="9" hidden="1"/>
    <cellStyle name="Followed Hyperlink" xfId="504" builtinId="9" hidden="1"/>
    <cellStyle name="Followed Hyperlink" xfId="401" builtinId="9" hidden="1"/>
    <cellStyle name="Followed Hyperlink" xfId="280" builtinId="9" hidden="1"/>
    <cellStyle name="Followed Hyperlink" xfId="666" builtinId="9" hidden="1"/>
    <cellStyle name="Followed Hyperlink" xfId="106" builtinId="9" hidden="1"/>
    <cellStyle name="Followed Hyperlink" xfId="662" builtinId="9" hidden="1"/>
    <cellStyle name="Followed Hyperlink" xfId="12" builtinId="9" hidden="1"/>
    <cellStyle name="Followed Hyperlink" xfId="616" builtinId="9" hidden="1"/>
    <cellStyle name="Followed Hyperlink" xfId="622" builtinId="9" hidden="1"/>
    <cellStyle name="Followed Hyperlink" xfId="691" builtinId="9" hidden="1"/>
    <cellStyle name="Followed Hyperlink" xfId="529" builtinId="9" hidden="1"/>
    <cellStyle name="Followed Hyperlink" xfId="477" builtinId="9" hidden="1"/>
    <cellStyle name="Followed Hyperlink" xfId="64" builtinId="9" hidden="1"/>
    <cellStyle name="Followed Hyperlink" xfId="261" builtinId="9" hidden="1"/>
    <cellStyle name="Followed Hyperlink" xfId="412" builtinId="9" hidden="1"/>
    <cellStyle name="Followed Hyperlink" xfId="23" builtinId="9" hidden="1"/>
    <cellStyle name="Followed Hyperlink" xfId="151" builtinId="9" hidden="1"/>
    <cellStyle name="Followed Hyperlink" xfId="754" builtinId="9" hidden="1"/>
    <cellStyle name="Followed Hyperlink" xfId="175" builtinId="9" hidden="1"/>
    <cellStyle name="Followed Hyperlink" xfId="741" builtinId="9" hidden="1"/>
    <cellStyle name="Followed Hyperlink" xfId="731" builtinId="9" hidden="1"/>
    <cellStyle name="Followed Hyperlink" xfId="146" builtinId="9" hidden="1"/>
    <cellStyle name="Followed Hyperlink" xfId="224" builtinId="9" hidden="1"/>
    <cellStyle name="Followed Hyperlink" xfId="378" builtinId="9" hidden="1"/>
    <cellStyle name="Followed Hyperlink" xfId="733" builtinId="9" hidden="1"/>
    <cellStyle name="Followed Hyperlink" xfId="218" builtinId="9" hidden="1"/>
    <cellStyle name="Followed Hyperlink" xfId="41" builtinId="9" hidden="1"/>
    <cellStyle name="Followed Hyperlink" xfId="70" builtinId="9" hidden="1"/>
    <cellStyle name="Followed Hyperlink" xfId="343" builtinId="9" hidden="1"/>
    <cellStyle name="Followed Hyperlink" xfId="273" builtinId="9" hidden="1"/>
    <cellStyle name="Followed Hyperlink" xfId="284" builtinId="9" hidden="1"/>
    <cellStyle name="Followed Hyperlink" xfId="713" builtinId="9" hidden="1"/>
    <cellStyle name="Followed Hyperlink" xfId="84" builtinId="9" hidden="1"/>
    <cellStyle name="Followed Hyperlink" xfId="614" builtinId="9" hidden="1"/>
    <cellStyle name="Followed Hyperlink" xfId="404" builtinId="9" hidden="1"/>
    <cellStyle name="Followed Hyperlink" xfId="115" builtinId="9" hidden="1"/>
    <cellStyle name="Followed Hyperlink" xfId="123" builtinId="9" hidden="1"/>
    <cellStyle name="Followed Hyperlink" xfId="212" builtinId="9" hidden="1"/>
    <cellStyle name="Followed Hyperlink" xfId="679" builtinId="9" hidden="1"/>
    <cellStyle name="Followed Hyperlink" xfId="345" builtinId="9" hidden="1"/>
    <cellStyle name="Followed Hyperlink" xfId="6" builtinId="9" hidden="1"/>
    <cellStyle name="Followed Hyperlink" xfId="723" builtinId="9" hidden="1"/>
    <cellStyle name="Followed Hyperlink" xfId="646" builtinId="9" hidden="1"/>
    <cellStyle name="Followed Hyperlink" xfId="208" builtinId="9" hidden="1"/>
    <cellStyle name="Followed Hyperlink" xfId="349" builtinId="9" hidden="1"/>
    <cellStyle name="Followed Hyperlink" xfId="21" builtinId="9" hidden="1"/>
    <cellStyle name="Followed Hyperlink" xfId="584" builtinId="9" hidden="1"/>
    <cellStyle name="Followed Hyperlink" xfId="302" builtinId="9" hidden="1"/>
    <cellStyle name="Followed Hyperlink" xfId="37" builtinId="9" hidden="1"/>
    <cellStyle name="Followed Hyperlink" xfId="508" builtinId="9" hidden="1"/>
    <cellStyle name="Followed Hyperlink" xfId="558" builtinId="9" hidden="1"/>
    <cellStyle name="Followed Hyperlink" xfId="183" builtinId="9" hidden="1"/>
    <cellStyle name="Followed Hyperlink" xfId="562" builtinId="9" hidden="1"/>
    <cellStyle name="Followed Hyperlink" xfId="27" builtinId="9" hidden="1"/>
    <cellStyle name="Followed Hyperlink" xfId="519" builtinId="9" hidden="1"/>
    <cellStyle name="Followed Hyperlink" xfId="534" builtinId="9" hidden="1"/>
    <cellStyle name="Followed Hyperlink" xfId="104" builtinId="9" hidden="1"/>
    <cellStyle name="Followed Hyperlink" xfId="278" builtinId="9" hidden="1"/>
    <cellStyle name="Followed Hyperlink" xfId="148" builtinId="9" hidden="1"/>
    <cellStyle name="Followed Hyperlink" xfId="129" builtinId="9" hidden="1"/>
    <cellStyle name="Followed Hyperlink" xfId="515" builtinId="9" hidden="1"/>
    <cellStyle name="Followed Hyperlink" xfId="294" builtinId="9" hidden="1"/>
    <cellStyle name="Followed Hyperlink" xfId="226" builtinId="9" hidden="1"/>
    <cellStyle name="Followed Hyperlink" xfId="242" builtinId="9" hidden="1"/>
    <cellStyle name="Followed Hyperlink" xfId="709" builtinId="9" hidden="1"/>
    <cellStyle name="Followed Hyperlink" xfId="491" builtinId="9" hidden="1"/>
    <cellStyle name="Followed Hyperlink" xfId="265" builtinId="9" hidden="1"/>
    <cellStyle name="Followed Hyperlink" xfId="335" builtinId="9" hidden="1"/>
    <cellStyle name="Followed Hyperlink" xfId="371" builtinId="9" hidden="1"/>
    <cellStyle name="Followed Hyperlink" xfId="430" builtinId="9" hidden="1"/>
    <cellStyle name="Followed Hyperlink" xfId="57" builtinId="9" hidden="1"/>
    <cellStyle name="Followed Hyperlink" xfId="610" builtinId="9" hidden="1"/>
    <cellStyle name="Followed Hyperlink" xfId="530" builtinId="9" hidden="1"/>
    <cellStyle name="Followed Hyperlink" xfId="677" builtinId="9" hidden="1"/>
    <cellStyle name="Followed Hyperlink" xfId="467" builtinId="9" hidden="1"/>
    <cellStyle name="Followed Hyperlink" xfId="351" builtinId="9" hidden="1"/>
    <cellStyle name="Followed Hyperlink" xfId="132" builtinId="9" hidden="1"/>
    <cellStyle name="Followed Hyperlink" xfId="560" builtinId="9" hidden="1"/>
    <cellStyle name="Followed Hyperlink" xfId="355" builtinId="9" hidden="1"/>
    <cellStyle name="Followed Hyperlink" xfId="247" builtinId="9" hidden="1"/>
    <cellStyle name="Followed Hyperlink" xfId="588" builtinId="9" hidden="1"/>
    <cellStyle name="Followed Hyperlink" xfId="269" builtinId="9" hidden="1"/>
    <cellStyle name="Followed Hyperlink" xfId="493" builtinId="9" hidden="1"/>
    <cellStyle name="Followed Hyperlink" xfId="548" builtinId="9" hidden="1"/>
    <cellStyle name="Followed Hyperlink" xfId="594" builtinId="9" hidden="1"/>
    <cellStyle name="Followed Hyperlink" xfId="685" builtinId="9" hidden="1"/>
    <cellStyle name="Followed Hyperlink" xfId="196" builtinId="9" hidden="1"/>
    <cellStyle name="Followed Hyperlink" xfId="523" builtinId="9" hidden="1"/>
    <cellStyle name="Followed Hyperlink" xfId="333" builtinId="9" hidden="1"/>
    <cellStyle name="Followed Hyperlink" xfId="576" builtinId="9" hidden="1"/>
    <cellStyle name="Followed Hyperlink" xfId="53" builtinId="9" hidden="1"/>
    <cellStyle name="Followed Hyperlink" xfId="236" builtinId="9" hidden="1"/>
    <cellStyle name="Followed Hyperlink" xfId="121" builtinId="9" hidden="1"/>
    <cellStyle name="Followed Hyperlink" xfId="339" builtinId="9" hidden="1"/>
    <cellStyle name="Followed Hyperlink" xfId="469" builtinId="9" hidden="1"/>
    <cellStyle name="Followed Hyperlink" xfId="644" builtinId="9" hidden="1"/>
    <cellStyle name="Followed Hyperlink" xfId="640" builtinId="9" hidden="1"/>
    <cellStyle name="Followed Hyperlink" xfId="206" builtinId="9" hidden="1"/>
    <cellStyle name="Followed Hyperlink" xfId="760" builtinId="9" hidden="1"/>
    <cellStyle name="Followed Hyperlink" xfId="422" builtinId="9" hidden="1"/>
    <cellStyle name="Followed Hyperlink" xfId="198" builtinId="9" hidden="1"/>
    <cellStyle name="Followed Hyperlink" xfId="517" builtinId="9" hidden="1"/>
    <cellStyle name="Followed Hyperlink" xfId="200" builtinId="9" hidden="1"/>
    <cellStyle name="Followed Hyperlink" xfId="442" builtinId="9" hidden="1"/>
    <cellStyle name="Followed Hyperlink" xfId="532" builtinId="9" hidden="1"/>
    <cellStyle name="Followed Hyperlink" xfId="82" builtinId="9" hidden="1"/>
    <cellStyle name="Followed Hyperlink" xfId="127" builtinId="9" hidden="1"/>
    <cellStyle name="Followed Hyperlink" xfId="316" builtinId="9" hidden="1"/>
    <cellStyle name="Followed Hyperlink" xfId="319" builtinId="9" hidden="1"/>
    <cellStyle name="Followed Hyperlink" xfId="650" builtinId="9" hidden="1"/>
    <cellStyle name="Followed Hyperlink" xfId="656" builtinId="9" hidden="1"/>
    <cellStyle name="Followed Hyperlink" xfId="173" builtinId="9" hidden="1"/>
    <cellStyle name="Followed Hyperlink" xfId="161" builtinId="9" hidden="1"/>
    <cellStyle name="Followed Hyperlink" xfId="434" builtinId="9" hidden="1"/>
    <cellStyle name="Followed Hyperlink" xfId="96" builtinId="9" hidden="1"/>
    <cellStyle name="Followed Hyperlink" xfId="288" builtinId="9" hidden="1"/>
    <cellStyle name="Followed Hyperlink" xfId="220" builtinId="9" hidden="1"/>
    <cellStyle name="Followed Hyperlink" xfId="165" builtinId="9" hidden="1"/>
    <cellStyle name="Followed Hyperlink" xfId="745" builtinId="9" hidden="1"/>
    <cellStyle name="Hyperlink" xfId="3" builtinId="8" hidden="1"/>
    <cellStyle name="Hyperlink" xfId="164" builtinId="8" hidden="1"/>
    <cellStyle name="Hyperlink" xfId="696" builtinId="8" hidden="1"/>
    <cellStyle name="Hyperlink" xfId="470" builtinId="8" hidden="1"/>
    <cellStyle name="Hyperlink" xfId="137" builtinId="8" hidden="1"/>
    <cellStyle name="Hyperlink" xfId="755" builtinId="8" hidden="1"/>
    <cellStyle name="Hyperlink" xfId="217" builtinId="8" hidden="1"/>
    <cellStyle name="Hyperlink" xfId="244" builtinId="8" hidden="1"/>
    <cellStyle name="Hyperlink" xfId="46" builtinId="8" hidden="1"/>
    <cellStyle name="Hyperlink" xfId="751" builtinId="8" hidden="1"/>
    <cellStyle name="Hyperlink" xfId="256" builtinId="8" hidden="1"/>
    <cellStyle name="Hyperlink" xfId="111" builtinId="8" hidden="1"/>
    <cellStyle name="Hyperlink" xfId="411" builtinId="8" hidden="1"/>
    <cellStyle name="Hyperlink" xfId="744" builtinId="8" hidden="1"/>
    <cellStyle name="Hyperlink" xfId="732" builtinId="8" hidden="1"/>
    <cellStyle name="Hyperlink" xfId="734" builtinId="8" hidden="1"/>
    <cellStyle name="Hyperlink" xfId="655" builtinId="8" hidden="1"/>
    <cellStyle name="Hyperlink" xfId="710" builtinId="8" hidden="1"/>
    <cellStyle name="Hyperlink" xfId="720" builtinId="8" hidden="1"/>
    <cellStyle name="Hyperlink" xfId="722" builtinId="8" hidden="1"/>
    <cellStyle name="Hyperlink" xfId="268" builtinId="8" hidden="1"/>
    <cellStyle name="Hyperlink" xfId="581" builtinId="8" hidden="1"/>
    <cellStyle name="Hyperlink" xfId="402" builtinId="8" hidden="1"/>
    <cellStyle name="Hyperlink" xfId="235" builtinId="8" hidden="1"/>
    <cellStyle name="Hyperlink" xfId="44" builtinId="8" hidden="1"/>
    <cellStyle name="Hyperlink" xfId="645" builtinId="8" hidden="1"/>
    <cellStyle name="Hyperlink" xfId="595" builtinId="8" hidden="1"/>
    <cellStyle name="Hyperlink" xfId="172" builtinId="8" hidden="1"/>
    <cellStyle name="Hyperlink" xfId="114" builtinId="8" hidden="1"/>
    <cellStyle name="Hyperlink" xfId="541" builtinId="8" hidden="1"/>
    <cellStyle name="Hyperlink" xfId="63" builtinId="8" hidden="1"/>
    <cellStyle name="Hyperlink" xfId="651" builtinId="8" hidden="1"/>
    <cellStyle name="Hyperlink" xfId="24" builtinId="8" hidden="1"/>
    <cellStyle name="Hyperlink" xfId="73" builtinId="8" hidden="1"/>
    <cellStyle name="Hyperlink" xfId="460" builtinId="8" hidden="1"/>
    <cellStyle name="Hyperlink" xfId="761" builtinId="8" hidden="1"/>
    <cellStyle name="Hyperlink" xfId="511" builtinId="8" hidden="1"/>
    <cellStyle name="Hyperlink" xfId="324" builtinId="8" hidden="1"/>
    <cellStyle name="Hyperlink" xfId="5" builtinId="8" hidden="1"/>
    <cellStyle name="Hyperlink" xfId="667" builtinId="8" hidden="1"/>
    <cellStyle name="Hyperlink" xfId="708" builtinId="8" hidden="1"/>
    <cellStyle name="Hyperlink" xfId="671" builtinId="8" hidden="1"/>
    <cellStyle name="Hyperlink" xfId="669" builtinId="8" hidden="1"/>
    <cellStyle name="Hyperlink" xfId="444" builtinId="8" hidden="1"/>
    <cellStyle name="Hyperlink" xfId="557" builtinId="8" hidden="1"/>
    <cellStyle name="Hyperlink" xfId="617" builtinId="8" hidden="1"/>
    <cellStyle name="Hyperlink" xfId="547" builtinId="8" hidden="1"/>
    <cellStyle name="Hyperlink" xfId="50" builtinId="8" hidden="1"/>
    <cellStyle name="Hyperlink" xfId="39" builtinId="8" hidden="1"/>
    <cellStyle name="Hyperlink" xfId="443" builtinId="8" hidden="1"/>
    <cellStyle name="Hyperlink" xfId="665" builtinId="8" hidden="1"/>
    <cellStyle name="Hyperlink" xfId="549" builtinId="8" hidden="1"/>
    <cellStyle name="Hyperlink" xfId="441" builtinId="8" hidden="1"/>
    <cellStyle name="Hyperlink" xfId="166" builtinId="8" hidden="1"/>
    <cellStyle name="Hyperlink" xfId="264" builtinId="8" hidden="1"/>
    <cellStyle name="Hyperlink" xfId="597" builtinId="8" hidden="1"/>
    <cellStyle name="Hyperlink" xfId="298" builtinId="8" hidden="1"/>
    <cellStyle name="Hyperlink" xfId="688" builtinId="8" hidden="1"/>
    <cellStyle name="Hyperlink" xfId="742" builtinId="8" hidden="1"/>
    <cellStyle name="Hyperlink" xfId="712" builtinId="8" hidden="1"/>
    <cellStyle name="Hyperlink" xfId="505" builtinId="8" hidden="1"/>
    <cellStyle name="Hyperlink" xfId="334" builtinId="8" hidden="1"/>
    <cellStyle name="Hyperlink" xfId="516" builtinId="8" hidden="1"/>
    <cellStyle name="Hyperlink" xfId="184" builtinId="8" hidden="1"/>
    <cellStyle name="Hyperlink" xfId="89" builtinId="8" hidden="1"/>
    <cellStyle name="Hyperlink" xfId="643" builtinId="8" hidden="1"/>
    <cellStyle name="Hyperlink" xfId="262" builtinId="8" hidden="1"/>
    <cellStyle name="Hyperlink" xfId="252" builtinId="8" hidden="1"/>
    <cellStyle name="Hyperlink" xfId="513" builtinId="8" hidden="1"/>
    <cellStyle name="Hyperlink" xfId="221" builtinId="8" hidden="1"/>
    <cellStyle name="Hyperlink" xfId="13" builtinId="8" hidden="1"/>
    <cellStyle name="Hyperlink" xfId="641" builtinId="8" hidden="1"/>
    <cellStyle name="Hyperlink" xfId="409" builtinId="8" hidden="1"/>
    <cellStyle name="Hyperlink" xfId="607" builtinId="8" hidden="1"/>
    <cellStyle name="Hyperlink" xfId="364" builtinId="8" hidden="1"/>
    <cellStyle name="Hyperlink" xfId="653" builtinId="8" hidden="1"/>
    <cellStyle name="Hyperlink" xfId="34" builtinId="8" hidden="1"/>
    <cellStyle name="Hyperlink" xfId="526" builtinId="8" hidden="1"/>
    <cellStyle name="Hyperlink" xfId="199" builtinId="8" hidden="1"/>
    <cellStyle name="Hyperlink" xfId="303" builtinId="8" hidden="1"/>
    <cellStyle name="Hyperlink" xfId="424" builtinId="8" hidden="1"/>
    <cellStyle name="Hyperlink" xfId="225" builtinId="8" hidden="1"/>
    <cellStyle name="Hyperlink" xfId="533" builtinId="8" hidden="1"/>
    <cellStyle name="Hyperlink" xfId="223" builtinId="8" hidden="1"/>
    <cellStyle name="Hyperlink" xfId="706" builtinId="8" hidden="1"/>
    <cellStyle name="Hyperlink" xfId="77" builtinId="8" hidden="1"/>
    <cellStyle name="Hyperlink" xfId="647" builtinId="8" hidden="1"/>
    <cellStyle name="Hyperlink" xfId="381" builtinId="8" hidden="1"/>
    <cellStyle name="Hyperlink" xfId="543" builtinId="8" hidden="1"/>
    <cellStyle name="Hyperlink" xfId="154" builtinId="8" hidden="1"/>
    <cellStyle name="Hyperlink" xfId="237" builtinId="8" hidden="1"/>
    <cellStyle name="Hyperlink" xfId="109" builtinId="8" hidden="1"/>
    <cellStyle name="Hyperlink" xfId="415" builtinId="8" hidden="1"/>
    <cellStyle name="Hyperlink" xfId="307" builtinId="8" hidden="1"/>
    <cellStyle name="Hyperlink" xfId="659" builtinId="8" hidden="1"/>
    <cellStyle name="Hyperlink" xfId="555" builtinId="8" hidden="1"/>
    <cellStyle name="Hyperlink" xfId="233" builtinId="8" hidden="1"/>
    <cellStyle name="Hyperlink" xfId="387" builtinId="8" hidden="1"/>
    <cellStyle name="Hyperlink" xfId="684" builtinId="8" hidden="1"/>
    <cellStyle name="Hyperlink" xfId="563" builtinId="8" hidden="1"/>
    <cellStyle name="Hyperlink" xfId="413" builtinId="8" hidden="1"/>
    <cellStyle name="Hyperlink" xfId="663" builtinId="8" hidden="1"/>
    <cellStyle name="Hyperlink" xfId="567" builtinId="8" hidden="1"/>
    <cellStyle name="Hyperlink" xfId="131" builtinId="8" hidden="1"/>
    <cellStyle name="Hyperlink" xfId="488" builtinId="8" hidden="1"/>
    <cellStyle name="Hyperlink" xfId="452" builtinId="8" hidden="1"/>
    <cellStyle name="Hyperlink" xfId="496" builtinId="8" hidden="1"/>
    <cellStyle name="Hyperlink" xfId="116" builtinId="8" hidden="1"/>
    <cellStyle name="Hyperlink" xfId="207" builtinId="8" hidden="1"/>
    <cellStyle name="Hyperlink" xfId="227" builtinId="8" hidden="1"/>
    <cellStyle name="Hyperlink" xfId="518" builtinId="8" hidden="1"/>
    <cellStyle name="Hyperlink" xfId="492" builtinId="8" hidden="1"/>
    <cellStyle name="Hyperlink" xfId="124" builtinId="8" hidden="1"/>
    <cellStyle name="Hyperlink" xfId="446" builtinId="8" hidden="1"/>
    <cellStyle name="Hyperlink" xfId="448" builtinId="8" hidden="1"/>
    <cellStyle name="Hyperlink" xfId="130" builtinId="8" hidden="1"/>
    <cellStyle name="Hyperlink" xfId="56" builtinId="8" hidden="1"/>
    <cellStyle name="Hyperlink" xfId="421" builtinId="8" hidden="1"/>
    <cellStyle name="Hyperlink" xfId="152" builtinId="8" hidden="1"/>
    <cellStyle name="Hyperlink" xfId="91" builtinId="8" hidden="1"/>
    <cellStyle name="Hyperlink" xfId="728" builtinId="8" hidden="1"/>
    <cellStyle name="Hyperlink" xfId="174" builtinId="8" hidden="1"/>
    <cellStyle name="Hyperlink" xfId="195" builtinId="8" hidden="1"/>
    <cellStyle name="Hyperlink" xfId="311" builtinId="8" hidden="1"/>
    <cellStyle name="Hyperlink" xfId="630" builtinId="8" hidden="1"/>
    <cellStyle name="Hyperlink" xfId="213" builtinId="8" hidden="1"/>
    <cellStyle name="Hyperlink" xfId="749" builtinId="8" hidden="1"/>
    <cellStyle name="Hyperlink" xfId="315" builtinId="8" hidden="1"/>
    <cellStyle name="Hyperlink" xfId="143" builtinId="8" hidden="1"/>
    <cellStyle name="Hyperlink" xfId="178" builtinId="8" hidden="1"/>
    <cellStyle name="Hyperlink" xfId="537" builtinId="8" hidden="1"/>
    <cellStyle name="Hyperlink" xfId="103" builtinId="8" hidden="1"/>
    <cellStyle name="Hyperlink" xfId="624" builtinId="8" hidden="1"/>
    <cellStyle name="Hyperlink" xfId="169" builtinId="8" hidden="1"/>
    <cellStyle name="Hyperlink" xfId="352" builtinId="8" hidden="1"/>
    <cellStyle name="Hyperlink" xfId="191" builtinId="8" hidden="1"/>
    <cellStyle name="Hyperlink" xfId="322" builtinId="8" hidden="1"/>
    <cellStyle name="Hyperlink" xfId="107" builtinId="8" hidden="1"/>
    <cellStyle name="Hyperlink" xfId="373" builtinId="8" hidden="1"/>
    <cellStyle name="Hyperlink" xfId="289" builtinId="8" hidden="1"/>
    <cellStyle name="Hyperlink" xfId="499" builtinId="8" hidden="1"/>
    <cellStyle name="Hyperlink" xfId="95" builtinId="8" hidden="1"/>
    <cellStyle name="Hyperlink" xfId="673" builtinId="8" hidden="1"/>
    <cellStyle name="Hyperlink" xfId="368" builtinId="8" hidden="1"/>
    <cellStyle name="Hyperlink" xfId="466" builtinId="8" hidden="1"/>
    <cellStyle name="Hyperlink" xfId="11" builtinId="8" hidden="1"/>
    <cellStyle name="Hyperlink" xfId="9" builtinId="8" hidden="1"/>
    <cellStyle name="Hyperlink" xfId="565" builtinId="8" hidden="1"/>
    <cellStyle name="Hyperlink" xfId="603" builtinId="8" hidden="1"/>
    <cellStyle name="Hyperlink" xfId="346" builtinId="8" hidden="1"/>
    <cellStyle name="Hyperlink" xfId="621" builtinId="8" hidden="1"/>
    <cellStyle name="Hyperlink" xfId="7" builtinId="8" hidden="1"/>
    <cellStyle name="Hyperlink" xfId="619" builtinId="8" hidden="1"/>
    <cellStyle name="Hyperlink" xfId="429" builtinId="8" hidden="1"/>
    <cellStyle name="Hyperlink" xfId="250" builtinId="8" hidden="1"/>
    <cellStyle name="Hyperlink" xfId="591" builtinId="8" hidden="1"/>
    <cellStyle name="Hyperlink" xfId="20" builtinId="8" hidden="1"/>
    <cellStyle name="Hyperlink" xfId="52" builtinId="8" hidden="1"/>
    <cellStyle name="Hyperlink" xfId="559" builtinId="8" hidden="1"/>
    <cellStyle name="Hyperlink" xfId="54" builtinId="8" hidden="1"/>
    <cellStyle name="Hyperlink" xfId="71" builtinId="8" hidden="1"/>
    <cellStyle name="Hyperlink" xfId="48" builtinId="8" hidden="1"/>
    <cellStyle name="Hyperlink" xfId="476" builtinId="8" hidden="1"/>
    <cellStyle name="Hyperlink" xfId="40" builtinId="8" hidden="1"/>
    <cellStyle name="Hyperlink" xfId="42" builtinId="8" hidden="1"/>
    <cellStyle name="Hyperlink" xfId="634" builtinId="8" hidden="1"/>
    <cellStyle name="Hyperlink" xfId="678" builtinId="8" hidden="1"/>
    <cellStyle name="Hyperlink" xfId="231" builtinId="8" hidden="1"/>
    <cellStyle name="Hyperlink" xfId="605" builtinId="8" hidden="1"/>
    <cellStyle name="Hyperlink" xfId="589" builtinId="8" hidden="1"/>
    <cellStyle name="Hyperlink" xfId="219" builtinId="8" hidden="1"/>
    <cellStyle name="Hyperlink" xfId="342" builtinId="8" hidden="1"/>
    <cellStyle name="Hyperlink" xfId="59" builtinId="8" hidden="1"/>
    <cellStyle name="Hyperlink" xfId="246" builtinId="8" hidden="1"/>
    <cellStyle name="Hyperlink" xfId="682" builtinId="8" hidden="1"/>
    <cellStyle name="Hyperlink" xfId="507" builtinId="8" hidden="1"/>
    <cellStyle name="Hyperlink" xfId="435" builtinId="8" hidden="1"/>
    <cellStyle name="Hyperlink" xfId="186" builtinId="8" hidden="1"/>
    <cellStyle name="Hyperlink" xfId="482" builtinId="8" hidden="1"/>
    <cellStyle name="Hyperlink" xfId="366" builtinId="8" hidden="1"/>
    <cellStyle name="Hyperlink" xfId="67" builtinId="8" hidden="1"/>
    <cellStyle name="Hyperlink" xfId="318" builtinId="8" hidden="1"/>
    <cellStyle name="Hyperlink" xfId="266" builtinId="8" hidden="1"/>
    <cellStyle name="Hyperlink" xfId="379" builtinId="8" hidden="1"/>
    <cellStyle name="Hyperlink" xfId="405" builtinId="8" hidden="1"/>
    <cellStyle name="Hyperlink" xfId="1" builtinId="8" hidden="1"/>
    <cellStyle name="Hyperlink" xfId="283" builtinId="8" hidden="1"/>
    <cellStyle name="Hyperlink" xfId="147" builtinId="8" hidden="1"/>
    <cellStyle name="Hyperlink" xfId="702" builtinId="8" hidden="1"/>
    <cellStyle name="Hyperlink" xfId="291" builtinId="8" hidden="1"/>
    <cellStyle name="Hyperlink" xfId="704" builtinId="8" hidden="1"/>
    <cellStyle name="Hyperlink" xfId="83" builtinId="8" hidden="1"/>
    <cellStyle name="Hyperlink" xfId="65" builtinId="8" hidden="1"/>
    <cellStyle name="Hyperlink" xfId="87" builtinId="8" hidden="1"/>
    <cellStyle name="Hyperlink" xfId="454" builtinId="8" hidden="1"/>
    <cellStyle name="Hyperlink" xfId="85" builtinId="8" hidden="1"/>
    <cellStyle name="Hyperlink" xfId="472" builtinId="8" hidden="1"/>
    <cellStyle name="Hyperlink" xfId="203" builtinId="8" hidden="1"/>
    <cellStyle name="Hyperlink" xfId="638" builtinId="8" hidden="1"/>
    <cellStyle name="Hyperlink" xfId="270" builtinId="8" hidden="1"/>
    <cellStyle name="Hyperlink" xfId="193" builtinId="8" hidden="1"/>
    <cellStyle name="Hyperlink" xfId="350" builtinId="8" hidden="1"/>
    <cellStyle name="Hyperlink" xfId="160" builtinId="8" hidden="1"/>
    <cellStyle name="Hyperlink" xfId="385" builtinId="8" hidden="1"/>
    <cellStyle name="Hyperlink" xfId="162" builtinId="8" hidden="1"/>
    <cellStyle name="Hyperlink" xfId="81" builtinId="8" hidden="1"/>
    <cellStyle name="Hyperlink" xfId="740" builtinId="8" hidden="1"/>
    <cellStyle name="Hyperlink" xfId="180" builtinId="8" hidden="1"/>
    <cellStyle name="Hyperlink" xfId="462" builtinId="8" hidden="1"/>
    <cellStyle name="Hyperlink" xfId="501" builtinId="8" hidden="1"/>
    <cellStyle name="Hyperlink" xfId="490" builtinId="8" hidden="1"/>
    <cellStyle name="Hyperlink" xfId="628" builtinId="8" hidden="1"/>
    <cellStyle name="Hyperlink" xfId="248" builtinId="8" hidden="1"/>
    <cellStyle name="Hyperlink" xfId="718" builtinId="8" hidden="1"/>
    <cellStyle name="Hyperlink" xfId="32" builtinId="8" hidden="1"/>
    <cellStyle name="Hyperlink" xfId="105" builtinId="8" hidden="1"/>
    <cellStyle name="Hyperlink" xfId="17" builtinId="8" hidden="1"/>
    <cellStyle name="Hyperlink" xfId="30" builtinId="8" hidden="1"/>
    <cellStyle name="Hyperlink" xfId="468" builtinId="8" hidden="1"/>
    <cellStyle name="Hyperlink" xfId="139" builtinId="8" hidden="1"/>
    <cellStyle name="Hyperlink" xfId="714" builtinId="8" hidden="1"/>
    <cellStyle name="Hyperlink" xfId="156" builtinId="8" hidden="1"/>
    <cellStyle name="Hyperlink" xfId="375" builtinId="8" hidden="1"/>
    <cellStyle name="Hyperlink" xfId="520" builtinId="8" hidden="1"/>
    <cellStyle name="Hyperlink" xfId="398" builtinId="8" hidden="1"/>
    <cellStyle name="Hyperlink" xfId="128" builtinId="8" hidden="1"/>
    <cellStyle name="Hyperlink" xfId="326" builtinId="8" hidden="1"/>
    <cellStyle name="Hyperlink" xfId="626" builtinId="8" hidden="1"/>
    <cellStyle name="Hyperlink" xfId="613" builtinId="8" hidden="1"/>
    <cellStyle name="Hyperlink" xfId="150" builtinId="8" hidden="1"/>
    <cellStyle name="Hyperlink" xfId="309" builtinId="8" hidden="1"/>
    <cellStyle name="Hyperlink" xfId="571" builtinId="8" hidden="1"/>
    <cellStyle name="Hyperlink" xfId="305" builtinId="8" hidden="1"/>
    <cellStyle name="Hyperlink" xfId="145" builtinId="8" hidden="1"/>
    <cellStyle name="Hyperlink" xfId="419" builtinId="8" hidden="1"/>
    <cellStyle name="Hyperlink" xfId="599" builtinId="8" hidden="1"/>
    <cellStyle name="Hyperlink" xfId="258" builtinId="8" hidden="1"/>
    <cellStyle name="Hyperlink" xfId="753" builtinId="8" hidden="1"/>
    <cellStyle name="Hyperlink" xfId="330" builtinId="8" hidden="1"/>
    <cellStyle name="Hyperlink" xfId="69" builtinId="8" hidden="1"/>
    <cellStyle name="Hyperlink" xfId="332" builtinId="8" hidden="1"/>
    <cellStyle name="Hyperlink" xfId="170" builtinId="8" hidden="1"/>
    <cellStyle name="Hyperlink" xfId="36" builtinId="8" hidden="1"/>
    <cellStyle name="Hyperlink" xfId="539" builtinId="8" hidden="1"/>
    <cellStyle name="Hyperlink" xfId="674" builtinId="8" hidden="1"/>
    <cellStyle name="Hyperlink" xfId="396" builtinId="8" hidden="1"/>
    <cellStyle name="Hyperlink" xfId="609" builtinId="8" hidden="1"/>
    <cellStyle name="Hyperlink" xfId="601" builtinId="8" hidden="1"/>
    <cellStyle name="Hyperlink" xfId="176" builtinId="8" hidden="1"/>
    <cellStyle name="Hyperlink" xfId="573" builtinId="8" hidden="1"/>
    <cellStyle name="Hyperlink" xfId="276" builtinId="8" hidden="1"/>
    <cellStyle name="Hyperlink" xfId="97" builtinId="8" hidden="1"/>
    <cellStyle name="Hyperlink" xfId="407" builtinId="8" hidden="1"/>
    <cellStyle name="Hyperlink" xfId="61" builtinId="8" hidden="1"/>
    <cellStyle name="Hyperlink" xfId="285" builtinId="8" hidden="1"/>
    <cellStyle name="Hyperlink" xfId="716" builtinId="8" hidden="1"/>
    <cellStyle name="Hyperlink" xfId="189" builtinId="8" hidden="1"/>
    <cellStyle name="Hyperlink" xfId="486" builtinId="8" hidden="1"/>
    <cellStyle name="Hyperlink" xfId="135" builtinId="8" hidden="1"/>
    <cellStyle name="Hyperlink" xfId="593" builtinId="8" hidden="1"/>
    <cellStyle name="Hyperlink" xfId="427" builtinId="8" hidden="1"/>
    <cellStyle name="Hyperlink" xfId="575" builtinId="8" hidden="1"/>
    <cellStyle name="Hyperlink" xfId="328" builtinId="8" hidden="1"/>
    <cellStyle name="Hyperlink" xfId="680" builtinId="8" hidden="1"/>
    <cellStyle name="Hyperlink" xfId="75" builtinId="8" hidden="1"/>
    <cellStyle name="Hyperlink" xfId="201" builtinId="8" hidden="1"/>
    <cellStyle name="Hyperlink" xfId="317" builtinId="8" hidden="1"/>
    <cellStyle name="Hyperlink" xfId="550" builtinId="8" hidden="1"/>
    <cellStyle name="Hyperlink" xfId="692" builtinId="8" hidden="1"/>
    <cellStyle name="Hyperlink" xfId="101" builtinId="8" hidden="1"/>
    <cellStyle name="Hyperlink" xfId="15" builtinId="8" hidden="1"/>
    <cellStyle name="Hyperlink" xfId="209" builtinId="8" hidden="1"/>
    <cellStyle name="Hyperlink" xfId="583" builtinId="8" hidden="1"/>
    <cellStyle name="Hyperlink" xfId="79" builtinId="8" hidden="1"/>
    <cellStyle name="Hyperlink" xfId="297" builtinId="8" hidden="1"/>
    <cellStyle name="Hyperlink" xfId="215" builtinId="8" hidden="1"/>
    <cellStyle name="Hyperlink" xfId="458" builtinId="8" hidden="1"/>
    <cellStyle name="Hyperlink" xfId="293" builtinId="8" hidden="1"/>
    <cellStyle name="Hyperlink" xfId="480" builtinId="8" hidden="1"/>
    <cellStyle name="Hyperlink" xfId="439" builtinId="8" hidden="1"/>
    <cellStyle name="Hyperlink" xfId="126" builtinId="8" hidden="1"/>
    <cellStyle name="Hyperlink" xfId="437" builtinId="8" hidden="1"/>
    <cellStyle name="Hyperlink" xfId="700" builtinId="8" hidden="1"/>
    <cellStyle name="Hyperlink" xfId="577" builtinId="8" hidden="1"/>
    <cellStyle name="Hyperlink" xfId="579" builtinId="8" hidden="1"/>
    <cellStyle name="Hyperlink" xfId="158" builtinId="8" hidden="1"/>
    <cellStyle name="Hyperlink" xfId="494" builtinId="8" hidden="1"/>
    <cellStyle name="Hyperlink" xfId="122" builtinId="8" hidden="1"/>
    <cellStyle name="Hyperlink" xfId="450" builtinId="8" hidden="1"/>
    <cellStyle name="Hyperlink" xfId="464" builtinId="8" hidden="1"/>
    <cellStyle name="Hyperlink" xfId="736" builtinId="8" hidden="1"/>
    <cellStyle name="Hyperlink" xfId="456" builtinId="8" hidden="1"/>
    <cellStyle name="Hyperlink" xfId="676" builtinId="8" hidden="1"/>
    <cellStyle name="Hyperlink" xfId="358" builtinId="8" hidden="1"/>
    <cellStyle name="Hyperlink" xfId="531" builtinId="8" hidden="1"/>
    <cellStyle name="Hyperlink" xfId="551" builtinId="8" hidden="1"/>
    <cellStyle name="Hyperlink" xfId="484" builtinId="8" hidden="1"/>
    <cellStyle name="Hyperlink" xfId="400" builtinId="8" hidden="1"/>
    <cellStyle name="Hyperlink" xfId="636" builtinId="8" hidden="1"/>
    <cellStyle name="Hyperlink" xfId="22" builtinId="8" hidden="1"/>
    <cellStyle name="Hyperlink" xfId="509" builtinId="8" hidden="1"/>
    <cellStyle name="Hyperlink" xfId="535" builtinId="8" hidden="1"/>
    <cellStyle name="Hyperlink" xfId="197" builtinId="8" hidden="1"/>
    <cellStyle name="Hyperlink" xfId="686" builtinId="8" hidden="1"/>
    <cellStyle name="Hyperlink" xfId="260" builtinId="8" hidden="1"/>
    <cellStyle name="Hyperlink" xfId="561" builtinId="8" hidden="1"/>
    <cellStyle name="Hyperlink" xfId="545" builtinId="8" hidden="1"/>
    <cellStyle name="Hyperlink" xfId="26" builtinId="8" hidden="1"/>
    <cellStyle name="Hyperlink" xfId="690" builtinId="8" hidden="1"/>
    <cellStyle name="Hyperlink" xfId="474" builtinId="8" hidden="1"/>
    <cellStyle name="Hyperlink" xfId="360" builtinId="8" hidden="1"/>
    <cellStyle name="Hyperlink" xfId="423" builtinId="8" hidden="1"/>
    <cellStyle name="Hyperlink" xfId="182" builtinId="8" hidden="1"/>
    <cellStyle name="Hyperlink" xfId="417" builtinId="8" hidden="1"/>
    <cellStyle name="Hyperlink" xfId="392" builtinId="8" hidden="1"/>
    <cellStyle name="Hyperlink" xfId="281" builtinId="8" hidden="1"/>
    <cellStyle name="Hyperlink" xfId="553" builtinId="8" hidden="1"/>
    <cellStyle name="Hyperlink" xfId="738" builtinId="8" hidden="1"/>
    <cellStyle name="Hyperlink" xfId="431" builtinId="8" hidden="1"/>
    <cellStyle name="Hyperlink" xfId="528" builtinId="8" hidden="1"/>
    <cellStyle name="Hyperlink" xfId="698" builtinId="8" hidden="1"/>
    <cellStyle name="Hyperlink" xfId="425" builtinId="8" hidden="1"/>
    <cellStyle name="Hyperlink" xfId="394" builtinId="8" hidden="1"/>
    <cellStyle name="Hyperlink" xfId="747" builtinId="8" hidden="1"/>
    <cellStyle name="Hyperlink" xfId="657" builtinId="8" hidden="1"/>
    <cellStyle name="Hyperlink" xfId="133" builtinId="8" hidden="1"/>
    <cellStyle name="Hyperlink" xfId="370" builtinId="8" hidden="1"/>
    <cellStyle name="Hyperlink" xfId="433" builtinId="8" hidden="1"/>
    <cellStyle name="Hyperlink" xfId="28" builtinId="8" hidden="1"/>
    <cellStyle name="Hyperlink" xfId="759" builtinId="8" hidden="1"/>
    <cellStyle name="Hyperlink" xfId="390" builtinId="8" hidden="1"/>
    <cellStyle name="Hyperlink" xfId="383" builtinId="8" hidden="1"/>
    <cellStyle name="Hyperlink" xfId="301" builtinId="8" hidden="1"/>
    <cellStyle name="Hyperlink" xfId="299" builtinId="8" hidden="1"/>
    <cellStyle name="Hyperlink" xfId="120" builtinId="8" hidden="1"/>
    <cellStyle name="Hyperlink" xfId="211" builtinId="8" hidden="1"/>
    <cellStyle name="Hyperlink" xfId="254" builtinId="8" hidden="1"/>
    <cellStyle name="Hyperlink" xfId="730" builtinId="8" hidden="1"/>
    <cellStyle name="Hyperlink" xfId="661" builtinId="8" hidden="1"/>
    <cellStyle name="Hyperlink" xfId="274" builtinId="8" hidden="1"/>
    <cellStyle name="Hyperlink" xfId="295" builtinId="8" hidden="1"/>
    <cellStyle name="Hyperlink" xfId="272" builtinId="8" hidden="1"/>
    <cellStyle name="Hyperlink" xfId="118" builtinId="8" hidden="1"/>
    <cellStyle name="Hyperlink" xfId="524" builtinId="8" hidden="1"/>
    <cellStyle name="Hyperlink" xfId="611" builtinId="8" hidden="1"/>
    <cellStyle name="Hyperlink" xfId="241" builtinId="8" hidden="1"/>
    <cellStyle name="Hyperlink" xfId="478" builtinId="8" hidden="1"/>
    <cellStyle name="Hyperlink" xfId="313" builtinId="8" hidden="1"/>
    <cellStyle name="Hyperlink" xfId="336" builtinId="8" hidden="1"/>
    <cellStyle name="Hyperlink" xfId="205" builtinId="8" hidden="1"/>
    <cellStyle name="Hyperlink" xfId="649" builtinId="8" hidden="1"/>
    <cellStyle name="Hyperlink" xfId="356" builtinId="8" hidden="1"/>
    <cellStyle name="Hyperlink" xfId="377" builtinId="8" hidden="1"/>
    <cellStyle name="Hyperlink" xfId="348" builtinId="8" hidden="1"/>
    <cellStyle name="Hyperlink" xfId="287" builtinId="8" hidden="1"/>
    <cellStyle name="Hyperlink" xfId="344" builtinId="8" hidden="1"/>
    <cellStyle name="Hyperlink" xfId="338" builtinId="8" hidden="1"/>
    <cellStyle name="Hyperlink" xfId="340" builtinId="8" hidden="1"/>
    <cellStyle name="Hyperlink" xfId="615" builtinId="8" hidden="1"/>
    <cellStyle name="Hyperlink" xfId="229" builtinId="8" hidden="1"/>
    <cellStyle name="Hyperlink" xfId="93" builtinId="8" hidden="1"/>
    <cellStyle name="Hyperlink" xfId="585" builtinId="8" hidden="1"/>
    <cellStyle name="Hyperlink" xfId="724" builtinId="8" hidden="1"/>
    <cellStyle name="Hyperlink" xfId="279" builtinId="8" hidden="1"/>
    <cellStyle name="Hyperlink" xfId="239" builtinId="8" hidden="1"/>
    <cellStyle name="Hyperlink" xfId="569" builtinId="8" hidden="1"/>
    <cellStyle name="Hyperlink" xfId="632" builtinId="8" hidden="1"/>
    <cellStyle name="Hyperlink" xfId="726" builtinId="8" hidden="1"/>
    <cellStyle name="Hyperlink" xfId="362" builtinId="8" hidden="1"/>
    <cellStyle name="Hyperlink" xfId="587" builtinId="8" hidden="1"/>
    <cellStyle name="Hyperlink" xfId="694" builtinId="8" hidden="1"/>
    <cellStyle name="Hyperlink" xfId="99" builtinId="8" hidden="1"/>
    <cellStyle name="Hyperlink" xfId="141" builtinId="8" hidden="1"/>
    <cellStyle name="Hyperlink" xfId="503" builtinId="8" hidden="1"/>
    <cellStyle name="Hyperlink" xfId="354" builtinId="8" hidden="1"/>
    <cellStyle name="Hyperlink" xfId="522" builtinId="8" hidden="1"/>
    <cellStyle name="Hyperlink" xfId="320" builtinId="8" hidden="1"/>
    <cellStyle name="Hyperlink" xfId="757" builtinId="8" hidden="1"/>
    <cellStyle name="Normal" xfId="0" builtinId="0"/>
    <cellStyle name="Normal 2" xfId="19" xr:uid="{00000000-0005-0000-0000-0000F5020000}"/>
    <cellStyle name="Normal 2 2" xfId="38" xr:uid="{00000000-0005-0000-0000-0000F6020000}"/>
    <cellStyle name="Normal 2 2 2" xfId="168" xr:uid="{00000000-0005-0000-0000-0000F7020000}"/>
    <cellStyle name="Normal 2 2 2 2" xfId="764" xr:uid="{00000000-0005-0000-0000-0000F8020000}"/>
    <cellStyle name="Normal 2 2 2 2 2" xfId="768" xr:uid="{9865248B-AC9C-4391-BE00-4E5A04DADC87}"/>
    <cellStyle name="Normal 2 2 2 2 2 2" xfId="771" xr:uid="{47A61DD4-C414-4ADD-9A61-C1766DCEF861}"/>
    <cellStyle name="Normal 2 2 2 2 2 3" xfId="773" xr:uid="{2E49362B-405B-414B-9A4C-2AF712904E88}"/>
    <cellStyle name="Normal 2 3" xfId="58" xr:uid="{00000000-0005-0000-0000-0000F9020000}"/>
    <cellStyle name="Normal 2 3 2" xfId="188" xr:uid="{00000000-0005-0000-0000-0000FA020000}"/>
    <cellStyle name="Normal 2 4" xfId="149" xr:uid="{00000000-0005-0000-0000-0000FB020000}"/>
    <cellStyle name="Normal 2 5" xfId="767" xr:uid="{BE5DB4D2-C1D4-4445-BF0B-EB6FFC51D8F5}"/>
    <cellStyle name="Normal 3" xfId="763" xr:uid="{00000000-0005-0000-0000-0000FC020000}"/>
    <cellStyle name="Normal 4" xfId="765" xr:uid="{00000000-0005-0000-0000-0000FD020000}"/>
    <cellStyle name="Normal 5" xfId="766" xr:uid="{51DD77D1-0413-4DE2-8AD0-FFA5A3B4F34E}"/>
    <cellStyle name="Normal 6" xfId="769" xr:uid="{04E989D8-485E-440E-A767-C441F02FD88D}"/>
    <cellStyle name="Normal 6 2" xfId="770" xr:uid="{5E557091-90BC-4A13-8737-9ED9EE854D74}"/>
    <cellStyle name="Normal 6 3" xfId="772" xr:uid="{4807DFF1-5FC6-4939-BCBC-41680E6C22F5}"/>
    <cellStyle name="Normal 7" xfId="774" xr:uid="{520EF9ED-72A0-41A5-838B-790D97711C85}"/>
    <cellStyle name="Percent" xfId="775" builtinId="5"/>
  </cellStyles>
  <dxfs count="0"/>
  <tableStyles count="0" defaultTableStyle="TableStyleMedium9" defaultPivotStyle="PivotStyleLight16"/>
  <colors>
    <mruColors>
      <color rgb="FF132C55"/>
      <color rgb="FFCC0066"/>
      <color rgb="FF3974D3"/>
      <color rgb="FF6C1A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microsoft.com/office/2017/10/relationships/person" Target="persons/perso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465F9-5656-4F2A-8917-BB5561E01EEA}">
  <sheetPr>
    <pageSetUpPr fitToPage="1"/>
  </sheetPr>
  <dimension ref="A1:X160"/>
  <sheetViews>
    <sheetView zoomScale="80" zoomScaleNormal="80" zoomScalePageLayoutView="78" workbookViewId="0">
      <selection activeCell="C24" sqref="C24"/>
    </sheetView>
    <sheetView workbookViewId="1">
      <selection sqref="A1:V1"/>
    </sheetView>
    <sheetView workbookViewId="2">
      <selection sqref="A1:V1"/>
    </sheetView>
  </sheetViews>
  <sheetFormatPr defaultColWidth="8.84375" defaultRowHeight="15.9"/>
  <cols>
    <col min="1" max="1" width="9.3828125" style="179" customWidth="1"/>
    <col min="2" max="2" width="42.84375" style="179" customWidth="1"/>
    <col min="3" max="3" width="12.15234375" style="179" bestFit="1" customWidth="1"/>
    <col min="4" max="4" width="13.3828125" style="179" customWidth="1"/>
    <col min="5" max="5" width="10.53515625" style="179" customWidth="1"/>
    <col min="6" max="6" width="11.53515625" style="179" customWidth="1"/>
    <col min="7" max="7" width="8.53515625" style="179" customWidth="1"/>
    <col min="8" max="8" width="14.3828125" style="179" customWidth="1"/>
    <col min="9" max="9" width="9" style="179" customWidth="1"/>
    <col min="10" max="10" width="22.53515625" style="179" customWidth="1"/>
    <col min="11" max="11" width="13.15234375" style="179" customWidth="1"/>
    <col min="12" max="12" width="11.15234375" style="179" customWidth="1"/>
    <col min="13" max="13" width="10.53515625" style="179" customWidth="1"/>
    <col min="14" max="15" width="11.53515625" style="179" customWidth="1"/>
    <col min="16" max="16" width="12.53515625" style="179" customWidth="1"/>
    <col min="17" max="17" width="13.3828125" style="179" customWidth="1"/>
    <col min="18" max="18" width="13.15234375" style="179" customWidth="1"/>
    <col min="19" max="19" width="9.53515625" style="179" customWidth="1"/>
    <col min="20" max="20" width="18.84375" style="179" bestFit="1" customWidth="1"/>
    <col min="21" max="21" width="16" style="179" customWidth="1"/>
    <col min="22" max="22" width="18.84375" style="179" bestFit="1" customWidth="1"/>
    <col min="23" max="16384" width="8.84375" style="179"/>
  </cols>
  <sheetData>
    <row r="1" spans="1:24" ht="22.5" customHeight="1">
      <c r="A1" s="1184" t="s">
        <v>0</v>
      </c>
      <c r="B1" s="1185"/>
      <c r="C1" s="1185"/>
      <c r="D1" s="1185"/>
      <c r="E1" s="1185"/>
      <c r="F1" s="1185"/>
      <c r="G1" s="1185"/>
      <c r="H1" s="1185"/>
      <c r="I1" s="1185"/>
      <c r="J1" s="1185"/>
      <c r="K1" s="1185"/>
      <c r="L1" s="1185"/>
      <c r="M1" s="1185"/>
      <c r="N1" s="1185"/>
      <c r="O1" s="1185"/>
      <c r="P1" s="1185"/>
      <c r="Q1" s="1185"/>
      <c r="R1" s="1185"/>
      <c r="S1" s="1185"/>
      <c r="T1" s="1185"/>
      <c r="U1" s="1185"/>
      <c r="V1" s="1185"/>
      <c r="W1" s="223"/>
      <c r="X1" s="223"/>
    </row>
    <row r="2" spans="1:24" ht="18" customHeight="1">
      <c r="A2" s="1184" t="s">
        <v>1</v>
      </c>
      <c r="B2" s="1185"/>
      <c r="C2" s="1185"/>
      <c r="D2" s="1185"/>
      <c r="E2" s="1185"/>
      <c r="F2" s="1185"/>
      <c r="G2" s="1185"/>
      <c r="H2" s="1185"/>
      <c r="I2" s="1185"/>
      <c r="J2" s="1185"/>
      <c r="K2" s="1185"/>
      <c r="L2" s="1185"/>
      <c r="M2" s="1185"/>
      <c r="N2" s="1185"/>
      <c r="O2" s="1185"/>
      <c r="P2" s="1185"/>
      <c r="Q2" s="1185"/>
      <c r="R2" s="1185"/>
      <c r="S2" s="1185"/>
      <c r="T2" s="1185"/>
      <c r="U2" s="1185"/>
      <c r="V2" s="1185"/>
      <c r="W2" s="223"/>
      <c r="X2" s="223"/>
    </row>
    <row r="3" spans="1:24" ht="18" customHeight="1">
      <c r="A3" s="1184" t="s">
        <v>2</v>
      </c>
      <c r="B3" s="1185"/>
      <c r="C3" s="1185"/>
      <c r="D3" s="1185"/>
      <c r="E3" s="1185"/>
      <c r="F3" s="1185"/>
      <c r="G3" s="1185"/>
      <c r="H3" s="1185"/>
      <c r="I3" s="1185"/>
      <c r="J3" s="1185"/>
      <c r="K3" s="1185"/>
      <c r="L3" s="1185"/>
      <c r="M3" s="1185"/>
      <c r="N3" s="1185"/>
      <c r="O3" s="1185"/>
      <c r="P3" s="1185"/>
      <c r="Q3" s="1185"/>
      <c r="R3" s="1185"/>
      <c r="S3" s="1185"/>
      <c r="T3" s="1185"/>
      <c r="U3" s="1185"/>
      <c r="V3" s="1185"/>
      <c r="W3" s="223"/>
      <c r="X3" s="223"/>
    </row>
    <row r="4" spans="1:24" s="223" customFormat="1" ht="37.5" customHeight="1">
      <c r="A4" s="193"/>
      <c r="B4" s="193" t="s">
        <v>3</v>
      </c>
      <c r="C4" s="193" t="s">
        <v>4</v>
      </c>
      <c r="D4" s="193" t="s">
        <v>5</v>
      </c>
      <c r="E4" s="193" t="s">
        <v>6</v>
      </c>
      <c r="F4" s="193" t="s">
        <v>7</v>
      </c>
      <c r="G4" s="193" t="s">
        <v>8</v>
      </c>
      <c r="H4" s="193" t="s">
        <v>9</v>
      </c>
      <c r="I4" s="193" t="s">
        <v>10</v>
      </c>
      <c r="J4" s="193" t="s">
        <v>11</v>
      </c>
      <c r="K4" s="193" t="s">
        <v>12</v>
      </c>
      <c r="L4" s="193" t="s">
        <v>13</v>
      </c>
      <c r="M4" s="193" t="s">
        <v>14</v>
      </c>
      <c r="N4" s="193" t="s">
        <v>15</v>
      </c>
      <c r="O4" s="194" t="s">
        <v>16</v>
      </c>
      <c r="P4" s="194" t="s">
        <v>17</v>
      </c>
      <c r="Q4" s="194" t="s">
        <v>18</v>
      </c>
      <c r="R4" s="194" t="s">
        <v>19</v>
      </c>
      <c r="S4" s="194" t="s">
        <v>20</v>
      </c>
      <c r="T4" s="194" t="s">
        <v>21</v>
      </c>
      <c r="U4" s="194" t="s">
        <v>22</v>
      </c>
      <c r="V4" s="194" t="s">
        <v>23</v>
      </c>
    </row>
    <row r="5" spans="1:24" s="223" customFormat="1">
      <c r="A5" s="1186" t="s">
        <v>24</v>
      </c>
      <c r="B5" s="186" t="s">
        <v>25</v>
      </c>
      <c r="C5" s="254"/>
      <c r="D5" s="254"/>
      <c r="E5" s="254"/>
      <c r="F5" s="254"/>
      <c r="G5" s="254"/>
      <c r="H5" s="254"/>
      <c r="I5" s="254"/>
      <c r="J5" s="254"/>
      <c r="K5" s="254"/>
      <c r="L5" s="254"/>
      <c r="M5" s="254"/>
      <c r="N5" s="254"/>
      <c r="O5" s="254"/>
      <c r="P5" s="254"/>
      <c r="Q5" s="254"/>
      <c r="R5" s="254"/>
      <c r="S5" s="254"/>
      <c r="T5" s="254"/>
      <c r="U5" s="254"/>
      <c r="V5" s="254"/>
    </row>
    <row r="6" spans="1:24" s="223" customFormat="1" ht="15" customHeight="1">
      <c r="A6" s="1187"/>
      <c r="B6" s="186" t="s">
        <v>26</v>
      </c>
      <c r="C6" s="254"/>
      <c r="D6" s="254"/>
      <c r="E6" s="254"/>
      <c r="F6" s="254"/>
      <c r="G6" s="254"/>
      <c r="H6" s="254"/>
      <c r="I6" s="254"/>
      <c r="J6" s="254"/>
      <c r="K6" s="254"/>
      <c r="L6" s="254"/>
      <c r="M6" s="254"/>
      <c r="N6" s="254"/>
      <c r="O6" s="254"/>
      <c r="P6" s="254"/>
      <c r="Q6" s="254"/>
      <c r="R6" s="254"/>
      <c r="S6" s="254"/>
      <c r="T6" s="254"/>
      <c r="U6" s="254"/>
      <c r="V6" s="254"/>
    </row>
    <row r="7" spans="1:24">
      <c r="A7" s="1187"/>
      <c r="B7" s="186" t="s">
        <v>27</v>
      </c>
      <c r="C7" s="254"/>
      <c r="D7" s="254"/>
      <c r="E7" s="254"/>
      <c r="F7" s="254"/>
      <c r="G7" s="254"/>
      <c r="H7" s="254"/>
      <c r="I7" s="254"/>
      <c r="J7" s="254"/>
      <c r="K7" s="254"/>
      <c r="L7" s="254"/>
      <c r="M7" s="254"/>
      <c r="N7" s="254"/>
      <c r="O7" s="254"/>
      <c r="P7" s="254"/>
      <c r="Q7" s="254"/>
      <c r="R7" s="254"/>
      <c r="S7" s="254"/>
      <c r="T7" s="254"/>
      <c r="U7" s="254"/>
      <c r="V7" s="254"/>
    </row>
    <row r="8" spans="1:24">
      <c r="A8" s="1187"/>
      <c r="B8" s="186" t="s">
        <v>28</v>
      </c>
      <c r="C8" s="254"/>
      <c r="D8" s="254"/>
      <c r="E8" s="254"/>
      <c r="F8" s="254"/>
      <c r="G8" s="254"/>
      <c r="H8" s="254"/>
      <c r="I8" s="254"/>
      <c r="J8" s="254"/>
      <c r="K8" s="254"/>
      <c r="L8" s="254"/>
      <c r="M8" s="254"/>
      <c r="N8" s="254"/>
      <c r="O8" s="254"/>
      <c r="P8" s="254"/>
      <c r="Q8" s="254"/>
      <c r="R8" s="254"/>
      <c r="S8" s="254"/>
      <c r="T8" s="254"/>
      <c r="U8" s="254"/>
      <c r="V8" s="254"/>
    </row>
    <row r="9" spans="1:24">
      <c r="A9" s="1187"/>
      <c r="B9" s="186" t="s">
        <v>29</v>
      </c>
      <c r="C9" s="254"/>
      <c r="D9" s="254"/>
      <c r="E9" s="254"/>
      <c r="F9" s="254"/>
      <c r="G9" s="254"/>
      <c r="H9" s="254"/>
      <c r="I9" s="254"/>
      <c r="J9" s="254"/>
      <c r="K9" s="254"/>
      <c r="L9" s="254"/>
      <c r="M9" s="254"/>
      <c r="N9" s="254"/>
      <c r="O9" s="254"/>
      <c r="P9" s="254"/>
      <c r="Q9" s="254"/>
      <c r="R9" s="254"/>
      <c r="S9" s="254"/>
      <c r="T9" s="254"/>
      <c r="U9" s="254"/>
      <c r="V9" s="254"/>
    </row>
    <row r="10" spans="1:24">
      <c r="A10" s="1187"/>
      <c r="B10" s="186" t="s">
        <v>30</v>
      </c>
      <c r="C10" s="254"/>
      <c r="D10" s="254"/>
      <c r="E10" s="254"/>
      <c r="F10" s="254"/>
      <c r="G10" s="254"/>
      <c r="H10" s="254"/>
      <c r="I10" s="254"/>
      <c r="J10" s="254"/>
      <c r="K10" s="254"/>
      <c r="L10" s="254"/>
      <c r="M10" s="254"/>
      <c r="N10" s="254"/>
      <c r="O10" s="254"/>
      <c r="P10" s="254"/>
      <c r="Q10" s="254"/>
      <c r="R10" s="254"/>
      <c r="S10" s="254"/>
      <c r="T10" s="254"/>
      <c r="U10" s="254"/>
      <c r="V10" s="254"/>
    </row>
    <row r="11" spans="1:24">
      <c r="A11" s="1187"/>
      <c r="B11" s="186" t="s">
        <v>31</v>
      </c>
      <c r="C11" s="254"/>
      <c r="D11" s="254"/>
      <c r="E11" s="254"/>
      <c r="F11" s="254"/>
      <c r="G11" s="254"/>
      <c r="H11" s="254"/>
      <c r="I11" s="254"/>
      <c r="J11" s="254"/>
      <c r="K11" s="254"/>
      <c r="L11" s="254"/>
      <c r="M11" s="254"/>
      <c r="N11" s="254"/>
      <c r="O11" s="254"/>
      <c r="P11" s="254"/>
      <c r="Q11" s="254"/>
      <c r="R11" s="254"/>
      <c r="S11" s="254"/>
      <c r="T11" s="254"/>
      <c r="U11" s="254"/>
      <c r="V11" s="254"/>
    </row>
    <row r="12" spans="1:24">
      <c r="A12" s="1187"/>
      <c r="B12" s="186" t="s">
        <v>32</v>
      </c>
      <c r="C12" s="254"/>
      <c r="D12" s="254"/>
      <c r="E12" s="254"/>
      <c r="F12" s="254"/>
      <c r="G12" s="254"/>
      <c r="H12" s="254"/>
      <c r="I12" s="254"/>
      <c r="J12" s="254"/>
      <c r="K12" s="254"/>
      <c r="L12" s="254"/>
      <c r="M12" s="254"/>
      <c r="N12" s="254"/>
      <c r="O12" s="254"/>
      <c r="P12" s="254"/>
      <c r="Q12" s="254"/>
      <c r="R12" s="254"/>
      <c r="S12" s="254"/>
      <c r="T12" s="254"/>
      <c r="U12" s="254"/>
      <c r="V12" s="254"/>
    </row>
    <row r="13" spans="1:24">
      <c r="A13" s="1187"/>
      <c r="B13" s="186" t="s">
        <v>33</v>
      </c>
      <c r="C13" s="254"/>
      <c r="D13" s="254"/>
      <c r="E13" s="254"/>
      <c r="F13" s="254"/>
      <c r="G13" s="254"/>
      <c r="H13" s="254"/>
      <c r="I13" s="254"/>
      <c r="J13" s="254"/>
      <c r="K13" s="254"/>
      <c r="L13" s="254"/>
      <c r="M13" s="254"/>
      <c r="N13" s="254"/>
      <c r="O13" s="254"/>
      <c r="P13" s="254"/>
      <c r="Q13" s="254"/>
      <c r="R13" s="254"/>
      <c r="S13" s="254"/>
      <c r="T13" s="254"/>
      <c r="U13" s="254"/>
      <c r="V13" s="254"/>
    </row>
    <row r="14" spans="1:24">
      <c r="A14" s="1187"/>
      <c r="B14" s="186" t="s">
        <v>34</v>
      </c>
      <c r="C14" s="254"/>
      <c r="D14" s="254"/>
      <c r="E14" s="254"/>
      <c r="F14" s="254"/>
      <c r="G14" s="254"/>
      <c r="H14" s="254"/>
      <c r="I14" s="254"/>
      <c r="J14" s="254"/>
      <c r="K14" s="254"/>
      <c r="L14" s="254"/>
      <c r="M14" s="254"/>
      <c r="N14" s="254"/>
      <c r="O14" s="254"/>
      <c r="P14" s="254"/>
      <c r="Q14" s="254"/>
      <c r="R14" s="254"/>
      <c r="S14" s="254"/>
      <c r="T14" s="254"/>
      <c r="U14" s="254"/>
      <c r="V14" s="254"/>
    </row>
    <row r="15" spans="1:24">
      <c r="A15" s="1187"/>
      <c r="B15" s="186" t="s">
        <v>35</v>
      </c>
      <c r="C15" s="254"/>
      <c r="D15" s="254"/>
      <c r="E15" s="254"/>
      <c r="F15" s="254"/>
      <c r="G15" s="254"/>
      <c r="H15" s="254"/>
      <c r="I15" s="254"/>
      <c r="J15" s="254"/>
      <c r="K15" s="254"/>
      <c r="L15" s="254"/>
      <c r="M15" s="254"/>
      <c r="N15" s="254"/>
      <c r="O15" s="254"/>
      <c r="P15" s="254"/>
      <c r="Q15" s="254"/>
      <c r="R15" s="254"/>
      <c r="S15" s="254"/>
      <c r="T15" s="254"/>
      <c r="U15" s="254"/>
      <c r="V15" s="254"/>
    </row>
    <row r="16" spans="1:24">
      <c r="A16" s="1187"/>
      <c r="B16" s="186" t="s">
        <v>36</v>
      </c>
      <c r="C16" s="254"/>
      <c r="D16" s="254"/>
      <c r="E16" s="254"/>
      <c r="F16" s="254"/>
      <c r="G16" s="254"/>
      <c r="H16" s="254"/>
      <c r="I16" s="254"/>
      <c r="J16" s="254"/>
      <c r="K16" s="254"/>
      <c r="L16" s="254"/>
      <c r="M16" s="254"/>
      <c r="N16" s="254"/>
      <c r="O16" s="254"/>
      <c r="P16" s="254"/>
      <c r="Q16" s="254"/>
      <c r="R16" s="254"/>
      <c r="S16" s="254"/>
      <c r="T16" s="254"/>
      <c r="U16" s="254"/>
      <c r="V16" s="254"/>
    </row>
    <row r="17" spans="1:22">
      <c r="A17" s="1187"/>
      <c r="B17" s="186" t="s">
        <v>37</v>
      </c>
      <c r="C17" s="254"/>
      <c r="D17" s="254"/>
      <c r="E17" s="254"/>
      <c r="F17" s="254"/>
      <c r="G17" s="254"/>
      <c r="H17" s="254"/>
      <c r="I17" s="254"/>
      <c r="J17" s="254"/>
      <c r="K17" s="254"/>
      <c r="L17" s="254"/>
      <c r="M17" s="254"/>
      <c r="N17" s="254"/>
      <c r="O17" s="254"/>
      <c r="P17" s="254"/>
      <c r="Q17" s="254"/>
      <c r="R17" s="254"/>
      <c r="S17" s="254"/>
      <c r="T17" s="254"/>
      <c r="U17" s="254"/>
      <c r="V17" s="254"/>
    </row>
    <row r="18" spans="1:22">
      <c r="A18" s="1187"/>
      <c r="B18" s="186" t="s">
        <v>38</v>
      </c>
      <c r="C18" s="254"/>
      <c r="D18" s="254"/>
      <c r="E18" s="254"/>
      <c r="F18" s="254"/>
      <c r="G18" s="254"/>
      <c r="H18" s="254"/>
      <c r="I18" s="254"/>
      <c r="J18" s="254"/>
      <c r="K18" s="254"/>
      <c r="L18" s="254"/>
      <c r="M18" s="254"/>
      <c r="N18" s="254"/>
      <c r="O18" s="254"/>
      <c r="P18" s="254"/>
      <c r="Q18" s="254"/>
      <c r="R18" s="254"/>
      <c r="S18" s="254"/>
      <c r="T18" s="254"/>
      <c r="U18" s="254"/>
      <c r="V18" s="254"/>
    </row>
    <row r="19" spans="1:22">
      <c r="A19" s="1187"/>
      <c r="B19" s="186" t="s">
        <v>39</v>
      </c>
      <c r="C19" s="254"/>
      <c r="D19" s="254"/>
      <c r="E19" s="254"/>
      <c r="F19" s="254"/>
      <c r="G19" s="254"/>
      <c r="H19" s="254"/>
      <c r="I19" s="254"/>
      <c r="J19" s="254"/>
      <c r="K19" s="254"/>
      <c r="L19" s="254"/>
      <c r="M19" s="254"/>
      <c r="N19" s="254"/>
      <c r="O19" s="254"/>
      <c r="P19" s="254"/>
      <c r="Q19" s="254"/>
      <c r="R19" s="254"/>
      <c r="S19" s="254"/>
      <c r="T19" s="254"/>
      <c r="U19" s="254"/>
      <c r="V19" s="254"/>
    </row>
    <row r="20" spans="1:22" s="212" customFormat="1">
      <c r="A20" s="1187"/>
      <c r="B20" s="186" t="s">
        <v>40</v>
      </c>
      <c r="C20" s="254"/>
      <c r="D20" s="254"/>
      <c r="E20" s="254"/>
      <c r="F20" s="254"/>
      <c r="G20" s="254"/>
      <c r="H20" s="254"/>
      <c r="I20" s="254"/>
      <c r="J20" s="254"/>
      <c r="K20" s="254"/>
      <c r="L20" s="254"/>
      <c r="M20" s="254"/>
      <c r="N20" s="254"/>
      <c r="O20" s="254"/>
      <c r="P20" s="254"/>
      <c r="Q20" s="254"/>
      <c r="R20" s="254"/>
      <c r="S20" s="254"/>
      <c r="T20" s="254"/>
      <c r="U20" s="254"/>
      <c r="V20" s="254"/>
    </row>
    <row r="21" spans="1:22">
      <c r="A21" s="1187"/>
      <c r="B21" s="186" t="s">
        <v>41</v>
      </c>
      <c r="C21" s="254"/>
      <c r="D21" s="254"/>
      <c r="E21" s="254"/>
      <c r="F21" s="254"/>
      <c r="G21" s="254"/>
      <c r="H21" s="254"/>
      <c r="I21" s="254"/>
      <c r="J21" s="254"/>
      <c r="K21" s="254"/>
      <c r="L21" s="254"/>
      <c r="M21" s="254"/>
      <c r="N21" s="254"/>
      <c r="O21" s="254"/>
      <c r="P21" s="254"/>
      <c r="Q21" s="254"/>
      <c r="R21" s="254"/>
      <c r="S21" s="254"/>
      <c r="T21" s="254"/>
      <c r="U21" s="254"/>
      <c r="V21" s="254"/>
    </row>
    <row r="22" spans="1:22">
      <c r="A22" s="1187"/>
      <c r="B22" s="186" t="s">
        <v>42</v>
      </c>
      <c r="C22" s="254"/>
      <c r="D22" s="254"/>
      <c r="E22" s="254"/>
      <c r="F22" s="254"/>
      <c r="G22" s="254"/>
      <c r="H22" s="254"/>
      <c r="I22" s="254"/>
      <c r="J22" s="254"/>
      <c r="K22" s="254"/>
      <c r="L22" s="254"/>
      <c r="M22" s="254"/>
      <c r="N22" s="254"/>
      <c r="O22" s="254"/>
      <c r="P22" s="254"/>
      <c r="Q22" s="254"/>
      <c r="R22" s="254"/>
      <c r="S22" s="254"/>
      <c r="T22" s="254"/>
      <c r="U22" s="254"/>
      <c r="V22" s="254"/>
    </row>
    <row r="23" spans="1:22">
      <c r="A23" s="1187"/>
      <c r="B23" s="186" t="s">
        <v>43</v>
      </c>
      <c r="C23" s="254"/>
      <c r="D23" s="254"/>
      <c r="E23" s="254"/>
      <c r="F23" s="254"/>
      <c r="G23" s="254"/>
      <c r="H23" s="254"/>
      <c r="I23" s="254"/>
      <c r="J23" s="254"/>
      <c r="K23" s="254"/>
      <c r="L23" s="254"/>
      <c r="M23" s="254"/>
      <c r="N23" s="254"/>
      <c r="O23" s="254"/>
      <c r="P23" s="254"/>
      <c r="Q23" s="254"/>
      <c r="R23" s="254"/>
      <c r="S23" s="254"/>
      <c r="T23" s="254"/>
      <c r="U23" s="254"/>
      <c r="V23" s="254"/>
    </row>
    <row r="24" spans="1:22">
      <c r="A24" s="1187"/>
      <c r="B24" s="186" t="s">
        <v>44</v>
      </c>
      <c r="C24" s="254"/>
      <c r="D24" s="254"/>
      <c r="E24" s="254"/>
      <c r="F24" s="254"/>
      <c r="G24" s="254"/>
      <c r="H24" s="254"/>
      <c r="I24" s="254"/>
      <c r="J24" s="254"/>
      <c r="K24" s="254"/>
      <c r="L24" s="254"/>
      <c r="M24" s="254"/>
      <c r="N24" s="254"/>
      <c r="O24" s="254"/>
      <c r="P24" s="254"/>
      <c r="Q24" s="254"/>
      <c r="R24" s="254"/>
      <c r="S24" s="254"/>
      <c r="T24" s="254"/>
      <c r="U24" s="254"/>
      <c r="V24" s="254"/>
    </row>
    <row r="25" spans="1:22">
      <c r="A25" s="1187"/>
      <c r="B25" s="186" t="s">
        <v>45</v>
      </c>
      <c r="C25" s="254"/>
      <c r="D25" s="254"/>
      <c r="E25" s="254"/>
      <c r="F25" s="254"/>
      <c r="G25" s="254"/>
      <c r="H25" s="254"/>
      <c r="I25" s="254"/>
      <c r="J25" s="254"/>
      <c r="K25" s="254"/>
      <c r="L25" s="254"/>
      <c r="M25" s="254"/>
      <c r="N25" s="254"/>
      <c r="O25" s="254"/>
      <c r="P25" s="254"/>
      <c r="Q25" s="254"/>
      <c r="R25" s="254"/>
      <c r="S25" s="254"/>
      <c r="T25" s="254"/>
      <c r="U25" s="254"/>
      <c r="V25" s="254"/>
    </row>
    <row r="26" spans="1:22">
      <c r="A26" s="1187"/>
      <c r="B26" s="186" t="s">
        <v>46</v>
      </c>
      <c r="C26" s="254"/>
      <c r="D26" s="254"/>
      <c r="E26" s="254"/>
      <c r="F26" s="254"/>
      <c r="G26" s="254"/>
      <c r="H26" s="254"/>
      <c r="I26" s="254"/>
      <c r="J26" s="254"/>
      <c r="K26" s="254"/>
      <c r="L26" s="254"/>
      <c r="M26" s="254"/>
      <c r="N26" s="254"/>
      <c r="O26" s="254"/>
      <c r="P26" s="254"/>
      <c r="Q26" s="254"/>
      <c r="R26" s="254"/>
      <c r="S26" s="254"/>
      <c r="T26" s="254"/>
      <c r="U26" s="254"/>
      <c r="V26" s="254"/>
    </row>
    <row r="27" spans="1:22">
      <c r="A27" s="1187"/>
      <c r="B27" s="186" t="s">
        <v>47</v>
      </c>
      <c r="C27" s="254"/>
      <c r="D27" s="254"/>
      <c r="E27" s="254"/>
      <c r="F27" s="254"/>
      <c r="G27" s="254"/>
      <c r="H27" s="254"/>
      <c r="I27" s="254"/>
      <c r="J27" s="254"/>
      <c r="K27" s="254"/>
      <c r="L27" s="254"/>
      <c r="M27" s="254"/>
      <c r="N27" s="254"/>
      <c r="O27" s="254"/>
      <c r="P27" s="254"/>
      <c r="Q27" s="254"/>
      <c r="R27" s="254"/>
      <c r="S27" s="254"/>
      <c r="T27" s="254"/>
      <c r="U27" s="254"/>
      <c r="V27" s="254"/>
    </row>
    <row r="28" spans="1:22">
      <c r="A28" s="1187"/>
      <c r="B28" s="186" t="s">
        <v>48</v>
      </c>
      <c r="C28" s="254"/>
      <c r="D28" s="254"/>
      <c r="E28" s="254"/>
      <c r="F28" s="254"/>
      <c r="G28" s="254"/>
      <c r="H28" s="254"/>
      <c r="I28" s="254"/>
      <c r="J28" s="254"/>
      <c r="K28" s="254"/>
      <c r="L28" s="254"/>
      <c r="M28" s="254"/>
      <c r="N28" s="254"/>
      <c r="O28" s="254"/>
      <c r="P28" s="254"/>
      <c r="Q28" s="254"/>
      <c r="R28" s="254"/>
      <c r="S28" s="254"/>
      <c r="T28" s="254"/>
      <c r="U28" s="254"/>
      <c r="V28" s="254"/>
    </row>
    <row r="29" spans="1:22">
      <c r="A29" s="1187"/>
      <c r="B29" s="186" t="s">
        <v>49</v>
      </c>
      <c r="C29" s="254"/>
      <c r="D29" s="254"/>
      <c r="E29" s="254"/>
      <c r="F29" s="254"/>
      <c r="G29" s="254"/>
      <c r="H29" s="254"/>
      <c r="I29" s="254"/>
      <c r="J29" s="254"/>
      <c r="K29" s="254"/>
      <c r="L29" s="254"/>
      <c r="M29" s="254"/>
      <c r="N29" s="254"/>
      <c r="O29" s="254"/>
      <c r="P29" s="254"/>
      <c r="Q29" s="254"/>
      <c r="R29" s="254"/>
      <c r="S29" s="254"/>
      <c r="T29" s="254"/>
      <c r="U29" s="254"/>
      <c r="V29" s="254"/>
    </row>
    <row r="30" spans="1:22">
      <c r="A30" s="1187"/>
      <c r="B30" s="186" t="s">
        <v>50</v>
      </c>
      <c r="C30" s="254"/>
      <c r="D30" s="254"/>
      <c r="E30" s="254"/>
      <c r="F30" s="254"/>
      <c r="G30" s="254"/>
      <c r="H30" s="254"/>
      <c r="I30" s="254"/>
      <c r="J30" s="254"/>
      <c r="K30" s="254"/>
      <c r="L30" s="254"/>
      <c r="M30" s="254"/>
      <c r="N30" s="254"/>
      <c r="O30" s="254"/>
      <c r="P30" s="254"/>
      <c r="Q30" s="254"/>
      <c r="R30" s="254"/>
      <c r="S30" s="254"/>
      <c r="T30" s="254"/>
      <c r="U30" s="254"/>
      <c r="V30" s="254"/>
    </row>
    <row r="31" spans="1:22">
      <c r="A31" s="1187"/>
      <c r="B31" s="186" t="s">
        <v>51</v>
      </c>
      <c r="C31" s="254"/>
      <c r="D31" s="254"/>
      <c r="E31" s="254"/>
      <c r="F31" s="254"/>
      <c r="G31" s="254"/>
      <c r="H31" s="254"/>
      <c r="I31" s="254"/>
      <c r="J31" s="254"/>
      <c r="K31" s="254"/>
      <c r="L31" s="254"/>
      <c r="M31" s="254"/>
      <c r="N31" s="254"/>
      <c r="O31" s="254"/>
      <c r="P31" s="254"/>
      <c r="Q31" s="254"/>
      <c r="R31" s="254"/>
      <c r="S31" s="254"/>
      <c r="T31" s="254"/>
      <c r="U31" s="254"/>
      <c r="V31" s="254"/>
    </row>
    <row r="32" spans="1:22">
      <c r="A32" s="1187"/>
      <c r="B32" s="186" t="s">
        <v>52</v>
      </c>
      <c r="C32" s="254"/>
      <c r="D32" s="254"/>
      <c r="E32" s="254"/>
      <c r="F32" s="254"/>
      <c r="G32" s="254"/>
      <c r="H32" s="254"/>
      <c r="I32" s="254"/>
      <c r="J32" s="254"/>
      <c r="K32" s="254"/>
      <c r="L32" s="254"/>
      <c r="M32" s="254"/>
      <c r="N32" s="254"/>
      <c r="O32" s="254"/>
      <c r="P32" s="254"/>
      <c r="Q32" s="254"/>
      <c r="R32" s="254"/>
      <c r="S32" s="254"/>
      <c r="T32" s="254"/>
      <c r="U32" s="254"/>
      <c r="V32" s="254"/>
    </row>
    <row r="33" spans="1:22">
      <c r="A33" s="1187"/>
      <c r="B33" s="186" t="s">
        <v>53</v>
      </c>
      <c r="C33" s="254"/>
      <c r="D33" s="254"/>
      <c r="E33" s="254"/>
      <c r="F33" s="254"/>
      <c r="G33" s="254"/>
      <c r="H33" s="254"/>
      <c r="I33" s="254"/>
      <c r="J33" s="254"/>
      <c r="K33" s="254"/>
      <c r="L33" s="254"/>
      <c r="M33" s="254"/>
      <c r="N33" s="254"/>
      <c r="O33" s="254"/>
      <c r="P33" s="254"/>
      <c r="Q33" s="254"/>
      <c r="R33" s="254"/>
      <c r="S33" s="254"/>
      <c r="T33" s="254"/>
      <c r="U33" s="254"/>
      <c r="V33" s="254"/>
    </row>
    <row r="34" spans="1:22">
      <c r="A34" s="1187"/>
      <c r="B34" s="186" t="s">
        <v>54</v>
      </c>
      <c r="C34" s="254"/>
      <c r="D34" s="254"/>
      <c r="E34" s="254"/>
      <c r="F34" s="254"/>
      <c r="G34" s="254"/>
      <c r="H34" s="254"/>
      <c r="I34" s="254"/>
      <c r="J34" s="254"/>
      <c r="K34" s="254"/>
      <c r="L34" s="254"/>
      <c r="M34" s="254"/>
      <c r="N34" s="254"/>
      <c r="O34" s="254"/>
      <c r="P34" s="254"/>
      <c r="Q34" s="254"/>
      <c r="R34" s="254"/>
      <c r="S34" s="254"/>
      <c r="T34" s="254"/>
      <c r="U34" s="254"/>
      <c r="V34" s="254"/>
    </row>
    <row r="35" spans="1:22">
      <c r="A35" s="1187"/>
      <c r="B35" s="186" t="s">
        <v>55</v>
      </c>
      <c r="C35" s="254"/>
      <c r="D35" s="254"/>
      <c r="E35" s="254"/>
      <c r="F35" s="254"/>
      <c r="G35" s="254"/>
      <c r="H35" s="254"/>
      <c r="I35" s="254"/>
      <c r="J35" s="254"/>
      <c r="K35" s="254"/>
      <c r="L35" s="254"/>
      <c r="M35" s="254"/>
      <c r="N35" s="254"/>
      <c r="O35" s="254"/>
      <c r="P35" s="254"/>
      <c r="Q35" s="254"/>
      <c r="R35" s="254"/>
      <c r="S35" s="254"/>
      <c r="T35" s="254"/>
      <c r="U35" s="254"/>
      <c r="V35" s="254"/>
    </row>
    <row r="36" spans="1:22">
      <c r="A36" s="1187"/>
      <c r="B36" s="186" t="s">
        <v>56</v>
      </c>
      <c r="C36" s="254"/>
      <c r="D36" s="254"/>
      <c r="E36" s="254"/>
      <c r="F36" s="254"/>
      <c r="G36" s="254"/>
      <c r="H36" s="254"/>
      <c r="I36" s="254"/>
      <c r="J36" s="254"/>
      <c r="K36" s="254"/>
      <c r="L36" s="254"/>
      <c r="M36" s="254"/>
      <c r="N36" s="254"/>
      <c r="O36" s="254"/>
      <c r="P36" s="254"/>
      <c r="Q36" s="254"/>
      <c r="R36" s="254"/>
      <c r="S36" s="254"/>
      <c r="T36" s="254"/>
      <c r="U36" s="254"/>
      <c r="V36" s="254"/>
    </row>
    <row r="37" spans="1:22">
      <c r="A37" s="1187"/>
      <c r="B37" s="186" t="s">
        <v>57</v>
      </c>
      <c r="C37" s="254"/>
      <c r="D37" s="254"/>
      <c r="E37" s="254"/>
      <c r="F37" s="254"/>
      <c r="G37" s="254"/>
      <c r="H37" s="254"/>
      <c r="I37" s="254"/>
      <c r="J37" s="254"/>
      <c r="K37" s="254"/>
      <c r="L37" s="254"/>
      <c r="M37" s="254"/>
      <c r="N37" s="254"/>
      <c r="O37" s="254"/>
      <c r="P37" s="254"/>
      <c r="Q37" s="254"/>
      <c r="R37" s="254"/>
      <c r="S37" s="254"/>
      <c r="T37" s="254"/>
      <c r="U37" s="254"/>
      <c r="V37" s="254"/>
    </row>
    <row r="38" spans="1:22">
      <c r="A38" s="1187"/>
      <c r="B38" s="186" t="s">
        <v>58</v>
      </c>
      <c r="C38" s="254"/>
      <c r="D38" s="254"/>
      <c r="E38" s="254"/>
      <c r="F38" s="254"/>
      <c r="G38" s="254"/>
      <c r="H38" s="254"/>
      <c r="I38" s="254"/>
      <c r="J38" s="254"/>
      <c r="K38" s="254"/>
      <c r="L38" s="254"/>
      <c r="M38" s="254"/>
      <c r="N38" s="254"/>
      <c r="O38" s="254"/>
      <c r="P38" s="254"/>
      <c r="Q38" s="254"/>
      <c r="R38" s="254"/>
      <c r="S38" s="254"/>
      <c r="T38" s="254"/>
      <c r="U38" s="254"/>
      <c r="V38" s="254"/>
    </row>
    <row r="39" spans="1:22">
      <c r="A39" s="1187"/>
      <c r="B39" s="186" t="s">
        <v>59</v>
      </c>
      <c r="C39" s="254"/>
      <c r="D39" s="254"/>
      <c r="E39" s="254"/>
      <c r="F39" s="254"/>
      <c r="G39" s="254"/>
      <c r="H39" s="254"/>
      <c r="I39" s="254"/>
      <c r="J39" s="254"/>
      <c r="K39" s="254"/>
      <c r="L39" s="254"/>
      <c r="M39" s="254"/>
      <c r="N39" s="254"/>
      <c r="O39" s="254"/>
      <c r="P39" s="254"/>
      <c r="Q39" s="254"/>
      <c r="R39" s="254"/>
      <c r="S39" s="254"/>
      <c r="T39" s="254"/>
      <c r="U39" s="254"/>
      <c r="V39" s="254"/>
    </row>
    <row r="40" spans="1:22">
      <c r="A40" s="1187"/>
      <c r="B40" s="186" t="s">
        <v>60</v>
      </c>
      <c r="C40" s="254"/>
      <c r="D40" s="254"/>
      <c r="E40" s="254"/>
      <c r="F40" s="254"/>
      <c r="G40" s="254"/>
      <c r="H40" s="254"/>
      <c r="I40" s="254"/>
      <c r="J40" s="254"/>
      <c r="K40" s="254"/>
      <c r="L40" s="254"/>
      <c r="M40" s="254"/>
      <c r="N40" s="254"/>
      <c r="O40" s="254"/>
      <c r="P40" s="254"/>
      <c r="Q40" s="254"/>
      <c r="R40" s="254"/>
      <c r="S40" s="254"/>
      <c r="T40" s="254"/>
      <c r="U40" s="254"/>
      <c r="V40" s="254"/>
    </row>
    <row r="41" spans="1:22">
      <c r="A41" s="1187"/>
      <c r="B41" s="186" t="s">
        <v>61</v>
      </c>
      <c r="C41" s="254"/>
      <c r="D41" s="254"/>
      <c r="E41" s="254"/>
      <c r="F41" s="254"/>
      <c r="G41" s="254"/>
      <c r="H41" s="254"/>
      <c r="I41" s="254"/>
      <c r="J41" s="254"/>
      <c r="K41" s="254"/>
      <c r="L41" s="254"/>
      <c r="M41" s="254"/>
      <c r="N41" s="254"/>
      <c r="O41" s="254"/>
      <c r="P41" s="254"/>
      <c r="Q41" s="254"/>
      <c r="R41" s="254"/>
      <c r="S41" s="254"/>
      <c r="T41" s="254"/>
      <c r="U41" s="254"/>
      <c r="V41" s="254"/>
    </row>
    <row r="42" spans="1:22" ht="14.25" customHeight="1">
      <c r="A42" s="1187"/>
      <c r="B42" s="186" t="s">
        <v>62</v>
      </c>
      <c r="C42" s="254"/>
      <c r="D42" s="254"/>
      <c r="E42" s="254"/>
      <c r="F42" s="254"/>
      <c r="G42" s="254"/>
      <c r="H42" s="254"/>
      <c r="I42" s="254"/>
      <c r="J42" s="254"/>
      <c r="K42" s="254"/>
      <c r="L42" s="254"/>
      <c r="M42" s="254"/>
      <c r="N42" s="254"/>
      <c r="O42" s="254"/>
      <c r="P42" s="254"/>
      <c r="Q42" s="254"/>
      <c r="R42" s="254"/>
      <c r="S42" s="254"/>
      <c r="T42" s="254"/>
      <c r="U42" s="254"/>
      <c r="V42" s="254"/>
    </row>
    <row r="43" spans="1:22">
      <c r="A43" s="1187"/>
      <c r="B43" s="186" t="s">
        <v>63</v>
      </c>
      <c r="C43" s="254"/>
      <c r="D43" s="254"/>
      <c r="E43" s="254"/>
      <c r="F43" s="254"/>
      <c r="G43" s="254"/>
      <c r="H43" s="254"/>
      <c r="I43" s="254"/>
      <c r="J43" s="254"/>
      <c r="K43" s="254"/>
      <c r="L43" s="254"/>
      <c r="M43" s="254"/>
      <c r="N43" s="254"/>
      <c r="O43" s="254"/>
      <c r="P43" s="254"/>
      <c r="Q43" s="254"/>
      <c r="R43" s="254"/>
      <c r="S43" s="254"/>
      <c r="T43" s="254"/>
      <c r="U43" s="254"/>
      <c r="V43" s="254"/>
    </row>
    <row r="44" spans="1:22">
      <c r="A44" s="1187"/>
      <c r="B44" s="186" t="s">
        <v>64</v>
      </c>
      <c r="C44" s="254"/>
      <c r="D44" s="254"/>
      <c r="E44" s="254"/>
      <c r="F44" s="254"/>
      <c r="G44" s="254"/>
      <c r="H44" s="254"/>
      <c r="I44" s="254"/>
      <c r="J44" s="254"/>
      <c r="K44" s="254"/>
      <c r="L44" s="254"/>
      <c r="M44" s="254"/>
      <c r="N44" s="254"/>
      <c r="O44" s="254"/>
      <c r="P44" s="254"/>
      <c r="Q44" s="254"/>
      <c r="R44" s="254"/>
      <c r="S44" s="254"/>
      <c r="T44" s="254"/>
      <c r="U44" s="254"/>
      <c r="V44" s="254"/>
    </row>
    <row r="45" spans="1:22">
      <c r="A45" s="1187"/>
      <c r="B45" s="186" t="s">
        <v>65</v>
      </c>
      <c r="C45" s="254"/>
      <c r="D45" s="254"/>
      <c r="E45" s="254"/>
      <c r="F45" s="254"/>
      <c r="G45" s="254"/>
      <c r="H45" s="254"/>
      <c r="I45" s="254"/>
      <c r="J45" s="254"/>
      <c r="K45" s="254"/>
      <c r="L45" s="254"/>
      <c r="M45" s="254"/>
      <c r="N45" s="254"/>
      <c r="O45" s="254"/>
      <c r="P45" s="254"/>
      <c r="Q45" s="254"/>
      <c r="R45" s="254"/>
      <c r="S45" s="254"/>
      <c r="T45" s="254"/>
      <c r="U45" s="254"/>
      <c r="V45" s="254"/>
    </row>
    <row r="46" spans="1:22">
      <c r="A46" s="1187"/>
      <c r="B46" s="186" t="s">
        <v>66</v>
      </c>
      <c r="C46" s="254"/>
      <c r="D46" s="254"/>
      <c r="E46" s="254"/>
      <c r="F46" s="254"/>
      <c r="G46" s="254"/>
      <c r="H46" s="254"/>
      <c r="I46" s="254"/>
      <c r="J46" s="254"/>
      <c r="K46" s="254"/>
      <c r="L46" s="254"/>
      <c r="M46" s="254"/>
      <c r="N46" s="254"/>
      <c r="O46" s="254"/>
      <c r="P46" s="254"/>
      <c r="Q46" s="254"/>
      <c r="R46" s="254"/>
      <c r="S46" s="254"/>
      <c r="T46" s="254"/>
      <c r="U46" s="254"/>
      <c r="V46" s="254"/>
    </row>
    <row r="47" spans="1:22">
      <c r="A47" s="1187"/>
      <c r="B47" s="186" t="s">
        <v>67</v>
      </c>
      <c r="C47" s="254"/>
      <c r="D47" s="254"/>
      <c r="E47" s="254"/>
      <c r="F47" s="254"/>
      <c r="G47" s="254"/>
      <c r="H47" s="254"/>
      <c r="I47" s="254"/>
      <c r="J47" s="254"/>
      <c r="K47" s="254"/>
      <c r="L47" s="254"/>
      <c r="M47" s="254"/>
      <c r="N47" s="254"/>
      <c r="O47" s="254"/>
      <c r="P47" s="254"/>
      <c r="Q47" s="254"/>
      <c r="R47" s="254"/>
      <c r="S47" s="254"/>
      <c r="T47" s="254"/>
      <c r="U47" s="254"/>
      <c r="V47" s="254"/>
    </row>
    <row r="48" spans="1:22">
      <c r="A48" s="1187"/>
      <c r="B48" s="186" t="s">
        <v>68</v>
      </c>
      <c r="C48" s="254"/>
      <c r="D48" s="254"/>
      <c r="E48" s="254"/>
      <c r="F48" s="254"/>
      <c r="G48" s="254"/>
      <c r="H48" s="254"/>
      <c r="I48" s="254"/>
      <c r="J48" s="254"/>
      <c r="K48" s="254"/>
      <c r="L48" s="254"/>
      <c r="M48" s="254"/>
      <c r="N48" s="254"/>
      <c r="O48" s="254"/>
      <c r="P48" s="254"/>
      <c r="Q48" s="254"/>
      <c r="R48" s="254"/>
      <c r="S48" s="254"/>
      <c r="T48" s="254"/>
      <c r="U48" s="254"/>
      <c r="V48" s="254"/>
    </row>
    <row r="49" spans="1:22">
      <c r="A49" s="1187"/>
      <c r="B49" s="186" t="s">
        <v>69</v>
      </c>
      <c r="C49" s="254"/>
      <c r="D49" s="254"/>
      <c r="E49" s="254"/>
      <c r="F49" s="254"/>
      <c r="G49" s="254"/>
      <c r="H49" s="254"/>
      <c r="I49" s="254"/>
      <c r="J49" s="254"/>
      <c r="K49" s="254"/>
      <c r="L49" s="254"/>
      <c r="M49" s="254"/>
      <c r="N49" s="254"/>
      <c r="O49" s="254"/>
      <c r="P49" s="254"/>
      <c r="Q49" s="254"/>
      <c r="R49" s="254"/>
      <c r="S49" s="254"/>
      <c r="T49" s="254"/>
      <c r="U49" s="254"/>
      <c r="V49" s="254"/>
    </row>
    <row r="50" spans="1:22">
      <c r="A50" s="1187"/>
      <c r="B50" s="186" t="s">
        <v>70</v>
      </c>
      <c r="C50" s="254"/>
      <c r="D50" s="254"/>
      <c r="E50" s="254"/>
      <c r="F50" s="254"/>
      <c r="G50" s="254"/>
      <c r="H50" s="254"/>
      <c r="I50" s="254"/>
      <c r="J50" s="254"/>
      <c r="K50" s="254"/>
      <c r="L50" s="254"/>
      <c r="M50" s="254"/>
      <c r="N50" s="254"/>
      <c r="O50" s="254"/>
      <c r="P50" s="254"/>
      <c r="Q50" s="254"/>
      <c r="R50" s="254"/>
      <c r="S50" s="254"/>
      <c r="T50" s="254"/>
      <c r="U50" s="254"/>
      <c r="V50" s="254"/>
    </row>
    <row r="51" spans="1:22" s="248" customFormat="1">
      <c r="A51" s="1187"/>
      <c r="B51" s="186" t="s">
        <v>71</v>
      </c>
      <c r="C51" s="254"/>
      <c r="D51" s="254"/>
      <c r="E51" s="254"/>
      <c r="F51" s="254"/>
      <c r="G51" s="254"/>
      <c r="H51" s="254"/>
      <c r="I51" s="254"/>
      <c r="J51" s="254"/>
      <c r="K51" s="254"/>
      <c r="L51" s="254"/>
      <c r="M51" s="254"/>
      <c r="N51" s="254"/>
      <c r="O51" s="254"/>
      <c r="P51" s="254"/>
      <c r="Q51" s="254"/>
      <c r="R51" s="254"/>
      <c r="S51" s="254"/>
      <c r="T51" s="254"/>
      <c r="U51" s="254"/>
      <c r="V51" s="254"/>
    </row>
    <row r="52" spans="1:22" s="223" customFormat="1">
      <c r="A52" s="1187"/>
      <c r="B52" s="186" t="s">
        <v>72</v>
      </c>
      <c r="C52" s="254"/>
      <c r="D52" s="254"/>
      <c r="E52" s="254"/>
      <c r="F52" s="254"/>
      <c r="G52" s="254"/>
      <c r="H52" s="254"/>
      <c r="I52" s="254"/>
      <c r="J52" s="254"/>
      <c r="K52" s="254"/>
      <c r="L52" s="254"/>
      <c r="M52" s="254"/>
      <c r="N52" s="254"/>
      <c r="O52" s="254"/>
      <c r="P52" s="254"/>
      <c r="Q52" s="254"/>
      <c r="R52" s="254"/>
      <c r="S52" s="254"/>
      <c r="T52" s="254"/>
      <c r="U52" s="254"/>
      <c r="V52" s="254"/>
    </row>
    <row r="53" spans="1:22" s="223" customFormat="1">
      <c r="A53" s="1187"/>
      <c r="B53" s="186" t="s">
        <v>73</v>
      </c>
      <c r="C53" s="254"/>
      <c r="D53" s="254"/>
      <c r="E53" s="254"/>
      <c r="F53" s="254"/>
      <c r="G53" s="254"/>
      <c r="H53" s="254"/>
      <c r="I53" s="254"/>
      <c r="J53" s="254"/>
      <c r="K53" s="254"/>
      <c r="L53" s="254"/>
      <c r="M53" s="254"/>
      <c r="N53" s="254"/>
      <c r="O53" s="254"/>
      <c r="P53" s="254"/>
      <c r="Q53" s="254"/>
      <c r="R53" s="254"/>
      <c r="S53" s="254"/>
      <c r="T53" s="254"/>
      <c r="U53" s="254"/>
      <c r="V53" s="254"/>
    </row>
    <row r="54" spans="1:22" s="248" customFormat="1" ht="15" customHeight="1">
      <c r="A54" s="1187"/>
      <c r="B54" s="186" t="s">
        <v>74</v>
      </c>
      <c r="C54" s="254"/>
      <c r="D54" s="254"/>
      <c r="E54" s="254"/>
      <c r="F54" s="254"/>
      <c r="G54" s="254"/>
      <c r="H54" s="254"/>
      <c r="I54" s="254"/>
      <c r="J54" s="254"/>
      <c r="K54" s="254"/>
      <c r="L54" s="254"/>
      <c r="M54" s="254"/>
      <c r="N54" s="254"/>
      <c r="O54" s="254"/>
      <c r="P54" s="254"/>
      <c r="Q54" s="254"/>
      <c r="R54" s="254"/>
      <c r="S54" s="254"/>
      <c r="T54" s="254"/>
      <c r="U54" s="254"/>
      <c r="V54" s="254"/>
    </row>
    <row r="55" spans="1:22" s="248" customFormat="1">
      <c r="A55" s="1187"/>
      <c r="B55" s="186" t="s">
        <v>75</v>
      </c>
      <c r="C55" s="254"/>
      <c r="D55" s="254"/>
      <c r="E55" s="254"/>
      <c r="F55" s="254"/>
      <c r="G55" s="254"/>
      <c r="H55" s="254"/>
      <c r="I55" s="254"/>
      <c r="J55" s="254"/>
      <c r="K55" s="254"/>
      <c r="L55" s="254"/>
      <c r="M55" s="254"/>
      <c r="N55" s="254"/>
      <c r="O55" s="254"/>
      <c r="P55" s="254"/>
      <c r="Q55" s="254"/>
      <c r="R55" s="254"/>
      <c r="S55" s="254"/>
      <c r="T55" s="254"/>
      <c r="U55" s="254"/>
      <c r="V55" s="254"/>
    </row>
    <row r="56" spans="1:22" s="248" customFormat="1">
      <c r="A56" s="1187"/>
      <c r="B56" s="186" t="s">
        <v>76</v>
      </c>
      <c r="C56" s="195"/>
      <c r="D56" s="195"/>
      <c r="E56" s="195"/>
      <c r="F56" s="195"/>
      <c r="G56" s="195"/>
      <c r="H56" s="195"/>
      <c r="I56" s="195"/>
      <c r="J56" s="195"/>
      <c r="K56" s="195"/>
      <c r="L56" s="195"/>
      <c r="M56" s="195"/>
      <c r="N56" s="195"/>
      <c r="O56" s="195"/>
      <c r="P56" s="195"/>
      <c r="Q56" s="195"/>
      <c r="R56" s="188"/>
      <c r="S56" s="188"/>
      <c r="T56" s="188"/>
      <c r="U56" s="188"/>
      <c r="V56" s="188"/>
    </row>
    <row r="57" spans="1:22" s="248" customFormat="1">
      <c r="A57" s="1187"/>
      <c r="B57" s="186" t="s">
        <v>77</v>
      </c>
      <c r="C57" s="195"/>
      <c r="D57" s="195"/>
      <c r="E57" s="195"/>
      <c r="F57" s="195"/>
      <c r="G57" s="195"/>
      <c r="H57" s="195"/>
      <c r="I57" s="195"/>
      <c r="J57" s="195"/>
      <c r="K57" s="195"/>
      <c r="L57" s="195"/>
      <c r="M57" s="195"/>
      <c r="N57" s="195"/>
      <c r="O57" s="195"/>
      <c r="P57" s="195"/>
      <c r="Q57" s="195"/>
      <c r="R57" s="188"/>
      <c r="S57" s="188"/>
      <c r="T57" s="188"/>
      <c r="U57" s="188"/>
      <c r="V57" s="188"/>
    </row>
    <row r="58" spans="1:22" s="248" customFormat="1">
      <c r="A58" s="1188"/>
      <c r="B58" s="186" t="s">
        <v>78</v>
      </c>
      <c r="C58" s="195"/>
      <c r="D58" s="195"/>
      <c r="E58" s="195"/>
      <c r="F58" s="195"/>
      <c r="G58" s="195"/>
      <c r="H58" s="195"/>
      <c r="I58" s="195"/>
      <c r="J58" s="195"/>
      <c r="K58" s="195"/>
      <c r="L58" s="195"/>
      <c r="M58" s="195"/>
      <c r="N58" s="195"/>
      <c r="O58" s="195"/>
      <c r="P58" s="195"/>
      <c r="Q58" s="195"/>
      <c r="R58" s="188"/>
      <c r="S58" s="188"/>
      <c r="T58" s="188"/>
      <c r="U58" s="188"/>
      <c r="V58" s="188"/>
    </row>
    <row r="59" spans="1:22" s="248" customFormat="1">
      <c r="A59" s="1183" t="s">
        <v>79</v>
      </c>
      <c r="B59" s="186" t="s">
        <v>80</v>
      </c>
      <c r="C59" s="254"/>
      <c r="D59" s="254"/>
      <c r="E59" s="254"/>
      <c r="F59" s="254"/>
      <c r="G59" s="254"/>
      <c r="H59" s="254"/>
      <c r="I59" s="254"/>
      <c r="J59" s="254"/>
      <c r="K59" s="254"/>
      <c r="L59" s="254"/>
      <c r="M59" s="254"/>
      <c r="N59" s="254"/>
      <c r="O59" s="254"/>
      <c r="P59" s="254"/>
      <c r="Q59" s="254"/>
      <c r="R59" s="254"/>
      <c r="S59" s="254"/>
      <c r="T59" s="254"/>
      <c r="U59" s="254"/>
      <c r="V59" s="254"/>
    </row>
    <row r="60" spans="1:22" ht="15" customHeight="1">
      <c r="A60" s="1183"/>
      <c r="B60" s="186" t="s">
        <v>81</v>
      </c>
      <c r="C60" s="254"/>
      <c r="D60" s="254"/>
      <c r="E60" s="254"/>
      <c r="F60" s="254"/>
      <c r="G60" s="254"/>
      <c r="H60" s="254"/>
      <c r="I60" s="254"/>
      <c r="J60" s="254"/>
      <c r="K60" s="254"/>
      <c r="L60" s="254"/>
      <c r="M60" s="254"/>
      <c r="N60" s="254"/>
      <c r="O60" s="254"/>
      <c r="P60" s="254"/>
      <c r="Q60" s="254"/>
      <c r="R60" s="254"/>
      <c r="S60" s="254"/>
      <c r="T60" s="254"/>
      <c r="U60" s="254"/>
      <c r="V60" s="254"/>
    </row>
    <row r="61" spans="1:22">
      <c r="A61" s="1183"/>
      <c r="B61" s="186" t="s">
        <v>82</v>
      </c>
      <c r="C61" s="254"/>
      <c r="D61" s="254"/>
      <c r="E61" s="254"/>
      <c r="F61" s="254"/>
      <c r="G61" s="254"/>
      <c r="H61" s="254"/>
      <c r="I61" s="254"/>
      <c r="J61" s="254"/>
      <c r="K61" s="254"/>
      <c r="L61" s="254"/>
      <c r="M61" s="254"/>
      <c r="N61" s="254"/>
      <c r="O61" s="254"/>
      <c r="P61" s="254"/>
      <c r="Q61" s="254"/>
      <c r="R61" s="254"/>
      <c r="S61" s="254"/>
      <c r="T61" s="254"/>
      <c r="U61" s="254"/>
      <c r="V61" s="254"/>
    </row>
    <row r="62" spans="1:22">
      <c r="A62" s="1183"/>
      <c r="B62" s="186" t="s">
        <v>83</v>
      </c>
      <c r="C62" s="254"/>
      <c r="D62" s="254"/>
      <c r="E62" s="254"/>
      <c r="F62" s="254"/>
      <c r="G62" s="254"/>
      <c r="H62" s="254"/>
      <c r="I62" s="254"/>
      <c r="J62" s="254"/>
      <c r="K62" s="254"/>
      <c r="L62" s="254"/>
      <c r="M62" s="254"/>
      <c r="N62" s="254"/>
      <c r="O62" s="254"/>
      <c r="P62" s="254"/>
      <c r="Q62" s="254"/>
      <c r="R62" s="254"/>
      <c r="S62" s="254"/>
      <c r="T62" s="254"/>
      <c r="U62" s="254"/>
      <c r="V62" s="254"/>
    </row>
    <row r="63" spans="1:22">
      <c r="A63" s="1183"/>
      <c r="B63" s="186" t="s">
        <v>84</v>
      </c>
      <c r="C63" s="254"/>
      <c r="D63" s="254"/>
      <c r="E63" s="254"/>
      <c r="F63" s="254"/>
      <c r="G63" s="254"/>
      <c r="H63" s="254"/>
      <c r="I63" s="254"/>
      <c r="J63" s="254"/>
      <c r="K63" s="254"/>
      <c r="L63" s="254"/>
      <c r="M63" s="254"/>
      <c r="N63" s="254"/>
      <c r="O63" s="254"/>
      <c r="P63" s="254"/>
      <c r="Q63" s="254"/>
      <c r="R63" s="254"/>
      <c r="S63" s="254"/>
      <c r="T63" s="254"/>
      <c r="U63" s="254"/>
      <c r="V63" s="254"/>
    </row>
    <row r="64" spans="1:22">
      <c r="A64" s="1183"/>
      <c r="B64" s="186" t="s">
        <v>85</v>
      </c>
      <c r="C64" s="254"/>
      <c r="D64" s="254"/>
      <c r="E64" s="254"/>
      <c r="F64" s="254"/>
      <c r="G64" s="254"/>
      <c r="H64" s="254"/>
      <c r="I64" s="254"/>
      <c r="J64" s="254"/>
      <c r="K64" s="254"/>
      <c r="L64" s="254"/>
      <c r="M64" s="254"/>
      <c r="N64" s="254"/>
      <c r="O64" s="254"/>
      <c r="P64" s="254"/>
      <c r="Q64" s="254"/>
      <c r="R64" s="254"/>
      <c r="S64" s="254"/>
      <c r="T64" s="254"/>
      <c r="U64" s="254"/>
      <c r="V64" s="254"/>
    </row>
    <row r="65" spans="1:22">
      <c r="A65" s="1183"/>
      <c r="B65" s="186" t="s">
        <v>86</v>
      </c>
      <c r="C65" s="254"/>
      <c r="D65" s="254"/>
      <c r="E65" s="254"/>
      <c r="F65" s="254"/>
      <c r="G65" s="254"/>
      <c r="H65" s="254"/>
      <c r="I65" s="254"/>
      <c r="J65" s="254"/>
      <c r="K65" s="254"/>
      <c r="L65" s="254"/>
      <c r="M65" s="254"/>
      <c r="N65" s="254"/>
      <c r="O65" s="254"/>
      <c r="P65" s="254"/>
      <c r="Q65" s="254"/>
      <c r="R65" s="254"/>
      <c r="S65" s="254"/>
      <c r="T65" s="254"/>
      <c r="U65" s="254"/>
      <c r="V65" s="254"/>
    </row>
    <row r="66" spans="1:22">
      <c r="A66" s="1183"/>
      <c r="B66" s="186" t="s">
        <v>87</v>
      </c>
      <c r="C66" s="254"/>
      <c r="D66" s="254"/>
      <c r="E66" s="254"/>
      <c r="F66" s="254"/>
      <c r="G66" s="254"/>
      <c r="H66" s="254"/>
      <c r="I66" s="254"/>
      <c r="J66" s="254"/>
      <c r="K66" s="254"/>
      <c r="L66" s="254"/>
      <c r="M66" s="254"/>
      <c r="N66" s="254"/>
      <c r="O66" s="254"/>
      <c r="P66" s="254"/>
      <c r="Q66" s="254"/>
      <c r="R66" s="254"/>
      <c r="S66" s="254"/>
      <c r="T66" s="254"/>
      <c r="U66" s="254"/>
      <c r="V66" s="254"/>
    </row>
    <row r="67" spans="1:22">
      <c r="A67" s="1183"/>
      <c r="B67" s="186" t="s">
        <v>88</v>
      </c>
      <c r="C67" s="254"/>
      <c r="D67" s="254"/>
      <c r="E67" s="254"/>
      <c r="F67" s="254"/>
      <c r="G67" s="254"/>
      <c r="H67" s="254"/>
      <c r="I67" s="254"/>
      <c r="J67" s="254"/>
      <c r="K67" s="254"/>
      <c r="L67" s="254"/>
      <c r="M67" s="254"/>
      <c r="N67" s="254"/>
      <c r="O67" s="254"/>
      <c r="P67" s="254"/>
      <c r="Q67" s="254"/>
      <c r="R67" s="254"/>
      <c r="S67" s="254"/>
      <c r="T67" s="254"/>
      <c r="U67" s="254"/>
      <c r="V67" s="254"/>
    </row>
    <row r="68" spans="1:22">
      <c r="A68" s="1183"/>
      <c r="B68" s="186" t="s">
        <v>89</v>
      </c>
      <c r="C68" s="254"/>
      <c r="D68" s="254"/>
      <c r="E68" s="254"/>
      <c r="F68" s="254"/>
      <c r="G68" s="254"/>
      <c r="H68" s="254"/>
      <c r="I68" s="254"/>
      <c r="J68" s="254"/>
      <c r="K68" s="254"/>
      <c r="L68" s="254"/>
      <c r="M68" s="254"/>
      <c r="N68" s="254"/>
      <c r="O68" s="254"/>
      <c r="P68" s="254"/>
      <c r="Q68" s="254"/>
      <c r="R68" s="254"/>
      <c r="S68" s="254"/>
      <c r="T68" s="254"/>
      <c r="U68" s="254"/>
      <c r="V68" s="254"/>
    </row>
    <row r="69" spans="1:22" s="212" customFormat="1">
      <c r="A69" s="1183"/>
      <c r="B69" s="186" t="s">
        <v>90</v>
      </c>
      <c r="C69" s="254"/>
      <c r="D69" s="254"/>
      <c r="E69" s="254"/>
      <c r="F69" s="254"/>
      <c r="G69" s="254"/>
      <c r="H69" s="254"/>
      <c r="I69" s="254"/>
      <c r="J69" s="254"/>
      <c r="K69" s="254"/>
      <c r="L69" s="254"/>
      <c r="M69" s="254"/>
      <c r="N69" s="254"/>
      <c r="O69" s="254"/>
      <c r="P69" s="254"/>
      <c r="Q69" s="254"/>
      <c r="R69" s="254"/>
      <c r="S69" s="254"/>
      <c r="T69" s="254"/>
      <c r="U69" s="254"/>
      <c r="V69" s="254"/>
    </row>
    <row r="70" spans="1:22" s="212" customFormat="1">
      <c r="A70" s="1183"/>
      <c r="B70" s="186" t="s">
        <v>91</v>
      </c>
      <c r="C70" s="254"/>
      <c r="D70" s="254"/>
      <c r="E70" s="254"/>
      <c r="F70" s="254"/>
      <c r="G70" s="254"/>
      <c r="H70" s="254"/>
      <c r="I70" s="254"/>
      <c r="J70" s="254"/>
      <c r="K70" s="254"/>
      <c r="L70" s="254"/>
      <c r="M70" s="254"/>
      <c r="N70" s="254"/>
      <c r="O70" s="254"/>
      <c r="P70" s="254"/>
      <c r="Q70" s="254"/>
      <c r="R70" s="254"/>
      <c r="S70" s="254"/>
      <c r="T70" s="254"/>
      <c r="U70" s="254"/>
      <c r="V70" s="254"/>
    </row>
    <row r="71" spans="1:22" s="212" customFormat="1">
      <c r="A71" s="1183" t="s">
        <v>92</v>
      </c>
      <c r="B71" s="186" t="s">
        <v>93</v>
      </c>
      <c r="C71" s="254"/>
      <c r="D71" s="254"/>
      <c r="E71" s="254"/>
      <c r="F71" s="254"/>
      <c r="G71" s="254"/>
      <c r="H71" s="254"/>
      <c r="I71" s="254"/>
      <c r="J71" s="254"/>
      <c r="K71" s="254"/>
      <c r="L71" s="254"/>
      <c r="M71" s="254"/>
      <c r="N71" s="254"/>
      <c r="O71" s="254"/>
      <c r="P71" s="254"/>
      <c r="Q71" s="254"/>
      <c r="R71" s="254"/>
      <c r="S71" s="254"/>
      <c r="T71" s="254"/>
      <c r="U71" s="254"/>
      <c r="V71" s="254"/>
    </row>
    <row r="72" spans="1:22" s="212" customFormat="1">
      <c r="A72" s="1183"/>
      <c r="B72" s="186" t="s">
        <v>94</v>
      </c>
      <c r="C72" s="254"/>
      <c r="D72" s="254"/>
      <c r="E72" s="254"/>
      <c r="F72" s="254"/>
      <c r="G72" s="254"/>
      <c r="H72" s="254"/>
      <c r="I72" s="254"/>
      <c r="J72" s="254"/>
      <c r="K72" s="254"/>
      <c r="L72" s="254"/>
      <c r="M72" s="254"/>
      <c r="N72" s="254"/>
      <c r="O72" s="254"/>
      <c r="P72" s="254"/>
      <c r="Q72" s="254"/>
      <c r="R72" s="254"/>
      <c r="S72" s="254"/>
      <c r="T72" s="254"/>
      <c r="U72" s="254"/>
      <c r="V72" s="254"/>
    </row>
    <row r="73" spans="1:22">
      <c r="A73" s="1183"/>
      <c r="B73" s="186" t="s">
        <v>95</v>
      </c>
      <c r="C73" s="254"/>
      <c r="D73" s="254"/>
      <c r="E73" s="254"/>
      <c r="F73" s="254"/>
      <c r="G73" s="254"/>
      <c r="H73" s="254"/>
      <c r="I73" s="254"/>
      <c r="J73" s="254"/>
      <c r="K73" s="254"/>
      <c r="L73" s="254"/>
      <c r="M73" s="254"/>
      <c r="N73" s="254"/>
      <c r="O73" s="254"/>
      <c r="P73" s="254"/>
      <c r="Q73" s="254"/>
      <c r="R73" s="254"/>
      <c r="S73" s="254"/>
      <c r="T73" s="254"/>
      <c r="U73" s="254"/>
      <c r="V73" s="254"/>
    </row>
    <row r="74" spans="1:22">
      <c r="A74" s="1183"/>
      <c r="B74" s="186" t="s">
        <v>96</v>
      </c>
      <c r="C74" s="254"/>
      <c r="D74" s="254"/>
      <c r="E74" s="254"/>
      <c r="F74" s="254"/>
      <c r="G74" s="254"/>
      <c r="H74" s="254"/>
      <c r="I74" s="254"/>
      <c r="J74" s="254"/>
      <c r="K74" s="254"/>
      <c r="L74" s="254"/>
      <c r="M74" s="254"/>
      <c r="N74" s="254"/>
      <c r="O74" s="254"/>
      <c r="P74" s="254"/>
      <c r="Q74" s="254"/>
      <c r="R74" s="254"/>
      <c r="S74" s="254"/>
      <c r="T74" s="254"/>
      <c r="U74" s="254"/>
      <c r="V74" s="254"/>
    </row>
    <row r="75" spans="1:22">
      <c r="A75" s="1183"/>
      <c r="B75" s="186" t="s">
        <v>97</v>
      </c>
      <c r="C75" s="254"/>
      <c r="D75" s="254"/>
      <c r="E75" s="254"/>
      <c r="F75" s="254"/>
      <c r="G75" s="254"/>
      <c r="H75" s="254"/>
      <c r="I75" s="254"/>
      <c r="J75" s="254"/>
      <c r="K75" s="254"/>
      <c r="L75" s="254"/>
      <c r="M75" s="254"/>
      <c r="N75" s="254"/>
      <c r="O75" s="254"/>
      <c r="P75" s="254"/>
      <c r="Q75" s="254"/>
      <c r="R75" s="254"/>
      <c r="S75" s="254"/>
      <c r="T75" s="254"/>
      <c r="U75" s="254"/>
      <c r="V75" s="254"/>
    </row>
    <row r="76" spans="1:22">
      <c r="A76" s="1183"/>
      <c r="B76" s="186" t="s">
        <v>98</v>
      </c>
      <c r="C76" s="254"/>
      <c r="D76" s="254"/>
      <c r="E76" s="254"/>
      <c r="F76" s="254"/>
      <c r="G76" s="254"/>
      <c r="H76" s="254"/>
      <c r="I76" s="254"/>
      <c r="J76" s="254"/>
      <c r="K76" s="254"/>
      <c r="L76" s="254"/>
      <c r="M76" s="254"/>
      <c r="N76" s="254"/>
      <c r="O76" s="254"/>
      <c r="P76" s="254"/>
      <c r="Q76" s="254"/>
      <c r="R76" s="254"/>
      <c r="S76" s="254"/>
      <c r="T76" s="254"/>
      <c r="U76" s="254"/>
      <c r="V76" s="254"/>
    </row>
    <row r="77" spans="1:22">
      <c r="A77" s="1183"/>
      <c r="B77" s="186" t="s">
        <v>99</v>
      </c>
      <c r="C77" s="254"/>
      <c r="D77" s="254"/>
      <c r="E77" s="254"/>
      <c r="F77" s="254"/>
      <c r="G77" s="254"/>
      <c r="H77" s="254"/>
      <c r="I77" s="254"/>
      <c r="J77" s="254"/>
      <c r="K77" s="254"/>
      <c r="L77" s="254"/>
      <c r="M77" s="254"/>
      <c r="N77" s="254"/>
      <c r="O77" s="254"/>
      <c r="P77" s="254"/>
      <c r="Q77" s="254"/>
      <c r="R77" s="254"/>
      <c r="S77" s="254"/>
      <c r="T77" s="254"/>
      <c r="U77" s="254"/>
      <c r="V77" s="254"/>
    </row>
    <row r="78" spans="1:22">
      <c r="A78" s="1183"/>
      <c r="B78" s="186" t="s">
        <v>100</v>
      </c>
      <c r="C78" s="254"/>
      <c r="D78" s="254"/>
      <c r="E78" s="254"/>
      <c r="F78" s="254"/>
      <c r="G78" s="254"/>
      <c r="H78" s="254"/>
      <c r="I78" s="254"/>
      <c r="J78" s="254"/>
      <c r="K78" s="254"/>
      <c r="L78" s="254"/>
      <c r="M78" s="254"/>
      <c r="N78" s="254"/>
      <c r="O78" s="254"/>
      <c r="P78" s="254"/>
      <c r="Q78" s="254"/>
      <c r="R78" s="254"/>
      <c r="S78" s="254"/>
      <c r="T78" s="254"/>
      <c r="U78" s="254"/>
      <c r="V78" s="254"/>
    </row>
    <row r="79" spans="1:22">
      <c r="A79" s="1183"/>
      <c r="B79" s="186" t="s">
        <v>101</v>
      </c>
      <c r="C79" s="254"/>
      <c r="D79" s="254"/>
      <c r="E79" s="254"/>
      <c r="F79" s="254"/>
      <c r="G79" s="254"/>
      <c r="H79" s="254"/>
      <c r="I79" s="254"/>
      <c r="J79" s="254"/>
      <c r="K79" s="254"/>
      <c r="L79" s="254"/>
      <c r="M79" s="254"/>
      <c r="N79" s="254"/>
      <c r="O79" s="254"/>
      <c r="P79" s="254"/>
      <c r="Q79" s="254"/>
      <c r="R79" s="254"/>
      <c r="S79" s="254"/>
      <c r="T79" s="254"/>
      <c r="U79" s="254"/>
      <c r="V79" s="254"/>
    </row>
    <row r="80" spans="1:22">
      <c r="A80" s="1183"/>
      <c r="B80" s="186" t="s">
        <v>102</v>
      </c>
      <c r="C80" s="254"/>
      <c r="D80" s="254"/>
      <c r="E80" s="254"/>
      <c r="F80" s="254"/>
      <c r="G80" s="254"/>
      <c r="H80" s="254"/>
      <c r="I80" s="254"/>
      <c r="J80" s="254"/>
      <c r="K80" s="254"/>
      <c r="L80" s="254"/>
      <c r="M80" s="254"/>
      <c r="N80" s="254"/>
      <c r="O80" s="254"/>
      <c r="P80" s="254"/>
      <c r="Q80" s="254"/>
      <c r="R80" s="254"/>
      <c r="S80" s="254"/>
      <c r="T80" s="254"/>
      <c r="U80" s="254"/>
      <c r="V80" s="254"/>
    </row>
    <row r="81" spans="1:22">
      <c r="A81" s="1183"/>
      <c r="B81" s="186" t="s">
        <v>103</v>
      </c>
      <c r="C81" s="254"/>
      <c r="D81" s="254"/>
      <c r="E81" s="254"/>
      <c r="F81" s="254"/>
      <c r="G81" s="254"/>
      <c r="H81" s="254"/>
      <c r="I81" s="254"/>
      <c r="J81" s="254"/>
      <c r="K81" s="254"/>
      <c r="L81" s="254"/>
      <c r="M81" s="254"/>
      <c r="N81" s="254"/>
      <c r="O81" s="254"/>
      <c r="P81" s="254"/>
      <c r="Q81" s="254"/>
      <c r="R81" s="254"/>
      <c r="S81" s="254"/>
      <c r="T81" s="254"/>
      <c r="U81" s="254"/>
      <c r="V81" s="254"/>
    </row>
    <row r="82" spans="1:22">
      <c r="A82" s="1183"/>
      <c r="B82" s="186" t="s">
        <v>104</v>
      </c>
      <c r="C82" s="254"/>
      <c r="D82" s="254"/>
      <c r="E82" s="254"/>
      <c r="F82" s="254"/>
      <c r="G82" s="254"/>
      <c r="H82" s="254"/>
      <c r="I82" s="254"/>
      <c r="J82" s="254"/>
      <c r="K82" s="254"/>
      <c r="L82" s="254"/>
      <c r="M82" s="254"/>
      <c r="N82" s="254"/>
      <c r="O82" s="254"/>
      <c r="P82" s="254"/>
      <c r="Q82" s="254"/>
      <c r="R82" s="254"/>
      <c r="S82" s="254"/>
      <c r="T82" s="254"/>
      <c r="U82" s="254"/>
      <c r="V82" s="254"/>
    </row>
    <row r="83" spans="1:22">
      <c r="A83" s="1183"/>
      <c r="B83" s="186" t="s">
        <v>105</v>
      </c>
      <c r="C83" s="254"/>
      <c r="D83" s="254"/>
      <c r="E83" s="254"/>
      <c r="F83" s="254"/>
      <c r="G83" s="254"/>
      <c r="H83" s="254"/>
      <c r="I83" s="254"/>
      <c r="J83" s="254"/>
      <c r="K83" s="254"/>
      <c r="L83" s="254"/>
      <c r="M83" s="254"/>
      <c r="N83" s="254"/>
      <c r="O83" s="254"/>
      <c r="P83" s="254"/>
      <c r="Q83" s="254"/>
      <c r="R83" s="254"/>
      <c r="S83" s="254"/>
      <c r="T83" s="254"/>
      <c r="U83" s="254"/>
      <c r="V83" s="254"/>
    </row>
    <row r="84" spans="1:22">
      <c r="A84" s="1183"/>
      <c r="B84" s="186" t="s">
        <v>106</v>
      </c>
      <c r="C84" s="254"/>
      <c r="D84" s="254"/>
      <c r="E84" s="254"/>
      <c r="F84" s="254"/>
      <c r="G84" s="254"/>
      <c r="H84" s="254"/>
      <c r="I84" s="254"/>
      <c r="J84" s="254"/>
      <c r="K84" s="254"/>
      <c r="L84" s="254"/>
      <c r="M84" s="254"/>
      <c r="N84" s="254"/>
      <c r="O84" s="254"/>
      <c r="P84" s="254"/>
      <c r="Q84" s="254"/>
      <c r="R84" s="254"/>
      <c r="S84" s="254"/>
      <c r="T84" s="254"/>
      <c r="U84" s="254"/>
      <c r="V84" s="254"/>
    </row>
    <row r="85" spans="1:22">
      <c r="A85" s="1183"/>
      <c r="B85" s="186" t="s">
        <v>107</v>
      </c>
      <c r="C85" s="254"/>
      <c r="D85" s="254"/>
      <c r="E85" s="254"/>
      <c r="F85" s="254"/>
      <c r="G85" s="254"/>
      <c r="H85" s="254"/>
      <c r="I85" s="254"/>
      <c r="J85" s="254"/>
      <c r="K85" s="254"/>
      <c r="L85" s="254"/>
      <c r="M85" s="254"/>
      <c r="N85" s="254"/>
      <c r="O85" s="254"/>
      <c r="P85" s="254"/>
      <c r="Q85" s="254"/>
      <c r="R85" s="254"/>
      <c r="S85" s="254"/>
      <c r="T85" s="254"/>
      <c r="U85" s="254"/>
      <c r="V85" s="254"/>
    </row>
    <row r="86" spans="1:22">
      <c r="A86" s="1183"/>
      <c r="B86" s="186" t="s">
        <v>108</v>
      </c>
      <c r="C86" s="254"/>
      <c r="D86" s="254"/>
      <c r="E86" s="254"/>
      <c r="F86" s="254"/>
      <c r="G86" s="254"/>
      <c r="H86" s="254"/>
      <c r="I86" s="254"/>
      <c r="J86" s="254"/>
      <c r="K86" s="254"/>
      <c r="L86" s="254"/>
      <c r="M86" s="254"/>
      <c r="N86" s="254"/>
      <c r="O86" s="254"/>
      <c r="P86" s="254"/>
      <c r="Q86" s="254"/>
      <c r="R86" s="254"/>
      <c r="S86" s="254"/>
      <c r="T86" s="254"/>
      <c r="U86" s="254"/>
      <c r="V86" s="254"/>
    </row>
    <row r="87" spans="1:22" s="248" customFormat="1">
      <c r="A87" s="1183"/>
      <c r="B87" s="186" t="s">
        <v>109</v>
      </c>
      <c r="C87" s="254"/>
      <c r="D87" s="254"/>
      <c r="E87" s="254"/>
      <c r="F87" s="254"/>
      <c r="G87" s="254"/>
      <c r="H87" s="254"/>
      <c r="I87" s="254"/>
      <c r="J87" s="254"/>
      <c r="K87" s="254"/>
      <c r="L87" s="254"/>
      <c r="M87" s="254"/>
      <c r="N87" s="254"/>
      <c r="O87" s="254"/>
      <c r="P87" s="254"/>
      <c r="Q87" s="254"/>
      <c r="R87" s="254"/>
      <c r="S87" s="254"/>
      <c r="T87" s="254"/>
      <c r="U87" s="254"/>
      <c r="V87" s="254"/>
    </row>
    <row r="88" spans="1:22" ht="15" customHeight="1">
      <c r="A88" s="1183"/>
      <c r="B88" s="186" t="s">
        <v>110</v>
      </c>
      <c r="C88" s="254"/>
      <c r="D88" s="254"/>
      <c r="E88" s="254"/>
      <c r="F88" s="254"/>
      <c r="G88" s="254"/>
      <c r="H88" s="254"/>
      <c r="I88" s="254"/>
      <c r="J88" s="254"/>
      <c r="K88" s="254"/>
      <c r="L88" s="254"/>
      <c r="M88" s="254"/>
      <c r="N88" s="254"/>
      <c r="O88" s="254"/>
      <c r="P88" s="254"/>
      <c r="Q88" s="254"/>
      <c r="R88" s="254"/>
      <c r="S88" s="254"/>
      <c r="T88" s="254"/>
      <c r="U88" s="254"/>
      <c r="V88" s="254"/>
    </row>
    <row r="89" spans="1:22">
      <c r="A89" s="1183"/>
      <c r="B89" s="186" t="s">
        <v>111</v>
      </c>
      <c r="C89" s="254"/>
      <c r="D89" s="254"/>
      <c r="E89" s="254"/>
      <c r="F89" s="254"/>
      <c r="G89" s="254"/>
      <c r="H89" s="254"/>
      <c r="I89" s="254"/>
      <c r="J89" s="254"/>
      <c r="K89" s="254"/>
      <c r="L89" s="254"/>
      <c r="M89" s="254"/>
      <c r="N89" s="254"/>
      <c r="O89" s="254"/>
      <c r="P89" s="254"/>
      <c r="Q89" s="254"/>
      <c r="R89" s="254"/>
      <c r="S89" s="254"/>
      <c r="T89" s="254"/>
      <c r="U89" s="254"/>
      <c r="V89" s="254"/>
    </row>
    <row r="90" spans="1:22">
      <c r="A90" s="1183"/>
      <c r="B90" s="186" t="s">
        <v>112</v>
      </c>
      <c r="C90" s="254"/>
      <c r="D90" s="254"/>
      <c r="E90" s="254"/>
      <c r="F90" s="254"/>
      <c r="G90" s="254"/>
      <c r="H90" s="254"/>
      <c r="I90" s="254"/>
      <c r="J90" s="254"/>
      <c r="K90" s="254"/>
      <c r="L90" s="254"/>
      <c r="M90" s="254"/>
      <c r="N90" s="254"/>
      <c r="O90" s="254"/>
      <c r="P90" s="254"/>
      <c r="Q90" s="254"/>
      <c r="R90" s="254"/>
      <c r="S90" s="254"/>
      <c r="T90" s="254"/>
      <c r="U90" s="254"/>
      <c r="V90" s="254"/>
    </row>
    <row r="91" spans="1:22">
      <c r="A91" s="1183"/>
      <c r="B91" s="186" t="s">
        <v>113</v>
      </c>
      <c r="C91" s="254"/>
      <c r="D91" s="254"/>
      <c r="E91" s="254"/>
      <c r="F91" s="254"/>
      <c r="G91" s="254"/>
      <c r="H91" s="254"/>
      <c r="I91" s="254"/>
      <c r="J91" s="254"/>
      <c r="K91" s="254"/>
      <c r="L91" s="254"/>
      <c r="M91" s="254"/>
      <c r="N91" s="254"/>
      <c r="O91" s="254"/>
      <c r="P91" s="254"/>
      <c r="Q91" s="254"/>
      <c r="R91" s="254"/>
      <c r="S91" s="254"/>
      <c r="T91" s="254"/>
      <c r="U91" s="254"/>
      <c r="V91" s="254"/>
    </row>
    <row r="92" spans="1:22" ht="14.25" customHeight="1">
      <c r="A92" s="1183"/>
      <c r="B92" s="186" t="s">
        <v>114</v>
      </c>
      <c r="C92" s="254"/>
      <c r="D92" s="254"/>
      <c r="E92" s="254"/>
      <c r="F92" s="254"/>
      <c r="G92" s="254"/>
      <c r="H92" s="254"/>
      <c r="I92" s="254"/>
      <c r="J92" s="254"/>
      <c r="K92" s="254"/>
      <c r="L92" s="254"/>
      <c r="M92" s="254"/>
      <c r="N92" s="254"/>
      <c r="O92" s="254"/>
      <c r="P92" s="254"/>
      <c r="Q92" s="254"/>
      <c r="R92" s="254"/>
      <c r="S92" s="254"/>
      <c r="T92" s="254"/>
      <c r="U92" s="254"/>
      <c r="V92" s="254"/>
    </row>
    <row r="93" spans="1:22">
      <c r="A93" s="1183"/>
      <c r="B93" s="186" t="s">
        <v>115</v>
      </c>
      <c r="C93" s="254"/>
      <c r="D93" s="254"/>
      <c r="E93" s="254"/>
      <c r="F93" s="254"/>
      <c r="G93" s="254"/>
      <c r="H93" s="254"/>
      <c r="I93" s="254"/>
      <c r="J93" s="254"/>
      <c r="K93" s="254"/>
      <c r="L93" s="254"/>
      <c r="M93" s="254"/>
      <c r="N93" s="254"/>
      <c r="O93" s="254"/>
      <c r="P93" s="254"/>
      <c r="Q93" s="254"/>
      <c r="R93" s="254"/>
      <c r="S93" s="254"/>
      <c r="T93" s="254"/>
      <c r="U93" s="254"/>
      <c r="V93" s="254"/>
    </row>
    <row r="94" spans="1:22">
      <c r="A94" s="1183"/>
      <c r="B94" s="186" t="s">
        <v>116</v>
      </c>
      <c r="C94" s="254"/>
      <c r="D94" s="254"/>
      <c r="E94" s="254"/>
      <c r="F94" s="254"/>
      <c r="G94" s="254"/>
      <c r="H94" s="254"/>
      <c r="I94" s="254"/>
      <c r="J94" s="254"/>
      <c r="K94" s="254"/>
      <c r="L94" s="254"/>
      <c r="M94" s="254"/>
      <c r="N94" s="254"/>
      <c r="O94" s="254"/>
      <c r="P94" s="254"/>
      <c r="Q94" s="254"/>
      <c r="R94" s="254"/>
      <c r="S94" s="254"/>
      <c r="T94" s="254"/>
      <c r="U94" s="254"/>
      <c r="V94" s="254"/>
    </row>
    <row r="95" spans="1:22">
      <c r="A95" s="1183"/>
      <c r="B95" s="186" t="s">
        <v>117</v>
      </c>
      <c r="C95" s="254"/>
      <c r="D95" s="254"/>
      <c r="E95" s="254"/>
      <c r="F95" s="254"/>
      <c r="G95" s="254"/>
      <c r="H95" s="254"/>
      <c r="I95" s="254"/>
      <c r="J95" s="254"/>
      <c r="K95" s="254"/>
      <c r="L95" s="254"/>
      <c r="M95" s="254"/>
      <c r="N95" s="254"/>
      <c r="O95" s="254"/>
      <c r="P95" s="254"/>
      <c r="Q95" s="254"/>
      <c r="R95" s="254"/>
      <c r="S95" s="254"/>
      <c r="T95" s="254"/>
      <c r="U95" s="254"/>
      <c r="V95" s="254"/>
    </row>
    <row r="96" spans="1:22" ht="15" customHeight="1">
      <c r="A96" s="1183"/>
      <c r="B96" s="186" t="s">
        <v>118</v>
      </c>
      <c r="C96" s="254"/>
      <c r="D96" s="254"/>
      <c r="E96" s="254"/>
      <c r="F96" s="254"/>
      <c r="G96" s="254"/>
      <c r="H96" s="254"/>
      <c r="I96" s="254"/>
      <c r="J96" s="254"/>
      <c r="K96" s="254"/>
      <c r="L96" s="254"/>
      <c r="M96" s="254"/>
      <c r="N96" s="254"/>
      <c r="O96" s="254"/>
      <c r="P96" s="254"/>
      <c r="Q96" s="254"/>
      <c r="R96" s="254"/>
      <c r="S96" s="254"/>
      <c r="T96" s="254"/>
      <c r="U96" s="254"/>
      <c r="V96" s="254"/>
    </row>
    <row r="97" spans="1:22">
      <c r="A97" s="1183"/>
      <c r="B97" s="186" t="s">
        <v>119</v>
      </c>
      <c r="C97" s="254"/>
      <c r="D97" s="254"/>
      <c r="E97" s="254"/>
      <c r="F97" s="254"/>
      <c r="G97" s="254"/>
      <c r="H97" s="254"/>
      <c r="I97" s="254"/>
      <c r="J97" s="254"/>
      <c r="K97" s="254"/>
      <c r="L97" s="254"/>
      <c r="M97" s="254"/>
      <c r="N97" s="254"/>
      <c r="O97" s="254"/>
      <c r="P97" s="254"/>
      <c r="Q97" s="254"/>
      <c r="R97" s="254"/>
      <c r="S97" s="254"/>
      <c r="T97" s="254"/>
      <c r="U97" s="254"/>
      <c r="V97" s="254"/>
    </row>
    <row r="98" spans="1:22">
      <c r="A98" s="1183"/>
      <c r="B98" s="186" t="s">
        <v>120</v>
      </c>
      <c r="C98" s="254"/>
      <c r="D98" s="254"/>
      <c r="E98" s="254"/>
      <c r="F98" s="254"/>
      <c r="G98" s="254"/>
      <c r="H98" s="254"/>
      <c r="I98" s="254"/>
      <c r="J98" s="254"/>
      <c r="K98" s="254"/>
      <c r="L98" s="254"/>
      <c r="M98" s="254"/>
      <c r="N98" s="254"/>
      <c r="O98" s="254"/>
      <c r="P98" s="254"/>
      <c r="Q98" s="254"/>
      <c r="R98" s="254"/>
      <c r="S98" s="254"/>
      <c r="T98" s="254"/>
      <c r="U98" s="254"/>
      <c r="V98" s="254"/>
    </row>
    <row r="99" spans="1:22">
      <c r="A99" s="1183" t="s">
        <v>121</v>
      </c>
      <c r="B99" s="186" t="s">
        <v>122</v>
      </c>
      <c r="C99" s="254"/>
      <c r="D99" s="254"/>
      <c r="E99" s="254"/>
      <c r="F99" s="254"/>
      <c r="G99" s="254"/>
      <c r="H99" s="254"/>
      <c r="I99" s="254"/>
      <c r="J99" s="254"/>
      <c r="K99" s="254"/>
      <c r="L99" s="254"/>
      <c r="M99" s="254"/>
      <c r="N99" s="254"/>
      <c r="O99" s="254"/>
      <c r="P99" s="254"/>
      <c r="Q99" s="254"/>
      <c r="R99" s="254"/>
      <c r="S99" s="254"/>
      <c r="T99" s="254"/>
      <c r="U99" s="254"/>
      <c r="V99" s="254"/>
    </row>
    <row r="100" spans="1:22">
      <c r="A100" s="1183"/>
      <c r="B100" s="186" t="s">
        <v>123</v>
      </c>
      <c r="C100" s="254"/>
      <c r="D100" s="254"/>
      <c r="E100" s="254"/>
      <c r="F100" s="254"/>
      <c r="G100" s="254"/>
      <c r="H100" s="254"/>
      <c r="I100" s="254"/>
      <c r="J100" s="254"/>
      <c r="K100" s="254"/>
      <c r="L100" s="254"/>
      <c r="M100" s="254"/>
      <c r="N100" s="254"/>
      <c r="O100" s="254"/>
      <c r="P100" s="254"/>
      <c r="Q100" s="254"/>
      <c r="R100" s="254"/>
      <c r="S100" s="254"/>
      <c r="T100" s="254"/>
      <c r="U100" s="254"/>
      <c r="V100" s="254"/>
    </row>
    <row r="101" spans="1:22">
      <c r="A101" s="1183"/>
      <c r="B101" s="186" t="s">
        <v>124</v>
      </c>
      <c r="C101" s="254"/>
      <c r="D101" s="254"/>
      <c r="E101" s="254"/>
      <c r="F101" s="254"/>
      <c r="G101" s="254"/>
      <c r="H101" s="254"/>
      <c r="I101" s="254"/>
      <c r="J101" s="254"/>
      <c r="K101" s="254"/>
      <c r="L101" s="254"/>
      <c r="M101" s="254"/>
      <c r="N101" s="254"/>
      <c r="O101" s="254"/>
      <c r="P101" s="254"/>
      <c r="Q101" s="254"/>
      <c r="R101" s="254"/>
      <c r="S101" s="254"/>
      <c r="T101" s="254"/>
      <c r="U101" s="254"/>
      <c r="V101" s="254"/>
    </row>
    <row r="102" spans="1:22">
      <c r="A102" s="1183"/>
      <c r="B102" s="186" t="s">
        <v>125</v>
      </c>
      <c r="C102" s="254"/>
      <c r="D102" s="254"/>
      <c r="E102" s="254"/>
      <c r="F102" s="254"/>
      <c r="G102" s="254"/>
      <c r="H102" s="254"/>
      <c r="I102" s="254"/>
      <c r="J102" s="254"/>
      <c r="K102" s="254"/>
      <c r="L102" s="254"/>
      <c r="M102" s="254"/>
      <c r="N102" s="254"/>
      <c r="O102" s="254"/>
      <c r="P102" s="254"/>
      <c r="Q102" s="254"/>
      <c r="R102" s="254"/>
      <c r="S102" s="254"/>
      <c r="T102" s="254"/>
      <c r="U102" s="254"/>
      <c r="V102" s="254"/>
    </row>
    <row r="103" spans="1:22">
      <c r="A103" s="1183"/>
      <c r="B103" s="186" t="s">
        <v>126</v>
      </c>
      <c r="C103" s="254"/>
      <c r="D103" s="254"/>
      <c r="E103" s="254"/>
      <c r="F103" s="254"/>
      <c r="G103" s="254"/>
      <c r="H103" s="254"/>
      <c r="I103" s="254"/>
      <c r="J103" s="254"/>
      <c r="K103" s="254"/>
      <c r="L103" s="254"/>
      <c r="M103" s="254"/>
      <c r="N103" s="254"/>
      <c r="O103" s="254"/>
      <c r="P103" s="254"/>
      <c r="Q103" s="254"/>
      <c r="R103" s="254"/>
      <c r="S103" s="254"/>
      <c r="T103" s="254"/>
      <c r="U103" s="254"/>
      <c r="V103" s="254"/>
    </row>
    <row r="104" spans="1:22">
      <c r="A104" s="1183"/>
      <c r="B104" s="186" t="s">
        <v>127</v>
      </c>
      <c r="C104" s="254"/>
      <c r="D104" s="254"/>
      <c r="E104" s="254"/>
      <c r="F104" s="254"/>
      <c r="G104" s="254"/>
      <c r="H104" s="254"/>
      <c r="I104" s="254"/>
      <c r="J104" s="254"/>
      <c r="K104" s="254"/>
      <c r="L104" s="254"/>
      <c r="M104" s="254"/>
      <c r="N104" s="254"/>
      <c r="O104" s="254"/>
      <c r="P104" s="254"/>
      <c r="Q104" s="254"/>
      <c r="R104" s="254"/>
      <c r="S104" s="254"/>
      <c r="T104" s="254"/>
      <c r="U104" s="254"/>
      <c r="V104" s="254"/>
    </row>
    <row r="105" spans="1:22" ht="15" customHeight="1">
      <c r="A105" s="1183" t="s">
        <v>128</v>
      </c>
      <c r="B105" s="246" t="s">
        <v>129</v>
      </c>
      <c r="C105" s="195"/>
      <c r="D105" s="195"/>
      <c r="E105" s="195"/>
      <c r="F105" s="195"/>
      <c r="G105" s="195"/>
      <c r="H105" s="195"/>
      <c r="I105" s="195"/>
      <c r="J105" s="195"/>
      <c r="K105" s="195"/>
      <c r="L105" s="195"/>
      <c r="M105" s="195"/>
      <c r="N105" s="195"/>
      <c r="O105" s="195"/>
      <c r="P105" s="195"/>
      <c r="Q105" s="195"/>
      <c r="R105" s="195"/>
      <c r="S105" s="195"/>
      <c r="T105" s="195"/>
      <c r="U105" s="195"/>
      <c r="V105" s="195"/>
    </row>
    <row r="106" spans="1:22">
      <c r="A106" s="1183"/>
      <c r="B106" s="246" t="s">
        <v>130</v>
      </c>
      <c r="C106" s="195"/>
      <c r="D106" s="195"/>
      <c r="E106" s="195"/>
      <c r="F106" s="195"/>
      <c r="G106" s="195"/>
      <c r="H106" s="195"/>
      <c r="I106" s="195"/>
      <c r="J106" s="195"/>
      <c r="K106" s="195"/>
      <c r="L106" s="195"/>
      <c r="M106" s="195"/>
      <c r="N106" s="195"/>
      <c r="O106" s="195"/>
      <c r="P106" s="195"/>
      <c r="Q106" s="195"/>
      <c r="R106" s="195"/>
      <c r="S106" s="195"/>
      <c r="T106" s="195"/>
      <c r="U106" s="195"/>
      <c r="V106" s="195"/>
    </row>
    <row r="107" spans="1:22">
      <c r="A107" s="1183"/>
      <c r="B107" s="246" t="s">
        <v>131</v>
      </c>
      <c r="C107" s="195"/>
      <c r="D107" s="195"/>
      <c r="E107" s="195"/>
      <c r="F107" s="195"/>
      <c r="G107" s="195"/>
      <c r="H107" s="195"/>
      <c r="I107" s="195"/>
      <c r="J107" s="195"/>
      <c r="K107" s="195"/>
      <c r="L107" s="195"/>
      <c r="M107" s="195"/>
      <c r="N107" s="195"/>
      <c r="O107" s="195"/>
      <c r="P107" s="195"/>
      <c r="Q107" s="195"/>
      <c r="R107" s="195"/>
      <c r="S107" s="195"/>
      <c r="T107" s="195"/>
      <c r="U107" s="195"/>
      <c r="V107" s="195"/>
    </row>
    <row r="108" spans="1:22">
      <c r="A108" s="1183"/>
      <c r="B108" s="246" t="s">
        <v>132</v>
      </c>
      <c r="C108" s="195"/>
      <c r="D108" s="195"/>
      <c r="E108" s="195"/>
      <c r="F108" s="195"/>
      <c r="G108" s="195"/>
      <c r="H108" s="195"/>
      <c r="I108" s="195"/>
      <c r="J108" s="195"/>
      <c r="K108" s="195"/>
      <c r="L108" s="195"/>
      <c r="M108" s="195"/>
      <c r="N108" s="195"/>
      <c r="O108" s="195"/>
      <c r="P108" s="195"/>
      <c r="Q108" s="195"/>
      <c r="R108" s="195"/>
      <c r="S108" s="195"/>
      <c r="T108" s="195"/>
      <c r="U108" s="195"/>
      <c r="V108" s="195"/>
    </row>
    <row r="109" spans="1:22">
      <c r="A109" s="1183"/>
      <c r="B109" s="246" t="s">
        <v>133</v>
      </c>
      <c r="C109" s="195"/>
      <c r="D109" s="195"/>
      <c r="E109" s="195"/>
      <c r="F109" s="195"/>
      <c r="G109" s="195"/>
      <c r="H109" s="195"/>
      <c r="I109" s="195"/>
      <c r="J109" s="195"/>
      <c r="K109" s="195"/>
      <c r="L109" s="195"/>
      <c r="M109" s="195"/>
      <c r="N109" s="195"/>
      <c r="O109" s="195"/>
      <c r="P109" s="195"/>
      <c r="Q109" s="195"/>
      <c r="R109" s="195"/>
      <c r="S109" s="195"/>
      <c r="T109" s="195"/>
      <c r="U109" s="195"/>
      <c r="V109" s="195"/>
    </row>
    <row r="110" spans="1:22">
      <c r="A110" s="1183"/>
      <c r="B110" s="246" t="s">
        <v>134</v>
      </c>
      <c r="C110" s="195"/>
      <c r="D110" s="195"/>
      <c r="E110" s="195"/>
      <c r="F110" s="195"/>
      <c r="G110" s="195"/>
      <c r="H110" s="195"/>
      <c r="I110" s="195"/>
      <c r="J110" s="195"/>
      <c r="K110" s="195"/>
      <c r="L110" s="195"/>
      <c r="M110" s="195"/>
      <c r="N110" s="195"/>
      <c r="O110" s="195"/>
      <c r="P110" s="195"/>
      <c r="Q110" s="195"/>
      <c r="R110" s="195"/>
      <c r="S110" s="195"/>
      <c r="T110" s="195"/>
      <c r="U110" s="195"/>
      <c r="V110" s="195"/>
    </row>
    <row r="111" spans="1:22">
      <c r="A111" s="1183"/>
      <c r="B111" s="246" t="s">
        <v>135</v>
      </c>
      <c r="C111" s="195"/>
      <c r="D111" s="195"/>
      <c r="E111" s="195"/>
      <c r="F111" s="195"/>
      <c r="G111" s="195"/>
      <c r="H111" s="195"/>
      <c r="I111" s="195"/>
      <c r="J111" s="195"/>
      <c r="K111" s="195"/>
      <c r="L111" s="195"/>
      <c r="M111" s="195"/>
      <c r="N111" s="195"/>
      <c r="O111" s="195"/>
      <c r="P111" s="195"/>
      <c r="Q111" s="195"/>
      <c r="R111" s="195"/>
      <c r="S111" s="195"/>
      <c r="T111" s="195"/>
      <c r="U111" s="195"/>
      <c r="V111" s="195"/>
    </row>
    <row r="112" spans="1:22">
      <c r="A112" s="1183"/>
      <c r="B112" s="246" t="s">
        <v>98</v>
      </c>
      <c r="C112" s="195"/>
      <c r="D112" s="195"/>
      <c r="E112" s="195"/>
      <c r="F112" s="195"/>
      <c r="G112" s="195"/>
      <c r="H112" s="195"/>
      <c r="I112" s="195"/>
      <c r="J112" s="195"/>
      <c r="K112" s="195"/>
      <c r="L112" s="195"/>
      <c r="M112" s="195"/>
      <c r="N112" s="195"/>
      <c r="O112" s="195"/>
      <c r="P112" s="195"/>
      <c r="Q112" s="195"/>
      <c r="R112" s="195"/>
      <c r="S112" s="195"/>
      <c r="T112" s="195"/>
      <c r="U112" s="195"/>
      <c r="V112" s="195"/>
    </row>
    <row r="113" spans="1:22">
      <c r="A113" s="1183"/>
      <c r="B113" s="246" t="s">
        <v>136</v>
      </c>
      <c r="C113" s="195"/>
      <c r="D113" s="195"/>
      <c r="E113" s="195"/>
      <c r="F113" s="195"/>
      <c r="G113" s="195"/>
      <c r="H113" s="195"/>
      <c r="I113" s="195"/>
      <c r="J113" s="195"/>
      <c r="K113" s="195"/>
      <c r="L113" s="195"/>
      <c r="M113" s="195"/>
      <c r="N113" s="195"/>
      <c r="O113" s="195"/>
      <c r="P113" s="195"/>
      <c r="Q113" s="195"/>
      <c r="R113" s="195"/>
      <c r="S113" s="195"/>
      <c r="T113" s="195"/>
      <c r="U113" s="195"/>
      <c r="V113" s="195"/>
    </row>
    <row r="114" spans="1:22" ht="14.25" customHeight="1">
      <c r="A114" s="1183"/>
      <c r="B114" s="246" t="s">
        <v>36</v>
      </c>
      <c r="C114" s="195"/>
      <c r="D114" s="195"/>
      <c r="E114" s="195"/>
      <c r="F114" s="195"/>
      <c r="G114" s="195"/>
      <c r="H114" s="195"/>
      <c r="I114" s="195"/>
      <c r="J114" s="195"/>
      <c r="K114" s="195"/>
      <c r="L114" s="195"/>
      <c r="M114" s="195"/>
      <c r="N114" s="195"/>
      <c r="O114" s="195"/>
      <c r="P114" s="195"/>
      <c r="Q114" s="195"/>
      <c r="R114" s="195"/>
      <c r="S114" s="195"/>
      <c r="T114" s="195"/>
      <c r="U114" s="195"/>
      <c r="V114" s="195"/>
    </row>
    <row r="115" spans="1:22">
      <c r="A115" s="1183"/>
      <c r="B115" s="246" t="s">
        <v>48</v>
      </c>
      <c r="C115" s="195"/>
      <c r="D115" s="195"/>
      <c r="E115" s="195"/>
      <c r="F115" s="195"/>
      <c r="G115" s="195"/>
      <c r="H115" s="195"/>
      <c r="I115" s="195"/>
      <c r="J115" s="195"/>
      <c r="K115" s="195"/>
      <c r="L115" s="195"/>
      <c r="M115" s="195"/>
      <c r="N115" s="195"/>
      <c r="O115" s="195"/>
      <c r="P115" s="195"/>
      <c r="Q115" s="195"/>
      <c r="R115" s="195"/>
      <c r="S115" s="195"/>
      <c r="T115" s="195"/>
      <c r="U115" s="195"/>
      <c r="V115" s="195"/>
    </row>
    <row r="116" spans="1:22">
      <c r="A116" s="1183"/>
      <c r="B116" s="246" t="s">
        <v>137</v>
      </c>
      <c r="C116" s="195"/>
      <c r="D116" s="195"/>
      <c r="E116" s="195"/>
      <c r="F116" s="195"/>
      <c r="G116" s="195"/>
      <c r="H116" s="195"/>
      <c r="I116" s="195"/>
      <c r="J116" s="195"/>
      <c r="K116" s="195"/>
      <c r="L116" s="195"/>
      <c r="M116" s="195"/>
      <c r="N116" s="195"/>
      <c r="O116" s="195"/>
      <c r="P116" s="195"/>
      <c r="Q116" s="195"/>
      <c r="R116" s="195"/>
      <c r="S116" s="195"/>
      <c r="T116" s="195"/>
      <c r="U116" s="195"/>
      <c r="V116" s="195"/>
    </row>
    <row r="117" spans="1:22">
      <c r="A117" s="1183"/>
      <c r="B117" s="246" t="s">
        <v>138</v>
      </c>
      <c r="C117" s="195"/>
      <c r="D117" s="195"/>
      <c r="E117" s="195"/>
      <c r="F117" s="195"/>
      <c r="G117" s="195"/>
      <c r="H117" s="195"/>
      <c r="I117" s="195"/>
      <c r="J117" s="195"/>
      <c r="K117" s="195"/>
      <c r="L117" s="195"/>
      <c r="M117" s="195"/>
      <c r="N117" s="195"/>
      <c r="O117" s="195"/>
      <c r="P117" s="195"/>
      <c r="Q117" s="195"/>
      <c r="R117" s="195"/>
      <c r="S117" s="195"/>
      <c r="T117" s="195"/>
      <c r="U117" s="195"/>
      <c r="V117" s="195"/>
    </row>
    <row r="118" spans="1:22">
      <c r="A118" s="1183"/>
      <c r="B118" s="246" t="s">
        <v>139</v>
      </c>
      <c r="C118" s="195"/>
      <c r="D118" s="195"/>
      <c r="E118" s="195"/>
      <c r="F118" s="195"/>
      <c r="G118" s="195"/>
      <c r="H118" s="195"/>
      <c r="I118" s="195"/>
      <c r="J118" s="195"/>
      <c r="K118" s="195"/>
      <c r="L118" s="195"/>
      <c r="M118" s="195"/>
      <c r="N118" s="195"/>
      <c r="O118" s="195"/>
      <c r="P118" s="195"/>
      <c r="Q118" s="195"/>
      <c r="R118" s="195"/>
      <c r="S118" s="195"/>
      <c r="T118" s="195"/>
      <c r="U118" s="195"/>
      <c r="V118" s="195"/>
    </row>
    <row r="119" spans="1:22">
      <c r="A119" s="1183"/>
      <c r="B119" s="246" t="s">
        <v>140</v>
      </c>
      <c r="C119" s="195"/>
      <c r="D119" s="195"/>
      <c r="E119" s="195"/>
      <c r="F119" s="195"/>
      <c r="G119" s="195"/>
      <c r="H119" s="195"/>
      <c r="I119" s="195"/>
      <c r="J119" s="195"/>
      <c r="K119" s="195"/>
      <c r="L119" s="195"/>
      <c r="M119" s="195"/>
      <c r="N119" s="195"/>
      <c r="O119" s="195"/>
      <c r="P119" s="195"/>
      <c r="Q119" s="195"/>
      <c r="R119" s="195"/>
      <c r="S119" s="195"/>
      <c r="T119" s="195"/>
      <c r="U119" s="195"/>
      <c r="V119" s="195"/>
    </row>
    <row r="120" spans="1:22">
      <c r="A120" s="1183"/>
      <c r="B120" s="246" t="s">
        <v>141</v>
      </c>
      <c r="C120" s="195"/>
      <c r="D120" s="195"/>
      <c r="E120" s="195"/>
      <c r="F120" s="195"/>
      <c r="G120" s="195"/>
      <c r="H120" s="195"/>
      <c r="I120" s="195"/>
      <c r="J120" s="195"/>
      <c r="K120" s="195"/>
      <c r="L120" s="195"/>
      <c r="M120" s="195"/>
      <c r="N120" s="195"/>
      <c r="O120" s="195"/>
      <c r="P120" s="195"/>
      <c r="Q120" s="195"/>
      <c r="R120" s="195"/>
      <c r="S120" s="195"/>
      <c r="T120" s="195"/>
      <c r="U120" s="195"/>
      <c r="V120" s="195"/>
    </row>
    <row r="121" spans="1:22">
      <c r="A121" s="1183"/>
      <c r="B121" s="246" t="s">
        <v>142</v>
      </c>
      <c r="C121" s="188"/>
      <c r="D121" s="188"/>
      <c r="E121" s="188"/>
      <c r="F121" s="188"/>
      <c r="G121" s="188"/>
      <c r="H121" s="188"/>
      <c r="I121" s="188"/>
      <c r="J121" s="188"/>
      <c r="K121" s="188"/>
      <c r="L121" s="188"/>
      <c r="M121" s="188"/>
      <c r="N121" s="188"/>
      <c r="O121" s="188"/>
      <c r="P121" s="188"/>
      <c r="Q121" s="188"/>
      <c r="R121" s="188"/>
      <c r="S121" s="188"/>
      <c r="T121" s="188"/>
      <c r="U121" s="188"/>
      <c r="V121" s="188"/>
    </row>
    <row r="122" spans="1:22">
      <c r="A122" s="1183"/>
      <c r="B122" s="246" t="s">
        <v>66</v>
      </c>
      <c r="C122" s="195"/>
      <c r="D122" s="195"/>
      <c r="E122" s="195"/>
      <c r="F122" s="195"/>
      <c r="G122" s="195"/>
      <c r="H122" s="195"/>
      <c r="I122" s="195"/>
      <c r="J122" s="195"/>
      <c r="K122" s="195"/>
      <c r="L122" s="195"/>
      <c r="M122" s="195"/>
      <c r="N122" s="195"/>
      <c r="O122" s="195"/>
      <c r="P122" s="195"/>
      <c r="Q122" s="195"/>
      <c r="R122" s="195"/>
      <c r="S122" s="195"/>
      <c r="T122" s="195"/>
      <c r="U122" s="195"/>
      <c r="V122" s="195"/>
    </row>
    <row r="123" spans="1:22">
      <c r="A123" s="1183"/>
      <c r="B123" s="246" t="s">
        <v>117</v>
      </c>
      <c r="C123" s="188"/>
      <c r="D123" s="188"/>
      <c r="E123" s="188"/>
      <c r="F123" s="188"/>
      <c r="G123" s="188"/>
      <c r="H123" s="188"/>
      <c r="I123" s="188"/>
      <c r="J123" s="188"/>
      <c r="K123" s="188"/>
      <c r="L123" s="188"/>
      <c r="M123" s="188"/>
      <c r="N123" s="188"/>
      <c r="O123" s="188"/>
      <c r="P123" s="188"/>
      <c r="Q123" s="188"/>
      <c r="R123" s="188"/>
      <c r="S123" s="188"/>
      <c r="T123" s="188"/>
      <c r="U123" s="188"/>
      <c r="V123" s="188"/>
    </row>
    <row r="124" spans="1:22" ht="16.3" thickBot="1"/>
    <row r="125" spans="1:22" ht="37.5" customHeight="1" thickBot="1">
      <c r="A125" s="259"/>
      <c r="B125" s="251" t="s">
        <v>3</v>
      </c>
      <c r="C125" s="214" t="s">
        <v>4</v>
      </c>
      <c r="D125" s="214" t="s">
        <v>5</v>
      </c>
      <c r="E125" s="214" t="s">
        <v>6</v>
      </c>
      <c r="F125" s="214" t="s">
        <v>7</v>
      </c>
      <c r="G125" s="214" t="s">
        <v>8</v>
      </c>
      <c r="H125" s="214" t="s">
        <v>9</v>
      </c>
      <c r="I125" s="214" t="s">
        <v>10</v>
      </c>
      <c r="J125" s="214" t="s">
        <v>11</v>
      </c>
      <c r="K125" s="214" t="s">
        <v>12</v>
      </c>
      <c r="L125" s="214" t="s">
        <v>13</v>
      </c>
      <c r="M125" s="214" t="s">
        <v>14</v>
      </c>
      <c r="N125" s="214" t="s">
        <v>15</v>
      </c>
      <c r="O125" s="215" t="s">
        <v>16</v>
      </c>
      <c r="P125" s="215" t="s">
        <v>17</v>
      </c>
      <c r="Q125" s="215" t="s">
        <v>18</v>
      </c>
      <c r="R125" s="215" t="s">
        <v>19</v>
      </c>
      <c r="S125" s="215" t="s">
        <v>20</v>
      </c>
      <c r="T125" s="215" t="s">
        <v>21</v>
      </c>
      <c r="U125" s="215" t="s">
        <v>22</v>
      </c>
      <c r="V125" s="215" t="s">
        <v>23</v>
      </c>
    </row>
    <row r="126" spans="1:22">
      <c r="A126" s="1189" t="s">
        <v>143</v>
      </c>
      <c r="B126" s="246" t="s">
        <v>144</v>
      </c>
      <c r="C126" s="195"/>
      <c r="D126" s="195"/>
      <c r="E126" s="195"/>
      <c r="F126" s="195"/>
      <c r="G126" s="195"/>
      <c r="H126" s="195"/>
      <c r="I126" s="195"/>
      <c r="J126" s="195"/>
      <c r="K126" s="195"/>
      <c r="L126" s="195"/>
      <c r="M126" s="195"/>
      <c r="N126" s="195"/>
      <c r="O126" s="195"/>
      <c r="P126" s="195"/>
      <c r="Q126" s="195"/>
      <c r="R126" s="195"/>
      <c r="S126" s="195"/>
      <c r="T126" s="195"/>
      <c r="U126" s="195"/>
      <c r="V126" s="195"/>
    </row>
    <row r="127" spans="1:22">
      <c r="A127" s="1190"/>
      <c r="B127" s="246" t="s">
        <v>145</v>
      </c>
      <c r="C127" s="195"/>
      <c r="D127" s="195"/>
      <c r="E127" s="195"/>
      <c r="F127" s="195"/>
      <c r="G127" s="195"/>
      <c r="H127" s="195"/>
      <c r="I127" s="195"/>
      <c r="J127" s="195"/>
      <c r="K127" s="195"/>
      <c r="L127" s="195"/>
      <c r="M127" s="195"/>
      <c r="N127" s="195"/>
      <c r="O127" s="195"/>
      <c r="P127" s="195"/>
      <c r="Q127" s="195"/>
      <c r="R127" s="195"/>
      <c r="S127" s="195"/>
      <c r="T127" s="195"/>
      <c r="U127" s="195"/>
      <c r="V127" s="195"/>
    </row>
    <row r="128" spans="1:22" ht="14.25" customHeight="1">
      <c r="A128" s="1190"/>
      <c r="B128" s="246" t="s">
        <v>146</v>
      </c>
      <c r="C128" s="195"/>
      <c r="D128" s="195"/>
      <c r="E128" s="195"/>
      <c r="F128" s="195"/>
      <c r="G128" s="195"/>
      <c r="H128" s="195"/>
      <c r="I128" s="195"/>
      <c r="J128" s="195"/>
      <c r="K128" s="195"/>
      <c r="L128" s="195"/>
      <c r="M128" s="195"/>
      <c r="N128" s="195"/>
      <c r="O128" s="195"/>
      <c r="P128" s="195"/>
      <c r="Q128" s="195"/>
      <c r="R128" s="195"/>
      <c r="S128" s="195"/>
      <c r="T128" s="195"/>
      <c r="U128" s="195"/>
      <c r="V128" s="195"/>
    </row>
    <row r="129" spans="1:22">
      <c r="A129" s="1190"/>
      <c r="B129" s="246" t="s">
        <v>147</v>
      </c>
      <c r="C129" s="195"/>
      <c r="D129" s="195"/>
      <c r="E129" s="195"/>
      <c r="F129" s="195"/>
      <c r="G129" s="195"/>
      <c r="H129" s="195"/>
      <c r="I129" s="195"/>
      <c r="J129" s="195"/>
      <c r="K129" s="195"/>
      <c r="L129" s="195"/>
      <c r="M129" s="195"/>
      <c r="N129" s="195"/>
      <c r="O129" s="195"/>
      <c r="P129" s="195"/>
      <c r="Q129" s="195"/>
      <c r="R129" s="195"/>
      <c r="S129" s="195"/>
      <c r="T129" s="195"/>
      <c r="U129" s="195"/>
      <c r="V129" s="195"/>
    </row>
    <row r="130" spans="1:22">
      <c r="A130" s="1190"/>
      <c r="B130" s="246" t="s">
        <v>148</v>
      </c>
      <c r="C130" s="195"/>
      <c r="D130" s="195"/>
      <c r="E130" s="195"/>
      <c r="F130" s="195"/>
      <c r="G130" s="195"/>
      <c r="H130" s="195"/>
      <c r="I130" s="195"/>
      <c r="J130" s="195"/>
      <c r="K130" s="195"/>
      <c r="L130" s="195"/>
      <c r="M130" s="195"/>
      <c r="N130" s="195"/>
      <c r="O130" s="195"/>
      <c r="P130" s="195"/>
      <c r="Q130" s="195"/>
      <c r="R130" s="195"/>
      <c r="S130" s="195"/>
      <c r="T130" s="195"/>
      <c r="U130" s="195"/>
      <c r="V130" s="195"/>
    </row>
    <row r="131" spans="1:22">
      <c r="A131" s="1190"/>
      <c r="B131" s="246" t="s">
        <v>149</v>
      </c>
      <c r="C131" s="195"/>
      <c r="D131" s="195"/>
      <c r="E131" s="195"/>
      <c r="F131" s="195"/>
      <c r="G131" s="195"/>
      <c r="H131" s="195"/>
      <c r="I131" s="195"/>
      <c r="J131" s="195"/>
      <c r="K131" s="195"/>
      <c r="L131" s="195"/>
      <c r="M131" s="195"/>
      <c r="N131" s="195"/>
      <c r="O131" s="195"/>
      <c r="P131" s="195"/>
      <c r="Q131" s="195"/>
      <c r="R131" s="195"/>
      <c r="S131" s="195"/>
      <c r="T131" s="195"/>
      <c r="U131" s="195"/>
      <c r="V131" s="195"/>
    </row>
    <row r="132" spans="1:22">
      <c r="A132" s="1190"/>
      <c r="B132" s="246" t="s">
        <v>150</v>
      </c>
      <c r="C132" s="195"/>
      <c r="D132" s="195"/>
      <c r="E132" s="195"/>
      <c r="F132" s="195"/>
      <c r="G132" s="195"/>
      <c r="H132" s="195"/>
      <c r="I132" s="195"/>
      <c r="J132" s="195"/>
      <c r="K132" s="195"/>
      <c r="L132" s="195"/>
      <c r="M132" s="195"/>
      <c r="N132" s="195"/>
      <c r="O132" s="195"/>
      <c r="P132" s="195"/>
      <c r="Q132" s="195"/>
      <c r="R132" s="195"/>
      <c r="S132" s="195"/>
      <c r="T132" s="195"/>
      <c r="U132" s="195"/>
      <c r="V132" s="195"/>
    </row>
    <row r="133" spans="1:22">
      <c r="A133" s="1190"/>
      <c r="B133" s="246" t="s">
        <v>151</v>
      </c>
      <c r="C133" s="195"/>
      <c r="D133" s="195"/>
      <c r="E133" s="195"/>
      <c r="F133" s="195"/>
      <c r="G133" s="195"/>
      <c r="H133" s="195"/>
      <c r="I133" s="195"/>
      <c r="J133" s="195"/>
      <c r="K133" s="195"/>
      <c r="L133" s="195"/>
      <c r="M133" s="195"/>
      <c r="N133" s="195"/>
      <c r="O133" s="195"/>
      <c r="P133" s="195"/>
      <c r="Q133" s="195"/>
      <c r="R133" s="195"/>
      <c r="S133" s="195"/>
      <c r="T133" s="195"/>
      <c r="U133" s="195"/>
      <c r="V133" s="195"/>
    </row>
    <row r="134" spans="1:22">
      <c r="A134" s="1190"/>
      <c r="B134" s="246" t="s">
        <v>152</v>
      </c>
      <c r="C134" s="195"/>
      <c r="D134" s="195"/>
      <c r="E134" s="195"/>
      <c r="F134" s="195"/>
      <c r="G134" s="195"/>
      <c r="H134" s="195"/>
      <c r="I134" s="195"/>
      <c r="J134" s="195"/>
      <c r="K134" s="195"/>
      <c r="L134" s="195"/>
      <c r="M134" s="195"/>
      <c r="N134" s="195"/>
      <c r="O134" s="195"/>
      <c r="P134" s="195"/>
      <c r="Q134" s="195"/>
      <c r="R134" s="195"/>
      <c r="S134" s="195"/>
      <c r="T134" s="195"/>
      <c r="U134" s="195"/>
      <c r="V134" s="195"/>
    </row>
    <row r="135" spans="1:22">
      <c r="A135" s="1190"/>
      <c r="B135" s="246" t="s">
        <v>153</v>
      </c>
      <c r="C135" s="195"/>
      <c r="D135" s="195"/>
      <c r="E135" s="195"/>
      <c r="F135" s="195"/>
      <c r="G135" s="195"/>
      <c r="H135" s="195"/>
      <c r="I135" s="195"/>
      <c r="J135" s="195"/>
      <c r="K135" s="195"/>
      <c r="L135" s="195"/>
      <c r="M135" s="195"/>
      <c r="N135" s="195"/>
      <c r="O135" s="195"/>
      <c r="P135" s="195"/>
      <c r="Q135" s="195"/>
      <c r="R135" s="195"/>
      <c r="S135" s="195"/>
      <c r="T135" s="195"/>
      <c r="U135" s="195"/>
      <c r="V135" s="195"/>
    </row>
    <row r="136" spans="1:22">
      <c r="A136" s="1190"/>
      <c r="B136" s="246" t="s">
        <v>154</v>
      </c>
      <c r="C136" s="195"/>
      <c r="D136" s="195"/>
      <c r="E136" s="195"/>
      <c r="F136" s="195"/>
      <c r="G136" s="195"/>
      <c r="H136" s="195"/>
      <c r="I136" s="195"/>
      <c r="J136" s="195"/>
      <c r="K136" s="195"/>
      <c r="L136" s="195"/>
      <c r="M136" s="195"/>
      <c r="N136" s="195"/>
      <c r="O136" s="195"/>
      <c r="P136" s="195"/>
      <c r="Q136" s="195"/>
      <c r="R136" s="195"/>
      <c r="S136" s="195"/>
      <c r="T136" s="195"/>
      <c r="U136" s="195"/>
      <c r="V136" s="195"/>
    </row>
    <row r="137" spans="1:22" ht="12" customHeight="1">
      <c r="A137" s="1190"/>
      <c r="B137" s="246" t="s">
        <v>155</v>
      </c>
      <c r="C137" s="195"/>
      <c r="D137" s="195"/>
      <c r="E137" s="195"/>
      <c r="F137" s="195"/>
      <c r="G137" s="195"/>
      <c r="H137" s="195"/>
      <c r="I137" s="195"/>
      <c r="J137" s="195"/>
      <c r="K137" s="195"/>
      <c r="L137" s="195"/>
      <c r="M137" s="195"/>
      <c r="N137" s="195"/>
      <c r="O137" s="195"/>
      <c r="P137" s="195"/>
      <c r="Q137" s="195"/>
      <c r="R137" s="195"/>
      <c r="S137" s="195"/>
      <c r="T137" s="195"/>
      <c r="U137" s="195"/>
      <c r="V137" s="195"/>
    </row>
    <row r="138" spans="1:22" hidden="1">
      <c r="A138" s="1190"/>
      <c r="B138" s="246" t="s">
        <v>156</v>
      </c>
      <c r="C138" s="195"/>
      <c r="D138" s="195"/>
      <c r="E138" s="195"/>
      <c r="F138" s="195"/>
      <c r="G138" s="195"/>
      <c r="H138" s="195"/>
      <c r="I138" s="195"/>
      <c r="J138" s="195"/>
      <c r="K138" s="195"/>
      <c r="L138" s="195"/>
      <c r="M138" s="195"/>
      <c r="N138" s="195"/>
      <c r="O138" s="195"/>
      <c r="P138" s="195"/>
      <c r="Q138" s="195"/>
      <c r="R138" s="195"/>
      <c r="S138" s="195"/>
      <c r="T138" s="195"/>
      <c r="U138" s="195"/>
      <c r="V138" s="195"/>
    </row>
    <row r="139" spans="1:22">
      <c r="A139" s="1190"/>
      <c r="B139" s="246" t="s">
        <v>157</v>
      </c>
      <c r="C139" s="195"/>
      <c r="D139" s="195"/>
      <c r="E139" s="195"/>
      <c r="F139" s="195"/>
      <c r="G139" s="195"/>
      <c r="H139" s="195"/>
      <c r="I139" s="195"/>
      <c r="J139" s="195"/>
      <c r="K139" s="195"/>
      <c r="L139" s="195"/>
      <c r="M139" s="195"/>
      <c r="N139" s="195"/>
      <c r="O139" s="195"/>
      <c r="P139" s="195"/>
      <c r="Q139" s="195"/>
      <c r="R139" s="195"/>
      <c r="S139" s="195"/>
      <c r="T139" s="195"/>
      <c r="U139" s="195"/>
      <c r="V139" s="195"/>
    </row>
    <row r="140" spans="1:22">
      <c r="A140" s="1190"/>
      <c r="B140" s="246" t="s">
        <v>158</v>
      </c>
      <c r="C140" s="195"/>
      <c r="D140" s="195"/>
      <c r="E140" s="195"/>
      <c r="F140" s="195"/>
      <c r="G140" s="195"/>
      <c r="H140" s="195"/>
      <c r="I140" s="195"/>
      <c r="J140" s="195"/>
      <c r="K140" s="195"/>
      <c r="L140" s="195"/>
      <c r="M140" s="195"/>
      <c r="N140" s="195"/>
      <c r="O140" s="195"/>
      <c r="P140" s="195"/>
      <c r="Q140" s="195"/>
      <c r="R140" s="195"/>
      <c r="S140" s="195"/>
      <c r="T140" s="195"/>
      <c r="U140" s="195"/>
      <c r="V140" s="195"/>
    </row>
    <row r="141" spans="1:22">
      <c r="A141" s="1190"/>
      <c r="B141" s="246" t="s">
        <v>159</v>
      </c>
      <c r="C141" s="195"/>
      <c r="D141" s="195"/>
      <c r="E141" s="195"/>
      <c r="F141" s="195"/>
      <c r="G141" s="195"/>
      <c r="H141" s="195"/>
      <c r="I141" s="195"/>
      <c r="J141" s="195"/>
      <c r="K141" s="195"/>
      <c r="L141" s="195"/>
      <c r="M141" s="195"/>
      <c r="N141" s="195"/>
      <c r="O141" s="195"/>
      <c r="P141" s="195"/>
      <c r="Q141" s="195"/>
      <c r="R141" s="195"/>
      <c r="S141" s="195"/>
      <c r="T141" s="195"/>
      <c r="U141" s="195"/>
      <c r="V141" s="195"/>
    </row>
    <row r="142" spans="1:22">
      <c r="A142" s="1190"/>
      <c r="B142" s="246" t="s">
        <v>160</v>
      </c>
      <c r="C142" s="195"/>
      <c r="D142" s="195"/>
      <c r="E142" s="195"/>
      <c r="F142" s="195"/>
      <c r="G142" s="195"/>
      <c r="H142" s="195"/>
      <c r="I142" s="195"/>
      <c r="J142" s="195"/>
      <c r="K142" s="195"/>
      <c r="L142" s="195"/>
      <c r="M142" s="195"/>
      <c r="N142" s="195"/>
      <c r="O142" s="195"/>
      <c r="P142" s="195"/>
      <c r="Q142" s="195"/>
      <c r="R142" s="195"/>
      <c r="S142" s="195"/>
      <c r="T142" s="195"/>
      <c r="U142" s="195"/>
      <c r="V142" s="195"/>
    </row>
    <row r="143" spans="1:22">
      <c r="A143" s="1190"/>
      <c r="B143" s="246" t="s">
        <v>161</v>
      </c>
      <c r="C143" s="195"/>
      <c r="D143" s="195"/>
      <c r="E143" s="195"/>
      <c r="F143" s="195"/>
      <c r="G143" s="195"/>
      <c r="H143" s="195"/>
      <c r="I143" s="195"/>
      <c r="J143" s="195"/>
      <c r="K143" s="195"/>
      <c r="L143" s="195"/>
      <c r="M143" s="195"/>
      <c r="N143" s="195"/>
      <c r="O143" s="195"/>
      <c r="P143" s="195"/>
      <c r="Q143" s="195"/>
      <c r="R143" s="195"/>
      <c r="S143" s="195"/>
      <c r="T143" s="195"/>
      <c r="U143" s="195"/>
      <c r="V143" s="195"/>
    </row>
    <row r="144" spans="1:22">
      <c r="A144" s="1190"/>
      <c r="B144" s="246" t="s">
        <v>162</v>
      </c>
      <c r="C144" s="195"/>
      <c r="D144" s="195"/>
      <c r="E144" s="195"/>
      <c r="F144" s="195"/>
      <c r="G144" s="195"/>
      <c r="H144" s="195"/>
      <c r="I144" s="195"/>
      <c r="J144" s="195"/>
      <c r="K144" s="195"/>
      <c r="L144" s="195"/>
      <c r="M144" s="195"/>
      <c r="N144" s="195"/>
      <c r="O144" s="195"/>
      <c r="P144" s="195"/>
      <c r="Q144" s="195"/>
      <c r="R144" s="195"/>
      <c r="S144" s="195"/>
      <c r="T144" s="195"/>
      <c r="U144" s="195"/>
      <c r="V144" s="195"/>
    </row>
    <row r="145" spans="1:22" ht="16.3" thickBot="1">
      <c r="A145" s="1190"/>
      <c r="B145" s="246" t="s">
        <v>163</v>
      </c>
      <c r="C145" s="195"/>
      <c r="D145" s="195"/>
      <c r="E145" s="195"/>
      <c r="F145" s="195"/>
      <c r="G145" s="195"/>
      <c r="H145" s="195"/>
      <c r="I145" s="195"/>
      <c r="J145" s="195"/>
      <c r="K145" s="195"/>
      <c r="L145" s="195"/>
      <c r="M145" s="195"/>
      <c r="N145" s="195"/>
      <c r="O145" s="195"/>
      <c r="P145" s="195"/>
      <c r="Q145" s="195"/>
      <c r="R145" s="195"/>
      <c r="S145" s="195"/>
      <c r="T145" s="195"/>
      <c r="U145" s="195"/>
      <c r="V145" s="195"/>
    </row>
    <row r="146" spans="1:22">
      <c r="A146" s="1189" t="s">
        <v>164</v>
      </c>
      <c r="B146" s="224" t="s">
        <v>165</v>
      </c>
      <c r="C146" s="270"/>
      <c r="D146" s="237"/>
      <c r="E146" s="237"/>
      <c r="F146" s="237"/>
      <c r="G146" s="237"/>
      <c r="H146" s="237"/>
      <c r="I146" s="237"/>
      <c r="J146" s="237"/>
      <c r="K146" s="237"/>
      <c r="L146" s="237"/>
      <c r="M146" s="237"/>
      <c r="N146" s="237"/>
      <c r="O146" s="237"/>
      <c r="P146" s="237"/>
      <c r="Q146" s="237"/>
      <c r="R146" s="237"/>
      <c r="S146" s="237"/>
      <c r="T146" s="237"/>
      <c r="U146" s="237"/>
      <c r="V146" s="238"/>
    </row>
    <row r="147" spans="1:22" ht="14.25" customHeight="1">
      <c r="A147" s="1191"/>
      <c r="B147" s="264" t="s">
        <v>166</v>
      </c>
      <c r="C147" s="271"/>
      <c r="D147" s="195"/>
      <c r="E147" s="195"/>
      <c r="F147" s="195"/>
      <c r="G147" s="195"/>
      <c r="H147" s="195"/>
      <c r="I147" s="195"/>
      <c r="J147" s="195"/>
      <c r="K147" s="195"/>
      <c r="L147" s="195"/>
      <c r="M147" s="195"/>
      <c r="N147" s="195"/>
      <c r="O147" s="195"/>
      <c r="P147" s="195"/>
      <c r="Q147" s="195"/>
      <c r="R147" s="195"/>
      <c r="S147" s="195"/>
      <c r="T147" s="195"/>
      <c r="U147" s="195"/>
      <c r="V147" s="239"/>
    </row>
    <row r="148" spans="1:22" ht="14.25" customHeight="1">
      <c r="A148" s="1191"/>
      <c r="B148" s="264" t="s">
        <v>162</v>
      </c>
      <c r="C148" s="271"/>
      <c r="D148" s="195"/>
      <c r="E148" s="195"/>
      <c r="F148" s="195"/>
      <c r="G148" s="195"/>
      <c r="H148" s="195"/>
      <c r="I148" s="195"/>
      <c r="J148" s="195"/>
      <c r="K148" s="195"/>
      <c r="L148" s="195"/>
      <c r="M148" s="195"/>
      <c r="N148" s="195"/>
      <c r="O148" s="195"/>
      <c r="P148" s="195"/>
      <c r="Q148" s="195"/>
      <c r="R148" s="195"/>
      <c r="S148" s="195"/>
      <c r="T148" s="195"/>
      <c r="U148" s="195"/>
      <c r="V148" s="239"/>
    </row>
    <row r="149" spans="1:22" ht="19.5" customHeight="1" thickBot="1">
      <c r="A149" s="1192"/>
      <c r="B149" s="265" t="s">
        <v>167</v>
      </c>
      <c r="C149" s="274"/>
      <c r="D149" s="241"/>
      <c r="E149" s="241"/>
      <c r="F149" s="241"/>
      <c r="G149" s="241"/>
      <c r="H149" s="241"/>
      <c r="I149" s="241"/>
      <c r="J149" s="241"/>
      <c r="K149" s="241"/>
      <c r="L149" s="241"/>
      <c r="M149" s="241"/>
      <c r="N149" s="241"/>
      <c r="O149" s="241"/>
      <c r="P149" s="241"/>
      <c r="Q149" s="241"/>
      <c r="R149" s="241"/>
      <c r="S149" s="241"/>
      <c r="T149" s="241"/>
      <c r="U149" s="241"/>
      <c r="V149" s="242"/>
    </row>
    <row r="150" spans="1:22" ht="12.75" customHeight="1"/>
    <row r="151" spans="1:22" ht="45" customHeight="1">
      <c r="B151" s="1193" t="s">
        <v>168</v>
      </c>
      <c r="C151" s="1194"/>
      <c r="D151" s="1194"/>
      <c r="E151" s="1194"/>
      <c r="F151" s="1194"/>
      <c r="G151" s="1194"/>
      <c r="H151" s="1194"/>
      <c r="I151" s="1194"/>
      <c r="J151" s="1194"/>
      <c r="K151" s="1194"/>
      <c r="L151" s="1194"/>
      <c r="M151" s="1194"/>
      <c r="N151" s="1194"/>
      <c r="O151" s="1194"/>
      <c r="P151" s="1194"/>
      <c r="Q151" s="1194"/>
      <c r="R151" s="1194"/>
      <c r="S151" s="1194"/>
      <c r="T151" s="1194"/>
      <c r="U151" s="1194"/>
      <c r="V151" s="1195"/>
    </row>
    <row r="152" spans="1:22" ht="12.75" customHeight="1"/>
    <row r="153" spans="1:22" ht="15" customHeight="1">
      <c r="A153" s="275"/>
      <c r="B153" s="191" t="s">
        <v>169</v>
      </c>
      <c r="C153" s="276"/>
      <c r="D153" s="276"/>
      <c r="E153" s="276"/>
      <c r="F153" s="276"/>
      <c r="G153" s="276"/>
      <c r="H153" s="276"/>
      <c r="I153" s="276"/>
      <c r="J153" s="276"/>
      <c r="K153" s="276"/>
      <c r="L153" s="276"/>
      <c r="M153" s="276"/>
      <c r="N153" s="276"/>
      <c r="O153" s="276"/>
      <c r="P153" s="276"/>
      <c r="Q153" s="276"/>
      <c r="R153" s="276"/>
      <c r="S153" s="276"/>
      <c r="T153" s="276"/>
      <c r="U153" s="276"/>
      <c r="V153" s="276"/>
    </row>
    <row r="154" spans="1:22">
      <c r="A154" s="275"/>
      <c r="B154" s="191" t="s">
        <v>170</v>
      </c>
      <c r="C154" s="276"/>
      <c r="D154" s="276"/>
      <c r="E154" s="276"/>
      <c r="F154" s="276"/>
      <c r="G154" s="276"/>
      <c r="H154" s="276"/>
      <c r="I154" s="276"/>
      <c r="J154" s="276"/>
      <c r="K154" s="276"/>
      <c r="L154" s="276"/>
      <c r="M154" s="276"/>
      <c r="N154" s="276"/>
      <c r="O154" s="276"/>
      <c r="P154" s="276"/>
      <c r="Q154" s="276"/>
      <c r="R154" s="276"/>
      <c r="S154" s="276"/>
      <c r="T154" s="276"/>
      <c r="U154" s="276"/>
      <c r="V154" s="276"/>
    </row>
    <row r="155" spans="1:22">
      <c r="A155" s="275"/>
      <c r="B155" s="191" t="s">
        <v>171</v>
      </c>
      <c r="C155" s="276"/>
      <c r="D155" s="276"/>
      <c r="E155" s="276"/>
      <c r="F155" s="276"/>
      <c r="G155" s="276"/>
      <c r="H155" s="276"/>
      <c r="I155" s="276"/>
      <c r="J155" s="276"/>
      <c r="K155" s="276"/>
      <c r="L155" s="276"/>
      <c r="M155" s="276"/>
      <c r="N155" s="276"/>
      <c r="O155" s="276"/>
      <c r="P155" s="276"/>
      <c r="Q155" s="276"/>
      <c r="R155" s="276"/>
      <c r="S155" s="276"/>
      <c r="T155" s="276"/>
      <c r="U155" s="276"/>
      <c r="V155" s="276"/>
    </row>
    <row r="156" spans="1:22">
      <c r="A156" s="275"/>
      <c r="B156" s="191" t="s">
        <v>172</v>
      </c>
      <c r="C156" s="276"/>
      <c r="D156" s="276"/>
      <c r="E156" s="276"/>
      <c r="F156" s="276"/>
      <c r="G156" s="276"/>
      <c r="H156" s="276"/>
      <c r="I156" s="276"/>
      <c r="J156" s="276"/>
      <c r="K156" s="276"/>
      <c r="L156" s="276"/>
      <c r="M156" s="276"/>
      <c r="N156" s="276"/>
      <c r="O156" s="276"/>
      <c r="P156" s="276"/>
      <c r="Q156" s="276"/>
      <c r="R156" s="276"/>
      <c r="S156" s="276"/>
      <c r="T156" s="276"/>
      <c r="U156" s="276"/>
      <c r="V156" s="276"/>
    </row>
    <row r="157" spans="1:22">
      <c r="A157" s="275"/>
      <c r="B157" s="191" t="s">
        <v>173</v>
      </c>
      <c r="C157" s="276"/>
      <c r="D157" s="276"/>
      <c r="E157" s="276"/>
      <c r="F157" s="276"/>
      <c r="G157" s="276"/>
      <c r="H157" s="276"/>
      <c r="I157" s="276"/>
      <c r="J157" s="276"/>
      <c r="K157" s="276"/>
      <c r="L157" s="276"/>
      <c r="M157" s="276"/>
      <c r="N157" s="276"/>
      <c r="O157" s="276"/>
      <c r="P157" s="276"/>
      <c r="Q157" s="276"/>
      <c r="R157" s="276"/>
      <c r="S157" s="276"/>
      <c r="T157" s="276"/>
      <c r="U157" s="276"/>
      <c r="V157" s="276"/>
    </row>
    <row r="158" spans="1:22">
      <c r="A158" s="275"/>
      <c r="B158" s="191" t="s">
        <v>174</v>
      </c>
      <c r="C158" s="276"/>
      <c r="D158" s="276"/>
      <c r="E158" s="276"/>
      <c r="F158" s="276"/>
      <c r="G158" s="276"/>
      <c r="H158" s="276"/>
      <c r="I158" s="276"/>
      <c r="J158" s="276"/>
      <c r="K158" s="276"/>
      <c r="L158" s="276"/>
      <c r="M158" s="276"/>
      <c r="N158" s="276"/>
      <c r="O158" s="276"/>
      <c r="P158" s="276"/>
      <c r="Q158" s="276"/>
      <c r="R158" s="276"/>
      <c r="S158" s="276"/>
      <c r="T158" s="276"/>
      <c r="U158" s="276"/>
      <c r="V158" s="276"/>
    </row>
    <row r="159" spans="1:22">
      <c r="A159" s="275"/>
      <c r="B159" s="191" t="s">
        <v>175</v>
      </c>
      <c r="C159" s="276"/>
      <c r="D159" s="276"/>
      <c r="E159" s="276"/>
      <c r="F159" s="276"/>
      <c r="G159" s="276"/>
      <c r="H159" s="276"/>
      <c r="I159" s="276"/>
      <c r="J159" s="276"/>
      <c r="K159" s="276"/>
      <c r="L159" s="276"/>
      <c r="M159" s="276"/>
      <c r="N159" s="276"/>
      <c r="O159" s="276"/>
      <c r="P159" s="276"/>
      <c r="Q159" s="276"/>
      <c r="R159" s="276"/>
      <c r="S159" s="276"/>
      <c r="T159" s="276"/>
      <c r="U159" s="276"/>
      <c r="V159" s="276"/>
    </row>
    <row r="160" spans="1:22">
      <c r="A160" s="275"/>
      <c r="B160" s="191" t="s">
        <v>176</v>
      </c>
      <c r="C160" s="276"/>
      <c r="D160" s="276"/>
      <c r="E160" s="276"/>
      <c r="F160" s="276"/>
      <c r="G160" s="276"/>
      <c r="H160" s="276"/>
      <c r="I160" s="276"/>
      <c r="J160" s="276"/>
      <c r="K160" s="276"/>
      <c r="L160" s="276"/>
      <c r="M160" s="276"/>
      <c r="N160" s="276"/>
      <c r="O160" s="276"/>
      <c r="P160" s="276"/>
      <c r="Q160" s="276"/>
      <c r="R160" s="276"/>
      <c r="S160" s="276"/>
      <c r="T160" s="276"/>
      <c r="U160" s="276"/>
      <c r="V160" s="276"/>
    </row>
  </sheetData>
  <mergeCells count="11">
    <mergeCell ref="A99:A104"/>
    <mergeCell ref="A105:A123"/>
    <mergeCell ref="A126:A145"/>
    <mergeCell ref="A146:A149"/>
    <mergeCell ref="B151:V151"/>
    <mergeCell ref="A71:A98"/>
    <mergeCell ref="A1:V1"/>
    <mergeCell ref="A2:V2"/>
    <mergeCell ref="A3:V3"/>
    <mergeCell ref="A5:A58"/>
    <mergeCell ref="A59:A70"/>
  </mergeCells>
  <pageMargins left="0.7" right="0.7" top="0.75" bottom="0.75" header="0.3" footer="0.3"/>
  <pageSetup scale="39" fitToHeight="0" orientation="landscape" r:id="rId1"/>
  <headerFooter>
    <oddHeader>&amp;LRita's Nutrition Supplement&amp;RUpdated:  8/23/16</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V119"/>
  <sheetViews>
    <sheetView topLeftCell="A79" zoomScale="80" zoomScaleNormal="80" zoomScalePageLayoutView="62" workbookViewId="0">
      <selection activeCell="C113" sqref="C113"/>
    </sheetView>
    <sheetView workbookViewId="1">
      <selection sqref="A1:V1"/>
    </sheetView>
    <sheetView workbookViewId="2">
      <selection sqref="A1:V1"/>
    </sheetView>
  </sheetViews>
  <sheetFormatPr defaultColWidth="8.84375" defaultRowHeight="15.9"/>
  <cols>
    <col min="1" max="1" width="6.53515625" style="179" customWidth="1"/>
    <col min="2" max="2" width="43.84375" style="179" customWidth="1"/>
    <col min="3" max="4" width="10.53515625" style="179" customWidth="1"/>
    <col min="5" max="5" width="8.53515625" style="179" customWidth="1"/>
    <col min="6" max="6" width="11.53515625" style="179" customWidth="1"/>
    <col min="7" max="7" width="8.53515625" style="179" customWidth="1"/>
    <col min="8" max="8" width="13" style="179" customWidth="1"/>
    <col min="9" max="9" width="9" style="179" customWidth="1"/>
    <col min="10" max="10" width="16.84375" style="179" customWidth="1"/>
    <col min="11" max="11" width="9" style="179" customWidth="1"/>
    <col min="12" max="13" width="7.84375" style="179" customWidth="1"/>
    <col min="14" max="14" width="9" style="179" customWidth="1"/>
    <col min="15" max="17" width="11.53515625" style="179" customWidth="1"/>
    <col min="18" max="18" width="9.53515625" style="179" customWidth="1"/>
    <col min="19" max="20" width="9" style="179" customWidth="1"/>
    <col min="21" max="21" width="12.3828125" style="179" customWidth="1"/>
    <col min="22" max="22" width="13" style="179" bestFit="1" customWidth="1"/>
    <col min="23" max="16384" width="8.84375" style="179"/>
  </cols>
  <sheetData>
    <row r="1" spans="1:22" ht="22.5" customHeight="1">
      <c r="A1" s="1196" t="s">
        <v>177</v>
      </c>
      <c r="B1" s="1196"/>
      <c r="C1" s="1196"/>
      <c r="D1" s="1196"/>
      <c r="E1" s="1196"/>
      <c r="F1" s="1196"/>
      <c r="G1" s="1196"/>
      <c r="H1" s="1196"/>
      <c r="I1" s="1196"/>
      <c r="J1" s="1196"/>
      <c r="K1" s="1196"/>
      <c r="L1" s="1196"/>
      <c r="M1" s="1196"/>
      <c r="N1" s="1196"/>
      <c r="O1" s="1196"/>
      <c r="P1" s="1196"/>
      <c r="Q1" s="1196"/>
      <c r="R1" s="1196"/>
      <c r="S1" s="1196"/>
      <c r="T1" s="1196"/>
      <c r="U1" s="1196"/>
      <c r="V1" s="1196"/>
    </row>
    <row r="2" spans="1:22" ht="18" customHeight="1">
      <c r="A2" s="1196" t="s">
        <v>178</v>
      </c>
      <c r="B2" s="1196"/>
      <c r="C2" s="1196"/>
      <c r="D2" s="1196"/>
      <c r="E2" s="1196"/>
      <c r="F2" s="1196"/>
      <c r="G2" s="1196"/>
      <c r="H2" s="1196"/>
      <c r="I2" s="1196"/>
      <c r="J2" s="1196"/>
      <c r="K2" s="1196"/>
      <c r="L2" s="1196"/>
      <c r="M2" s="1196"/>
      <c r="N2" s="1196"/>
      <c r="O2" s="1196"/>
      <c r="P2" s="1196"/>
      <c r="Q2" s="1196"/>
      <c r="R2" s="1196"/>
      <c r="S2" s="1196"/>
      <c r="T2" s="1196"/>
      <c r="U2" s="1196"/>
      <c r="V2" s="1196"/>
    </row>
    <row r="3" spans="1:22" s="223" customFormat="1" ht="37.5" customHeight="1">
      <c r="A3" s="193" t="s">
        <v>179</v>
      </c>
      <c r="B3" s="193" t="s">
        <v>3</v>
      </c>
      <c r="C3" s="193" t="s">
        <v>4</v>
      </c>
      <c r="D3" s="193" t="s">
        <v>5</v>
      </c>
      <c r="E3" s="193" t="s">
        <v>6</v>
      </c>
      <c r="F3" s="193" t="s">
        <v>7</v>
      </c>
      <c r="G3" s="193" t="s">
        <v>8</v>
      </c>
      <c r="H3" s="193" t="s">
        <v>9</v>
      </c>
      <c r="I3" s="193" t="s">
        <v>10</v>
      </c>
      <c r="J3" s="193" t="s">
        <v>11</v>
      </c>
      <c r="K3" s="193" t="s">
        <v>12</v>
      </c>
      <c r="L3" s="193" t="s">
        <v>13</v>
      </c>
      <c r="M3" s="193" t="s">
        <v>14</v>
      </c>
      <c r="N3" s="193" t="s">
        <v>15</v>
      </c>
      <c r="O3" s="194" t="s">
        <v>16</v>
      </c>
      <c r="P3" s="194" t="s">
        <v>17</v>
      </c>
      <c r="Q3" s="194" t="s">
        <v>18</v>
      </c>
      <c r="R3" s="194" t="s">
        <v>19</v>
      </c>
      <c r="S3" s="194" t="s">
        <v>20</v>
      </c>
      <c r="T3" s="194" t="s">
        <v>21</v>
      </c>
      <c r="U3" s="194" t="s">
        <v>22</v>
      </c>
      <c r="V3" s="194" t="s">
        <v>23</v>
      </c>
    </row>
    <row r="4" spans="1:22" s="223" customFormat="1" ht="15.75" customHeight="1">
      <c r="A4" s="1199" t="s">
        <v>24</v>
      </c>
      <c r="B4" s="307" t="s">
        <v>25</v>
      </c>
      <c r="C4" s="230">
        <v>180</v>
      </c>
      <c r="D4" s="230">
        <v>0</v>
      </c>
      <c r="E4" s="230">
        <v>0</v>
      </c>
      <c r="F4" s="230">
        <v>0</v>
      </c>
      <c r="G4" s="230">
        <v>0</v>
      </c>
      <c r="H4" s="230">
        <v>0</v>
      </c>
      <c r="I4" s="230">
        <v>30</v>
      </c>
      <c r="J4" s="230">
        <v>46</v>
      </c>
      <c r="K4" s="230">
        <v>0</v>
      </c>
      <c r="L4" s="230">
        <v>44</v>
      </c>
      <c r="M4" s="230">
        <v>43</v>
      </c>
      <c r="N4" s="230">
        <v>0</v>
      </c>
      <c r="O4" s="305">
        <v>0</v>
      </c>
      <c r="P4" s="305">
        <v>0</v>
      </c>
      <c r="Q4" s="305">
        <v>8</v>
      </c>
      <c r="R4" s="305">
        <v>0</v>
      </c>
      <c r="S4" s="306">
        <v>0</v>
      </c>
      <c r="T4" s="306">
        <v>0</v>
      </c>
      <c r="U4" s="305">
        <v>16</v>
      </c>
      <c r="V4" s="305">
        <v>0</v>
      </c>
    </row>
    <row r="5" spans="1:22" s="223" customFormat="1" ht="15" customHeight="1">
      <c r="A5" s="1199"/>
      <c r="B5" s="186" t="s">
        <v>26</v>
      </c>
      <c r="C5" s="195">
        <v>220</v>
      </c>
      <c r="D5" s="195">
        <v>5</v>
      </c>
      <c r="E5" s="195">
        <v>0</v>
      </c>
      <c r="F5" s="195">
        <v>0</v>
      </c>
      <c r="G5" s="195">
        <v>0</v>
      </c>
      <c r="H5" s="195">
        <v>0</v>
      </c>
      <c r="I5" s="195">
        <v>25</v>
      </c>
      <c r="J5" s="195">
        <v>54</v>
      </c>
      <c r="K5" s="195">
        <v>0</v>
      </c>
      <c r="L5" s="195">
        <v>52</v>
      </c>
      <c r="M5" s="195">
        <v>50</v>
      </c>
      <c r="N5" s="195">
        <v>0</v>
      </c>
      <c r="O5" s="188">
        <v>0</v>
      </c>
      <c r="P5" s="188">
        <v>0</v>
      </c>
      <c r="Q5" s="188">
        <v>6</v>
      </c>
      <c r="R5" s="188">
        <v>0</v>
      </c>
      <c r="S5" s="188">
        <v>0</v>
      </c>
      <c r="T5" s="188">
        <v>0</v>
      </c>
      <c r="U5" s="188">
        <v>42</v>
      </c>
      <c r="V5" s="188">
        <v>0</v>
      </c>
    </row>
    <row r="6" spans="1:22" s="223" customFormat="1">
      <c r="A6" s="1199"/>
      <c r="B6" s="186" t="s">
        <v>27</v>
      </c>
      <c r="C6" s="195">
        <v>150</v>
      </c>
      <c r="D6" s="195">
        <v>0</v>
      </c>
      <c r="E6" s="195">
        <v>0</v>
      </c>
      <c r="F6" s="195">
        <v>0</v>
      </c>
      <c r="G6" s="195">
        <v>0</v>
      </c>
      <c r="H6" s="195">
        <v>0</v>
      </c>
      <c r="I6" s="195">
        <v>20</v>
      </c>
      <c r="J6" s="195">
        <v>38</v>
      </c>
      <c r="K6" s="195">
        <v>0</v>
      </c>
      <c r="L6" s="195">
        <v>37</v>
      </c>
      <c r="M6" s="195">
        <v>37</v>
      </c>
      <c r="N6" s="195">
        <v>0</v>
      </c>
      <c r="O6" s="195">
        <v>0</v>
      </c>
      <c r="P6" s="195">
        <v>0</v>
      </c>
      <c r="Q6" s="195">
        <v>5.8305699999999998</v>
      </c>
      <c r="R6" s="195">
        <v>0</v>
      </c>
      <c r="S6" s="195">
        <v>6.9109999999999996E-3</v>
      </c>
      <c r="T6" s="195">
        <v>0</v>
      </c>
      <c r="U6" s="195">
        <v>0</v>
      </c>
      <c r="V6" s="195">
        <v>0</v>
      </c>
    </row>
    <row r="7" spans="1:22">
      <c r="A7" s="1199"/>
      <c r="B7" s="186" t="s">
        <v>28</v>
      </c>
      <c r="C7" s="195">
        <v>180</v>
      </c>
      <c r="D7" s="195">
        <v>0</v>
      </c>
      <c r="E7" s="195">
        <v>0</v>
      </c>
      <c r="F7" s="195">
        <v>0</v>
      </c>
      <c r="G7" s="195">
        <v>0</v>
      </c>
      <c r="H7" s="195">
        <v>0</v>
      </c>
      <c r="I7" s="195">
        <v>25</v>
      </c>
      <c r="J7" s="195">
        <v>45</v>
      </c>
      <c r="K7" s="195">
        <v>0</v>
      </c>
      <c r="L7" s="195">
        <v>43</v>
      </c>
      <c r="M7" s="195">
        <v>43</v>
      </c>
      <c r="N7" s="195">
        <v>0</v>
      </c>
      <c r="O7" s="188">
        <v>0</v>
      </c>
      <c r="P7" s="188">
        <v>0</v>
      </c>
      <c r="Q7" s="188">
        <v>7</v>
      </c>
      <c r="R7" s="188">
        <v>0</v>
      </c>
      <c r="S7" s="188">
        <v>0</v>
      </c>
      <c r="T7" s="188">
        <v>0</v>
      </c>
      <c r="U7" s="188">
        <v>9</v>
      </c>
      <c r="V7" s="188">
        <v>0</v>
      </c>
    </row>
    <row r="8" spans="1:22">
      <c r="A8" s="1199"/>
      <c r="B8" s="186" t="s">
        <v>29</v>
      </c>
      <c r="C8" s="195">
        <v>200</v>
      </c>
      <c r="D8" s="195">
        <v>0</v>
      </c>
      <c r="E8" s="195">
        <v>0</v>
      </c>
      <c r="F8" s="195">
        <v>0</v>
      </c>
      <c r="G8" s="195">
        <v>0</v>
      </c>
      <c r="H8" s="195">
        <v>0</v>
      </c>
      <c r="I8" s="195">
        <v>30</v>
      </c>
      <c r="J8" s="195">
        <v>51</v>
      </c>
      <c r="K8" s="195">
        <v>0</v>
      </c>
      <c r="L8" s="195">
        <v>49</v>
      </c>
      <c r="M8" s="195">
        <v>49</v>
      </c>
      <c r="N8" s="195">
        <v>0</v>
      </c>
      <c r="O8" s="188">
        <v>0</v>
      </c>
      <c r="P8" s="188">
        <v>0</v>
      </c>
      <c r="Q8" s="188">
        <v>7</v>
      </c>
      <c r="R8" s="188">
        <v>0</v>
      </c>
      <c r="S8" s="188">
        <v>0</v>
      </c>
      <c r="T8" s="188">
        <v>0</v>
      </c>
      <c r="U8" s="188">
        <v>1</v>
      </c>
      <c r="V8" s="188">
        <v>0</v>
      </c>
    </row>
    <row r="9" spans="1:22">
      <c r="A9" s="1199"/>
      <c r="B9" s="186" t="s">
        <v>30</v>
      </c>
      <c r="C9" s="195">
        <v>280</v>
      </c>
      <c r="D9" s="195">
        <v>0</v>
      </c>
      <c r="E9" s="195">
        <v>0</v>
      </c>
      <c r="F9" s="195">
        <v>0</v>
      </c>
      <c r="G9" s="195">
        <v>0</v>
      </c>
      <c r="H9" s="195">
        <v>0</v>
      </c>
      <c r="I9" s="195">
        <v>30</v>
      </c>
      <c r="J9" s="195">
        <v>72</v>
      </c>
      <c r="K9" s="195">
        <v>0</v>
      </c>
      <c r="L9" s="195">
        <v>70</v>
      </c>
      <c r="M9" s="195">
        <v>70</v>
      </c>
      <c r="N9" s="195">
        <v>0</v>
      </c>
      <c r="O9" s="188">
        <v>0</v>
      </c>
      <c r="P9" s="188">
        <v>0</v>
      </c>
      <c r="Q9" s="188">
        <v>7</v>
      </c>
      <c r="R9" s="188">
        <v>0</v>
      </c>
      <c r="S9" s="188">
        <v>0</v>
      </c>
      <c r="T9" s="188">
        <v>0</v>
      </c>
      <c r="U9" s="188">
        <v>1</v>
      </c>
      <c r="V9" s="188">
        <v>0</v>
      </c>
    </row>
    <row r="10" spans="1:22">
      <c r="A10" s="1199"/>
      <c r="B10" s="186" t="s">
        <v>31</v>
      </c>
      <c r="C10" s="195">
        <v>160</v>
      </c>
      <c r="D10" s="195">
        <v>0</v>
      </c>
      <c r="E10" s="195">
        <v>0</v>
      </c>
      <c r="F10" s="195">
        <v>0</v>
      </c>
      <c r="G10" s="195">
        <v>0</v>
      </c>
      <c r="H10" s="195">
        <v>0</v>
      </c>
      <c r="I10" s="195">
        <v>25</v>
      </c>
      <c r="J10" s="195">
        <v>41</v>
      </c>
      <c r="K10" s="195">
        <v>0</v>
      </c>
      <c r="L10" s="195">
        <v>38</v>
      </c>
      <c r="M10" s="195">
        <v>37</v>
      </c>
      <c r="N10" s="195">
        <v>0</v>
      </c>
      <c r="O10" s="188">
        <v>0</v>
      </c>
      <c r="P10" s="188">
        <v>0</v>
      </c>
      <c r="Q10" s="188">
        <v>10</v>
      </c>
      <c r="R10" s="188">
        <v>0</v>
      </c>
      <c r="S10" s="188">
        <v>0</v>
      </c>
      <c r="T10" s="188">
        <v>0</v>
      </c>
      <c r="U10" s="188">
        <v>1</v>
      </c>
      <c r="V10" s="188">
        <v>0</v>
      </c>
    </row>
    <row r="11" spans="1:22">
      <c r="A11" s="1199"/>
      <c r="B11" s="186" t="s">
        <v>32</v>
      </c>
      <c r="C11" s="195">
        <v>170</v>
      </c>
      <c r="D11" s="195">
        <v>0</v>
      </c>
      <c r="E11" s="195">
        <v>0</v>
      </c>
      <c r="F11" s="195">
        <v>0</v>
      </c>
      <c r="G11" s="195">
        <v>0</v>
      </c>
      <c r="H11" s="195">
        <v>0</v>
      </c>
      <c r="I11" s="195">
        <v>30</v>
      </c>
      <c r="J11" s="195">
        <v>45</v>
      </c>
      <c r="K11" s="195">
        <v>0</v>
      </c>
      <c r="L11" s="195">
        <v>42</v>
      </c>
      <c r="M11" s="195">
        <v>42</v>
      </c>
      <c r="N11" s="195">
        <v>0</v>
      </c>
      <c r="O11" s="188">
        <v>0</v>
      </c>
      <c r="P11" s="188">
        <v>0</v>
      </c>
      <c r="Q11" s="188">
        <v>7</v>
      </c>
      <c r="R11" s="188">
        <v>0</v>
      </c>
      <c r="S11" s="188">
        <v>0</v>
      </c>
      <c r="T11" s="188">
        <v>0</v>
      </c>
      <c r="U11" s="188">
        <v>13</v>
      </c>
      <c r="V11" s="188">
        <v>0</v>
      </c>
    </row>
    <row r="12" spans="1:22">
      <c r="A12" s="1199"/>
      <c r="B12" s="186" t="s">
        <v>33</v>
      </c>
      <c r="C12" s="195">
        <v>150</v>
      </c>
      <c r="D12" s="195">
        <v>0</v>
      </c>
      <c r="E12" s="195">
        <v>0</v>
      </c>
      <c r="F12" s="195">
        <v>0</v>
      </c>
      <c r="G12" s="195">
        <v>0</v>
      </c>
      <c r="H12" s="195">
        <v>0</v>
      </c>
      <c r="I12" s="195">
        <v>25</v>
      </c>
      <c r="J12" s="195">
        <v>38</v>
      </c>
      <c r="K12" s="195">
        <v>0</v>
      </c>
      <c r="L12" s="195">
        <v>36</v>
      </c>
      <c r="M12" s="195">
        <v>36</v>
      </c>
      <c r="N12" s="195">
        <v>0</v>
      </c>
      <c r="O12" s="195">
        <v>0</v>
      </c>
      <c r="P12" s="195">
        <v>0</v>
      </c>
      <c r="Q12" s="195">
        <v>6.8150899999999996</v>
      </c>
      <c r="R12" s="195">
        <v>0</v>
      </c>
      <c r="S12" s="195">
        <v>4.1607999999999999E-2</v>
      </c>
      <c r="T12" s="195">
        <v>0</v>
      </c>
      <c r="U12" s="195">
        <v>10</v>
      </c>
      <c r="V12" s="195">
        <v>0</v>
      </c>
    </row>
    <row r="13" spans="1:22">
      <c r="A13" s="1199"/>
      <c r="B13" s="186" t="s">
        <v>34</v>
      </c>
      <c r="C13" s="195">
        <v>230</v>
      </c>
      <c r="D13" s="195">
        <v>5</v>
      </c>
      <c r="E13" s="195">
        <v>0</v>
      </c>
      <c r="F13" s="195">
        <v>0</v>
      </c>
      <c r="G13" s="195">
        <v>0</v>
      </c>
      <c r="H13" s="195">
        <v>0</v>
      </c>
      <c r="I13" s="195">
        <v>45</v>
      </c>
      <c r="J13" s="195">
        <v>59</v>
      </c>
      <c r="K13" s="195">
        <v>1</v>
      </c>
      <c r="L13" s="195">
        <v>56</v>
      </c>
      <c r="M13" s="195">
        <v>56</v>
      </c>
      <c r="N13" s="195">
        <v>1</v>
      </c>
      <c r="O13" s="188">
        <v>0</v>
      </c>
      <c r="P13" s="188">
        <v>0</v>
      </c>
      <c r="Q13" s="188">
        <v>10</v>
      </c>
      <c r="R13" s="188">
        <v>0</v>
      </c>
      <c r="S13" s="188">
        <v>0</v>
      </c>
      <c r="T13" s="188">
        <v>0</v>
      </c>
      <c r="U13" s="188">
        <v>59</v>
      </c>
      <c r="V13" s="188">
        <v>2</v>
      </c>
    </row>
    <row r="14" spans="1:22">
      <c r="A14" s="1199"/>
      <c r="B14" s="186" t="s">
        <v>35</v>
      </c>
      <c r="C14" s="195">
        <v>250</v>
      </c>
      <c r="D14" s="195">
        <v>15</v>
      </c>
      <c r="E14" s="195">
        <v>2</v>
      </c>
      <c r="F14" s="195">
        <v>1</v>
      </c>
      <c r="G14" s="195">
        <v>0</v>
      </c>
      <c r="H14" s="195">
        <v>0</v>
      </c>
      <c r="I14" s="195">
        <v>40</v>
      </c>
      <c r="J14" s="195">
        <v>61</v>
      </c>
      <c r="K14" s="195">
        <v>0</v>
      </c>
      <c r="L14" s="195">
        <v>58</v>
      </c>
      <c r="M14" s="195">
        <v>58</v>
      </c>
      <c r="N14" s="195">
        <v>1</v>
      </c>
      <c r="O14" s="188">
        <v>0</v>
      </c>
      <c r="P14" s="188">
        <v>0</v>
      </c>
      <c r="Q14" s="195">
        <v>12.438599999999999</v>
      </c>
      <c r="R14" s="195">
        <v>2</v>
      </c>
      <c r="S14" s="195">
        <v>0.97032700000000005</v>
      </c>
      <c r="T14" s="195">
        <v>6</v>
      </c>
      <c r="U14" s="195">
        <v>85</v>
      </c>
      <c r="V14" s="195">
        <v>2</v>
      </c>
    </row>
    <row r="15" spans="1:22">
      <c r="A15" s="1199"/>
      <c r="B15" s="186" t="s">
        <v>36</v>
      </c>
      <c r="C15" s="195">
        <v>220</v>
      </c>
      <c r="D15" s="195">
        <v>0</v>
      </c>
      <c r="E15" s="195">
        <v>0</v>
      </c>
      <c r="F15" s="195">
        <v>0</v>
      </c>
      <c r="G15" s="195">
        <v>0</v>
      </c>
      <c r="H15" s="195">
        <v>0</v>
      </c>
      <c r="I15" s="195">
        <v>15</v>
      </c>
      <c r="J15" s="195">
        <v>54</v>
      </c>
      <c r="K15" s="195">
        <v>0</v>
      </c>
      <c r="L15" s="195">
        <v>54</v>
      </c>
      <c r="M15" s="195">
        <v>20</v>
      </c>
      <c r="N15" s="195">
        <v>0</v>
      </c>
      <c r="O15" s="188">
        <v>0</v>
      </c>
      <c r="P15" s="188">
        <v>0</v>
      </c>
      <c r="Q15" s="188">
        <v>7</v>
      </c>
      <c r="R15" s="188">
        <v>0</v>
      </c>
      <c r="S15" s="188">
        <v>0</v>
      </c>
      <c r="T15" s="188">
        <v>0</v>
      </c>
      <c r="U15" s="188">
        <v>0</v>
      </c>
      <c r="V15" s="188">
        <v>0</v>
      </c>
    </row>
    <row r="16" spans="1:22">
      <c r="A16" s="1199"/>
      <c r="B16" s="186" t="s">
        <v>37</v>
      </c>
      <c r="C16" s="195">
        <v>200</v>
      </c>
      <c r="D16" s="195">
        <v>0</v>
      </c>
      <c r="E16" s="195">
        <v>0</v>
      </c>
      <c r="F16" s="195">
        <v>0</v>
      </c>
      <c r="G16" s="195">
        <v>0</v>
      </c>
      <c r="H16" s="195">
        <v>0</v>
      </c>
      <c r="I16" s="195">
        <v>20</v>
      </c>
      <c r="J16" s="195">
        <v>54</v>
      </c>
      <c r="K16" s="195">
        <v>0</v>
      </c>
      <c r="L16" s="195">
        <v>53</v>
      </c>
      <c r="M16" s="195">
        <v>20</v>
      </c>
      <c r="N16" s="195">
        <v>0</v>
      </c>
      <c r="O16" s="188">
        <v>0</v>
      </c>
      <c r="P16" s="188">
        <v>0</v>
      </c>
      <c r="Q16" s="188">
        <v>5</v>
      </c>
      <c r="R16" s="188">
        <v>0</v>
      </c>
      <c r="S16" s="188">
        <v>0</v>
      </c>
      <c r="T16" s="188">
        <v>0</v>
      </c>
      <c r="U16" s="188">
        <v>0</v>
      </c>
      <c r="V16" s="188">
        <v>0</v>
      </c>
    </row>
    <row r="17" spans="1:22">
      <c r="A17" s="1199"/>
      <c r="B17" s="186" t="s">
        <v>38</v>
      </c>
      <c r="C17" s="195">
        <v>180</v>
      </c>
      <c r="D17" s="195">
        <v>0</v>
      </c>
      <c r="E17" s="195">
        <v>0</v>
      </c>
      <c r="F17" s="195">
        <v>0</v>
      </c>
      <c r="G17" s="195">
        <v>0</v>
      </c>
      <c r="H17" s="195">
        <v>0</v>
      </c>
      <c r="I17" s="195">
        <v>30</v>
      </c>
      <c r="J17" s="195">
        <v>46</v>
      </c>
      <c r="K17" s="195">
        <v>0</v>
      </c>
      <c r="L17" s="195">
        <v>42</v>
      </c>
      <c r="M17" s="195">
        <v>40</v>
      </c>
      <c r="N17" s="195">
        <v>0</v>
      </c>
      <c r="O17" s="188">
        <v>0</v>
      </c>
      <c r="P17" s="188">
        <v>0</v>
      </c>
      <c r="Q17" s="188">
        <v>8</v>
      </c>
      <c r="R17" s="188">
        <v>0</v>
      </c>
      <c r="S17" s="188">
        <v>0</v>
      </c>
      <c r="T17" s="188">
        <v>0</v>
      </c>
      <c r="U17" s="188">
        <v>35</v>
      </c>
      <c r="V17" s="188">
        <v>0</v>
      </c>
    </row>
    <row r="18" spans="1:22">
      <c r="A18" s="1199"/>
      <c r="B18" s="186" t="s">
        <v>39</v>
      </c>
      <c r="C18" s="195">
        <v>140</v>
      </c>
      <c r="D18" s="195">
        <v>0</v>
      </c>
      <c r="E18" s="195">
        <v>0</v>
      </c>
      <c r="F18" s="195">
        <v>0</v>
      </c>
      <c r="G18" s="195">
        <v>0</v>
      </c>
      <c r="H18" s="195">
        <v>0</v>
      </c>
      <c r="I18" s="195">
        <v>25</v>
      </c>
      <c r="J18" s="195">
        <v>35</v>
      </c>
      <c r="K18" s="195">
        <v>0</v>
      </c>
      <c r="L18" s="195">
        <v>34</v>
      </c>
      <c r="M18" s="195">
        <v>33</v>
      </c>
      <c r="N18" s="195">
        <v>0</v>
      </c>
      <c r="O18" s="188">
        <v>0</v>
      </c>
      <c r="P18" s="188">
        <v>0</v>
      </c>
      <c r="Q18" s="188">
        <v>5.5351499999999998</v>
      </c>
      <c r="R18" s="188">
        <v>0</v>
      </c>
      <c r="S18" s="188">
        <v>4.1147999999999997E-2</v>
      </c>
      <c r="T18" s="188">
        <v>0</v>
      </c>
      <c r="U18" s="188">
        <v>0</v>
      </c>
      <c r="V18" s="188">
        <v>0</v>
      </c>
    </row>
    <row r="19" spans="1:22" s="212" customFormat="1">
      <c r="A19" s="1199"/>
      <c r="B19" s="186" t="s">
        <v>40</v>
      </c>
      <c r="C19" s="195">
        <v>190</v>
      </c>
      <c r="D19" s="195">
        <v>0</v>
      </c>
      <c r="E19" s="195">
        <v>0</v>
      </c>
      <c r="F19" s="195">
        <v>0</v>
      </c>
      <c r="G19" s="195">
        <v>0</v>
      </c>
      <c r="H19" s="195">
        <v>0</v>
      </c>
      <c r="I19" s="195">
        <v>30</v>
      </c>
      <c r="J19" s="195">
        <v>49</v>
      </c>
      <c r="K19" s="195">
        <v>0</v>
      </c>
      <c r="L19" s="195">
        <v>47</v>
      </c>
      <c r="M19" s="195">
        <v>44</v>
      </c>
      <c r="N19" s="195">
        <v>0</v>
      </c>
      <c r="O19" s="188">
        <v>0</v>
      </c>
      <c r="P19" s="188">
        <v>0</v>
      </c>
      <c r="Q19" s="188">
        <v>8</v>
      </c>
      <c r="R19" s="188">
        <v>0</v>
      </c>
      <c r="S19" s="188">
        <v>0</v>
      </c>
      <c r="T19" s="188">
        <v>0</v>
      </c>
      <c r="U19" s="188">
        <v>30</v>
      </c>
      <c r="V19" s="188">
        <v>0</v>
      </c>
    </row>
    <row r="20" spans="1:22" s="212" customFormat="1">
      <c r="A20" s="1199"/>
      <c r="B20" s="186" t="s">
        <v>41</v>
      </c>
      <c r="C20" s="195">
        <v>200</v>
      </c>
      <c r="D20" s="195">
        <v>0</v>
      </c>
      <c r="E20" s="195">
        <v>0</v>
      </c>
      <c r="F20" s="195">
        <v>0</v>
      </c>
      <c r="G20" s="195">
        <v>0</v>
      </c>
      <c r="H20" s="195">
        <v>0</v>
      </c>
      <c r="I20" s="195">
        <v>25</v>
      </c>
      <c r="J20" s="195">
        <v>52</v>
      </c>
      <c r="K20" s="195">
        <v>0</v>
      </c>
      <c r="L20" s="195">
        <v>51</v>
      </c>
      <c r="M20" s="195">
        <v>17</v>
      </c>
      <c r="N20" s="195">
        <v>0</v>
      </c>
      <c r="O20" s="188">
        <v>0</v>
      </c>
      <c r="P20" s="188">
        <v>0</v>
      </c>
      <c r="Q20" s="188">
        <v>5</v>
      </c>
      <c r="R20" s="188">
        <v>0</v>
      </c>
      <c r="S20" s="188">
        <v>0</v>
      </c>
      <c r="T20" s="188">
        <v>0</v>
      </c>
      <c r="U20" s="188">
        <v>0</v>
      </c>
      <c r="V20" s="188">
        <v>0</v>
      </c>
    </row>
    <row r="21" spans="1:22">
      <c r="A21" s="1199"/>
      <c r="B21" s="186" t="s">
        <v>42</v>
      </c>
      <c r="C21" s="195">
        <v>210</v>
      </c>
      <c r="D21" s="195">
        <v>0</v>
      </c>
      <c r="E21" s="195">
        <v>0</v>
      </c>
      <c r="F21" s="195">
        <v>0</v>
      </c>
      <c r="G21" s="195">
        <v>0</v>
      </c>
      <c r="H21" s="195">
        <v>0</v>
      </c>
      <c r="I21" s="195">
        <v>30</v>
      </c>
      <c r="J21" s="195">
        <v>53</v>
      </c>
      <c r="K21" s="195">
        <v>0</v>
      </c>
      <c r="L21" s="195">
        <v>51</v>
      </c>
      <c r="M21" s="195">
        <v>50</v>
      </c>
      <c r="N21" s="195">
        <v>0</v>
      </c>
      <c r="O21" s="188">
        <v>0</v>
      </c>
      <c r="P21" s="188">
        <v>0</v>
      </c>
      <c r="Q21" s="188">
        <v>7</v>
      </c>
      <c r="R21" s="188">
        <v>0</v>
      </c>
      <c r="S21" s="188">
        <v>0</v>
      </c>
      <c r="T21" s="188">
        <v>0</v>
      </c>
      <c r="U21" s="188">
        <v>27</v>
      </c>
      <c r="V21" s="188">
        <v>0</v>
      </c>
    </row>
    <row r="22" spans="1:22" hidden="1">
      <c r="A22" s="1199"/>
      <c r="B22" s="186" t="s">
        <v>43</v>
      </c>
      <c r="C22" s="195">
        <v>170</v>
      </c>
      <c r="D22" s="195">
        <v>0</v>
      </c>
      <c r="E22" s="195">
        <v>0</v>
      </c>
      <c r="F22" s="195">
        <v>0</v>
      </c>
      <c r="G22" s="195">
        <v>0</v>
      </c>
      <c r="H22" s="195">
        <v>0</v>
      </c>
      <c r="I22" s="195">
        <v>25</v>
      </c>
      <c r="J22" s="195">
        <v>44</v>
      </c>
      <c r="K22" s="195">
        <v>0</v>
      </c>
      <c r="L22" s="195">
        <v>43</v>
      </c>
      <c r="M22" s="195">
        <v>43</v>
      </c>
      <c r="N22" s="195">
        <v>0</v>
      </c>
      <c r="O22" s="188">
        <v>0</v>
      </c>
      <c r="P22" s="188">
        <v>0</v>
      </c>
      <c r="Q22" s="188">
        <v>7</v>
      </c>
      <c r="R22" s="188">
        <v>0</v>
      </c>
      <c r="S22" s="188">
        <v>0</v>
      </c>
      <c r="T22" s="188">
        <v>0</v>
      </c>
      <c r="U22" s="188">
        <v>1</v>
      </c>
      <c r="V22" s="188">
        <v>0</v>
      </c>
    </row>
    <row r="23" spans="1:22" hidden="1">
      <c r="A23" s="1199"/>
      <c r="B23" s="186" t="s">
        <v>44</v>
      </c>
      <c r="C23" s="195">
        <v>130</v>
      </c>
      <c r="D23" s="195">
        <v>0</v>
      </c>
      <c r="E23" s="195">
        <v>0</v>
      </c>
      <c r="F23" s="195">
        <v>0</v>
      </c>
      <c r="G23" s="195">
        <v>0</v>
      </c>
      <c r="H23" s="195">
        <v>0</v>
      </c>
      <c r="I23" s="195">
        <v>25</v>
      </c>
      <c r="J23" s="195">
        <v>33</v>
      </c>
      <c r="K23" s="195">
        <v>0</v>
      </c>
      <c r="L23" s="195">
        <v>32</v>
      </c>
      <c r="M23" s="195">
        <v>32</v>
      </c>
      <c r="N23" s="195">
        <v>0</v>
      </c>
      <c r="O23" s="188">
        <v>0</v>
      </c>
      <c r="P23" s="188">
        <v>0</v>
      </c>
      <c r="Q23" s="188">
        <v>6</v>
      </c>
      <c r="R23" s="188">
        <v>0</v>
      </c>
      <c r="S23" s="188">
        <v>0</v>
      </c>
      <c r="T23" s="188">
        <v>0</v>
      </c>
      <c r="U23" s="188">
        <v>1</v>
      </c>
      <c r="V23" s="188">
        <v>0</v>
      </c>
    </row>
    <row r="24" spans="1:22">
      <c r="A24" s="1199"/>
      <c r="B24" s="186" t="s">
        <v>45</v>
      </c>
      <c r="C24" s="188">
        <v>180</v>
      </c>
      <c r="D24" s="188">
        <v>0</v>
      </c>
      <c r="E24" s="188">
        <v>0</v>
      </c>
      <c r="F24" s="188">
        <v>0</v>
      </c>
      <c r="G24" s="195">
        <v>0</v>
      </c>
      <c r="H24" s="188">
        <v>0</v>
      </c>
      <c r="I24" s="188">
        <v>30</v>
      </c>
      <c r="J24" s="188">
        <v>45</v>
      </c>
      <c r="K24" s="188">
        <v>0</v>
      </c>
      <c r="L24" s="188">
        <v>43</v>
      </c>
      <c r="M24" s="188">
        <v>43</v>
      </c>
      <c r="N24" s="188">
        <v>0</v>
      </c>
      <c r="O24" s="188">
        <v>0</v>
      </c>
      <c r="P24" s="188">
        <v>0</v>
      </c>
      <c r="Q24" s="188">
        <v>7</v>
      </c>
      <c r="R24" s="188">
        <v>0</v>
      </c>
      <c r="S24" s="188">
        <v>0</v>
      </c>
      <c r="T24" s="188">
        <v>0</v>
      </c>
      <c r="U24" s="188">
        <v>1</v>
      </c>
      <c r="V24" s="188">
        <v>0</v>
      </c>
    </row>
    <row r="25" spans="1:22">
      <c r="A25" s="1199"/>
      <c r="B25" s="186" t="s">
        <v>46</v>
      </c>
      <c r="C25" s="195">
        <v>250</v>
      </c>
      <c r="D25" s="195">
        <v>0</v>
      </c>
      <c r="E25" s="195">
        <v>0</v>
      </c>
      <c r="F25" s="195">
        <v>0</v>
      </c>
      <c r="G25" s="195">
        <v>0</v>
      </c>
      <c r="H25" s="195">
        <v>0</v>
      </c>
      <c r="I25" s="195">
        <v>65</v>
      </c>
      <c r="J25" s="195">
        <v>65</v>
      </c>
      <c r="K25" s="195">
        <v>0</v>
      </c>
      <c r="L25" s="195">
        <v>62</v>
      </c>
      <c r="M25" s="195">
        <v>62</v>
      </c>
      <c r="N25" s="195">
        <v>0</v>
      </c>
      <c r="O25" s="195">
        <v>0</v>
      </c>
      <c r="P25" s="195">
        <v>0</v>
      </c>
      <c r="Q25" s="195">
        <v>8.9690399999999997</v>
      </c>
      <c r="R25" s="195">
        <v>0</v>
      </c>
      <c r="S25" s="195">
        <v>5.8906E-2</v>
      </c>
      <c r="T25" s="195">
        <v>0</v>
      </c>
      <c r="U25" s="195">
        <v>0</v>
      </c>
      <c r="V25" s="195">
        <v>0</v>
      </c>
    </row>
    <row r="26" spans="1:22">
      <c r="A26" s="1199"/>
      <c r="B26" s="186" t="s">
        <v>47</v>
      </c>
      <c r="C26" s="195">
        <v>180</v>
      </c>
      <c r="D26" s="195">
        <v>0</v>
      </c>
      <c r="E26" s="195">
        <v>0</v>
      </c>
      <c r="F26" s="195">
        <v>0</v>
      </c>
      <c r="G26" s="195">
        <v>0</v>
      </c>
      <c r="H26" s="195">
        <v>0</v>
      </c>
      <c r="I26" s="195">
        <v>30</v>
      </c>
      <c r="J26" s="195">
        <v>47</v>
      </c>
      <c r="K26" s="195">
        <v>0</v>
      </c>
      <c r="L26" s="195">
        <v>45</v>
      </c>
      <c r="M26" s="195">
        <v>45</v>
      </c>
      <c r="N26" s="195">
        <v>0</v>
      </c>
      <c r="O26" s="188">
        <v>0</v>
      </c>
      <c r="P26" s="188">
        <v>0</v>
      </c>
      <c r="Q26" s="188">
        <v>7</v>
      </c>
      <c r="R26" s="188">
        <v>0</v>
      </c>
      <c r="S26" s="188">
        <v>0</v>
      </c>
      <c r="T26" s="188">
        <v>0</v>
      </c>
      <c r="U26" s="188">
        <v>6</v>
      </c>
      <c r="V26" s="188">
        <v>0</v>
      </c>
    </row>
    <row r="27" spans="1:22">
      <c r="A27" s="1199"/>
      <c r="B27" s="186" t="s">
        <v>48</v>
      </c>
      <c r="C27" s="195">
        <v>180</v>
      </c>
      <c r="D27" s="195">
        <v>0</v>
      </c>
      <c r="E27" s="195">
        <v>0</v>
      </c>
      <c r="F27" s="195">
        <v>0</v>
      </c>
      <c r="G27" s="195">
        <v>0</v>
      </c>
      <c r="H27" s="195">
        <v>0</v>
      </c>
      <c r="I27" s="195">
        <v>70</v>
      </c>
      <c r="J27" s="195">
        <v>47</v>
      </c>
      <c r="K27" s="195">
        <v>0</v>
      </c>
      <c r="L27" s="195">
        <v>44</v>
      </c>
      <c r="M27" s="195">
        <v>15</v>
      </c>
      <c r="N27" s="195">
        <v>0</v>
      </c>
      <c r="O27" s="188">
        <v>0</v>
      </c>
      <c r="P27" s="188">
        <v>0</v>
      </c>
      <c r="Q27" s="188">
        <v>9</v>
      </c>
      <c r="R27" s="188">
        <v>0</v>
      </c>
      <c r="S27" s="188">
        <v>0</v>
      </c>
      <c r="T27" s="188">
        <v>0</v>
      </c>
      <c r="U27" s="188">
        <v>3</v>
      </c>
      <c r="V27" s="188">
        <v>0</v>
      </c>
    </row>
    <row r="28" spans="1:22" hidden="1">
      <c r="A28" s="1199"/>
      <c r="B28" s="186" t="s">
        <v>49</v>
      </c>
      <c r="C28" s="195">
        <v>140</v>
      </c>
      <c r="D28" s="195">
        <v>0</v>
      </c>
      <c r="E28" s="195">
        <v>0</v>
      </c>
      <c r="F28" s="195">
        <v>0</v>
      </c>
      <c r="G28" s="195">
        <v>0</v>
      </c>
      <c r="H28" s="195">
        <v>0</v>
      </c>
      <c r="I28" s="195">
        <v>30</v>
      </c>
      <c r="J28" s="195">
        <v>35</v>
      </c>
      <c r="K28" s="195">
        <v>0</v>
      </c>
      <c r="L28" s="195">
        <v>34</v>
      </c>
      <c r="M28" s="195">
        <v>34</v>
      </c>
      <c r="N28" s="195">
        <v>0</v>
      </c>
      <c r="O28" s="188">
        <v>0</v>
      </c>
      <c r="P28" s="188">
        <v>0</v>
      </c>
      <c r="Q28" s="188">
        <v>7</v>
      </c>
      <c r="R28" s="188">
        <v>0</v>
      </c>
      <c r="S28" s="188">
        <v>0</v>
      </c>
      <c r="T28" s="188">
        <v>0</v>
      </c>
      <c r="U28" s="188">
        <v>0</v>
      </c>
      <c r="V28" s="188">
        <v>0</v>
      </c>
    </row>
    <row r="29" spans="1:22">
      <c r="A29" s="1199"/>
      <c r="B29" s="186" t="s">
        <v>50</v>
      </c>
      <c r="C29" s="195">
        <v>200</v>
      </c>
      <c r="D29" s="195">
        <v>0</v>
      </c>
      <c r="E29" s="195">
        <v>0</v>
      </c>
      <c r="F29" s="195">
        <v>0</v>
      </c>
      <c r="G29" s="195">
        <v>0</v>
      </c>
      <c r="H29" s="195">
        <v>0</v>
      </c>
      <c r="I29" s="195">
        <v>30</v>
      </c>
      <c r="J29" s="195">
        <v>50</v>
      </c>
      <c r="K29" s="195">
        <v>0</v>
      </c>
      <c r="L29" s="195">
        <v>48</v>
      </c>
      <c r="M29" s="195">
        <v>47</v>
      </c>
      <c r="N29" s="195">
        <v>0</v>
      </c>
      <c r="O29" s="188">
        <v>0</v>
      </c>
      <c r="P29" s="188">
        <v>0</v>
      </c>
      <c r="Q29" s="188">
        <v>7</v>
      </c>
      <c r="R29" s="188">
        <v>0</v>
      </c>
      <c r="S29" s="188">
        <v>0</v>
      </c>
      <c r="T29" s="188">
        <v>0</v>
      </c>
      <c r="U29" s="188">
        <v>14</v>
      </c>
      <c r="V29" s="188">
        <v>0</v>
      </c>
    </row>
    <row r="30" spans="1:22">
      <c r="A30" s="1199"/>
      <c r="B30" s="186" t="s">
        <v>51</v>
      </c>
      <c r="C30" s="195">
        <v>200</v>
      </c>
      <c r="D30" s="195">
        <v>0</v>
      </c>
      <c r="E30" s="195">
        <v>0</v>
      </c>
      <c r="F30" s="195">
        <v>0</v>
      </c>
      <c r="G30" s="195">
        <v>0</v>
      </c>
      <c r="H30" s="195">
        <v>0</v>
      </c>
      <c r="I30" s="195">
        <v>25</v>
      </c>
      <c r="J30" s="195">
        <v>49</v>
      </c>
      <c r="K30" s="195">
        <v>0</v>
      </c>
      <c r="L30" s="195">
        <v>46</v>
      </c>
      <c r="M30" s="195">
        <v>36</v>
      </c>
      <c r="N30" s="195">
        <v>0</v>
      </c>
      <c r="O30" s="188">
        <v>0</v>
      </c>
      <c r="P30" s="188">
        <v>0</v>
      </c>
      <c r="Q30" s="260">
        <v>6</v>
      </c>
      <c r="R30" s="260">
        <v>0</v>
      </c>
      <c r="S30" s="260">
        <v>0</v>
      </c>
      <c r="T30" s="260">
        <v>0</v>
      </c>
      <c r="U30" s="260">
        <v>7</v>
      </c>
      <c r="V30" s="260">
        <v>0</v>
      </c>
    </row>
    <row r="31" spans="1:22">
      <c r="A31" s="1199"/>
      <c r="B31" s="186" t="s">
        <v>52</v>
      </c>
      <c r="C31" s="195">
        <v>160</v>
      </c>
      <c r="D31" s="195">
        <v>0</v>
      </c>
      <c r="E31" s="195">
        <v>0</v>
      </c>
      <c r="F31" s="195">
        <v>0</v>
      </c>
      <c r="G31" s="195">
        <v>0</v>
      </c>
      <c r="H31" s="195">
        <v>0</v>
      </c>
      <c r="I31" s="195">
        <v>30</v>
      </c>
      <c r="J31" s="195">
        <v>40</v>
      </c>
      <c r="K31" s="195">
        <v>0</v>
      </c>
      <c r="L31" s="195">
        <v>38</v>
      </c>
      <c r="M31" s="195">
        <v>37</v>
      </c>
      <c r="N31" s="195">
        <v>0</v>
      </c>
      <c r="O31" s="188">
        <v>0</v>
      </c>
      <c r="P31" s="188">
        <v>0</v>
      </c>
      <c r="Q31" s="260">
        <v>6</v>
      </c>
      <c r="R31" s="260">
        <v>0</v>
      </c>
      <c r="S31" s="260">
        <v>0</v>
      </c>
      <c r="T31" s="260">
        <v>0</v>
      </c>
      <c r="U31" s="260">
        <v>7</v>
      </c>
      <c r="V31" s="260">
        <v>0</v>
      </c>
    </row>
    <row r="32" spans="1:22">
      <c r="A32" s="1199"/>
      <c r="B32" s="186" t="s">
        <v>53</v>
      </c>
      <c r="C32" s="195">
        <v>200</v>
      </c>
      <c r="D32" s="195">
        <v>0</v>
      </c>
      <c r="E32" s="195">
        <v>0</v>
      </c>
      <c r="F32" s="195">
        <v>0</v>
      </c>
      <c r="G32" s="195">
        <v>0</v>
      </c>
      <c r="H32" s="195">
        <v>0</v>
      </c>
      <c r="I32" s="195">
        <v>30</v>
      </c>
      <c r="J32" s="195">
        <v>50</v>
      </c>
      <c r="K32" s="195">
        <v>0</v>
      </c>
      <c r="L32" s="195">
        <v>48</v>
      </c>
      <c r="M32" s="195">
        <v>47</v>
      </c>
      <c r="N32" s="195">
        <v>0</v>
      </c>
      <c r="O32" s="188">
        <v>0</v>
      </c>
      <c r="P32" s="188">
        <v>0</v>
      </c>
      <c r="Q32" s="195">
        <v>6</v>
      </c>
      <c r="R32" s="195">
        <v>0</v>
      </c>
      <c r="S32" s="195">
        <v>0</v>
      </c>
      <c r="T32" s="195">
        <v>0</v>
      </c>
      <c r="U32" s="195">
        <v>12</v>
      </c>
      <c r="V32" s="195">
        <v>0</v>
      </c>
    </row>
    <row r="33" spans="1:22">
      <c r="A33" s="1199"/>
      <c r="B33" s="186" t="s">
        <v>54</v>
      </c>
      <c r="C33" s="195">
        <v>200</v>
      </c>
      <c r="D33" s="195">
        <v>0</v>
      </c>
      <c r="E33" s="195">
        <v>0</v>
      </c>
      <c r="F33" s="195">
        <v>0</v>
      </c>
      <c r="G33" s="195">
        <v>0</v>
      </c>
      <c r="H33" s="195">
        <v>0</v>
      </c>
      <c r="I33" s="195">
        <v>30</v>
      </c>
      <c r="J33" s="195">
        <v>51</v>
      </c>
      <c r="K33" s="195">
        <v>0</v>
      </c>
      <c r="L33" s="195">
        <v>49</v>
      </c>
      <c r="M33" s="195">
        <v>48</v>
      </c>
      <c r="N33" s="195">
        <v>0</v>
      </c>
      <c r="O33" s="188">
        <v>0</v>
      </c>
      <c r="P33" s="188">
        <v>0</v>
      </c>
      <c r="Q33" s="188">
        <v>7</v>
      </c>
      <c r="R33" s="188">
        <v>0</v>
      </c>
      <c r="S33" s="188">
        <v>0</v>
      </c>
      <c r="T33" s="188">
        <v>0</v>
      </c>
      <c r="U33" s="188">
        <v>9</v>
      </c>
      <c r="V33" s="188">
        <v>0</v>
      </c>
    </row>
    <row r="34" spans="1:22">
      <c r="A34" s="1199"/>
      <c r="B34" s="186" t="s">
        <v>55</v>
      </c>
      <c r="C34" s="195">
        <v>180</v>
      </c>
      <c r="D34" s="195">
        <v>0</v>
      </c>
      <c r="E34" s="195">
        <v>0</v>
      </c>
      <c r="F34" s="195">
        <v>0</v>
      </c>
      <c r="G34" s="195">
        <v>0</v>
      </c>
      <c r="H34" s="195">
        <v>0</v>
      </c>
      <c r="I34" s="195">
        <v>35</v>
      </c>
      <c r="J34" s="195">
        <v>45</v>
      </c>
      <c r="K34" s="195">
        <v>0</v>
      </c>
      <c r="L34" s="195">
        <v>43</v>
      </c>
      <c r="M34" s="195">
        <v>41</v>
      </c>
      <c r="N34" s="195">
        <v>0</v>
      </c>
      <c r="O34" s="195">
        <v>0</v>
      </c>
      <c r="P34" s="195">
        <v>0</v>
      </c>
      <c r="Q34" s="195">
        <v>6.7649600000000003</v>
      </c>
      <c r="R34" s="195">
        <v>0</v>
      </c>
      <c r="S34" s="195">
        <v>5.2854999999999999E-2</v>
      </c>
      <c r="T34" s="195">
        <v>0</v>
      </c>
      <c r="U34" s="195">
        <v>10</v>
      </c>
      <c r="V34" s="195">
        <v>0</v>
      </c>
    </row>
    <row r="35" spans="1:22">
      <c r="A35" s="1199"/>
      <c r="B35" s="186" t="s">
        <v>56</v>
      </c>
      <c r="C35" s="195">
        <v>130</v>
      </c>
      <c r="D35" s="195">
        <v>0</v>
      </c>
      <c r="E35" s="195">
        <v>0</v>
      </c>
      <c r="F35" s="195">
        <v>0</v>
      </c>
      <c r="G35" s="195">
        <v>0</v>
      </c>
      <c r="H35" s="195">
        <v>0</v>
      </c>
      <c r="I35" s="195">
        <v>30</v>
      </c>
      <c r="J35" s="195">
        <v>34</v>
      </c>
      <c r="K35" s="195">
        <v>0</v>
      </c>
      <c r="L35" s="195">
        <v>31</v>
      </c>
      <c r="M35" s="195">
        <v>31</v>
      </c>
      <c r="N35" s="195">
        <v>0</v>
      </c>
      <c r="O35" s="195">
        <v>0</v>
      </c>
      <c r="P35" s="195">
        <v>0</v>
      </c>
      <c r="Q35" s="195">
        <v>8</v>
      </c>
      <c r="R35" s="195">
        <v>0</v>
      </c>
      <c r="S35" s="195">
        <v>0</v>
      </c>
      <c r="T35" s="195">
        <v>0</v>
      </c>
      <c r="U35" s="195">
        <v>14</v>
      </c>
      <c r="V35" s="195">
        <v>0</v>
      </c>
    </row>
    <row r="36" spans="1:22">
      <c r="A36" s="1199"/>
      <c r="B36" s="186" t="s">
        <v>57</v>
      </c>
      <c r="C36" s="195">
        <v>260</v>
      </c>
      <c r="D36" s="195">
        <v>0</v>
      </c>
      <c r="E36" s="195">
        <v>0</v>
      </c>
      <c r="F36" s="195">
        <v>0</v>
      </c>
      <c r="G36" s="195">
        <v>0</v>
      </c>
      <c r="H36" s="195">
        <v>0</v>
      </c>
      <c r="I36" s="195">
        <v>30</v>
      </c>
      <c r="J36" s="195">
        <v>67</v>
      </c>
      <c r="K36" s="195">
        <v>0</v>
      </c>
      <c r="L36" s="195">
        <v>64</v>
      </c>
      <c r="M36" s="195">
        <v>62</v>
      </c>
      <c r="N36" s="195">
        <v>0</v>
      </c>
      <c r="O36" s="188">
        <v>0</v>
      </c>
      <c r="P36" s="188">
        <v>0</v>
      </c>
      <c r="Q36" s="188">
        <v>7</v>
      </c>
      <c r="R36" s="188">
        <v>0</v>
      </c>
      <c r="S36" s="188">
        <v>0</v>
      </c>
      <c r="T36" s="188">
        <v>0</v>
      </c>
      <c r="U36" s="188">
        <v>40</v>
      </c>
      <c r="V36" s="188">
        <v>0</v>
      </c>
    </row>
    <row r="37" spans="1:22">
      <c r="A37" s="1199"/>
      <c r="B37" s="186" t="s">
        <v>58</v>
      </c>
      <c r="C37" s="195">
        <v>190</v>
      </c>
      <c r="D37" s="195">
        <v>5</v>
      </c>
      <c r="E37" s="195">
        <v>0</v>
      </c>
      <c r="F37" s="195">
        <v>0</v>
      </c>
      <c r="G37" s="195">
        <v>0</v>
      </c>
      <c r="H37" s="195">
        <v>0</v>
      </c>
      <c r="I37" s="195">
        <v>30</v>
      </c>
      <c r="J37" s="195">
        <v>49</v>
      </c>
      <c r="K37" s="195">
        <v>0</v>
      </c>
      <c r="L37" s="195">
        <v>47</v>
      </c>
      <c r="M37" s="195">
        <v>47</v>
      </c>
      <c r="N37" s="195">
        <v>0</v>
      </c>
      <c r="O37" s="188">
        <v>0</v>
      </c>
      <c r="P37" s="188">
        <v>0</v>
      </c>
      <c r="Q37" s="188">
        <v>8</v>
      </c>
      <c r="R37" s="188">
        <v>0</v>
      </c>
      <c r="S37" s="188">
        <v>0</v>
      </c>
      <c r="T37" s="188">
        <v>0</v>
      </c>
      <c r="U37" s="188">
        <v>1</v>
      </c>
      <c r="V37" s="188">
        <v>0</v>
      </c>
    </row>
    <row r="38" spans="1:22">
      <c r="A38" s="1199"/>
      <c r="B38" s="186" t="s">
        <v>59</v>
      </c>
      <c r="C38" s="195">
        <v>180</v>
      </c>
      <c r="D38" s="195">
        <v>0</v>
      </c>
      <c r="E38" s="195">
        <v>0</v>
      </c>
      <c r="F38" s="195">
        <v>0</v>
      </c>
      <c r="G38" s="195">
        <v>0</v>
      </c>
      <c r="H38" s="195">
        <v>0</v>
      </c>
      <c r="I38" s="195">
        <v>30</v>
      </c>
      <c r="J38" s="195">
        <v>44</v>
      </c>
      <c r="K38" s="195">
        <v>0</v>
      </c>
      <c r="L38" s="195">
        <v>43</v>
      </c>
      <c r="M38" s="195">
        <v>42</v>
      </c>
      <c r="N38" s="195">
        <v>0</v>
      </c>
      <c r="O38" s="188">
        <v>0</v>
      </c>
      <c r="P38" s="188">
        <v>0</v>
      </c>
      <c r="Q38" s="188">
        <v>6</v>
      </c>
      <c r="R38" s="188">
        <v>0</v>
      </c>
      <c r="S38" s="188">
        <v>0</v>
      </c>
      <c r="T38" s="188">
        <v>0</v>
      </c>
      <c r="U38" s="188">
        <v>10</v>
      </c>
      <c r="V38" s="188">
        <v>0</v>
      </c>
    </row>
    <row r="39" spans="1:22">
      <c r="A39" s="1199"/>
      <c r="B39" s="186" t="s">
        <v>60</v>
      </c>
      <c r="C39" s="195">
        <v>190</v>
      </c>
      <c r="D39" s="195">
        <v>0</v>
      </c>
      <c r="E39" s="195">
        <v>0</v>
      </c>
      <c r="F39" s="195">
        <v>0</v>
      </c>
      <c r="G39" s="195">
        <v>0</v>
      </c>
      <c r="H39" s="195">
        <v>0</v>
      </c>
      <c r="I39" s="195">
        <v>30</v>
      </c>
      <c r="J39" s="195">
        <v>48</v>
      </c>
      <c r="K39" s="195">
        <v>1</v>
      </c>
      <c r="L39" s="195">
        <v>46</v>
      </c>
      <c r="M39" s="195">
        <v>45</v>
      </c>
      <c r="N39" s="195">
        <v>0</v>
      </c>
      <c r="O39" s="188">
        <v>0</v>
      </c>
      <c r="P39" s="188">
        <v>0</v>
      </c>
      <c r="Q39" s="188">
        <v>8</v>
      </c>
      <c r="R39" s="188">
        <v>0</v>
      </c>
      <c r="S39" s="188">
        <v>0</v>
      </c>
      <c r="T39" s="188">
        <v>0</v>
      </c>
      <c r="U39" s="188">
        <v>19</v>
      </c>
      <c r="V39" s="188">
        <v>0</v>
      </c>
    </row>
    <row r="40" spans="1:22">
      <c r="A40" s="1199"/>
      <c r="B40" s="186" t="s">
        <v>61</v>
      </c>
      <c r="C40" s="195">
        <v>230</v>
      </c>
      <c r="D40" s="195">
        <v>0</v>
      </c>
      <c r="E40" s="195">
        <v>0</v>
      </c>
      <c r="F40" s="195">
        <v>0</v>
      </c>
      <c r="G40" s="195">
        <v>0</v>
      </c>
      <c r="H40" s="195">
        <v>0</v>
      </c>
      <c r="I40" s="195">
        <v>30</v>
      </c>
      <c r="J40" s="195">
        <v>60</v>
      </c>
      <c r="K40" s="195">
        <v>0</v>
      </c>
      <c r="L40" s="195">
        <v>57</v>
      </c>
      <c r="M40" s="195">
        <v>56</v>
      </c>
      <c r="N40" s="195">
        <v>0</v>
      </c>
      <c r="O40" s="188">
        <v>0</v>
      </c>
      <c r="P40" s="188">
        <v>0</v>
      </c>
      <c r="Q40" s="188">
        <v>8</v>
      </c>
      <c r="R40" s="188">
        <v>0</v>
      </c>
      <c r="S40" s="188">
        <v>0</v>
      </c>
      <c r="T40" s="188">
        <v>0</v>
      </c>
      <c r="U40" s="188">
        <v>3</v>
      </c>
      <c r="V40" s="188">
        <v>0</v>
      </c>
    </row>
    <row r="41" spans="1:22">
      <c r="A41" s="1199"/>
      <c r="B41" s="186" t="s">
        <v>62</v>
      </c>
      <c r="C41" s="195">
        <v>280</v>
      </c>
      <c r="D41" s="195">
        <v>45</v>
      </c>
      <c r="E41" s="195">
        <v>5</v>
      </c>
      <c r="F41" s="195">
        <v>1</v>
      </c>
      <c r="G41" s="195">
        <v>0</v>
      </c>
      <c r="H41" s="195">
        <v>0</v>
      </c>
      <c r="I41" s="195">
        <v>75</v>
      </c>
      <c r="J41" s="195">
        <v>60</v>
      </c>
      <c r="K41" s="195">
        <v>1</v>
      </c>
      <c r="L41" s="195">
        <v>56</v>
      </c>
      <c r="M41" s="195">
        <v>55</v>
      </c>
      <c r="N41" s="195">
        <v>2</v>
      </c>
      <c r="O41" s="188">
        <v>0</v>
      </c>
      <c r="P41" s="188">
        <v>0</v>
      </c>
      <c r="Q41" s="188">
        <v>16</v>
      </c>
      <c r="R41" s="188">
        <v>2</v>
      </c>
      <c r="S41" s="188">
        <v>1</v>
      </c>
      <c r="T41" s="188">
        <v>6</v>
      </c>
      <c r="U41" s="188">
        <v>59</v>
      </c>
      <c r="V41" s="188">
        <v>2</v>
      </c>
    </row>
    <row r="42" spans="1:22">
      <c r="A42" s="1199"/>
      <c r="B42" s="186" t="s">
        <v>63</v>
      </c>
      <c r="C42" s="195">
        <v>280</v>
      </c>
      <c r="D42" s="195">
        <v>60</v>
      </c>
      <c r="E42" s="195">
        <v>7</v>
      </c>
      <c r="F42" s="195">
        <v>1</v>
      </c>
      <c r="G42" s="195">
        <v>0</v>
      </c>
      <c r="H42" s="195">
        <v>0</v>
      </c>
      <c r="I42" s="195">
        <v>80</v>
      </c>
      <c r="J42" s="195">
        <v>54</v>
      </c>
      <c r="K42" s="195">
        <v>0</v>
      </c>
      <c r="L42" s="195">
        <v>51</v>
      </c>
      <c r="M42" s="195">
        <v>49</v>
      </c>
      <c r="N42" s="195">
        <v>2</v>
      </c>
      <c r="O42" s="188">
        <v>0</v>
      </c>
      <c r="P42" s="188">
        <v>0</v>
      </c>
      <c r="Q42" s="188">
        <v>14</v>
      </c>
      <c r="R42" s="188">
        <v>2</v>
      </c>
      <c r="S42" s="188">
        <v>0</v>
      </c>
      <c r="T42" s="188">
        <v>0</v>
      </c>
      <c r="U42" s="188">
        <v>3</v>
      </c>
      <c r="V42" s="188">
        <v>0</v>
      </c>
    </row>
    <row r="43" spans="1:22">
      <c r="A43" s="1199"/>
      <c r="B43" s="186" t="s">
        <v>64</v>
      </c>
      <c r="C43" s="195">
        <v>190</v>
      </c>
      <c r="D43" s="195">
        <v>0</v>
      </c>
      <c r="E43" s="195">
        <v>0</v>
      </c>
      <c r="F43" s="195">
        <v>0</v>
      </c>
      <c r="G43" s="195">
        <v>0</v>
      </c>
      <c r="H43" s="195">
        <v>0</v>
      </c>
      <c r="I43" s="195">
        <v>30</v>
      </c>
      <c r="J43" s="195">
        <v>47</v>
      </c>
      <c r="K43" s="195">
        <v>0</v>
      </c>
      <c r="L43" s="195">
        <v>45</v>
      </c>
      <c r="M43" s="195">
        <v>45</v>
      </c>
      <c r="N43" s="195">
        <v>0</v>
      </c>
      <c r="O43" s="188">
        <v>0</v>
      </c>
      <c r="P43" s="188">
        <v>0</v>
      </c>
      <c r="Q43" s="188">
        <v>7</v>
      </c>
      <c r="R43" s="188">
        <v>0</v>
      </c>
      <c r="S43" s="188">
        <v>0</v>
      </c>
      <c r="T43" s="188">
        <v>0</v>
      </c>
      <c r="U43" s="188">
        <v>14</v>
      </c>
      <c r="V43" s="188">
        <v>0</v>
      </c>
    </row>
    <row r="44" spans="1:22">
      <c r="A44" s="1199"/>
      <c r="B44" s="186" t="s">
        <v>65</v>
      </c>
      <c r="C44" s="195">
        <v>180</v>
      </c>
      <c r="D44" s="195">
        <v>0</v>
      </c>
      <c r="E44" s="195">
        <v>0</v>
      </c>
      <c r="F44" s="195">
        <v>0</v>
      </c>
      <c r="G44" s="195">
        <v>0</v>
      </c>
      <c r="H44" s="195">
        <v>0</v>
      </c>
      <c r="I44" s="195">
        <v>30</v>
      </c>
      <c r="J44" s="195">
        <v>50</v>
      </c>
      <c r="K44" s="195">
        <v>0</v>
      </c>
      <c r="L44" s="195">
        <v>48</v>
      </c>
      <c r="M44" s="195">
        <v>48</v>
      </c>
      <c r="N44" s="195">
        <v>0</v>
      </c>
      <c r="O44" s="188">
        <v>0</v>
      </c>
      <c r="P44" s="188">
        <v>0</v>
      </c>
      <c r="Q44" s="188">
        <v>6</v>
      </c>
      <c r="R44" s="188">
        <v>0</v>
      </c>
      <c r="S44" s="188">
        <v>0</v>
      </c>
      <c r="T44" s="188">
        <v>0</v>
      </c>
      <c r="U44" s="188">
        <v>0</v>
      </c>
      <c r="V44" s="188">
        <v>0</v>
      </c>
    </row>
    <row r="45" spans="1:22">
      <c r="A45" s="1199"/>
      <c r="B45" s="186" t="s">
        <v>66</v>
      </c>
      <c r="C45" s="195">
        <v>190</v>
      </c>
      <c r="D45" s="195">
        <v>0</v>
      </c>
      <c r="E45" s="195">
        <v>0</v>
      </c>
      <c r="F45" s="195">
        <v>0</v>
      </c>
      <c r="G45" s="195">
        <v>0</v>
      </c>
      <c r="H45" s="195">
        <v>0</v>
      </c>
      <c r="I45" s="195">
        <v>30</v>
      </c>
      <c r="J45" s="195">
        <v>47</v>
      </c>
      <c r="K45" s="195">
        <v>0</v>
      </c>
      <c r="L45" s="195">
        <v>45</v>
      </c>
      <c r="M45" s="195">
        <v>45</v>
      </c>
      <c r="N45" s="195">
        <v>0</v>
      </c>
      <c r="O45" s="188">
        <v>0</v>
      </c>
      <c r="P45" s="188">
        <v>0</v>
      </c>
      <c r="Q45" s="188">
        <v>7</v>
      </c>
      <c r="R45" s="188">
        <v>0</v>
      </c>
      <c r="S45" s="188">
        <v>0</v>
      </c>
      <c r="T45" s="188">
        <v>0</v>
      </c>
      <c r="U45" s="188">
        <v>3</v>
      </c>
      <c r="V45" s="188">
        <v>0</v>
      </c>
    </row>
    <row r="46" spans="1:22">
      <c r="A46" s="1199"/>
      <c r="B46" s="186" t="s">
        <v>67</v>
      </c>
      <c r="C46" s="195">
        <v>200</v>
      </c>
      <c r="D46" s="195">
        <v>0</v>
      </c>
      <c r="E46" s="195">
        <v>0</v>
      </c>
      <c r="F46" s="195">
        <v>0</v>
      </c>
      <c r="G46" s="195">
        <v>0</v>
      </c>
      <c r="H46" s="195">
        <v>0</v>
      </c>
      <c r="I46" s="195">
        <v>30</v>
      </c>
      <c r="J46" s="195">
        <v>52</v>
      </c>
      <c r="K46" s="195">
        <v>0</v>
      </c>
      <c r="L46" s="195">
        <v>50</v>
      </c>
      <c r="M46" s="195">
        <v>50</v>
      </c>
      <c r="N46" s="195">
        <v>0</v>
      </c>
      <c r="O46" s="188">
        <v>0</v>
      </c>
      <c r="P46" s="188">
        <v>0</v>
      </c>
      <c r="Q46" s="188">
        <v>6</v>
      </c>
      <c r="R46" s="188">
        <v>0</v>
      </c>
      <c r="S46" s="188">
        <v>0</v>
      </c>
      <c r="T46" s="188">
        <v>0</v>
      </c>
      <c r="U46" s="188">
        <v>2</v>
      </c>
      <c r="V46" s="188">
        <v>0</v>
      </c>
    </row>
    <row r="47" spans="1:22">
      <c r="A47" s="1199"/>
      <c r="B47" s="186" t="s">
        <v>68</v>
      </c>
      <c r="C47" s="195">
        <v>180</v>
      </c>
      <c r="D47" s="195">
        <v>0</v>
      </c>
      <c r="E47" s="195">
        <v>0</v>
      </c>
      <c r="F47" s="195">
        <v>0</v>
      </c>
      <c r="G47" s="195">
        <v>0</v>
      </c>
      <c r="H47" s="195">
        <v>0</v>
      </c>
      <c r="I47" s="195">
        <v>25</v>
      </c>
      <c r="J47" s="195">
        <v>45</v>
      </c>
      <c r="K47" s="195">
        <v>0</v>
      </c>
      <c r="L47" s="195">
        <v>42</v>
      </c>
      <c r="M47" s="195">
        <v>42</v>
      </c>
      <c r="N47" s="195">
        <v>0</v>
      </c>
      <c r="O47" s="188">
        <v>0</v>
      </c>
      <c r="P47" s="188">
        <v>0</v>
      </c>
      <c r="Q47" s="260">
        <v>8</v>
      </c>
      <c r="R47" s="260">
        <v>0</v>
      </c>
      <c r="S47" s="260">
        <v>0</v>
      </c>
      <c r="T47" s="260">
        <v>0</v>
      </c>
      <c r="U47" s="260">
        <v>20</v>
      </c>
      <c r="V47" s="260">
        <v>0</v>
      </c>
    </row>
    <row r="48" spans="1:22" ht="13.5" customHeight="1">
      <c r="A48" s="1199"/>
      <c r="B48" s="186" t="s">
        <v>69</v>
      </c>
      <c r="C48" s="195">
        <v>180</v>
      </c>
      <c r="D48" s="195">
        <v>0</v>
      </c>
      <c r="E48" s="195">
        <v>0</v>
      </c>
      <c r="F48" s="195">
        <v>0</v>
      </c>
      <c r="G48" s="195">
        <v>0</v>
      </c>
      <c r="H48" s="195">
        <v>0</v>
      </c>
      <c r="I48" s="195">
        <v>35</v>
      </c>
      <c r="J48" s="195">
        <v>45</v>
      </c>
      <c r="K48" s="195">
        <v>0</v>
      </c>
      <c r="L48" s="195">
        <v>43</v>
      </c>
      <c r="M48" s="195">
        <v>41</v>
      </c>
      <c r="N48" s="195">
        <v>0</v>
      </c>
      <c r="O48" s="195">
        <v>0</v>
      </c>
      <c r="P48" s="195">
        <v>0</v>
      </c>
      <c r="Q48" s="195">
        <v>6.7649600000000003</v>
      </c>
      <c r="R48" s="195">
        <v>0</v>
      </c>
      <c r="S48" s="195">
        <v>5.2854999999999999E-2</v>
      </c>
      <c r="T48" s="195">
        <v>0</v>
      </c>
      <c r="U48" s="195">
        <v>10</v>
      </c>
      <c r="V48" s="195">
        <v>0</v>
      </c>
    </row>
    <row r="49" spans="1:22" hidden="1">
      <c r="A49" s="1199"/>
      <c r="B49" s="186" t="s">
        <v>70</v>
      </c>
      <c r="C49" s="195">
        <v>140</v>
      </c>
      <c r="D49" s="195">
        <v>0</v>
      </c>
      <c r="E49" s="195">
        <v>0</v>
      </c>
      <c r="F49" s="195">
        <v>0</v>
      </c>
      <c r="G49" s="195">
        <v>0</v>
      </c>
      <c r="H49" s="195">
        <v>0</v>
      </c>
      <c r="I49" s="195">
        <v>30</v>
      </c>
      <c r="J49" s="195">
        <v>35</v>
      </c>
      <c r="K49" s="195">
        <v>0</v>
      </c>
      <c r="L49" s="195">
        <v>34</v>
      </c>
      <c r="M49" s="195">
        <v>34</v>
      </c>
      <c r="N49" s="195">
        <v>0</v>
      </c>
      <c r="O49" s="188">
        <v>0</v>
      </c>
      <c r="P49" s="188">
        <v>0</v>
      </c>
      <c r="Q49" s="195">
        <v>7</v>
      </c>
      <c r="R49" s="195">
        <v>0</v>
      </c>
      <c r="S49" s="195">
        <v>0</v>
      </c>
      <c r="T49" s="195">
        <v>0</v>
      </c>
      <c r="U49" s="195">
        <v>0</v>
      </c>
      <c r="V49" s="195">
        <v>0</v>
      </c>
    </row>
    <row r="50" spans="1:22">
      <c r="A50" s="1199"/>
      <c r="B50" s="186" t="s">
        <v>71</v>
      </c>
      <c r="C50" s="195">
        <v>190</v>
      </c>
      <c r="D50" s="195">
        <v>0</v>
      </c>
      <c r="E50" s="195">
        <v>0</v>
      </c>
      <c r="F50" s="195">
        <v>0</v>
      </c>
      <c r="G50" s="195">
        <v>0</v>
      </c>
      <c r="H50" s="195">
        <v>0</v>
      </c>
      <c r="I50" s="195">
        <v>30</v>
      </c>
      <c r="J50" s="195">
        <v>48</v>
      </c>
      <c r="K50" s="195">
        <v>0</v>
      </c>
      <c r="L50" s="195">
        <v>47</v>
      </c>
      <c r="M50" s="195">
        <v>46</v>
      </c>
      <c r="N50" s="195">
        <v>0</v>
      </c>
      <c r="O50" s="188">
        <v>0</v>
      </c>
      <c r="P50" s="188">
        <v>0</v>
      </c>
      <c r="Q50" s="188">
        <v>7</v>
      </c>
      <c r="R50" s="188">
        <v>0</v>
      </c>
      <c r="S50" s="188">
        <v>0</v>
      </c>
      <c r="T50" s="188">
        <v>0</v>
      </c>
      <c r="U50" s="188">
        <v>13</v>
      </c>
      <c r="V50" s="188">
        <v>0</v>
      </c>
    </row>
    <row r="51" spans="1:22">
      <c r="A51" s="1199"/>
      <c r="B51" s="186" t="s">
        <v>72</v>
      </c>
      <c r="C51" s="195">
        <v>220</v>
      </c>
      <c r="D51" s="195">
        <v>0</v>
      </c>
      <c r="E51" s="195">
        <v>0</v>
      </c>
      <c r="F51" s="195">
        <v>0</v>
      </c>
      <c r="G51" s="195">
        <v>0</v>
      </c>
      <c r="H51" s="195">
        <v>0</v>
      </c>
      <c r="I51" s="195">
        <v>50</v>
      </c>
      <c r="J51" s="195">
        <v>57</v>
      </c>
      <c r="K51" s="195">
        <v>0</v>
      </c>
      <c r="L51" s="195">
        <v>55</v>
      </c>
      <c r="M51" s="195">
        <v>55</v>
      </c>
      <c r="N51" s="195">
        <v>0</v>
      </c>
      <c r="O51" s="188">
        <v>0</v>
      </c>
      <c r="P51" s="188">
        <v>0</v>
      </c>
      <c r="Q51" s="188">
        <v>6</v>
      </c>
      <c r="R51" s="188">
        <v>0</v>
      </c>
      <c r="S51" s="188">
        <v>0</v>
      </c>
      <c r="T51" s="188">
        <v>0</v>
      </c>
      <c r="U51" s="188">
        <v>1</v>
      </c>
      <c r="V51" s="188">
        <v>0</v>
      </c>
    </row>
    <row r="52" spans="1:22">
      <c r="A52" s="1199"/>
      <c r="B52" s="186" t="s">
        <v>73</v>
      </c>
      <c r="C52" s="195">
        <v>220</v>
      </c>
      <c r="D52" s="195">
        <v>5</v>
      </c>
      <c r="E52" s="195">
        <v>0</v>
      </c>
      <c r="F52" s="195">
        <v>0</v>
      </c>
      <c r="G52" s="195">
        <v>0</v>
      </c>
      <c r="H52" s="195">
        <v>0</v>
      </c>
      <c r="I52" s="195">
        <v>30</v>
      </c>
      <c r="J52" s="195">
        <v>54</v>
      </c>
      <c r="K52" s="195">
        <v>0</v>
      </c>
      <c r="L52" s="195">
        <v>52</v>
      </c>
      <c r="M52" s="195">
        <v>50</v>
      </c>
      <c r="N52" s="195">
        <v>0</v>
      </c>
      <c r="O52" s="195">
        <v>0</v>
      </c>
      <c r="P52" s="195">
        <v>0</v>
      </c>
      <c r="Q52" s="195">
        <v>6</v>
      </c>
      <c r="R52" s="195">
        <v>0</v>
      </c>
      <c r="S52" s="195">
        <v>0</v>
      </c>
      <c r="T52" s="195">
        <v>0</v>
      </c>
      <c r="U52" s="195">
        <v>4</v>
      </c>
      <c r="V52" s="195">
        <v>0</v>
      </c>
    </row>
    <row r="53" spans="1:22" ht="14.25" customHeight="1">
      <c r="A53" s="1199"/>
      <c r="B53" s="186" t="s">
        <v>74</v>
      </c>
      <c r="C53" s="195">
        <v>180</v>
      </c>
      <c r="D53" s="195">
        <v>0</v>
      </c>
      <c r="E53" s="195">
        <v>0</v>
      </c>
      <c r="F53" s="195">
        <v>0</v>
      </c>
      <c r="G53" s="195">
        <v>0</v>
      </c>
      <c r="H53" s="195">
        <v>0</v>
      </c>
      <c r="I53" s="195">
        <v>30</v>
      </c>
      <c r="J53" s="195">
        <v>48</v>
      </c>
      <c r="K53" s="195">
        <v>0</v>
      </c>
      <c r="L53" s="195">
        <v>46</v>
      </c>
      <c r="M53" s="195">
        <v>44</v>
      </c>
      <c r="N53" s="195">
        <v>0</v>
      </c>
      <c r="O53" s="188">
        <v>0</v>
      </c>
      <c r="P53" s="188">
        <v>0</v>
      </c>
      <c r="Q53" s="188">
        <v>7</v>
      </c>
      <c r="R53" s="188">
        <v>0</v>
      </c>
      <c r="S53" s="188">
        <v>0</v>
      </c>
      <c r="T53" s="188">
        <v>0</v>
      </c>
      <c r="U53" s="188">
        <v>1</v>
      </c>
      <c r="V53" s="188">
        <v>0</v>
      </c>
    </row>
    <row r="54" spans="1:22">
      <c r="A54" s="1199"/>
      <c r="B54" s="186" t="s">
        <v>75</v>
      </c>
      <c r="C54" s="195">
        <v>180</v>
      </c>
      <c r="D54" s="195">
        <v>0</v>
      </c>
      <c r="E54" s="195">
        <v>0</v>
      </c>
      <c r="F54" s="195">
        <v>0</v>
      </c>
      <c r="G54" s="195">
        <v>0</v>
      </c>
      <c r="H54" s="195">
        <v>0</v>
      </c>
      <c r="I54" s="195">
        <v>30</v>
      </c>
      <c r="J54" s="195">
        <v>45</v>
      </c>
      <c r="K54" s="195">
        <v>0</v>
      </c>
      <c r="L54" s="195">
        <v>44</v>
      </c>
      <c r="M54" s="195">
        <v>44</v>
      </c>
      <c r="N54" s="195">
        <v>0</v>
      </c>
      <c r="O54" s="188">
        <v>0</v>
      </c>
      <c r="P54" s="188">
        <v>0</v>
      </c>
      <c r="Q54" s="188">
        <v>6</v>
      </c>
      <c r="R54" s="188">
        <v>0</v>
      </c>
      <c r="S54" s="188">
        <v>0</v>
      </c>
      <c r="T54" s="188">
        <v>0</v>
      </c>
      <c r="U54" s="188">
        <v>14</v>
      </c>
      <c r="V54" s="188">
        <v>0</v>
      </c>
    </row>
    <row r="55" spans="1:22">
      <c r="A55" s="1199"/>
      <c r="B55" s="186" t="s">
        <v>76</v>
      </c>
      <c r="C55" s="195">
        <v>210</v>
      </c>
      <c r="D55" s="195">
        <v>0</v>
      </c>
      <c r="E55" s="195">
        <v>0</v>
      </c>
      <c r="F55" s="195">
        <v>0</v>
      </c>
      <c r="G55" s="195">
        <v>0</v>
      </c>
      <c r="H55" s="195">
        <v>0</v>
      </c>
      <c r="I55" s="195">
        <v>30</v>
      </c>
      <c r="J55" s="195">
        <v>52</v>
      </c>
      <c r="K55" s="195">
        <v>0</v>
      </c>
      <c r="L55" s="195">
        <v>51</v>
      </c>
      <c r="M55" s="195">
        <v>50</v>
      </c>
      <c r="N55" s="195">
        <v>0</v>
      </c>
      <c r="O55" s="188">
        <v>0</v>
      </c>
      <c r="P55" s="188">
        <v>0</v>
      </c>
      <c r="Q55" s="195">
        <v>6</v>
      </c>
      <c r="R55" s="195">
        <v>0</v>
      </c>
      <c r="S55" s="195">
        <v>0</v>
      </c>
      <c r="T55" s="195">
        <v>0</v>
      </c>
      <c r="U55" s="195">
        <v>6</v>
      </c>
      <c r="V55" s="195">
        <v>0</v>
      </c>
    </row>
    <row r="56" spans="1:22">
      <c r="A56" s="1199"/>
      <c r="B56" s="186" t="s">
        <v>77</v>
      </c>
      <c r="C56" s="195">
        <v>200</v>
      </c>
      <c r="D56" s="195">
        <v>0</v>
      </c>
      <c r="E56" s="195">
        <v>0</v>
      </c>
      <c r="F56" s="195">
        <v>0</v>
      </c>
      <c r="G56" s="195">
        <v>0</v>
      </c>
      <c r="H56" s="195">
        <v>0</v>
      </c>
      <c r="I56" s="195">
        <v>30</v>
      </c>
      <c r="J56" s="195">
        <v>52</v>
      </c>
      <c r="K56" s="195">
        <v>0</v>
      </c>
      <c r="L56" s="195">
        <v>50</v>
      </c>
      <c r="M56" s="195">
        <v>49</v>
      </c>
      <c r="N56" s="195">
        <v>0</v>
      </c>
      <c r="O56" s="188">
        <v>0</v>
      </c>
      <c r="P56" s="188">
        <v>0</v>
      </c>
      <c r="Q56" s="188">
        <v>8</v>
      </c>
      <c r="R56" s="188">
        <v>0</v>
      </c>
      <c r="S56" s="188">
        <v>0</v>
      </c>
      <c r="T56" s="188">
        <v>0</v>
      </c>
      <c r="U56" s="188">
        <v>8</v>
      </c>
      <c r="V56" s="188">
        <v>0</v>
      </c>
    </row>
    <row r="57" spans="1:22">
      <c r="A57" s="1199"/>
      <c r="B57" s="186" t="s">
        <v>78</v>
      </c>
      <c r="C57" s="188">
        <v>190</v>
      </c>
      <c r="D57" s="188">
        <v>0</v>
      </c>
      <c r="E57" s="188">
        <v>0</v>
      </c>
      <c r="F57" s="188">
        <v>0</v>
      </c>
      <c r="G57" s="188">
        <v>0</v>
      </c>
      <c r="H57" s="188">
        <v>0</v>
      </c>
      <c r="I57" s="188">
        <v>20</v>
      </c>
      <c r="J57" s="188">
        <v>46</v>
      </c>
      <c r="K57" s="188">
        <v>0</v>
      </c>
      <c r="L57" s="188">
        <v>42</v>
      </c>
      <c r="M57" s="188">
        <v>42</v>
      </c>
      <c r="N57" s="188">
        <v>0</v>
      </c>
      <c r="O57" s="188">
        <v>0</v>
      </c>
      <c r="P57" s="188">
        <v>0</v>
      </c>
      <c r="Q57" s="188">
        <v>7</v>
      </c>
      <c r="R57" s="188">
        <v>0</v>
      </c>
      <c r="S57" s="188">
        <v>0</v>
      </c>
      <c r="T57" s="188">
        <v>0</v>
      </c>
      <c r="U57" s="188">
        <v>15</v>
      </c>
      <c r="V57" s="188">
        <v>0</v>
      </c>
    </row>
    <row r="58" spans="1:22" ht="16.3" thickBot="1">
      <c r="A58" s="1200"/>
      <c r="B58" s="186" t="s">
        <v>180</v>
      </c>
      <c r="C58" s="188">
        <v>190</v>
      </c>
      <c r="D58" s="188">
        <v>0</v>
      </c>
      <c r="E58" s="188">
        <v>0</v>
      </c>
      <c r="F58" s="188">
        <v>0</v>
      </c>
      <c r="G58" s="188">
        <v>0</v>
      </c>
      <c r="H58" s="188">
        <v>0</v>
      </c>
      <c r="I58" s="188">
        <v>85</v>
      </c>
      <c r="J58" s="188">
        <v>49</v>
      </c>
      <c r="K58" s="188">
        <v>0</v>
      </c>
      <c r="L58" s="188">
        <v>44</v>
      </c>
      <c r="M58" s="188">
        <v>44</v>
      </c>
      <c r="N58" s="188">
        <v>0</v>
      </c>
      <c r="O58" s="188">
        <v>0</v>
      </c>
      <c r="P58" s="188">
        <v>0</v>
      </c>
      <c r="Q58" s="188">
        <v>6</v>
      </c>
      <c r="R58" s="188">
        <v>0</v>
      </c>
      <c r="S58" s="188">
        <v>0</v>
      </c>
      <c r="T58" s="188">
        <v>0</v>
      </c>
      <c r="U58" s="188">
        <v>17</v>
      </c>
      <c r="V58" s="188">
        <v>0</v>
      </c>
    </row>
    <row r="59" spans="1:22" ht="15" customHeight="1">
      <c r="A59" s="1189" t="s">
        <v>79</v>
      </c>
      <c r="B59" s="186" t="s">
        <v>80</v>
      </c>
      <c r="C59" s="195">
        <v>200</v>
      </c>
      <c r="D59" s="195">
        <v>0</v>
      </c>
      <c r="E59" s="195">
        <v>0</v>
      </c>
      <c r="F59" s="195">
        <v>0</v>
      </c>
      <c r="G59" s="195">
        <v>0</v>
      </c>
      <c r="H59" s="195">
        <v>0</v>
      </c>
      <c r="I59" s="195">
        <v>10</v>
      </c>
      <c r="J59" s="195">
        <v>40</v>
      </c>
      <c r="K59" s="195">
        <v>1</v>
      </c>
      <c r="L59" s="195">
        <v>38</v>
      </c>
      <c r="M59" s="195">
        <v>35</v>
      </c>
      <c r="N59" s="195">
        <v>0</v>
      </c>
      <c r="O59" s="188">
        <v>0</v>
      </c>
      <c r="P59" s="188">
        <v>0</v>
      </c>
      <c r="Q59" s="188">
        <v>16</v>
      </c>
      <c r="R59" s="188">
        <v>2</v>
      </c>
      <c r="S59" s="188">
        <v>0</v>
      </c>
      <c r="T59" s="188">
        <v>0</v>
      </c>
      <c r="U59" s="188">
        <v>145</v>
      </c>
      <c r="V59" s="188">
        <v>4</v>
      </c>
    </row>
    <row r="60" spans="1:22" hidden="1">
      <c r="A60" s="1190"/>
      <c r="B60" s="186" t="s">
        <v>81</v>
      </c>
      <c r="C60" s="195">
        <v>150</v>
      </c>
      <c r="D60" s="195">
        <v>10</v>
      </c>
      <c r="E60" s="195">
        <v>1</v>
      </c>
      <c r="F60" s="195">
        <v>1</v>
      </c>
      <c r="G60" s="195">
        <v>0</v>
      </c>
      <c r="H60" s="195">
        <v>0</v>
      </c>
      <c r="I60" s="195">
        <v>10</v>
      </c>
      <c r="J60" s="195">
        <v>36</v>
      </c>
      <c r="K60" s="195">
        <v>0</v>
      </c>
      <c r="L60" s="195">
        <v>35</v>
      </c>
      <c r="M60" s="195">
        <v>32</v>
      </c>
      <c r="N60" s="195">
        <v>0</v>
      </c>
      <c r="O60" s="188">
        <v>0</v>
      </c>
      <c r="P60" s="188">
        <v>0</v>
      </c>
      <c r="Q60" s="195">
        <v>8</v>
      </c>
      <c r="R60" s="195">
        <v>0</v>
      </c>
      <c r="S60" s="195">
        <v>1</v>
      </c>
      <c r="T60" s="195">
        <v>6</v>
      </c>
      <c r="U60" s="195">
        <v>7</v>
      </c>
      <c r="V60" s="195">
        <v>0</v>
      </c>
    </row>
    <row r="61" spans="1:22">
      <c r="A61" s="1190"/>
      <c r="B61" s="186" t="s">
        <v>82</v>
      </c>
      <c r="C61" s="195">
        <v>160</v>
      </c>
      <c r="D61" s="195">
        <v>0</v>
      </c>
      <c r="E61" s="195">
        <v>0</v>
      </c>
      <c r="F61" s="195">
        <v>0</v>
      </c>
      <c r="G61" s="195">
        <v>0</v>
      </c>
      <c r="H61" s="195">
        <v>0</v>
      </c>
      <c r="I61" s="195">
        <v>10</v>
      </c>
      <c r="J61" s="195">
        <v>40</v>
      </c>
      <c r="K61" s="195">
        <v>0</v>
      </c>
      <c r="L61" s="195">
        <v>38</v>
      </c>
      <c r="M61" s="195">
        <v>38</v>
      </c>
      <c r="N61" s="195">
        <v>0</v>
      </c>
      <c r="O61" s="188">
        <v>0</v>
      </c>
      <c r="P61" s="188">
        <v>0</v>
      </c>
      <c r="Q61" s="195">
        <v>9</v>
      </c>
      <c r="R61" s="195">
        <v>0</v>
      </c>
      <c r="S61" s="195">
        <v>0</v>
      </c>
      <c r="T61" s="195">
        <v>0</v>
      </c>
      <c r="U61" s="195">
        <v>6</v>
      </c>
      <c r="V61" s="195">
        <v>0</v>
      </c>
    </row>
    <row r="62" spans="1:22">
      <c r="A62" s="1190"/>
      <c r="B62" s="186" t="s">
        <v>83</v>
      </c>
      <c r="C62" s="188">
        <v>150</v>
      </c>
      <c r="D62" s="188">
        <v>0</v>
      </c>
      <c r="E62" s="188">
        <v>0</v>
      </c>
      <c r="F62" s="188">
        <v>0</v>
      </c>
      <c r="G62" s="188">
        <v>0</v>
      </c>
      <c r="H62" s="188">
        <v>0</v>
      </c>
      <c r="I62" s="188">
        <v>10</v>
      </c>
      <c r="J62" s="188">
        <v>40</v>
      </c>
      <c r="K62" s="188">
        <v>0</v>
      </c>
      <c r="L62" s="188">
        <v>39</v>
      </c>
      <c r="M62" s="188">
        <v>37</v>
      </c>
      <c r="N62" s="188">
        <v>0</v>
      </c>
      <c r="O62" s="188">
        <v>0</v>
      </c>
      <c r="P62" s="188">
        <v>0</v>
      </c>
      <c r="Q62" s="188">
        <v>9</v>
      </c>
      <c r="R62" s="188">
        <v>0</v>
      </c>
      <c r="S62" s="188">
        <v>0</v>
      </c>
      <c r="T62" s="188">
        <v>0</v>
      </c>
      <c r="U62" s="188">
        <v>15</v>
      </c>
      <c r="V62" s="188">
        <v>0</v>
      </c>
    </row>
    <row r="63" spans="1:22">
      <c r="A63" s="1190"/>
      <c r="B63" s="186" t="s">
        <v>84</v>
      </c>
      <c r="C63" s="195">
        <v>200</v>
      </c>
      <c r="D63" s="195">
        <v>0</v>
      </c>
      <c r="E63" s="195">
        <v>0</v>
      </c>
      <c r="F63" s="195">
        <v>0</v>
      </c>
      <c r="G63" s="195">
        <v>0</v>
      </c>
      <c r="H63" s="195">
        <v>0</v>
      </c>
      <c r="I63" s="195">
        <v>10</v>
      </c>
      <c r="J63" s="195">
        <v>38</v>
      </c>
      <c r="K63" s="195">
        <v>1</v>
      </c>
      <c r="L63" s="195">
        <v>36</v>
      </c>
      <c r="M63" s="195">
        <v>35</v>
      </c>
      <c r="N63" s="195">
        <v>0</v>
      </c>
      <c r="O63" s="188">
        <v>0</v>
      </c>
      <c r="P63" s="188">
        <v>0</v>
      </c>
      <c r="Q63" s="195">
        <v>19</v>
      </c>
      <c r="R63" s="195">
        <v>2</v>
      </c>
      <c r="S63" s="195">
        <v>0</v>
      </c>
      <c r="T63" s="195">
        <v>0</v>
      </c>
      <c r="U63" s="195">
        <v>112</v>
      </c>
      <c r="V63" s="195">
        <v>2</v>
      </c>
    </row>
    <row r="64" spans="1:22">
      <c r="A64" s="1190"/>
      <c r="B64" s="186" t="s">
        <v>85</v>
      </c>
      <c r="C64" s="195">
        <v>160</v>
      </c>
      <c r="D64" s="195">
        <v>0</v>
      </c>
      <c r="E64" s="195">
        <v>0</v>
      </c>
      <c r="F64" s="195">
        <v>0</v>
      </c>
      <c r="G64" s="195">
        <v>0</v>
      </c>
      <c r="H64" s="195">
        <v>0</v>
      </c>
      <c r="I64" s="195">
        <v>10</v>
      </c>
      <c r="J64" s="195">
        <v>40</v>
      </c>
      <c r="K64" s="195">
        <v>0</v>
      </c>
      <c r="L64" s="195">
        <v>39</v>
      </c>
      <c r="M64" s="195">
        <v>36</v>
      </c>
      <c r="N64" s="195">
        <v>0</v>
      </c>
      <c r="O64" s="188">
        <v>0</v>
      </c>
      <c r="P64" s="188">
        <v>0</v>
      </c>
      <c r="Q64" s="188">
        <v>13</v>
      </c>
      <c r="R64" s="188">
        <v>2</v>
      </c>
      <c r="S64" s="188">
        <v>0</v>
      </c>
      <c r="T64" s="188">
        <v>0</v>
      </c>
      <c r="U64" s="188">
        <v>67</v>
      </c>
      <c r="V64" s="188">
        <v>2</v>
      </c>
    </row>
    <row r="65" spans="1:22">
      <c r="A65" s="1190"/>
      <c r="B65" s="186" t="s">
        <v>88</v>
      </c>
      <c r="C65" s="195">
        <v>170</v>
      </c>
      <c r="D65" s="195">
        <v>0</v>
      </c>
      <c r="E65" s="195">
        <v>0</v>
      </c>
      <c r="F65" s="195">
        <v>0</v>
      </c>
      <c r="G65" s="195">
        <v>0</v>
      </c>
      <c r="H65" s="195">
        <v>0</v>
      </c>
      <c r="I65" s="195">
        <v>10</v>
      </c>
      <c r="J65" s="195">
        <v>43</v>
      </c>
      <c r="K65" s="195">
        <v>0</v>
      </c>
      <c r="L65" s="195">
        <v>42</v>
      </c>
      <c r="M65" s="195">
        <v>37</v>
      </c>
      <c r="N65" s="195">
        <v>0</v>
      </c>
      <c r="O65" s="188">
        <v>0</v>
      </c>
      <c r="P65" s="188">
        <v>0</v>
      </c>
      <c r="Q65" s="188">
        <v>11</v>
      </c>
      <c r="R65" s="188">
        <v>0</v>
      </c>
      <c r="S65" s="188">
        <v>0</v>
      </c>
      <c r="T65" s="188">
        <v>0</v>
      </c>
      <c r="U65" s="188">
        <v>39</v>
      </c>
      <c r="V65" s="188">
        <v>0</v>
      </c>
    </row>
    <row r="66" spans="1:22" hidden="1">
      <c r="A66" s="1190"/>
      <c r="B66" s="186" t="s">
        <v>87</v>
      </c>
      <c r="C66" s="195">
        <v>150</v>
      </c>
      <c r="D66" s="195">
        <v>5</v>
      </c>
      <c r="E66" s="195">
        <v>0.5</v>
      </c>
      <c r="F66" s="195">
        <v>0.5</v>
      </c>
      <c r="G66" s="195">
        <v>0</v>
      </c>
      <c r="H66" s="195">
        <v>0</v>
      </c>
      <c r="I66" s="195">
        <v>10</v>
      </c>
      <c r="J66" s="195">
        <v>37</v>
      </c>
      <c r="K66" s="195">
        <v>0</v>
      </c>
      <c r="L66" s="195">
        <v>36</v>
      </c>
      <c r="M66" s="195">
        <v>32</v>
      </c>
      <c r="N66" s="195">
        <v>0</v>
      </c>
      <c r="O66" s="188">
        <v>0</v>
      </c>
      <c r="P66" s="188">
        <v>0</v>
      </c>
      <c r="Q66" s="195">
        <v>8</v>
      </c>
      <c r="R66" s="195">
        <v>0</v>
      </c>
      <c r="S66" s="195">
        <v>1</v>
      </c>
      <c r="T66" s="195">
        <v>6</v>
      </c>
      <c r="U66" s="195">
        <v>12</v>
      </c>
      <c r="V66" s="195">
        <v>0</v>
      </c>
    </row>
    <row r="67" spans="1:22">
      <c r="A67" s="1190"/>
      <c r="B67" s="186" t="s">
        <v>89</v>
      </c>
      <c r="C67" s="195">
        <v>220</v>
      </c>
      <c r="D67" s="195">
        <v>0</v>
      </c>
      <c r="E67" s="195">
        <v>0</v>
      </c>
      <c r="F67" s="195">
        <v>0</v>
      </c>
      <c r="G67" s="195">
        <v>0</v>
      </c>
      <c r="H67" s="195">
        <v>0</v>
      </c>
      <c r="I67" s="195">
        <v>10</v>
      </c>
      <c r="J67" s="195">
        <v>34</v>
      </c>
      <c r="K67" s="195">
        <v>2</v>
      </c>
      <c r="L67" s="195">
        <v>32</v>
      </c>
      <c r="M67" s="195">
        <v>31</v>
      </c>
      <c r="N67" s="195">
        <v>1</v>
      </c>
      <c r="O67" s="188">
        <v>0</v>
      </c>
      <c r="P67" s="188">
        <v>0</v>
      </c>
      <c r="Q67" s="188">
        <v>26</v>
      </c>
      <c r="R67" s="188">
        <v>2</v>
      </c>
      <c r="S67" s="188">
        <v>0</v>
      </c>
      <c r="T67" s="188">
        <v>0</v>
      </c>
      <c r="U67" s="188">
        <v>199</v>
      </c>
      <c r="V67" s="188">
        <v>4</v>
      </c>
    </row>
    <row r="68" spans="1:22">
      <c r="A68" s="1190"/>
      <c r="B68" s="186" t="s">
        <v>90</v>
      </c>
      <c r="C68" s="188">
        <v>190</v>
      </c>
      <c r="D68" s="188">
        <v>0</v>
      </c>
      <c r="E68" s="188">
        <v>0</v>
      </c>
      <c r="F68" s="188">
        <v>0</v>
      </c>
      <c r="G68" s="188">
        <v>0</v>
      </c>
      <c r="H68" s="188">
        <v>0</v>
      </c>
      <c r="I68" s="188">
        <v>10</v>
      </c>
      <c r="J68" s="188">
        <v>35</v>
      </c>
      <c r="K68" s="188">
        <v>1</v>
      </c>
      <c r="L68" s="188">
        <v>34</v>
      </c>
      <c r="M68" s="188">
        <v>32</v>
      </c>
      <c r="N68" s="188">
        <v>0</v>
      </c>
      <c r="O68" s="188">
        <v>0</v>
      </c>
      <c r="P68" s="188">
        <v>0</v>
      </c>
      <c r="Q68" s="188">
        <v>18</v>
      </c>
      <c r="R68" s="188">
        <v>2</v>
      </c>
      <c r="S68" s="188">
        <v>0</v>
      </c>
      <c r="T68" s="188">
        <v>0</v>
      </c>
      <c r="U68" s="188">
        <v>134</v>
      </c>
      <c r="V68" s="188">
        <v>2</v>
      </c>
    </row>
    <row r="69" spans="1:22">
      <c r="A69" s="1190"/>
      <c r="B69" s="186" t="s">
        <v>91</v>
      </c>
      <c r="C69" s="188">
        <v>170</v>
      </c>
      <c r="D69" s="188">
        <v>0</v>
      </c>
      <c r="E69" s="188">
        <v>0</v>
      </c>
      <c r="F69" s="188">
        <v>0</v>
      </c>
      <c r="G69" s="188">
        <v>0</v>
      </c>
      <c r="H69" s="188">
        <v>0</v>
      </c>
      <c r="I69" s="188">
        <v>10</v>
      </c>
      <c r="J69" s="188">
        <v>32</v>
      </c>
      <c r="K69" s="188">
        <v>1</v>
      </c>
      <c r="L69" s="188">
        <v>31</v>
      </c>
      <c r="M69" s="188">
        <v>29</v>
      </c>
      <c r="N69" s="188">
        <v>0</v>
      </c>
      <c r="O69" s="188">
        <v>0</v>
      </c>
      <c r="P69" s="188">
        <v>0</v>
      </c>
      <c r="Q69" s="188">
        <v>18</v>
      </c>
      <c r="R69" s="188">
        <v>2</v>
      </c>
      <c r="S69" s="188">
        <v>0</v>
      </c>
      <c r="T69" s="188">
        <v>0</v>
      </c>
      <c r="U69" s="188">
        <v>124</v>
      </c>
      <c r="V69" s="188">
        <v>2</v>
      </c>
    </row>
    <row r="70" spans="1:22" ht="16.3" thickBot="1">
      <c r="A70" s="1198"/>
      <c r="B70" s="186" t="s">
        <v>181</v>
      </c>
      <c r="C70" s="188">
        <v>170</v>
      </c>
      <c r="D70" s="188">
        <v>0</v>
      </c>
      <c r="E70" s="188">
        <v>0</v>
      </c>
      <c r="F70" s="188">
        <v>0</v>
      </c>
      <c r="G70" s="188">
        <v>0</v>
      </c>
      <c r="H70" s="188">
        <v>0</v>
      </c>
      <c r="I70" s="188">
        <v>10</v>
      </c>
      <c r="J70" s="188">
        <v>41</v>
      </c>
      <c r="K70" s="188">
        <v>0</v>
      </c>
      <c r="L70" s="188">
        <v>40</v>
      </c>
      <c r="M70" s="188">
        <v>36</v>
      </c>
      <c r="N70" s="188">
        <v>0</v>
      </c>
      <c r="O70" s="188">
        <v>0</v>
      </c>
      <c r="P70" s="188">
        <v>0</v>
      </c>
      <c r="Q70" s="188">
        <v>12</v>
      </c>
      <c r="R70" s="188">
        <v>0</v>
      </c>
      <c r="S70" s="188">
        <v>0</v>
      </c>
      <c r="T70" s="188">
        <v>0</v>
      </c>
      <c r="U70" s="188">
        <v>55</v>
      </c>
      <c r="V70" s="188">
        <v>2</v>
      </c>
    </row>
    <row r="71" spans="1:22" ht="15" customHeight="1">
      <c r="A71" s="1189" t="s">
        <v>92</v>
      </c>
      <c r="B71" s="186" t="s">
        <v>94</v>
      </c>
      <c r="C71" s="195">
        <v>240</v>
      </c>
      <c r="D71" s="195">
        <v>25</v>
      </c>
      <c r="E71" s="195">
        <v>3</v>
      </c>
      <c r="F71" s="195">
        <v>2.5</v>
      </c>
      <c r="G71" s="195">
        <v>0</v>
      </c>
      <c r="H71" s="195">
        <v>0</v>
      </c>
      <c r="I71" s="195">
        <v>125</v>
      </c>
      <c r="J71" s="195">
        <v>53</v>
      </c>
      <c r="K71" s="195">
        <v>0</v>
      </c>
      <c r="L71" s="195">
        <v>48</v>
      </c>
      <c r="M71" s="195">
        <v>41</v>
      </c>
      <c r="N71" s="195">
        <v>0</v>
      </c>
      <c r="O71" s="188">
        <v>0</v>
      </c>
      <c r="P71" s="188">
        <v>0</v>
      </c>
      <c r="Q71" s="188">
        <v>26</v>
      </c>
      <c r="R71" s="188">
        <v>2</v>
      </c>
      <c r="S71" s="188">
        <v>0</v>
      </c>
      <c r="T71" s="188">
        <v>0</v>
      </c>
      <c r="U71" s="188">
        <v>5</v>
      </c>
      <c r="V71" s="188">
        <v>0</v>
      </c>
    </row>
    <row r="72" spans="1:22">
      <c r="A72" s="1190"/>
      <c r="B72" s="186" t="s">
        <v>93</v>
      </c>
      <c r="C72" s="195">
        <v>240</v>
      </c>
      <c r="D72" s="195">
        <v>30</v>
      </c>
      <c r="E72" s="195">
        <v>3.5</v>
      </c>
      <c r="F72" s="195">
        <v>2.5</v>
      </c>
      <c r="G72" s="195">
        <v>0</v>
      </c>
      <c r="H72" s="195">
        <v>0</v>
      </c>
      <c r="I72" s="195">
        <v>35</v>
      </c>
      <c r="J72" s="195">
        <v>54</v>
      </c>
      <c r="K72" s="195">
        <v>0</v>
      </c>
      <c r="L72" s="195">
        <v>50</v>
      </c>
      <c r="M72" s="195">
        <v>22</v>
      </c>
      <c r="N72" s="195">
        <v>0</v>
      </c>
      <c r="O72" s="188">
        <v>0</v>
      </c>
      <c r="P72" s="188">
        <v>0</v>
      </c>
      <c r="Q72" s="195">
        <v>10.146100000000001</v>
      </c>
      <c r="R72" s="195">
        <v>2</v>
      </c>
      <c r="S72" s="195">
        <v>0.393181</v>
      </c>
      <c r="T72" s="195">
        <v>2</v>
      </c>
      <c r="U72" s="195">
        <v>20</v>
      </c>
      <c r="V72" s="195">
        <v>1</v>
      </c>
    </row>
    <row r="73" spans="1:22">
      <c r="A73" s="1190"/>
      <c r="B73" s="186" t="s">
        <v>95</v>
      </c>
      <c r="C73" s="195">
        <v>230</v>
      </c>
      <c r="D73" s="195">
        <v>25</v>
      </c>
      <c r="E73" s="195">
        <v>2.5</v>
      </c>
      <c r="F73" s="195">
        <v>2</v>
      </c>
      <c r="G73" s="195">
        <v>0</v>
      </c>
      <c r="H73" s="195">
        <v>0</v>
      </c>
      <c r="I73" s="195">
        <v>50</v>
      </c>
      <c r="J73" s="195">
        <v>52</v>
      </c>
      <c r="K73" s="195">
        <v>0</v>
      </c>
      <c r="L73" s="195">
        <v>49</v>
      </c>
      <c r="M73" s="195">
        <v>20</v>
      </c>
      <c r="N73" s="195">
        <v>0</v>
      </c>
      <c r="O73" s="188">
        <v>0</v>
      </c>
      <c r="P73" s="188">
        <v>0</v>
      </c>
      <c r="Q73" s="188">
        <v>11</v>
      </c>
      <c r="R73" s="188">
        <v>0</v>
      </c>
      <c r="S73" s="188">
        <v>0</v>
      </c>
      <c r="T73" s="188">
        <v>0</v>
      </c>
      <c r="U73" s="188">
        <v>5</v>
      </c>
      <c r="V73" s="188">
        <v>0</v>
      </c>
    </row>
    <row r="74" spans="1:22">
      <c r="A74" s="1190"/>
      <c r="B74" s="186" t="s">
        <v>182</v>
      </c>
      <c r="C74" s="195">
        <v>260</v>
      </c>
      <c r="D74" s="195">
        <v>40</v>
      </c>
      <c r="E74" s="195">
        <v>4.5</v>
      </c>
      <c r="F74" s="195">
        <v>3</v>
      </c>
      <c r="G74" s="195">
        <v>0</v>
      </c>
      <c r="H74" s="195">
        <v>0</v>
      </c>
      <c r="I74" s="195">
        <v>90</v>
      </c>
      <c r="J74" s="195">
        <v>54</v>
      </c>
      <c r="K74" s="195">
        <v>0</v>
      </c>
      <c r="L74" s="195">
        <v>47</v>
      </c>
      <c r="M74" s="195">
        <v>45</v>
      </c>
      <c r="N74" s="195">
        <v>1</v>
      </c>
      <c r="O74" s="188">
        <v>0</v>
      </c>
      <c r="P74" s="188">
        <v>0</v>
      </c>
      <c r="Q74" s="188">
        <v>12</v>
      </c>
      <c r="R74" s="188">
        <v>0</v>
      </c>
      <c r="S74" s="188">
        <v>0</v>
      </c>
      <c r="T74" s="188">
        <v>0</v>
      </c>
      <c r="U74" s="188">
        <v>40</v>
      </c>
      <c r="V74" s="188">
        <v>0</v>
      </c>
    </row>
    <row r="75" spans="1:22">
      <c r="A75" s="1190"/>
      <c r="B75" s="186" t="s">
        <v>97</v>
      </c>
      <c r="C75" s="195">
        <v>260</v>
      </c>
      <c r="D75" s="195">
        <v>25</v>
      </c>
      <c r="E75" s="195">
        <v>2.5</v>
      </c>
      <c r="F75" s="195">
        <v>2</v>
      </c>
      <c r="G75" s="195">
        <v>0</v>
      </c>
      <c r="H75" s="195">
        <v>0</v>
      </c>
      <c r="I75" s="195">
        <v>110</v>
      </c>
      <c r="J75" s="195">
        <v>59</v>
      </c>
      <c r="K75" s="195">
        <v>0</v>
      </c>
      <c r="L75" s="195">
        <v>53</v>
      </c>
      <c r="M75" s="195">
        <v>42</v>
      </c>
      <c r="N75" s="195">
        <v>0</v>
      </c>
      <c r="O75" s="188">
        <v>0</v>
      </c>
      <c r="P75" s="188">
        <v>0</v>
      </c>
      <c r="Q75" s="260">
        <v>8</v>
      </c>
      <c r="R75" s="260">
        <v>0</v>
      </c>
      <c r="S75" s="260">
        <v>0</v>
      </c>
      <c r="T75" s="260">
        <v>0</v>
      </c>
      <c r="U75" s="260">
        <v>21</v>
      </c>
      <c r="V75" s="260">
        <v>0</v>
      </c>
    </row>
    <row r="76" spans="1:22">
      <c r="A76" s="1190"/>
      <c r="B76" s="186" t="s">
        <v>98</v>
      </c>
      <c r="C76" s="195">
        <v>220</v>
      </c>
      <c r="D76" s="195">
        <v>25</v>
      </c>
      <c r="E76" s="195">
        <v>2.5</v>
      </c>
      <c r="F76" s="195">
        <v>2.5</v>
      </c>
      <c r="G76" s="195">
        <v>0</v>
      </c>
      <c r="H76" s="195">
        <v>0</v>
      </c>
      <c r="I76" s="195">
        <v>55</v>
      </c>
      <c r="J76" s="195">
        <v>51</v>
      </c>
      <c r="K76" s="195">
        <v>0</v>
      </c>
      <c r="L76" s="195">
        <v>48</v>
      </c>
      <c r="M76" s="195">
        <v>21</v>
      </c>
      <c r="N76" s="195">
        <v>0</v>
      </c>
      <c r="O76" s="188">
        <v>0</v>
      </c>
      <c r="P76" s="188">
        <v>0</v>
      </c>
      <c r="Q76" s="188">
        <v>6</v>
      </c>
      <c r="R76" s="188">
        <v>0</v>
      </c>
      <c r="S76" s="188">
        <v>0</v>
      </c>
      <c r="T76" s="188">
        <v>0</v>
      </c>
      <c r="U76" s="188">
        <v>5</v>
      </c>
      <c r="V76" s="188">
        <v>0</v>
      </c>
    </row>
    <row r="77" spans="1:22">
      <c r="A77" s="1190"/>
      <c r="B77" s="186" t="s">
        <v>99</v>
      </c>
      <c r="C77" s="195">
        <v>250</v>
      </c>
      <c r="D77" s="195">
        <v>40</v>
      </c>
      <c r="E77" s="195">
        <v>4</v>
      </c>
      <c r="F77" s="195">
        <v>3</v>
      </c>
      <c r="G77" s="195">
        <v>0</v>
      </c>
      <c r="H77" s="195">
        <v>0</v>
      </c>
      <c r="I77" s="195">
        <v>50</v>
      </c>
      <c r="J77" s="195">
        <v>53</v>
      </c>
      <c r="K77" s="195">
        <v>0</v>
      </c>
      <c r="L77" s="195">
        <v>50</v>
      </c>
      <c r="M77" s="195">
        <v>24</v>
      </c>
      <c r="N77" s="195">
        <v>1</v>
      </c>
      <c r="O77" s="188">
        <v>0</v>
      </c>
      <c r="P77" s="188">
        <v>0</v>
      </c>
      <c r="Q77" s="195">
        <v>8.5782299999999996</v>
      </c>
      <c r="R77" s="195">
        <v>0</v>
      </c>
      <c r="S77" s="195">
        <v>0.60265800000000003</v>
      </c>
      <c r="T77" s="195">
        <v>4</v>
      </c>
      <c r="U77" s="195">
        <v>35</v>
      </c>
      <c r="V77" s="195">
        <v>1</v>
      </c>
    </row>
    <row r="78" spans="1:22">
      <c r="A78" s="1190"/>
      <c r="B78" s="186" t="s">
        <v>100</v>
      </c>
      <c r="C78" s="195">
        <v>250</v>
      </c>
      <c r="D78" s="195">
        <v>35</v>
      </c>
      <c r="E78" s="195">
        <v>4</v>
      </c>
      <c r="F78" s="195">
        <v>3</v>
      </c>
      <c r="G78" s="195">
        <v>0</v>
      </c>
      <c r="H78" s="195">
        <v>0</v>
      </c>
      <c r="I78" s="195">
        <v>55</v>
      </c>
      <c r="J78" s="195">
        <v>55</v>
      </c>
      <c r="K78" s="195">
        <v>0</v>
      </c>
      <c r="L78" s="195">
        <v>52</v>
      </c>
      <c r="M78" s="195">
        <v>21</v>
      </c>
      <c r="N78" s="195">
        <v>1</v>
      </c>
      <c r="O78" s="195">
        <v>0</v>
      </c>
      <c r="P78" s="195">
        <v>0</v>
      </c>
      <c r="Q78" s="195">
        <v>16</v>
      </c>
      <c r="R78" s="195">
        <v>2</v>
      </c>
      <c r="S78" s="195">
        <v>0</v>
      </c>
      <c r="T78" s="195">
        <v>0</v>
      </c>
      <c r="U78" s="195">
        <v>27</v>
      </c>
      <c r="V78" s="195">
        <v>0</v>
      </c>
    </row>
    <row r="79" spans="1:22">
      <c r="A79" s="1190"/>
      <c r="B79" s="186" t="s">
        <v>101</v>
      </c>
      <c r="C79" s="195">
        <v>250</v>
      </c>
      <c r="D79" s="195">
        <v>40</v>
      </c>
      <c r="E79" s="195">
        <v>4.5</v>
      </c>
      <c r="F79" s="195">
        <v>3.5</v>
      </c>
      <c r="G79" s="195">
        <v>0</v>
      </c>
      <c r="H79" s="195">
        <v>0</v>
      </c>
      <c r="I79" s="195">
        <v>60</v>
      </c>
      <c r="J79" s="195">
        <v>54</v>
      </c>
      <c r="K79" s="195">
        <v>0</v>
      </c>
      <c r="L79" s="195">
        <v>50</v>
      </c>
      <c r="M79" s="195">
        <v>47</v>
      </c>
      <c r="N79" s="195">
        <v>1</v>
      </c>
      <c r="O79" s="188">
        <v>0</v>
      </c>
      <c r="P79" s="188">
        <v>0</v>
      </c>
      <c r="Q79" s="195">
        <v>16.695900000000002</v>
      </c>
      <c r="R79" s="195">
        <v>2</v>
      </c>
      <c r="S79" s="195">
        <v>0.70456300000000005</v>
      </c>
      <c r="T79" s="195">
        <v>4</v>
      </c>
      <c r="U79" s="195">
        <v>35</v>
      </c>
      <c r="V79" s="195">
        <v>1</v>
      </c>
    </row>
    <row r="80" spans="1:22">
      <c r="A80" s="1190"/>
      <c r="B80" s="186" t="s">
        <v>102</v>
      </c>
      <c r="C80" s="195">
        <v>220</v>
      </c>
      <c r="D80" s="195">
        <v>25</v>
      </c>
      <c r="E80" s="195">
        <v>3</v>
      </c>
      <c r="F80" s="195">
        <v>2.5</v>
      </c>
      <c r="G80" s="195">
        <v>0</v>
      </c>
      <c r="H80" s="195">
        <v>0</v>
      </c>
      <c r="I80" s="195">
        <v>50</v>
      </c>
      <c r="J80" s="195">
        <v>50</v>
      </c>
      <c r="K80" s="195">
        <v>0</v>
      </c>
      <c r="L80" s="195">
        <v>46</v>
      </c>
      <c r="M80" s="195">
        <v>44</v>
      </c>
      <c r="N80" s="195">
        <v>0</v>
      </c>
      <c r="O80" s="188">
        <v>0</v>
      </c>
      <c r="P80" s="188">
        <v>0</v>
      </c>
      <c r="Q80" s="188">
        <v>7</v>
      </c>
      <c r="R80" s="188">
        <v>0</v>
      </c>
      <c r="S80" s="188">
        <v>0</v>
      </c>
      <c r="T80" s="188">
        <v>0</v>
      </c>
      <c r="U80" s="188">
        <v>7</v>
      </c>
      <c r="V80" s="188">
        <v>0</v>
      </c>
    </row>
    <row r="81" spans="1:22" s="212" customFormat="1" ht="15" customHeight="1">
      <c r="A81" s="1190"/>
      <c r="B81" s="186" t="s">
        <v>104</v>
      </c>
      <c r="C81" s="195">
        <v>240</v>
      </c>
      <c r="D81" s="195">
        <v>35</v>
      </c>
      <c r="E81" s="195">
        <v>4</v>
      </c>
      <c r="F81" s="195">
        <v>2.5</v>
      </c>
      <c r="G81" s="195">
        <v>0</v>
      </c>
      <c r="H81" s="195">
        <v>0</v>
      </c>
      <c r="I81" s="195">
        <v>70</v>
      </c>
      <c r="J81" s="195">
        <v>52</v>
      </c>
      <c r="K81" s="195">
        <v>0</v>
      </c>
      <c r="L81" s="195">
        <v>47</v>
      </c>
      <c r="M81" s="195">
        <v>47</v>
      </c>
      <c r="N81" s="195">
        <v>1</v>
      </c>
      <c r="O81" s="188">
        <v>0</v>
      </c>
      <c r="P81" s="188">
        <v>0</v>
      </c>
      <c r="Q81" s="195">
        <v>7.72262</v>
      </c>
      <c r="R81" s="195">
        <v>0</v>
      </c>
      <c r="S81" s="195">
        <v>0.31123400000000001</v>
      </c>
      <c r="T81" s="195">
        <v>2</v>
      </c>
      <c r="U81" s="195">
        <v>35</v>
      </c>
      <c r="V81" s="195">
        <v>1</v>
      </c>
    </row>
    <row r="82" spans="1:22" s="212" customFormat="1" ht="15" customHeight="1">
      <c r="A82" s="1190"/>
      <c r="B82" s="186" t="s">
        <v>103</v>
      </c>
      <c r="C82" s="195">
        <v>270</v>
      </c>
      <c r="D82" s="195">
        <v>25</v>
      </c>
      <c r="E82" s="195">
        <v>2.5</v>
      </c>
      <c r="F82" s="195">
        <v>2</v>
      </c>
      <c r="G82" s="195">
        <v>0</v>
      </c>
      <c r="H82" s="195">
        <v>0</v>
      </c>
      <c r="I82" s="195">
        <v>65</v>
      </c>
      <c r="J82" s="195">
        <v>62</v>
      </c>
      <c r="K82" s="195">
        <v>0</v>
      </c>
      <c r="L82" s="195">
        <v>58</v>
      </c>
      <c r="M82" s="195">
        <v>57</v>
      </c>
      <c r="N82" s="195">
        <v>0</v>
      </c>
      <c r="O82" s="188">
        <v>0</v>
      </c>
      <c r="P82" s="188">
        <v>0</v>
      </c>
      <c r="Q82" s="188">
        <v>6</v>
      </c>
      <c r="R82" s="188">
        <v>0</v>
      </c>
      <c r="S82" s="188">
        <v>0</v>
      </c>
      <c r="T82" s="188">
        <v>0</v>
      </c>
      <c r="U82" s="188">
        <v>14</v>
      </c>
      <c r="V82" s="188">
        <v>0</v>
      </c>
    </row>
    <row r="83" spans="1:22" s="212" customFormat="1" ht="15" customHeight="1">
      <c r="A83" s="1190"/>
      <c r="B83" s="186" t="s">
        <v>105</v>
      </c>
      <c r="C83" s="195">
        <v>270</v>
      </c>
      <c r="D83" s="195">
        <v>35</v>
      </c>
      <c r="E83" s="195">
        <v>4</v>
      </c>
      <c r="F83" s="195">
        <v>3</v>
      </c>
      <c r="G83" s="195">
        <v>0</v>
      </c>
      <c r="H83" s="195">
        <v>0</v>
      </c>
      <c r="I83" s="195">
        <v>80</v>
      </c>
      <c r="J83" s="195">
        <v>58</v>
      </c>
      <c r="K83" s="195">
        <v>0</v>
      </c>
      <c r="L83" s="195">
        <v>52</v>
      </c>
      <c r="M83" s="195">
        <v>51</v>
      </c>
      <c r="N83" s="195">
        <v>1</v>
      </c>
      <c r="O83" s="188">
        <v>0</v>
      </c>
      <c r="P83" s="188">
        <v>0</v>
      </c>
      <c r="Q83" s="195">
        <v>12.323499999999999</v>
      </c>
      <c r="R83" s="195">
        <v>2</v>
      </c>
      <c r="S83" s="195">
        <v>1.11219</v>
      </c>
      <c r="T83" s="195">
        <v>6</v>
      </c>
      <c r="U83" s="195">
        <v>180</v>
      </c>
      <c r="V83" s="195">
        <v>5</v>
      </c>
    </row>
    <row r="84" spans="1:22" s="212" customFormat="1" ht="15" customHeight="1">
      <c r="A84" s="1190"/>
      <c r="B84" s="186" t="s">
        <v>106</v>
      </c>
      <c r="C84" s="195">
        <v>200</v>
      </c>
      <c r="D84" s="195">
        <v>20</v>
      </c>
      <c r="E84" s="195">
        <v>2</v>
      </c>
      <c r="F84" s="195">
        <v>2</v>
      </c>
      <c r="G84" s="195">
        <v>0</v>
      </c>
      <c r="H84" s="195">
        <v>0</v>
      </c>
      <c r="I84" s="195">
        <v>50</v>
      </c>
      <c r="J84" s="195">
        <v>45</v>
      </c>
      <c r="K84" s="195">
        <v>0</v>
      </c>
      <c r="L84" s="195">
        <v>42</v>
      </c>
      <c r="M84" s="195">
        <v>42</v>
      </c>
      <c r="N84" s="195">
        <v>0</v>
      </c>
      <c r="O84" s="188">
        <v>0</v>
      </c>
      <c r="P84" s="188">
        <v>0</v>
      </c>
      <c r="Q84" s="195">
        <v>7</v>
      </c>
      <c r="R84" s="195">
        <v>0</v>
      </c>
      <c r="S84" s="195">
        <v>0</v>
      </c>
      <c r="T84" s="195">
        <v>0</v>
      </c>
      <c r="U84" s="195">
        <v>11</v>
      </c>
      <c r="V84" s="195">
        <v>0</v>
      </c>
    </row>
    <row r="85" spans="1:22" ht="15" customHeight="1">
      <c r="A85" s="1190"/>
      <c r="B85" s="186" t="s">
        <v>107</v>
      </c>
      <c r="C85" s="195">
        <v>200</v>
      </c>
      <c r="D85" s="195">
        <v>20</v>
      </c>
      <c r="E85" s="195">
        <v>2</v>
      </c>
      <c r="F85" s="195">
        <v>2</v>
      </c>
      <c r="G85" s="195">
        <v>0</v>
      </c>
      <c r="H85" s="195">
        <v>0</v>
      </c>
      <c r="I85" s="195">
        <v>125</v>
      </c>
      <c r="J85" s="195">
        <v>49</v>
      </c>
      <c r="K85" s="195">
        <v>0</v>
      </c>
      <c r="L85" s="195">
        <v>46</v>
      </c>
      <c r="M85" s="195">
        <v>46</v>
      </c>
      <c r="N85" s="195">
        <v>0</v>
      </c>
      <c r="O85" s="188">
        <v>0</v>
      </c>
      <c r="P85" s="188">
        <v>0</v>
      </c>
      <c r="Q85" s="188">
        <v>9</v>
      </c>
      <c r="R85" s="188">
        <v>0</v>
      </c>
      <c r="S85" s="188">
        <v>0</v>
      </c>
      <c r="T85" s="188">
        <v>0</v>
      </c>
      <c r="U85" s="188">
        <v>87</v>
      </c>
      <c r="V85" s="188">
        <v>2</v>
      </c>
    </row>
    <row r="86" spans="1:22" ht="15" customHeight="1">
      <c r="A86" s="1190"/>
      <c r="B86" s="186" t="s">
        <v>108</v>
      </c>
      <c r="C86" s="195">
        <v>240</v>
      </c>
      <c r="D86" s="195">
        <v>35</v>
      </c>
      <c r="E86" s="195">
        <v>4</v>
      </c>
      <c r="F86" s="195">
        <v>3</v>
      </c>
      <c r="G86" s="195">
        <v>0</v>
      </c>
      <c r="H86" s="195">
        <v>0</v>
      </c>
      <c r="I86" s="195">
        <v>45</v>
      </c>
      <c r="J86" s="195">
        <v>52</v>
      </c>
      <c r="K86" s="195">
        <v>0</v>
      </c>
      <c r="L86" s="195">
        <v>49</v>
      </c>
      <c r="M86" s="195">
        <v>49</v>
      </c>
      <c r="N86" s="195">
        <v>1</v>
      </c>
      <c r="O86" s="188">
        <v>0</v>
      </c>
      <c r="P86" s="188">
        <v>0</v>
      </c>
      <c r="Q86" s="195">
        <v>8.5341900000000006</v>
      </c>
      <c r="R86" s="195">
        <v>0</v>
      </c>
      <c r="S86" s="195">
        <v>0.64510000000000001</v>
      </c>
      <c r="T86" s="195">
        <v>4</v>
      </c>
      <c r="U86" s="195">
        <v>40</v>
      </c>
      <c r="V86" s="195">
        <v>1</v>
      </c>
    </row>
    <row r="87" spans="1:22" ht="15" customHeight="1">
      <c r="A87" s="1190"/>
      <c r="B87" s="186" t="s">
        <v>109</v>
      </c>
      <c r="C87" s="195">
        <v>230</v>
      </c>
      <c r="D87" s="195">
        <v>25</v>
      </c>
      <c r="E87" s="195">
        <v>3</v>
      </c>
      <c r="F87" s="195">
        <v>2</v>
      </c>
      <c r="G87" s="195">
        <v>0</v>
      </c>
      <c r="H87" s="195">
        <v>0</v>
      </c>
      <c r="I87" s="195">
        <v>65</v>
      </c>
      <c r="J87" s="195">
        <v>52</v>
      </c>
      <c r="K87" s="195">
        <v>0</v>
      </c>
      <c r="L87" s="195">
        <v>48</v>
      </c>
      <c r="M87" s="195">
        <v>32</v>
      </c>
      <c r="N87" s="195">
        <v>0</v>
      </c>
      <c r="O87" s="188">
        <v>0</v>
      </c>
      <c r="P87" s="188">
        <v>0</v>
      </c>
      <c r="Q87" s="188">
        <v>6</v>
      </c>
      <c r="R87" s="188">
        <v>0</v>
      </c>
      <c r="S87" s="188">
        <v>0</v>
      </c>
      <c r="T87" s="188">
        <v>0</v>
      </c>
      <c r="U87" s="188">
        <v>5</v>
      </c>
      <c r="V87" s="188">
        <v>0</v>
      </c>
    </row>
    <row r="88" spans="1:22" ht="15" customHeight="1">
      <c r="A88" s="1190"/>
      <c r="B88" s="186" t="s">
        <v>110</v>
      </c>
      <c r="C88" s="195">
        <v>220</v>
      </c>
      <c r="D88" s="195">
        <v>20</v>
      </c>
      <c r="E88" s="195">
        <v>2.5</v>
      </c>
      <c r="F88" s="195">
        <v>2</v>
      </c>
      <c r="G88" s="195">
        <v>0</v>
      </c>
      <c r="H88" s="195">
        <v>0</v>
      </c>
      <c r="I88" s="195">
        <v>95</v>
      </c>
      <c r="J88" s="195">
        <v>50</v>
      </c>
      <c r="K88" s="195">
        <v>0</v>
      </c>
      <c r="L88" s="195">
        <v>46</v>
      </c>
      <c r="M88" s="195">
        <v>46</v>
      </c>
      <c r="N88" s="195">
        <v>1</v>
      </c>
      <c r="O88" s="188">
        <v>0</v>
      </c>
      <c r="P88" s="188">
        <v>0</v>
      </c>
      <c r="Q88" s="195">
        <v>10</v>
      </c>
      <c r="R88" s="195">
        <v>0</v>
      </c>
      <c r="S88" s="195">
        <v>0</v>
      </c>
      <c r="T88" s="195">
        <v>0</v>
      </c>
      <c r="U88" s="195">
        <v>76</v>
      </c>
      <c r="V88" s="195">
        <v>2</v>
      </c>
    </row>
    <row r="89" spans="1:22">
      <c r="A89" s="1190"/>
      <c r="B89" s="186" t="s">
        <v>111</v>
      </c>
      <c r="C89" s="195">
        <v>200</v>
      </c>
      <c r="D89" s="195">
        <v>20</v>
      </c>
      <c r="E89" s="195">
        <v>2</v>
      </c>
      <c r="F89" s="195">
        <v>2</v>
      </c>
      <c r="G89" s="195">
        <v>0</v>
      </c>
      <c r="H89" s="195">
        <v>0</v>
      </c>
      <c r="I89" s="195">
        <v>30</v>
      </c>
      <c r="J89" s="195">
        <v>46</v>
      </c>
      <c r="K89" s="195">
        <v>0</v>
      </c>
      <c r="L89" s="195">
        <v>42</v>
      </c>
      <c r="M89" s="195">
        <v>19</v>
      </c>
      <c r="N89" s="195">
        <v>0</v>
      </c>
      <c r="O89" s="188">
        <v>0</v>
      </c>
      <c r="P89" s="188">
        <v>0</v>
      </c>
      <c r="Q89" s="188">
        <v>9</v>
      </c>
      <c r="R89" s="188">
        <v>0</v>
      </c>
      <c r="S89" s="188">
        <v>0</v>
      </c>
      <c r="T89" s="188">
        <v>0</v>
      </c>
      <c r="U89" s="188">
        <v>8</v>
      </c>
      <c r="V89" s="188">
        <v>0</v>
      </c>
    </row>
    <row r="90" spans="1:22">
      <c r="A90" s="1190"/>
      <c r="B90" s="186" t="s">
        <v>112</v>
      </c>
      <c r="C90" s="195">
        <v>190</v>
      </c>
      <c r="D90" s="195">
        <v>20</v>
      </c>
      <c r="E90" s="195">
        <v>2</v>
      </c>
      <c r="F90" s="195">
        <v>2</v>
      </c>
      <c r="G90" s="195">
        <v>0</v>
      </c>
      <c r="H90" s="195">
        <v>0</v>
      </c>
      <c r="I90" s="195">
        <v>50</v>
      </c>
      <c r="J90" s="195">
        <v>42</v>
      </c>
      <c r="K90" s="195">
        <v>0</v>
      </c>
      <c r="L90" s="195">
        <v>38</v>
      </c>
      <c r="M90" s="195">
        <v>38</v>
      </c>
      <c r="N90" s="195">
        <v>0</v>
      </c>
      <c r="O90" s="188">
        <v>0</v>
      </c>
      <c r="P90" s="188">
        <v>0</v>
      </c>
      <c r="Q90" s="260">
        <v>11</v>
      </c>
      <c r="R90" s="260">
        <v>0</v>
      </c>
      <c r="S90" s="260">
        <v>0</v>
      </c>
      <c r="T90" s="260">
        <v>0</v>
      </c>
      <c r="U90" s="260">
        <v>21</v>
      </c>
      <c r="V90" s="260">
        <v>0</v>
      </c>
    </row>
    <row r="91" spans="1:22">
      <c r="A91" s="1190"/>
      <c r="B91" s="186" t="s">
        <v>113</v>
      </c>
      <c r="C91" s="195">
        <v>190</v>
      </c>
      <c r="D91" s="195">
        <v>25</v>
      </c>
      <c r="E91" s="195">
        <v>2.5</v>
      </c>
      <c r="F91" s="195">
        <v>2.5</v>
      </c>
      <c r="G91" s="195">
        <v>0</v>
      </c>
      <c r="H91" s="195">
        <v>0</v>
      </c>
      <c r="I91" s="195">
        <v>85</v>
      </c>
      <c r="J91" s="195">
        <v>43</v>
      </c>
      <c r="K91" s="195">
        <v>0</v>
      </c>
      <c r="L91" s="195">
        <v>40</v>
      </c>
      <c r="M91" s="195">
        <v>39</v>
      </c>
      <c r="N91" s="195">
        <v>0</v>
      </c>
      <c r="O91" s="188">
        <v>0</v>
      </c>
      <c r="P91" s="188">
        <v>0</v>
      </c>
      <c r="Q91" s="188">
        <v>10</v>
      </c>
      <c r="R91" s="188">
        <v>0</v>
      </c>
      <c r="S91" s="188">
        <v>0</v>
      </c>
      <c r="T91" s="188">
        <v>0</v>
      </c>
      <c r="U91" s="188">
        <v>61</v>
      </c>
      <c r="V91" s="188">
        <v>2</v>
      </c>
    </row>
    <row r="92" spans="1:22" ht="18.75" customHeight="1">
      <c r="A92" s="1190"/>
      <c r="B92" s="186" t="s">
        <v>114</v>
      </c>
      <c r="C92" s="195">
        <v>290</v>
      </c>
      <c r="D92" s="195">
        <v>60</v>
      </c>
      <c r="E92" s="195">
        <v>7</v>
      </c>
      <c r="F92" s="195">
        <v>2.5</v>
      </c>
      <c r="G92" s="195">
        <v>0</v>
      </c>
      <c r="H92" s="195">
        <v>0</v>
      </c>
      <c r="I92" s="195">
        <v>85</v>
      </c>
      <c r="J92" s="195">
        <v>58</v>
      </c>
      <c r="K92" s="195">
        <v>0</v>
      </c>
      <c r="L92" s="195">
        <v>55</v>
      </c>
      <c r="M92" s="195">
        <v>54</v>
      </c>
      <c r="N92" s="195">
        <v>2</v>
      </c>
      <c r="O92" s="188">
        <v>0</v>
      </c>
      <c r="P92" s="188">
        <v>0</v>
      </c>
      <c r="Q92" s="260">
        <v>12</v>
      </c>
      <c r="R92" s="260">
        <v>0</v>
      </c>
      <c r="S92" s="260">
        <v>1</v>
      </c>
      <c r="T92" s="260">
        <v>6</v>
      </c>
      <c r="U92" s="260">
        <v>15</v>
      </c>
      <c r="V92" s="260">
        <v>0</v>
      </c>
    </row>
    <row r="93" spans="1:22" ht="15" customHeight="1">
      <c r="A93" s="1190"/>
      <c r="B93" s="186" t="s">
        <v>115</v>
      </c>
      <c r="C93" s="195">
        <v>190</v>
      </c>
      <c r="D93" s="195">
        <v>0</v>
      </c>
      <c r="E93" s="195">
        <v>0</v>
      </c>
      <c r="F93" s="195">
        <v>0</v>
      </c>
      <c r="G93" s="195">
        <v>0</v>
      </c>
      <c r="H93" s="195">
        <v>0</v>
      </c>
      <c r="I93" s="195">
        <v>30</v>
      </c>
      <c r="J93" s="195">
        <v>47</v>
      </c>
      <c r="K93" s="195">
        <v>0</v>
      </c>
      <c r="L93" s="195">
        <v>45</v>
      </c>
      <c r="M93" s="195">
        <v>45</v>
      </c>
      <c r="N93" s="195">
        <v>0</v>
      </c>
      <c r="O93" s="188">
        <v>0</v>
      </c>
      <c r="P93" s="188">
        <v>0</v>
      </c>
      <c r="Q93" s="188">
        <v>7</v>
      </c>
      <c r="R93" s="188">
        <v>0</v>
      </c>
      <c r="S93" s="188">
        <v>0</v>
      </c>
      <c r="T93" s="188">
        <v>0</v>
      </c>
      <c r="U93" s="188">
        <v>14</v>
      </c>
      <c r="V93" s="188">
        <v>0</v>
      </c>
    </row>
    <row r="94" spans="1:22">
      <c r="A94" s="1190"/>
      <c r="B94" s="186" t="s">
        <v>116</v>
      </c>
      <c r="C94" s="195">
        <v>260</v>
      </c>
      <c r="D94" s="195">
        <v>30</v>
      </c>
      <c r="E94" s="195">
        <v>3</v>
      </c>
      <c r="F94" s="195">
        <v>2.5</v>
      </c>
      <c r="G94" s="195">
        <v>0</v>
      </c>
      <c r="H94" s="195">
        <v>0</v>
      </c>
      <c r="I94" s="195">
        <v>50</v>
      </c>
      <c r="J94" s="195">
        <v>59</v>
      </c>
      <c r="K94" s="195">
        <v>0</v>
      </c>
      <c r="L94" s="195">
        <v>57</v>
      </c>
      <c r="M94" s="195">
        <v>57</v>
      </c>
      <c r="N94" s="195">
        <v>0</v>
      </c>
      <c r="O94" s="188">
        <v>0</v>
      </c>
      <c r="P94" s="188">
        <v>0</v>
      </c>
      <c r="Q94" s="188">
        <v>6</v>
      </c>
      <c r="R94" s="188">
        <v>0</v>
      </c>
      <c r="S94" s="188">
        <v>1</v>
      </c>
      <c r="T94" s="188">
        <v>6</v>
      </c>
      <c r="U94" s="188">
        <v>15</v>
      </c>
      <c r="V94" s="188">
        <v>0</v>
      </c>
    </row>
    <row r="95" spans="1:22">
      <c r="A95" s="1190"/>
      <c r="B95" s="186" t="s">
        <v>183</v>
      </c>
      <c r="C95" s="195">
        <v>240</v>
      </c>
      <c r="D95" s="195">
        <v>20</v>
      </c>
      <c r="E95" s="195">
        <v>2.5</v>
      </c>
      <c r="F95" s="195">
        <v>2</v>
      </c>
      <c r="G95" s="195">
        <v>0</v>
      </c>
      <c r="H95" s="195">
        <v>0</v>
      </c>
      <c r="I95" s="195">
        <v>50</v>
      </c>
      <c r="J95" s="195">
        <v>55</v>
      </c>
      <c r="K95" s="195">
        <v>0</v>
      </c>
      <c r="L95" s="195">
        <v>52</v>
      </c>
      <c r="M95" s="195">
        <v>50</v>
      </c>
      <c r="N95" s="195">
        <v>0</v>
      </c>
      <c r="O95" s="188">
        <v>0</v>
      </c>
      <c r="P95" s="188">
        <v>0</v>
      </c>
      <c r="Q95" s="195">
        <v>6</v>
      </c>
      <c r="R95" s="195">
        <v>0</v>
      </c>
      <c r="S95" s="195">
        <v>0</v>
      </c>
      <c r="T95" s="195">
        <v>0</v>
      </c>
      <c r="U95" s="195">
        <v>27</v>
      </c>
      <c r="V95" s="195">
        <v>0</v>
      </c>
    </row>
    <row r="96" spans="1:22">
      <c r="A96" s="1190"/>
      <c r="B96" s="186" t="s">
        <v>118</v>
      </c>
      <c r="C96" s="195">
        <v>230</v>
      </c>
      <c r="D96" s="195">
        <v>25</v>
      </c>
      <c r="E96" s="195">
        <v>2.5</v>
      </c>
      <c r="F96" s="195">
        <v>2</v>
      </c>
      <c r="G96" s="195">
        <v>0</v>
      </c>
      <c r="H96" s="195">
        <v>0</v>
      </c>
      <c r="I96" s="195">
        <v>55</v>
      </c>
      <c r="J96" s="195">
        <v>53</v>
      </c>
      <c r="K96" s="195">
        <v>0</v>
      </c>
      <c r="L96" s="195">
        <v>51</v>
      </c>
      <c r="M96" s="195">
        <v>22</v>
      </c>
      <c r="N96" s="195">
        <v>0</v>
      </c>
      <c r="O96" s="188">
        <v>0</v>
      </c>
      <c r="P96" s="188">
        <v>0</v>
      </c>
      <c r="Q96" s="188">
        <v>7</v>
      </c>
      <c r="R96" s="188">
        <v>0</v>
      </c>
      <c r="S96" s="188">
        <v>0</v>
      </c>
      <c r="T96" s="188">
        <v>0</v>
      </c>
      <c r="U96" s="188">
        <v>13</v>
      </c>
      <c r="V96" s="188">
        <v>0</v>
      </c>
    </row>
    <row r="97" spans="1:22">
      <c r="A97" s="1190"/>
      <c r="B97" s="186" t="s">
        <v>119</v>
      </c>
      <c r="C97" s="195">
        <v>210</v>
      </c>
      <c r="D97" s="195">
        <v>20</v>
      </c>
      <c r="E97" s="195">
        <v>2</v>
      </c>
      <c r="F97" s="195">
        <v>2</v>
      </c>
      <c r="G97" s="195">
        <v>0</v>
      </c>
      <c r="H97" s="195">
        <v>0</v>
      </c>
      <c r="I97" s="195">
        <v>50</v>
      </c>
      <c r="J97" s="195">
        <v>47</v>
      </c>
      <c r="K97" s="195">
        <v>0</v>
      </c>
      <c r="L97" s="195">
        <v>44</v>
      </c>
      <c r="M97" s="195">
        <v>44</v>
      </c>
      <c r="N97" s="195">
        <v>0</v>
      </c>
      <c r="O97" s="188">
        <v>0</v>
      </c>
      <c r="P97" s="188">
        <v>0</v>
      </c>
      <c r="Q97" s="260">
        <v>6</v>
      </c>
      <c r="R97" s="260">
        <v>0</v>
      </c>
      <c r="S97" s="260">
        <v>0</v>
      </c>
      <c r="T97" s="260">
        <v>0</v>
      </c>
      <c r="U97" s="260">
        <v>18</v>
      </c>
      <c r="V97" s="260">
        <v>0</v>
      </c>
    </row>
    <row r="98" spans="1:22" s="223" customFormat="1" ht="16.3" thickBot="1">
      <c r="A98" s="1198"/>
      <c r="B98" s="186" t="s">
        <v>120</v>
      </c>
      <c r="C98" s="195">
        <v>260</v>
      </c>
      <c r="D98" s="195">
        <v>35</v>
      </c>
      <c r="E98" s="195">
        <v>4</v>
      </c>
      <c r="F98" s="195">
        <v>3</v>
      </c>
      <c r="G98" s="195">
        <v>0</v>
      </c>
      <c r="H98" s="195">
        <v>0</v>
      </c>
      <c r="I98" s="195">
        <v>50</v>
      </c>
      <c r="J98" s="195">
        <v>59</v>
      </c>
      <c r="K98" s="195">
        <v>0</v>
      </c>
      <c r="L98" s="195">
        <v>55</v>
      </c>
      <c r="M98" s="195">
        <v>54</v>
      </c>
      <c r="N98" s="195">
        <v>1</v>
      </c>
      <c r="O98" s="188">
        <v>0</v>
      </c>
      <c r="P98" s="188">
        <v>0</v>
      </c>
      <c r="Q98" s="195">
        <v>8.7517899999999997</v>
      </c>
      <c r="R98" s="195">
        <v>0</v>
      </c>
      <c r="S98" s="195">
        <v>0.66252599999999995</v>
      </c>
      <c r="T98" s="195">
        <v>4</v>
      </c>
      <c r="U98" s="195">
        <v>40</v>
      </c>
      <c r="V98" s="195">
        <v>1</v>
      </c>
    </row>
    <row r="99" spans="1:22" ht="15" customHeight="1">
      <c r="A99" s="1189" t="s">
        <v>121</v>
      </c>
      <c r="B99" s="186" t="s">
        <v>122</v>
      </c>
      <c r="C99" s="195">
        <v>90</v>
      </c>
      <c r="D99" s="195">
        <v>0</v>
      </c>
      <c r="E99" s="195">
        <v>0</v>
      </c>
      <c r="F99" s="195">
        <v>0</v>
      </c>
      <c r="G99" s="195">
        <v>0</v>
      </c>
      <c r="H99" s="195">
        <v>0</v>
      </c>
      <c r="I99" s="195">
        <v>20</v>
      </c>
      <c r="J99" s="195">
        <v>32</v>
      </c>
      <c r="K99" s="195">
        <v>0</v>
      </c>
      <c r="L99" s="195">
        <v>0</v>
      </c>
      <c r="M99" s="195">
        <v>0</v>
      </c>
      <c r="N99" s="195">
        <v>0</v>
      </c>
      <c r="O99" s="188">
        <v>0</v>
      </c>
      <c r="P99" s="188">
        <v>0</v>
      </c>
      <c r="Q99" s="188">
        <v>9</v>
      </c>
      <c r="R99" s="188">
        <v>0</v>
      </c>
      <c r="S99" s="188">
        <v>0</v>
      </c>
      <c r="T99" s="188">
        <v>0</v>
      </c>
      <c r="U99" s="188">
        <v>13</v>
      </c>
      <c r="V99" s="188">
        <v>0</v>
      </c>
    </row>
    <row r="100" spans="1:22">
      <c r="A100" s="1190"/>
      <c r="B100" s="186" t="s">
        <v>123</v>
      </c>
      <c r="C100" s="195">
        <v>120</v>
      </c>
      <c r="D100" s="195">
        <v>0</v>
      </c>
      <c r="E100" s="195">
        <v>0</v>
      </c>
      <c r="F100" s="195">
        <v>0</v>
      </c>
      <c r="G100" s="195">
        <v>0</v>
      </c>
      <c r="H100" s="195">
        <v>0</v>
      </c>
      <c r="I100" s="195">
        <v>20</v>
      </c>
      <c r="J100" s="195">
        <v>42</v>
      </c>
      <c r="K100" s="195">
        <v>0</v>
      </c>
      <c r="L100" s="195">
        <v>0</v>
      </c>
      <c r="M100" s="195">
        <v>0</v>
      </c>
      <c r="N100" s="195">
        <v>0</v>
      </c>
      <c r="O100" s="188">
        <v>0</v>
      </c>
      <c r="P100" s="188">
        <v>0</v>
      </c>
      <c r="Q100" s="188">
        <v>10</v>
      </c>
      <c r="R100" s="188">
        <v>0</v>
      </c>
      <c r="S100" s="188">
        <v>0</v>
      </c>
      <c r="T100" s="188">
        <v>0</v>
      </c>
      <c r="U100" s="188">
        <v>24</v>
      </c>
      <c r="V100" s="188">
        <v>0</v>
      </c>
    </row>
    <row r="101" spans="1:22" s="212" customFormat="1">
      <c r="A101" s="1190"/>
      <c r="B101" s="186" t="s">
        <v>124</v>
      </c>
      <c r="C101" s="195">
        <v>90</v>
      </c>
      <c r="D101" s="195">
        <v>0</v>
      </c>
      <c r="E101" s="195">
        <v>0</v>
      </c>
      <c r="F101" s="195">
        <v>0</v>
      </c>
      <c r="G101" s="195">
        <v>0</v>
      </c>
      <c r="H101" s="195">
        <v>0</v>
      </c>
      <c r="I101" s="195">
        <v>20</v>
      </c>
      <c r="J101" s="195">
        <v>30</v>
      </c>
      <c r="K101" s="195">
        <v>0</v>
      </c>
      <c r="L101" s="195">
        <v>0</v>
      </c>
      <c r="M101" s="195">
        <v>0</v>
      </c>
      <c r="N101" s="195">
        <v>0</v>
      </c>
      <c r="O101" s="188">
        <v>0</v>
      </c>
      <c r="P101" s="188">
        <v>0</v>
      </c>
      <c r="Q101" s="188">
        <v>9</v>
      </c>
      <c r="R101" s="188">
        <v>0</v>
      </c>
      <c r="S101" s="188">
        <v>0</v>
      </c>
      <c r="T101" s="188">
        <v>0</v>
      </c>
      <c r="U101" s="188">
        <v>16</v>
      </c>
      <c r="V101" s="188">
        <v>0</v>
      </c>
    </row>
    <row r="102" spans="1:22">
      <c r="A102" s="1190"/>
      <c r="B102" s="186" t="s">
        <v>125</v>
      </c>
      <c r="C102" s="195">
        <v>90</v>
      </c>
      <c r="D102" s="195">
        <v>0</v>
      </c>
      <c r="E102" s="195">
        <v>0</v>
      </c>
      <c r="F102" s="195">
        <v>0</v>
      </c>
      <c r="G102" s="195">
        <v>0</v>
      </c>
      <c r="H102" s="195">
        <v>0</v>
      </c>
      <c r="I102" s="195">
        <v>20</v>
      </c>
      <c r="J102" s="195">
        <v>29</v>
      </c>
      <c r="K102" s="195">
        <v>0</v>
      </c>
      <c r="L102" s="195">
        <v>0</v>
      </c>
      <c r="M102" s="195">
        <v>0</v>
      </c>
      <c r="N102" s="195">
        <v>0</v>
      </c>
      <c r="O102" s="188">
        <v>0</v>
      </c>
      <c r="P102" s="188">
        <v>0</v>
      </c>
      <c r="Q102" s="188">
        <v>6</v>
      </c>
      <c r="R102" s="188">
        <v>0</v>
      </c>
      <c r="S102" s="188">
        <v>0</v>
      </c>
      <c r="T102" s="188">
        <v>0</v>
      </c>
      <c r="U102" s="188">
        <v>17</v>
      </c>
      <c r="V102" s="188">
        <v>0</v>
      </c>
    </row>
    <row r="103" spans="1:22">
      <c r="A103" s="1190"/>
      <c r="B103" s="186" t="s">
        <v>126</v>
      </c>
      <c r="C103" s="195">
        <v>90</v>
      </c>
      <c r="D103" s="195">
        <v>0</v>
      </c>
      <c r="E103" s="195">
        <v>0</v>
      </c>
      <c r="F103" s="195">
        <v>0</v>
      </c>
      <c r="G103" s="195">
        <v>0</v>
      </c>
      <c r="H103" s="195">
        <v>0</v>
      </c>
      <c r="I103" s="195">
        <v>25</v>
      </c>
      <c r="J103" s="195">
        <v>32</v>
      </c>
      <c r="K103" s="195">
        <v>0</v>
      </c>
      <c r="L103" s="195">
        <v>0</v>
      </c>
      <c r="M103" s="195">
        <v>0</v>
      </c>
      <c r="N103" s="195">
        <v>0</v>
      </c>
      <c r="O103" s="188">
        <v>0</v>
      </c>
      <c r="P103" s="188">
        <v>0</v>
      </c>
      <c r="Q103" s="188">
        <v>6</v>
      </c>
      <c r="R103" s="188">
        <v>0</v>
      </c>
      <c r="S103" s="188">
        <v>0</v>
      </c>
      <c r="T103" s="188">
        <v>0</v>
      </c>
      <c r="U103" s="188">
        <v>14</v>
      </c>
      <c r="V103" s="188">
        <v>0</v>
      </c>
    </row>
    <row r="104" spans="1:22" ht="16.3" thickBot="1">
      <c r="A104" s="1198"/>
      <c r="B104" s="186" t="s">
        <v>127</v>
      </c>
      <c r="C104" s="195">
        <v>90</v>
      </c>
      <c r="D104" s="195">
        <v>0</v>
      </c>
      <c r="E104" s="195">
        <v>0</v>
      </c>
      <c r="F104" s="195">
        <v>0</v>
      </c>
      <c r="G104" s="195">
        <v>0</v>
      </c>
      <c r="H104" s="195">
        <v>0</v>
      </c>
      <c r="I104" s="195">
        <v>25</v>
      </c>
      <c r="J104" s="195">
        <v>32</v>
      </c>
      <c r="K104" s="195">
        <v>0</v>
      </c>
      <c r="L104" s="195">
        <v>0</v>
      </c>
      <c r="M104" s="195">
        <v>0</v>
      </c>
      <c r="N104" s="195">
        <v>0</v>
      </c>
      <c r="O104" s="188">
        <v>0</v>
      </c>
      <c r="P104" s="188">
        <v>0</v>
      </c>
      <c r="Q104" s="188">
        <v>6</v>
      </c>
      <c r="R104" s="188">
        <v>0</v>
      </c>
      <c r="S104" s="188">
        <v>0</v>
      </c>
      <c r="T104" s="188">
        <v>0</v>
      </c>
      <c r="U104" s="188">
        <v>18</v>
      </c>
      <c r="V104" s="188">
        <v>0</v>
      </c>
    </row>
    <row r="105" spans="1:22" s="212" customFormat="1">
      <c r="A105" s="227"/>
      <c r="B105" s="280"/>
      <c r="C105" s="179"/>
      <c r="D105" s="179"/>
      <c r="E105" s="179"/>
      <c r="F105" s="179"/>
      <c r="G105" s="179"/>
      <c r="H105" s="179"/>
      <c r="I105" s="179"/>
      <c r="J105" s="179"/>
      <c r="K105" s="179"/>
      <c r="L105" s="179"/>
      <c r="M105" s="179"/>
      <c r="N105" s="179"/>
    </row>
    <row r="106" spans="1:22" s="212" customFormat="1" ht="54.75" customHeight="1">
      <c r="B106" s="1197" t="s">
        <v>168</v>
      </c>
      <c r="C106" s="1197"/>
      <c r="D106" s="1197"/>
      <c r="E106" s="1197"/>
      <c r="F106" s="1197"/>
      <c r="G106" s="1197"/>
      <c r="H106" s="1197"/>
      <c r="I106" s="1197"/>
      <c r="J106" s="1197"/>
      <c r="K106" s="1197"/>
      <c r="L106" s="1197"/>
      <c r="M106" s="1197"/>
      <c r="N106" s="1197"/>
      <c r="O106" s="1197"/>
      <c r="P106" s="1197"/>
      <c r="Q106" s="1197"/>
      <c r="R106" s="1197"/>
      <c r="S106" s="1197"/>
      <c r="T106" s="1197"/>
      <c r="U106" s="1197"/>
      <c r="V106" s="1197"/>
    </row>
    <row r="107" spans="1:22" ht="15" customHeight="1"/>
    <row r="108" spans="1:22" ht="15" customHeight="1">
      <c r="B108" s="191" t="s">
        <v>184</v>
      </c>
      <c r="C108" s="191">
        <f>AVERAGE(C4:C58)</f>
        <v>193.81818181818181</v>
      </c>
      <c r="D108" s="191">
        <f t="shared" ref="D108:V108" si="0">AVERAGE(D4:D58)</f>
        <v>2.5454545454545454</v>
      </c>
      <c r="E108" s="191">
        <f t="shared" si="0"/>
        <v>0.25454545454545452</v>
      </c>
      <c r="F108" s="191">
        <f t="shared" si="0"/>
        <v>5.4545454545454543E-2</v>
      </c>
      <c r="G108" s="191">
        <f t="shared" si="0"/>
        <v>0</v>
      </c>
      <c r="H108" s="191">
        <f t="shared" si="0"/>
        <v>0</v>
      </c>
      <c r="I108" s="191">
        <f t="shared" si="0"/>
        <v>33.363636363636367</v>
      </c>
      <c r="J108" s="191">
        <f t="shared" si="0"/>
        <v>48.763636363636365</v>
      </c>
      <c r="K108" s="191">
        <f t="shared" si="0"/>
        <v>5.4545454545454543E-2</v>
      </c>
      <c r="L108" s="191">
        <f t="shared" si="0"/>
        <v>46.636363636363633</v>
      </c>
      <c r="M108" s="191">
        <f t="shared" si="0"/>
        <v>43.472727272727276</v>
      </c>
      <c r="N108" s="191">
        <f t="shared" si="0"/>
        <v>0.10909090909090909</v>
      </c>
      <c r="O108" s="191">
        <f t="shared" si="0"/>
        <v>0</v>
      </c>
      <c r="P108" s="191">
        <f t="shared" si="0"/>
        <v>0</v>
      </c>
      <c r="Q108" s="191">
        <f t="shared" si="0"/>
        <v>7.3657885454545458</v>
      </c>
      <c r="R108" s="191">
        <f t="shared" si="0"/>
        <v>0.10909090909090909</v>
      </c>
      <c r="S108" s="191">
        <f t="shared" si="0"/>
        <v>4.044745454545455E-2</v>
      </c>
      <c r="T108" s="191">
        <f t="shared" si="0"/>
        <v>0.21818181818181817</v>
      </c>
      <c r="U108" s="191">
        <f t="shared" si="0"/>
        <v>12.309090909090909</v>
      </c>
      <c r="V108" s="191">
        <f t="shared" si="0"/>
        <v>0.10909090909090909</v>
      </c>
    </row>
    <row r="109" spans="1:22" ht="27.75" customHeight="1">
      <c r="A109" s="212"/>
      <c r="B109" s="191" t="s">
        <v>185</v>
      </c>
      <c r="C109" s="191" t="str">
        <f xml:space="preserve"> ROUND(MIN(C4:C58),0) &amp; " - " &amp; ROUND(MAX(C4:C58),0)</f>
        <v>130 - 280</v>
      </c>
      <c r="D109" s="191" t="str">
        <f t="shared" ref="D109:V109" si="1" xml:space="preserve"> ROUND(MIN(D4:D58),0) &amp; " - " &amp; ROUND(MAX(D4:D58),0)</f>
        <v>0 - 60</v>
      </c>
      <c r="E109" s="191" t="str">
        <f t="shared" si="1"/>
        <v>0 - 7</v>
      </c>
      <c r="F109" s="191" t="str">
        <f t="shared" si="1"/>
        <v>0 - 1</v>
      </c>
      <c r="G109" s="191" t="str">
        <f t="shared" si="1"/>
        <v>0 - 0</v>
      </c>
      <c r="H109" s="191" t="str">
        <f t="shared" si="1"/>
        <v>0 - 0</v>
      </c>
      <c r="I109" s="191" t="str">
        <f xml:space="preserve"> ROUND(MIN(I4:I58),0) &amp; " - " &amp; ROUND(MAX(I4:I58),0)</f>
        <v>15 - 85</v>
      </c>
      <c r="J109" s="191" t="str">
        <f t="shared" si="1"/>
        <v>33 - 72</v>
      </c>
      <c r="K109" s="191" t="str">
        <f t="shared" si="1"/>
        <v>0 - 1</v>
      </c>
      <c r="L109" s="191" t="str">
        <f t="shared" si="1"/>
        <v>31 - 70</v>
      </c>
      <c r="M109" s="191" t="str">
        <f t="shared" si="1"/>
        <v>15 - 70</v>
      </c>
      <c r="N109" s="191" t="str">
        <f t="shared" si="1"/>
        <v>0 - 2</v>
      </c>
      <c r="O109" s="191" t="str">
        <f t="shared" si="1"/>
        <v>0 - 0</v>
      </c>
      <c r="P109" s="191" t="str">
        <f t="shared" si="1"/>
        <v>0 - 0</v>
      </c>
      <c r="Q109" s="191" t="str">
        <f t="shared" si="1"/>
        <v>5 - 16</v>
      </c>
      <c r="R109" s="191" t="str">
        <f t="shared" si="1"/>
        <v>0 - 2</v>
      </c>
      <c r="S109" s="191" t="str">
        <f t="shared" si="1"/>
        <v>0 - 1</v>
      </c>
      <c r="T109" s="191" t="str">
        <f t="shared" si="1"/>
        <v>0 - 6</v>
      </c>
      <c r="U109" s="191" t="str">
        <f t="shared" si="1"/>
        <v>0 - 85</v>
      </c>
      <c r="V109" s="191" t="str">
        <f t="shared" si="1"/>
        <v>0 - 2</v>
      </c>
    </row>
    <row r="110" spans="1:22">
      <c r="B110" s="191" t="s">
        <v>186</v>
      </c>
      <c r="C110" s="191">
        <f t="shared" ref="C110:V110" si="2">AVERAGE(C59:C70)</f>
        <v>174.16666666666666</v>
      </c>
      <c r="D110" s="191">
        <f t="shared" si="2"/>
        <v>1.25</v>
      </c>
      <c r="E110" s="191">
        <f t="shared" si="2"/>
        <v>0.125</v>
      </c>
      <c r="F110" s="191">
        <f t="shared" si="2"/>
        <v>0.125</v>
      </c>
      <c r="G110" s="191">
        <f t="shared" si="2"/>
        <v>0</v>
      </c>
      <c r="H110" s="191">
        <f t="shared" si="2"/>
        <v>0</v>
      </c>
      <c r="I110" s="191">
        <f t="shared" si="2"/>
        <v>10</v>
      </c>
      <c r="J110" s="191">
        <f t="shared" si="2"/>
        <v>38</v>
      </c>
      <c r="K110" s="191">
        <f t="shared" si="2"/>
        <v>0.5</v>
      </c>
      <c r="L110" s="191">
        <f t="shared" si="2"/>
        <v>36.666666666666664</v>
      </c>
      <c r="M110" s="191">
        <f t="shared" si="2"/>
        <v>34.166666666666664</v>
      </c>
      <c r="N110" s="191">
        <f t="shared" si="2"/>
        <v>8.3333333333333329E-2</v>
      </c>
      <c r="O110" s="191">
        <f t="shared" si="2"/>
        <v>0</v>
      </c>
      <c r="P110" s="191">
        <f t="shared" si="2"/>
        <v>0</v>
      </c>
      <c r="Q110" s="191">
        <f t="shared" si="2"/>
        <v>13.916666666666666</v>
      </c>
      <c r="R110" s="191">
        <f t="shared" si="2"/>
        <v>1</v>
      </c>
      <c r="S110" s="191">
        <f t="shared" si="2"/>
        <v>0.16666666666666666</v>
      </c>
      <c r="T110" s="191">
        <f t="shared" si="2"/>
        <v>1</v>
      </c>
      <c r="U110" s="191">
        <f t="shared" si="2"/>
        <v>76.25</v>
      </c>
      <c r="V110" s="191">
        <f t="shared" si="2"/>
        <v>1.5</v>
      </c>
    </row>
    <row r="111" spans="1:22">
      <c r="B111" s="191" t="s">
        <v>187</v>
      </c>
      <c r="C111" s="191" t="str">
        <f t="shared" ref="C111:V111" si="3">ROUND( MIN(C59:C70),0) &amp; " - " &amp; ROUND(MAX(C59:C70),0)</f>
        <v>150 - 220</v>
      </c>
      <c r="D111" s="191" t="str">
        <f t="shared" si="3"/>
        <v>0 - 10</v>
      </c>
      <c r="E111" s="191" t="str">
        <f t="shared" si="3"/>
        <v>0 - 1</v>
      </c>
      <c r="F111" s="191" t="str">
        <f t="shared" si="3"/>
        <v>0 - 1</v>
      </c>
      <c r="G111" s="191" t="str">
        <f t="shared" si="3"/>
        <v>0 - 0</v>
      </c>
      <c r="H111" s="191" t="str">
        <f t="shared" si="3"/>
        <v>0 - 0</v>
      </c>
      <c r="I111" s="191" t="str">
        <f t="shared" si="3"/>
        <v>10 - 10</v>
      </c>
      <c r="J111" s="191" t="str">
        <f t="shared" si="3"/>
        <v>32 - 43</v>
      </c>
      <c r="K111" s="191" t="str">
        <f t="shared" si="3"/>
        <v>0 - 2</v>
      </c>
      <c r="L111" s="191" t="str">
        <f t="shared" si="3"/>
        <v>31 - 42</v>
      </c>
      <c r="M111" s="191" t="str">
        <f t="shared" si="3"/>
        <v>29 - 38</v>
      </c>
      <c r="N111" s="191" t="str">
        <f t="shared" si="3"/>
        <v>0 - 1</v>
      </c>
      <c r="O111" s="191" t="str">
        <f t="shared" si="3"/>
        <v>0 - 0</v>
      </c>
      <c r="P111" s="191" t="str">
        <f t="shared" si="3"/>
        <v>0 - 0</v>
      </c>
      <c r="Q111" s="191" t="str">
        <f t="shared" si="3"/>
        <v>8 - 26</v>
      </c>
      <c r="R111" s="191" t="str">
        <f t="shared" si="3"/>
        <v>0 - 2</v>
      </c>
      <c r="S111" s="191" t="str">
        <f t="shared" si="3"/>
        <v>0 - 1</v>
      </c>
      <c r="T111" s="191" t="str">
        <f t="shared" si="3"/>
        <v>0 - 6</v>
      </c>
      <c r="U111" s="191" t="str">
        <f t="shared" si="3"/>
        <v>6 - 199</v>
      </c>
      <c r="V111" s="191" t="str">
        <f t="shared" si="3"/>
        <v>0 - 4</v>
      </c>
    </row>
    <row r="112" spans="1:22">
      <c r="B112" s="191" t="s">
        <v>188</v>
      </c>
      <c r="C112" s="191">
        <f t="shared" ref="C112:V112" si="4">AVERAGE(C71:C98)</f>
        <v>233.92857142857142</v>
      </c>
      <c r="D112" s="191">
        <f t="shared" si="4"/>
        <v>27.857142857142858</v>
      </c>
      <c r="E112" s="191">
        <f t="shared" si="4"/>
        <v>3.0535714285714284</v>
      </c>
      <c r="F112" s="191">
        <f t="shared" si="4"/>
        <v>2.3392857142857144</v>
      </c>
      <c r="G112" s="191">
        <f t="shared" si="4"/>
        <v>0</v>
      </c>
      <c r="H112" s="191">
        <f t="shared" si="4"/>
        <v>0</v>
      </c>
      <c r="I112" s="191">
        <f t="shared" si="4"/>
        <v>64.642857142857139</v>
      </c>
      <c r="J112" s="191">
        <f t="shared" si="4"/>
        <v>52.285714285714285</v>
      </c>
      <c r="K112" s="191">
        <f t="shared" si="4"/>
        <v>0</v>
      </c>
      <c r="L112" s="191">
        <f t="shared" si="4"/>
        <v>48.571428571428569</v>
      </c>
      <c r="M112" s="191">
        <f t="shared" si="4"/>
        <v>39.964285714285715</v>
      </c>
      <c r="N112" s="191">
        <f t="shared" si="4"/>
        <v>0.39285714285714285</v>
      </c>
      <c r="O112" s="191">
        <f t="shared" si="4"/>
        <v>0</v>
      </c>
      <c r="P112" s="191">
        <f t="shared" si="4"/>
        <v>0</v>
      </c>
      <c r="Q112" s="191">
        <f t="shared" si="4"/>
        <v>9.6697260714285722</v>
      </c>
      <c r="R112" s="191">
        <f t="shared" si="4"/>
        <v>0.35714285714285715</v>
      </c>
      <c r="S112" s="191">
        <f t="shared" si="4"/>
        <v>0.22969471428571428</v>
      </c>
      <c r="T112" s="191">
        <f t="shared" si="4"/>
        <v>1.3571428571428572</v>
      </c>
      <c r="U112" s="191">
        <f t="shared" si="4"/>
        <v>31.428571428571427</v>
      </c>
      <c r="V112" s="191">
        <f t="shared" si="4"/>
        <v>0.6071428571428571</v>
      </c>
    </row>
    <row r="113" spans="2:22">
      <c r="B113" s="191" t="s">
        <v>189</v>
      </c>
      <c r="C113" s="191" t="str">
        <f>ROUND( MIN(C71:C98),0) &amp; " - " &amp; ROUND(MAX(C71:C98),0)</f>
        <v>190 - 290</v>
      </c>
      <c r="D113" s="191" t="str">
        <f t="shared" ref="D113:V113" si="5">ROUND( MIN(D71:D98),0) &amp; " - " &amp; ROUND(MAX(D71:D98),0)</f>
        <v>0 - 60</v>
      </c>
      <c r="E113" s="191" t="str">
        <f t="shared" si="5"/>
        <v>0 - 7</v>
      </c>
      <c r="F113" s="191" t="str">
        <f t="shared" si="5"/>
        <v>0 - 4</v>
      </c>
      <c r="G113" s="191" t="str">
        <f t="shared" si="5"/>
        <v>0 - 0</v>
      </c>
      <c r="H113" s="191" t="str">
        <f t="shared" si="5"/>
        <v>0 - 0</v>
      </c>
      <c r="I113" s="191" t="str">
        <f t="shared" si="5"/>
        <v>30 - 125</v>
      </c>
      <c r="J113" s="191" t="str">
        <f t="shared" si="5"/>
        <v>42 - 62</v>
      </c>
      <c r="K113" s="191" t="str">
        <f t="shared" si="5"/>
        <v>0 - 0</v>
      </c>
      <c r="L113" s="191" t="str">
        <f t="shared" si="5"/>
        <v>38 - 58</v>
      </c>
      <c r="M113" s="191" t="str">
        <f t="shared" si="5"/>
        <v>19 - 57</v>
      </c>
      <c r="N113" s="191" t="str">
        <f t="shared" si="5"/>
        <v>0 - 2</v>
      </c>
      <c r="O113" s="191" t="str">
        <f t="shared" si="5"/>
        <v>0 - 0</v>
      </c>
      <c r="P113" s="191" t="str">
        <f t="shared" si="5"/>
        <v>0 - 0</v>
      </c>
      <c r="Q113" s="191" t="str">
        <f t="shared" si="5"/>
        <v>6 - 26</v>
      </c>
      <c r="R113" s="191" t="str">
        <f t="shared" si="5"/>
        <v>0 - 2</v>
      </c>
      <c r="S113" s="191" t="str">
        <f t="shared" si="5"/>
        <v>0 - 1</v>
      </c>
      <c r="T113" s="191" t="str">
        <f t="shared" si="5"/>
        <v>0 - 6</v>
      </c>
      <c r="U113" s="191" t="str">
        <f t="shared" si="5"/>
        <v>5 - 180</v>
      </c>
      <c r="V113" s="191" t="str">
        <f t="shared" si="5"/>
        <v>0 - 5</v>
      </c>
    </row>
    <row r="114" spans="2:22">
      <c r="B114" s="191" t="s">
        <v>190</v>
      </c>
      <c r="C114" s="191">
        <f t="shared" ref="C114:V114" si="6">AVERAGE(C99:C104)</f>
        <v>95</v>
      </c>
      <c r="D114" s="191">
        <f t="shared" si="6"/>
        <v>0</v>
      </c>
      <c r="E114" s="191">
        <f t="shared" si="6"/>
        <v>0</v>
      </c>
      <c r="F114" s="191">
        <f t="shared" si="6"/>
        <v>0</v>
      </c>
      <c r="G114" s="191">
        <f t="shared" si="6"/>
        <v>0</v>
      </c>
      <c r="H114" s="191">
        <f t="shared" si="6"/>
        <v>0</v>
      </c>
      <c r="I114" s="191">
        <f t="shared" si="6"/>
        <v>21.666666666666668</v>
      </c>
      <c r="J114" s="191">
        <f t="shared" si="6"/>
        <v>32.833333333333336</v>
      </c>
      <c r="K114" s="191">
        <f t="shared" si="6"/>
        <v>0</v>
      </c>
      <c r="L114" s="191">
        <f t="shared" si="6"/>
        <v>0</v>
      </c>
      <c r="M114" s="191">
        <f t="shared" si="6"/>
        <v>0</v>
      </c>
      <c r="N114" s="191">
        <f t="shared" si="6"/>
        <v>0</v>
      </c>
      <c r="O114" s="191">
        <f t="shared" si="6"/>
        <v>0</v>
      </c>
      <c r="P114" s="191">
        <f t="shared" si="6"/>
        <v>0</v>
      </c>
      <c r="Q114" s="191">
        <f t="shared" si="6"/>
        <v>7.666666666666667</v>
      </c>
      <c r="R114" s="191">
        <f t="shared" si="6"/>
        <v>0</v>
      </c>
      <c r="S114" s="191">
        <f t="shared" si="6"/>
        <v>0</v>
      </c>
      <c r="T114" s="191">
        <f t="shared" si="6"/>
        <v>0</v>
      </c>
      <c r="U114" s="191">
        <f t="shared" si="6"/>
        <v>17</v>
      </c>
      <c r="V114" s="191">
        <f t="shared" si="6"/>
        <v>0</v>
      </c>
    </row>
    <row r="115" spans="2:22" ht="24.75" customHeight="1">
      <c r="B115" s="191" t="s">
        <v>191</v>
      </c>
      <c r="C115" s="191" t="str">
        <f t="shared" ref="C115:V115" si="7">ROUND( MIN(C99:C104),0) &amp; " - " &amp;ROUND( MAX(C99:C104),0)</f>
        <v>90 - 120</v>
      </c>
      <c r="D115" s="191" t="str">
        <f t="shared" si="7"/>
        <v>0 - 0</v>
      </c>
      <c r="E115" s="191" t="str">
        <f t="shared" si="7"/>
        <v>0 - 0</v>
      </c>
      <c r="F115" s="191" t="str">
        <f t="shared" si="7"/>
        <v>0 - 0</v>
      </c>
      <c r="G115" s="191" t="str">
        <f t="shared" si="7"/>
        <v>0 - 0</v>
      </c>
      <c r="H115" s="191" t="str">
        <f t="shared" si="7"/>
        <v>0 - 0</v>
      </c>
      <c r="I115" s="191" t="str">
        <f t="shared" si="7"/>
        <v>20 - 25</v>
      </c>
      <c r="J115" s="191" t="str">
        <f t="shared" si="7"/>
        <v>29 - 42</v>
      </c>
      <c r="K115" s="191" t="str">
        <f t="shared" si="7"/>
        <v>0 - 0</v>
      </c>
      <c r="L115" s="191" t="str">
        <f t="shared" si="7"/>
        <v>0 - 0</v>
      </c>
      <c r="M115" s="191" t="str">
        <f t="shared" si="7"/>
        <v>0 - 0</v>
      </c>
      <c r="N115" s="191" t="str">
        <f t="shared" si="7"/>
        <v>0 - 0</v>
      </c>
      <c r="O115" s="191" t="str">
        <f t="shared" si="7"/>
        <v>0 - 0</v>
      </c>
      <c r="P115" s="191" t="str">
        <f t="shared" si="7"/>
        <v>0 - 0</v>
      </c>
      <c r="Q115" s="191" t="str">
        <f t="shared" si="7"/>
        <v>6 - 10</v>
      </c>
      <c r="R115" s="191" t="str">
        <f t="shared" si="7"/>
        <v>0 - 0</v>
      </c>
      <c r="S115" s="191" t="str">
        <f t="shared" si="7"/>
        <v>0 - 0</v>
      </c>
      <c r="T115" s="191" t="str">
        <f t="shared" si="7"/>
        <v>0 - 0</v>
      </c>
      <c r="U115" s="191" t="str">
        <f t="shared" si="7"/>
        <v>13 - 24</v>
      </c>
      <c r="V115" s="191" t="str">
        <f t="shared" si="7"/>
        <v>0 - 0</v>
      </c>
    </row>
    <row r="119" spans="2:22" ht="15" customHeight="1"/>
  </sheetData>
  <sortState xmlns:xlrd2="http://schemas.microsoft.com/office/spreadsheetml/2017/richdata2" ref="B101:B102">
    <sortCondition ref="B101"/>
  </sortState>
  <mergeCells count="7">
    <mergeCell ref="A1:V1"/>
    <mergeCell ref="A2:V2"/>
    <mergeCell ref="B106:V106"/>
    <mergeCell ref="A99:A104"/>
    <mergeCell ref="A59:A70"/>
    <mergeCell ref="A71:A98"/>
    <mergeCell ref="A4:A58"/>
  </mergeCells>
  <phoneticPr fontId="0" type="noConversion"/>
  <pageMargins left="0.75" right="0.75" top="1" bottom="1" header="0.5" footer="0.5"/>
  <pageSetup scale="47" fitToHeight="0" orientation="landscape" r:id="rId1"/>
  <headerFooter alignWithMargins="0">
    <oddHeader>&amp;LRita's Nutrition Supplement&amp;RUpdated: 8/23/16</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D46E9-5489-4FAC-86AC-9E0D1B41FC84}">
  <sheetPr>
    <tabColor rgb="FF00B050"/>
  </sheetPr>
  <dimension ref="A1:U108"/>
  <sheetViews>
    <sheetView topLeftCell="A3" workbookViewId="0">
      <selection activeCell="A19" sqref="A19:XFD19"/>
    </sheetView>
    <sheetView workbookViewId="1">
      <selection sqref="A1:U1"/>
    </sheetView>
    <sheetView workbookViewId="2">
      <selection sqref="A1:U1"/>
    </sheetView>
  </sheetViews>
  <sheetFormatPr defaultColWidth="9.15234375" defaultRowHeight="14.6"/>
  <cols>
    <col min="1" max="1" width="62" style="326" bestFit="1" customWidth="1"/>
    <col min="2" max="3" width="10.3828125" style="312" customWidth="1"/>
    <col min="4" max="4" width="9.15234375" style="312"/>
    <col min="5" max="5" width="12" style="312" customWidth="1"/>
    <col min="6" max="16384" width="9.15234375" style="312"/>
  </cols>
  <sheetData>
    <row r="1" spans="1:21" ht="15.9">
      <c r="A1" s="1201" t="s">
        <v>192</v>
      </c>
      <c r="B1" s="1201"/>
      <c r="C1" s="1201"/>
      <c r="D1" s="1201"/>
      <c r="E1" s="1201"/>
      <c r="F1" s="1201"/>
      <c r="G1" s="1201"/>
      <c r="H1" s="1201"/>
      <c r="I1" s="1201"/>
      <c r="J1" s="1201"/>
      <c r="K1" s="1201"/>
      <c r="L1" s="1201"/>
      <c r="M1" s="1201"/>
      <c r="N1" s="1201"/>
      <c r="O1" s="1201"/>
      <c r="P1" s="1201"/>
      <c r="Q1" s="1201"/>
      <c r="R1" s="1201"/>
      <c r="S1" s="1201"/>
      <c r="T1" s="1201"/>
      <c r="U1" s="1201"/>
    </row>
    <row r="2" spans="1:21" ht="16.3" thickBot="1">
      <c r="A2" s="1202"/>
      <c r="B2" s="1202"/>
      <c r="C2" s="1202"/>
      <c r="D2" s="1202"/>
      <c r="E2" s="1202"/>
      <c r="F2" s="1202"/>
      <c r="G2" s="1202"/>
      <c r="H2" s="1202"/>
      <c r="I2" s="1202"/>
      <c r="J2" s="1202"/>
      <c r="K2" s="1202"/>
      <c r="L2" s="1202"/>
      <c r="M2" s="1202"/>
      <c r="N2" s="1202"/>
      <c r="O2" s="1202"/>
      <c r="P2" s="1202"/>
      <c r="Q2" s="1202"/>
      <c r="R2" s="1202"/>
      <c r="S2" s="1202"/>
      <c r="T2" s="1202"/>
      <c r="U2" s="1202"/>
    </row>
    <row r="3" spans="1:21" ht="47.6">
      <c r="A3" s="313" t="s">
        <v>3</v>
      </c>
      <c r="B3" s="314" t="s">
        <v>4</v>
      </c>
      <c r="C3" s="314" t="s">
        <v>5</v>
      </c>
      <c r="D3" s="314" t="s">
        <v>6</v>
      </c>
      <c r="E3" s="314" t="s">
        <v>7</v>
      </c>
      <c r="F3" s="314" t="s">
        <v>8</v>
      </c>
      <c r="G3" s="314" t="s">
        <v>9</v>
      </c>
      <c r="H3" s="314" t="s">
        <v>10</v>
      </c>
      <c r="I3" s="314" t="s">
        <v>11</v>
      </c>
      <c r="J3" s="314" t="s">
        <v>12</v>
      </c>
      <c r="K3" s="314" t="s">
        <v>13</v>
      </c>
      <c r="L3" s="314" t="s">
        <v>14</v>
      </c>
      <c r="M3" s="314" t="s">
        <v>15</v>
      </c>
      <c r="N3" s="215" t="s">
        <v>16</v>
      </c>
      <c r="O3" s="215" t="s">
        <v>17</v>
      </c>
      <c r="P3" s="215" t="s">
        <v>18</v>
      </c>
      <c r="Q3" s="215" t="s">
        <v>19</v>
      </c>
      <c r="R3" s="267" t="s">
        <v>20</v>
      </c>
      <c r="S3" s="267" t="s">
        <v>21</v>
      </c>
      <c r="T3" s="215" t="s">
        <v>22</v>
      </c>
      <c r="U3" s="215" t="s">
        <v>23</v>
      </c>
    </row>
    <row r="4" spans="1:21" ht="15.9">
      <c r="A4" s="315" t="s">
        <v>193</v>
      </c>
      <c r="B4" s="316">
        <v>130</v>
      </c>
      <c r="C4" s="316">
        <v>0</v>
      </c>
      <c r="D4" s="316">
        <v>0</v>
      </c>
      <c r="E4" s="316">
        <v>0</v>
      </c>
      <c r="F4" s="316">
        <v>0</v>
      </c>
      <c r="G4" s="316">
        <v>0</v>
      </c>
      <c r="H4" s="316">
        <v>10</v>
      </c>
      <c r="I4" s="316">
        <v>34</v>
      </c>
      <c r="J4" s="316">
        <v>0</v>
      </c>
      <c r="K4" s="316">
        <v>33</v>
      </c>
      <c r="L4" s="316">
        <v>32</v>
      </c>
      <c r="M4" s="316">
        <v>0</v>
      </c>
      <c r="N4" s="317">
        <v>0</v>
      </c>
      <c r="O4" s="317">
        <v>0</v>
      </c>
      <c r="P4" s="317">
        <v>8.0480499999999999</v>
      </c>
      <c r="Q4" s="317">
        <v>0</v>
      </c>
      <c r="R4" s="317">
        <v>0.146538</v>
      </c>
      <c r="S4" s="317">
        <v>0</v>
      </c>
      <c r="T4" s="317">
        <v>15</v>
      </c>
      <c r="U4" s="317">
        <v>0</v>
      </c>
    </row>
    <row r="5" spans="1:21" ht="15.9">
      <c r="A5" s="315" t="s">
        <v>194</v>
      </c>
      <c r="B5" s="316">
        <v>170</v>
      </c>
      <c r="C5" s="316">
        <v>0</v>
      </c>
      <c r="D5" s="316">
        <v>0</v>
      </c>
      <c r="E5" s="316">
        <v>0</v>
      </c>
      <c r="F5" s="316">
        <v>0</v>
      </c>
      <c r="G5" s="316">
        <v>0</v>
      </c>
      <c r="H5" s="316">
        <v>5</v>
      </c>
      <c r="I5" s="316">
        <v>33</v>
      </c>
      <c r="J5" s="316">
        <v>0</v>
      </c>
      <c r="K5" s="316">
        <v>30</v>
      </c>
      <c r="L5" s="316">
        <v>30</v>
      </c>
      <c r="M5" s="316">
        <v>0</v>
      </c>
      <c r="N5" s="317">
        <v>0</v>
      </c>
      <c r="O5" s="317">
        <v>0</v>
      </c>
      <c r="P5" s="316">
        <v>16.004200000000001</v>
      </c>
      <c r="Q5" s="316">
        <v>2</v>
      </c>
      <c r="R5" s="316">
        <v>0.15096699999999999</v>
      </c>
      <c r="S5" s="316">
        <v>0</v>
      </c>
      <c r="T5" s="316">
        <v>95</v>
      </c>
      <c r="U5" s="316">
        <v>3</v>
      </c>
    </row>
    <row r="6" spans="1:21" ht="15.9">
      <c r="A6" s="315" t="s">
        <v>195</v>
      </c>
      <c r="B6" s="316">
        <v>140</v>
      </c>
      <c r="C6" s="316">
        <v>0</v>
      </c>
      <c r="D6" s="316">
        <v>0</v>
      </c>
      <c r="E6" s="316">
        <v>0</v>
      </c>
      <c r="F6" s="316">
        <v>0</v>
      </c>
      <c r="G6" s="316">
        <v>0</v>
      </c>
      <c r="H6" s="316">
        <v>10</v>
      </c>
      <c r="I6" s="316">
        <v>35</v>
      </c>
      <c r="J6" s="316">
        <v>0</v>
      </c>
      <c r="K6" s="316">
        <v>34</v>
      </c>
      <c r="L6" s="316">
        <v>31</v>
      </c>
      <c r="M6" s="316">
        <v>0</v>
      </c>
      <c r="N6" s="317">
        <v>0</v>
      </c>
      <c r="O6" s="317">
        <v>0</v>
      </c>
      <c r="P6" s="317">
        <v>10.4482</v>
      </c>
      <c r="Q6" s="317">
        <v>2</v>
      </c>
      <c r="R6" s="317">
        <v>0.17441300000000001</v>
      </c>
      <c r="S6" s="317">
        <v>0</v>
      </c>
      <c r="T6" s="317">
        <v>45</v>
      </c>
      <c r="U6" s="317">
        <v>1</v>
      </c>
    </row>
    <row r="7" spans="1:21" ht="15.9">
      <c r="A7" s="315" t="s">
        <v>196</v>
      </c>
      <c r="B7" s="316">
        <v>150</v>
      </c>
      <c r="C7" s="316">
        <v>0</v>
      </c>
      <c r="D7" s="316">
        <v>0</v>
      </c>
      <c r="E7" s="316">
        <v>0</v>
      </c>
      <c r="F7" s="316">
        <v>0</v>
      </c>
      <c r="G7" s="316">
        <v>0</v>
      </c>
      <c r="H7" s="316">
        <v>10</v>
      </c>
      <c r="I7" s="316">
        <v>28</v>
      </c>
      <c r="J7" s="316">
        <v>0</v>
      </c>
      <c r="K7" s="316">
        <v>26</v>
      </c>
      <c r="L7" s="316">
        <v>25</v>
      </c>
      <c r="M7" s="316">
        <v>0</v>
      </c>
      <c r="N7" s="317">
        <v>0</v>
      </c>
      <c r="O7" s="317">
        <v>0</v>
      </c>
      <c r="P7" s="317">
        <v>15.6204</v>
      </c>
      <c r="Q7" s="317">
        <v>2</v>
      </c>
      <c r="R7" s="317">
        <v>0.115109</v>
      </c>
      <c r="S7" s="317">
        <v>0</v>
      </c>
      <c r="T7" s="317">
        <v>105</v>
      </c>
      <c r="U7" s="317">
        <v>3</v>
      </c>
    </row>
    <row r="8" spans="1:21" ht="15.9">
      <c r="A8" s="315" t="s">
        <v>197</v>
      </c>
      <c r="B8" s="316">
        <v>160</v>
      </c>
      <c r="C8" s="316">
        <v>0</v>
      </c>
      <c r="D8" s="316">
        <v>0</v>
      </c>
      <c r="E8" s="316">
        <v>0</v>
      </c>
      <c r="F8" s="316">
        <v>0</v>
      </c>
      <c r="G8" s="316">
        <v>0</v>
      </c>
      <c r="H8" s="316">
        <v>10</v>
      </c>
      <c r="I8" s="316">
        <v>30</v>
      </c>
      <c r="J8" s="316">
        <v>0</v>
      </c>
      <c r="K8" s="316">
        <v>29</v>
      </c>
      <c r="L8" s="316">
        <v>27</v>
      </c>
      <c r="M8" s="316">
        <v>0</v>
      </c>
      <c r="N8" s="317">
        <v>0</v>
      </c>
      <c r="O8" s="317">
        <v>0</v>
      </c>
      <c r="P8" s="317">
        <v>15.5558</v>
      </c>
      <c r="Q8" s="317">
        <v>2</v>
      </c>
      <c r="R8" s="317">
        <v>0.128944</v>
      </c>
      <c r="S8" s="317">
        <v>0</v>
      </c>
      <c r="T8" s="317">
        <v>115</v>
      </c>
      <c r="U8" s="317">
        <v>3</v>
      </c>
    </row>
    <row r="9" spans="1:21" ht="15.9">
      <c r="A9" s="315" t="s">
        <v>198</v>
      </c>
      <c r="B9" s="316">
        <v>170</v>
      </c>
      <c r="C9" s="316">
        <v>0</v>
      </c>
      <c r="D9" s="316">
        <v>0</v>
      </c>
      <c r="E9" s="316">
        <v>0</v>
      </c>
      <c r="F9" s="316">
        <v>0</v>
      </c>
      <c r="G9" s="316">
        <v>0</v>
      </c>
      <c r="H9" s="316">
        <v>10</v>
      </c>
      <c r="I9" s="316">
        <v>34</v>
      </c>
      <c r="J9" s="316">
        <v>0</v>
      </c>
      <c r="K9" s="316">
        <v>32</v>
      </c>
      <c r="L9" s="316">
        <v>30</v>
      </c>
      <c r="M9" s="316">
        <v>0</v>
      </c>
      <c r="N9" s="317">
        <v>0</v>
      </c>
      <c r="O9" s="317">
        <v>0</v>
      </c>
      <c r="P9" s="317">
        <v>13.98</v>
      </c>
      <c r="Q9" s="317">
        <v>2</v>
      </c>
      <c r="R9" s="317">
        <v>0.122437</v>
      </c>
      <c r="S9" s="317">
        <v>0</v>
      </c>
      <c r="T9" s="317">
        <v>125</v>
      </c>
      <c r="U9" s="317">
        <v>4</v>
      </c>
    </row>
    <row r="10" spans="1:21" ht="15.9" hidden="1">
      <c r="A10" s="315" t="s">
        <v>199</v>
      </c>
      <c r="B10" s="316">
        <v>130</v>
      </c>
      <c r="C10" s="316">
        <v>5</v>
      </c>
      <c r="D10" s="316">
        <v>1</v>
      </c>
      <c r="E10" s="316">
        <v>1</v>
      </c>
      <c r="F10" s="316">
        <v>0</v>
      </c>
      <c r="G10" s="316">
        <v>0</v>
      </c>
      <c r="H10" s="316">
        <v>10</v>
      </c>
      <c r="I10" s="316">
        <v>30</v>
      </c>
      <c r="J10" s="316">
        <v>0</v>
      </c>
      <c r="K10" s="316">
        <v>30</v>
      </c>
      <c r="L10" s="316">
        <v>27</v>
      </c>
      <c r="M10" s="316">
        <v>0</v>
      </c>
      <c r="N10" s="317">
        <v>0</v>
      </c>
      <c r="O10" s="317">
        <v>0</v>
      </c>
      <c r="P10" s="317">
        <v>7.0973800000000002</v>
      </c>
      <c r="Q10" s="317">
        <v>0</v>
      </c>
      <c r="R10" s="317">
        <v>0.52953700000000004</v>
      </c>
      <c r="S10" s="317">
        <v>2</v>
      </c>
      <c r="T10" s="317">
        <v>5</v>
      </c>
      <c r="U10" s="317">
        <v>0</v>
      </c>
    </row>
    <row r="11" spans="1:21" ht="15.9">
      <c r="A11" s="315" t="s">
        <v>200</v>
      </c>
      <c r="B11" s="316">
        <v>130</v>
      </c>
      <c r="C11" s="316">
        <v>0</v>
      </c>
      <c r="D11" s="316">
        <v>0</v>
      </c>
      <c r="E11" s="316">
        <v>0</v>
      </c>
      <c r="F11" s="316">
        <v>0</v>
      </c>
      <c r="G11" s="316">
        <v>0</v>
      </c>
      <c r="H11" s="316">
        <v>10</v>
      </c>
      <c r="I11" s="316">
        <v>34</v>
      </c>
      <c r="J11" s="316">
        <v>0</v>
      </c>
      <c r="K11" s="316">
        <v>33</v>
      </c>
      <c r="L11" s="316">
        <v>32</v>
      </c>
      <c r="M11" s="316">
        <v>0</v>
      </c>
      <c r="N11" s="317">
        <v>0</v>
      </c>
      <c r="O11" s="317">
        <v>0</v>
      </c>
      <c r="P11" s="316">
        <v>7.5457099999999997</v>
      </c>
      <c r="Q11" s="316">
        <v>0</v>
      </c>
      <c r="R11" s="316">
        <v>0.11656900000000001</v>
      </c>
      <c r="S11" s="316">
        <v>0</v>
      </c>
      <c r="T11" s="316">
        <v>5</v>
      </c>
      <c r="U11" s="316">
        <v>0</v>
      </c>
    </row>
    <row r="12" spans="1:21" ht="15.9">
      <c r="A12" s="315" t="s">
        <v>201</v>
      </c>
      <c r="B12" s="316">
        <v>140</v>
      </c>
      <c r="C12" s="316">
        <v>0</v>
      </c>
      <c r="D12" s="316">
        <v>0</v>
      </c>
      <c r="E12" s="316">
        <v>0</v>
      </c>
      <c r="F12" s="316">
        <v>0</v>
      </c>
      <c r="G12" s="316">
        <v>0</v>
      </c>
      <c r="H12" s="316">
        <v>10</v>
      </c>
      <c r="I12" s="316">
        <v>34</v>
      </c>
      <c r="J12" s="316">
        <v>0</v>
      </c>
      <c r="K12" s="316">
        <v>33</v>
      </c>
      <c r="L12" s="316">
        <v>31</v>
      </c>
      <c r="M12" s="316">
        <v>0</v>
      </c>
      <c r="N12" s="317">
        <v>0</v>
      </c>
      <c r="O12" s="317">
        <v>0</v>
      </c>
      <c r="P12" s="317">
        <v>11.0418</v>
      </c>
      <c r="Q12" s="317">
        <v>2</v>
      </c>
      <c r="R12" s="317">
        <v>0.114701</v>
      </c>
      <c r="S12" s="317">
        <v>0</v>
      </c>
      <c r="T12" s="317">
        <v>55</v>
      </c>
      <c r="U12" s="317">
        <v>2</v>
      </c>
    </row>
    <row r="13" spans="1:21" ht="15.9" hidden="1">
      <c r="A13" s="318" t="s">
        <v>202</v>
      </c>
      <c r="B13" s="319">
        <v>130</v>
      </c>
      <c r="C13" s="319">
        <v>5</v>
      </c>
      <c r="D13" s="319">
        <v>0.5</v>
      </c>
      <c r="E13" s="319">
        <v>0.5</v>
      </c>
      <c r="F13" s="319">
        <v>0</v>
      </c>
      <c r="G13" s="319">
        <v>0</v>
      </c>
      <c r="H13" s="319">
        <v>10</v>
      </c>
      <c r="I13" s="319">
        <v>32</v>
      </c>
      <c r="J13" s="316">
        <v>0</v>
      </c>
      <c r="K13" s="319">
        <v>31</v>
      </c>
      <c r="L13" s="319">
        <v>28</v>
      </c>
      <c r="M13" s="319">
        <v>0</v>
      </c>
      <c r="N13" s="317">
        <v>0</v>
      </c>
      <c r="O13" s="317">
        <v>0</v>
      </c>
      <c r="P13" s="305">
        <v>7.1788600000000002</v>
      </c>
      <c r="Q13" s="305">
        <v>0</v>
      </c>
      <c r="R13" s="306">
        <v>0.441326</v>
      </c>
      <c r="S13" s="306">
        <v>2</v>
      </c>
      <c r="T13" s="305">
        <v>10</v>
      </c>
      <c r="U13" s="305">
        <v>0</v>
      </c>
    </row>
    <row r="14" spans="1:21" ht="15.9">
      <c r="A14" s="315" t="s">
        <v>203</v>
      </c>
      <c r="B14" s="316">
        <v>150</v>
      </c>
      <c r="C14" s="316">
        <v>0</v>
      </c>
      <c r="D14" s="316">
        <v>0</v>
      </c>
      <c r="E14" s="316">
        <v>0</v>
      </c>
      <c r="F14" s="316">
        <v>0</v>
      </c>
      <c r="G14" s="316">
        <v>0</v>
      </c>
      <c r="H14" s="316">
        <v>10</v>
      </c>
      <c r="I14" s="316">
        <v>36</v>
      </c>
      <c r="J14" s="316">
        <v>0</v>
      </c>
      <c r="K14" s="316">
        <v>36</v>
      </c>
      <c r="L14" s="316">
        <v>32</v>
      </c>
      <c r="M14" s="316">
        <v>0</v>
      </c>
      <c r="N14" s="317">
        <v>0</v>
      </c>
      <c r="O14" s="317">
        <v>0</v>
      </c>
      <c r="P14" s="316">
        <v>9.6324100000000001</v>
      </c>
      <c r="Q14" s="316">
        <v>0</v>
      </c>
      <c r="R14" s="316">
        <v>0.25259999999999999</v>
      </c>
      <c r="S14" s="316">
        <v>2</v>
      </c>
      <c r="T14" s="316">
        <v>35</v>
      </c>
      <c r="U14" s="316">
        <v>1</v>
      </c>
    </row>
    <row r="15" spans="1:21" ht="15.9">
      <c r="A15" s="315" t="s">
        <v>204</v>
      </c>
      <c r="B15" s="316">
        <v>190</v>
      </c>
      <c r="C15" s="316">
        <v>0</v>
      </c>
      <c r="D15" s="316">
        <v>0</v>
      </c>
      <c r="E15" s="316">
        <v>0</v>
      </c>
      <c r="F15" s="316">
        <v>0</v>
      </c>
      <c r="G15" s="316">
        <v>0</v>
      </c>
      <c r="H15" s="316">
        <v>5</v>
      </c>
      <c r="I15" s="316">
        <v>29</v>
      </c>
      <c r="J15" s="316">
        <v>0</v>
      </c>
      <c r="K15" s="316">
        <v>27</v>
      </c>
      <c r="L15" s="316">
        <v>27</v>
      </c>
      <c r="M15" s="316">
        <v>1</v>
      </c>
      <c r="N15" s="317">
        <v>0</v>
      </c>
      <c r="O15" s="317">
        <v>0</v>
      </c>
      <c r="P15" s="317">
        <v>21.8354</v>
      </c>
      <c r="Q15" s="317">
        <v>2</v>
      </c>
      <c r="R15" s="317">
        <v>0.10721799999999999</v>
      </c>
      <c r="S15" s="317">
        <v>0</v>
      </c>
      <c r="T15" s="317">
        <v>170</v>
      </c>
      <c r="U15" s="317">
        <v>5</v>
      </c>
    </row>
    <row r="16" spans="1:21" ht="15.9">
      <c r="A16" s="315" t="s">
        <v>205</v>
      </c>
      <c r="B16" s="316">
        <v>150</v>
      </c>
      <c r="C16" s="316">
        <v>0</v>
      </c>
      <c r="D16" s="316">
        <v>0</v>
      </c>
      <c r="E16" s="316">
        <v>0</v>
      </c>
      <c r="F16" s="316">
        <v>0</v>
      </c>
      <c r="G16" s="316">
        <v>0</v>
      </c>
      <c r="H16" s="316">
        <v>25</v>
      </c>
      <c r="I16" s="316">
        <v>39</v>
      </c>
      <c r="J16" s="316">
        <v>0</v>
      </c>
      <c r="K16" s="316">
        <v>38</v>
      </c>
      <c r="L16" s="316">
        <v>37</v>
      </c>
      <c r="M16" s="316">
        <v>0</v>
      </c>
      <c r="N16" s="317">
        <v>0</v>
      </c>
      <c r="O16" s="317">
        <v>0</v>
      </c>
      <c r="P16" s="317">
        <v>6</v>
      </c>
      <c r="Q16" s="317">
        <v>0</v>
      </c>
      <c r="R16" s="317">
        <v>0</v>
      </c>
      <c r="S16" s="317">
        <v>0</v>
      </c>
      <c r="T16" s="317">
        <v>14</v>
      </c>
      <c r="U16" s="317">
        <v>0</v>
      </c>
    </row>
    <row r="17" spans="1:21" ht="15.9">
      <c r="A17" s="315" t="s">
        <v>206</v>
      </c>
      <c r="B17" s="316">
        <v>180</v>
      </c>
      <c r="C17" s="316">
        <v>5</v>
      </c>
      <c r="D17" s="316">
        <v>0</v>
      </c>
      <c r="E17" s="316">
        <v>0</v>
      </c>
      <c r="F17" s="316">
        <v>0</v>
      </c>
      <c r="G17" s="316">
        <v>0</v>
      </c>
      <c r="H17" s="316">
        <v>20</v>
      </c>
      <c r="I17" s="316">
        <v>46</v>
      </c>
      <c r="J17" s="316">
        <v>0</v>
      </c>
      <c r="K17" s="316">
        <v>44</v>
      </c>
      <c r="L17" s="316">
        <v>43</v>
      </c>
      <c r="M17" s="316">
        <v>0</v>
      </c>
      <c r="N17" s="317">
        <v>0</v>
      </c>
      <c r="O17" s="317">
        <v>0</v>
      </c>
      <c r="P17" s="317">
        <v>4.7215600000000002</v>
      </c>
      <c r="Q17" s="317">
        <v>0</v>
      </c>
      <c r="R17" s="317">
        <v>3.6263999999999998E-2</v>
      </c>
      <c r="S17" s="317">
        <v>0</v>
      </c>
      <c r="T17" s="317">
        <v>35</v>
      </c>
      <c r="U17" s="317">
        <v>1</v>
      </c>
    </row>
    <row r="18" spans="1:21" ht="15.9">
      <c r="A18" s="315" t="s">
        <v>207</v>
      </c>
      <c r="B18" s="316">
        <v>200</v>
      </c>
      <c r="C18" s="316">
        <v>25</v>
      </c>
      <c r="D18" s="316">
        <v>3</v>
      </c>
      <c r="E18" s="316">
        <v>2</v>
      </c>
      <c r="F18" s="316">
        <v>0</v>
      </c>
      <c r="G18" s="316">
        <v>0</v>
      </c>
      <c r="H18" s="316">
        <v>30</v>
      </c>
      <c r="I18" s="316">
        <v>46</v>
      </c>
      <c r="J18" s="316">
        <v>0</v>
      </c>
      <c r="K18" s="316">
        <v>43</v>
      </c>
      <c r="L18" s="316">
        <v>18</v>
      </c>
      <c r="M18" s="316">
        <v>0</v>
      </c>
      <c r="N18" s="317">
        <v>0</v>
      </c>
      <c r="O18" s="317">
        <v>0</v>
      </c>
      <c r="P18" s="317">
        <v>8.6612899999999993</v>
      </c>
      <c r="Q18" s="317">
        <v>0</v>
      </c>
      <c r="R18" s="317">
        <v>0.335642</v>
      </c>
      <c r="S18" s="317">
        <v>2</v>
      </c>
      <c r="T18" s="317">
        <v>20</v>
      </c>
      <c r="U18" s="317">
        <v>1</v>
      </c>
    </row>
    <row r="19" spans="1:21" ht="15.9" hidden="1">
      <c r="A19" s="315" t="s">
        <v>208</v>
      </c>
      <c r="B19" s="316">
        <v>130</v>
      </c>
      <c r="C19" s="316">
        <v>0</v>
      </c>
      <c r="D19" s="316">
        <v>0</v>
      </c>
      <c r="E19" s="316">
        <v>0</v>
      </c>
      <c r="F19" s="316">
        <v>0</v>
      </c>
      <c r="G19" s="316">
        <v>0</v>
      </c>
      <c r="H19" s="316">
        <v>20</v>
      </c>
      <c r="I19" s="316">
        <v>33</v>
      </c>
      <c r="J19" s="316">
        <v>0</v>
      </c>
      <c r="K19" s="316">
        <v>31</v>
      </c>
      <c r="L19" s="316">
        <v>31</v>
      </c>
      <c r="M19" s="316">
        <v>0</v>
      </c>
      <c r="N19" s="317">
        <v>0</v>
      </c>
      <c r="O19" s="317">
        <v>0</v>
      </c>
      <c r="P19" s="317">
        <v>4.9773199999999997</v>
      </c>
      <c r="Q19" s="317">
        <v>0</v>
      </c>
      <c r="R19" s="317">
        <v>5.8999999999999999E-3</v>
      </c>
      <c r="S19" s="317">
        <v>0</v>
      </c>
      <c r="T19" s="317">
        <v>0</v>
      </c>
      <c r="U19" s="317">
        <v>0</v>
      </c>
    </row>
    <row r="20" spans="1:21" ht="15.9">
      <c r="A20" s="315" t="s">
        <v>209</v>
      </c>
      <c r="B20" s="316">
        <v>200</v>
      </c>
      <c r="C20" s="316">
        <v>25</v>
      </c>
      <c r="D20" s="316">
        <v>2.5</v>
      </c>
      <c r="E20" s="316">
        <v>2</v>
      </c>
      <c r="F20" s="316">
        <v>0</v>
      </c>
      <c r="G20" s="316">
        <v>0</v>
      </c>
      <c r="H20" s="316">
        <v>105</v>
      </c>
      <c r="I20" s="316">
        <v>45</v>
      </c>
      <c r="J20" s="316">
        <v>0</v>
      </c>
      <c r="K20" s="316">
        <v>41</v>
      </c>
      <c r="L20" s="316">
        <v>35</v>
      </c>
      <c r="M20" s="316">
        <v>0</v>
      </c>
      <c r="N20" s="317">
        <v>0</v>
      </c>
      <c r="O20" s="317">
        <v>0</v>
      </c>
      <c r="P20" s="317">
        <v>22.530100000000001</v>
      </c>
      <c r="Q20" s="317">
        <v>2</v>
      </c>
      <c r="R20" s="317">
        <v>0.16863700000000001</v>
      </c>
      <c r="S20" s="317">
        <v>0</v>
      </c>
      <c r="T20" s="317">
        <v>0</v>
      </c>
      <c r="U20" s="317">
        <v>0</v>
      </c>
    </row>
    <row r="21" spans="1:21" ht="15.9">
      <c r="A21" s="315" t="s">
        <v>210</v>
      </c>
      <c r="B21" s="316">
        <v>200</v>
      </c>
      <c r="C21" s="316">
        <v>20</v>
      </c>
      <c r="D21" s="316">
        <v>2</v>
      </c>
      <c r="E21" s="316">
        <v>2</v>
      </c>
      <c r="F21" s="316">
        <v>0</v>
      </c>
      <c r="G21" s="316">
        <v>0</v>
      </c>
      <c r="H21" s="316">
        <v>45</v>
      </c>
      <c r="I21" s="316">
        <v>45</v>
      </c>
      <c r="J21" s="316">
        <v>0</v>
      </c>
      <c r="K21" s="316">
        <v>42</v>
      </c>
      <c r="L21" s="316">
        <v>17</v>
      </c>
      <c r="M21" s="316">
        <v>0</v>
      </c>
      <c r="N21" s="317">
        <v>0</v>
      </c>
      <c r="O21" s="317">
        <v>0</v>
      </c>
      <c r="P21" s="317">
        <v>9.4619599999999995</v>
      </c>
      <c r="Q21" s="317">
        <v>0</v>
      </c>
      <c r="R21" s="317">
        <v>0.19144900000000001</v>
      </c>
      <c r="S21" s="317">
        <v>2</v>
      </c>
      <c r="T21" s="317">
        <v>0</v>
      </c>
      <c r="U21" s="317">
        <v>0</v>
      </c>
    </row>
    <row r="22" spans="1:21" ht="15.9">
      <c r="A22" s="315" t="s">
        <v>211</v>
      </c>
      <c r="B22" s="316">
        <v>150</v>
      </c>
      <c r="C22" s="316">
        <v>0</v>
      </c>
      <c r="D22" s="316">
        <v>0</v>
      </c>
      <c r="E22" s="316">
        <v>0</v>
      </c>
      <c r="F22" s="316">
        <v>0</v>
      </c>
      <c r="G22" s="316">
        <v>0</v>
      </c>
      <c r="H22" s="316">
        <v>20</v>
      </c>
      <c r="I22" s="316">
        <v>38</v>
      </c>
      <c r="J22" s="316">
        <v>0</v>
      </c>
      <c r="K22" s="316">
        <v>37</v>
      </c>
      <c r="L22" s="316">
        <v>37</v>
      </c>
      <c r="M22" s="316">
        <v>0</v>
      </c>
      <c r="N22" s="317">
        <v>0</v>
      </c>
      <c r="O22" s="317">
        <v>0</v>
      </c>
      <c r="P22" s="317">
        <v>6.1193299999999997</v>
      </c>
      <c r="Q22" s="317">
        <v>0</v>
      </c>
      <c r="R22" s="317">
        <v>3.6537E-2</v>
      </c>
      <c r="S22" s="317">
        <v>0</v>
      </c>
      <c r="T22" s="317">
        <v>10</v>
      </c>
      <c r="U22" s="317">
        <v>0</v>
      </c>
    </row>
    <row r="23" spans="1:21" ht="15.9">
      <c r="A23" s="315" t="s">
        <v>212</v>
      </c>
      <c r="B23" s="316">
        <v>220</v>
      </c>
      <c r="C23" s="316">
        <v>0</v>
      </c>
      <c r="D23" s="316">
        <v>0</v>
      </c>
      <c r="E23" s="316">
        <v>0</v>
      </c>
      <c r="F23" s="316">
        <v>0</v>
      </c>
      <c r="G23" s="316">
        <v>0</v>
      </c>
      <c r="H23" s="316">
        <v>20</v>
      </c>
      <c r="I23" s="316">
        <v>55</v>
      </c>
      <c r="J23" s="316">
        <v>0</v>
      </c>
      <c r="K23" s="316">
        <v>53</v>
      </c>
      <c r="L23" s="316">
        <v>24</v>
      </c>
      <c r="M23" s="316">
        <v>0</v>
      </c>
      <c r="N23" s="317">
        <v>0</v>
      </c>
      <c r="O23" s="317">
        <v>0</v>
      </c>
      <c r="P23" s="317">
        <v>4.6255800000000002</v>
      </c>
      <c r="Q23" s="317">
        <v>0</v>
      </c>
      <c r="R23" s="317">
        <v>1.2237E-2</v>
      </c>
      <c r="S23" s="317">
        <v>0</v>
      </c>
      <c r="T23" s="317">
        <v>0</v>
      </c>
      <c r="U23" s="317">
        <v>0</v>
      </c>
    </row>
    <row r="24" spans="1:21" ht="15.9">
      <c r="A24" s="315" t="s">
        <v>213</v>
      </c>
      <c r="B24" s="317">
        <v>240</v>
      </c>
      <c r="C24" s="317">
        <v>0</v>
      </c>
      <c r="D24" s="317">
        <v>0</v>
      </c>
      <c r="E24" s="317">
        <v>0</v>
      </c>
      <c r="F24" s="316">
        <v>0</v>
      </c>
      <c r="G24" s="317">
        <v>0</v>
      </c>
      <c r="H24" s="317">
        <v>25</v>
      </c>
      <c r="I24" s="317">
        <v>61</v>
      </c>
      <c r="J24" s="316">
        <v>0</v>
      </c>
      <c r="K24" s="317">
        <v>60</v>
      </c>
      <c r="L24" s="317">
        <v>60</v>
      </c>
      <c r="M24" s="317">
        <v>0</v>
      </c>
      <c r="N24" s="317">
        <v>0</v>
      </c>
      <c r="O24" s="317">
        <v>0</v>
      </c>
      <c r="P24" s="317">
        <v>5.8874500000000003</v>
      </c>
      <c r="Q24" s="317">
        <v>0</v>
      </c>
      <c r="R24" s="317">
        <v>6.7816000000000001E-2</v>
      </c>
      <c r="S24" s="317">
        <v>0</v>
      </c>
      <c r="T24" s="317">
        <v>0</v>
      </c>
      <c r="U24" s="317">
        <v>0</v>
      </c>
    </row>
    <row r="25" spans="1:21" ht="15.9">
      <c r="A25" s="315" t="s">
        <v>214</v>
      </c>
      <c r="B25" s="316">
        <v>230</v>
      </c>
      <c r="C25" s="316">
        <v>30</v>
      </c>
      <c r="D25" s="316">
        <v>3.5</v>
      </c>
      <c r="E25" s="316">
        <v>2.5</v>
      </c>
      <c r="F25" s="316">
        <v>0</v>
      </c>
      <c r="G25" s="316">
        <v>0</v>
      </c>
      <c r="H25" s="316">
        <v>75</v>
      </c>
      <c r="I25" s="316">
        <v>48</v>
      </c>
      <c r="J25" s="316">
        <v>0</v>
      </c>
      <c r="K25" s="316">
        <v>43</v>
      </c>
      <c r="L25" s="316">
        <v>41</v>
      </c>
      <c r="M25" s="316">
        <v>1</v>
      </c>
      <c r="N25" s="317">
        <v>0</v>
      </c>
      <c r="O25" s="317">
        <v>0</v>
      </c>
      <c r="P25" s="316">
        <v>11</v>
      </c>
      <c r="Q25" s="316">
        <v>0</v>
      </c>
      <c r="R25" s="316">
        <v>0</v>
      </c>
      <c r="S25" s="316">
        <v>0</v>
      </c>
      <c r="T25" s="316">
        <v>32</v>
      </c>
      <c r="U25" s="316">
        <v>0</v>
      </c>
    </row>
    <row r="26" spans="1:21" ht="15.9">
      <c r="A26" s="315" t="s">
        <v>215</v>
      </c>
      <c r="B26" s="316">
        <v>190</v>
      </c>
      <c r="C26" s="316">
        <v>20</v>
      </c>
      <c r="D26" s="316">
        <v>2</v>
      </c>
      <c r="E26" s="316">
        <v>2</v>
      </c>
      <c r="F26" s="316">
        <v>0</v>
      </c>
      <c r="G26" s="316">
        <v>0</v>
      </c>
      <c r="H26" s="316">
        <v>45</v>
      </c>
      <c r="I26" s="316">
        <v>43</v>
      </c>
      <c r="J26" s="316">
        <v>0</v>
      </c>
      <c r="K26" s="316">
        <v>41</v>
      </c>
      <c r="L26" s="316">
        <v>18</v>
      </c>
      <c r="M26" s="316">
        <v>0</v>
      </c>
      <c r="N26" s="317">
        <v>0</v>
      </c>
      <c r="O26" s="317">
        <v>0</v>
      </c>
      <c r="P26" s="317">
        <v>5.3627099999999999</v>
      </c>
      <c r="Q26" s="317">
        <v>0</v>
      </c>
      <c r="R26" s="317">
        <v>4.2750000000000003E-2</v>
      </c>
      <c r="S26" s="317">
        <v>0</v>
      </c>
      <c r="T26" s="317">
        <v>0</v>
      </c>
      <c r="U26" s="317">
        <v>0</v>
      </c>
    </row>
    <row r="27" spans="1:21" ht="15.9">
      <c r="A27" s="315" t="s">
        <v>216</v>
      </c>
      <c r="B27" s="316">
        <v>130</v>
      </c>
      <c r="C27" s="316">
        <v>0</v>
      </c>
      <c r="D27" s="316">
        <v>0</v>
      </c>
      <c r="E27" s="316">
        <v>0</v>
      </c>
      <c r="F27" s="316">
        <v>0</v>
      </c>
      <c r="G27" s="316">
        <v>0</v>
      </c>
      <c r="H27" s="316">
        <v>25</v>
      </c>
      <c r="I27" s="316">
        <v>35</v>
      </c>
      <c r="J27" s="316">
        <v>0</v>
      </c>
      <c r="K27" s="316">
        <v>33</v>
      </c>
      <c r="L27" s="316">
        <v>31</v>
      </c>
      <c r="M27" s="316">
        <v>0</v>
      </c>
      <c r="N27" s="317">
        <v>0</v>
      </c>
      <c r="O27" s="317">
        <v>0</v>
      </c>
      <c r="P27" s="317">
        <v>8.15625</v>
      </c>
      <c r="Q27" s="317">
        <v>0</v>
      </c>
      <c r="R27" s="317">
        <v>1.8520999999999999E-2</v>
      </c>
      <c r="S27" s="317">
        <v>0</v>
      </c>
      <c r="T27" s="317">
        <v>0</v>
      </c>
      <c r="U27" s="317">
        <v>0</v>
      </c>
    </row>
    <row r="28" spans="1:21" ht="15.9">
      <c r="A28" s="315" t="s">
        <v>217</v>
      </c>
      <c r="B28" s="316">
        <v>150</v>
      </c>
      <c r="C28" s="316">
        <v>0</v>
      </c>
      <c r="D28" s="316">
        <v>0</v>
      </c>
      <c r="E28" s="316">
        <v>0</v>
      </c>
      <c r="F28" s="316">
        <v>0</v>
      </c>
      <c r="G28" s="316">
        <v>0</v>
      </c>
      <c r="H28" s="316">
        <v>25</v>
      </c>
      <c r="I28" s="316">
        <v>38</v>
      </c>
      <c r="J28" s="316">
        <v>0</v>
      </c>
      <c r="K28" s="316">
        <v>36</v>
      </c>
      <c r="L28" s="316">
        <v>36</v>
      </c>
      <c r="M28" s="316">
        <v>0</v>
      </c>
      <c r="N28" s="317">
        <v>0</v>
      </c>
      <c r="O28" s="317">
        <v>0</v>
      </c>
      <c r="P28" s="317">
        <v>6.0471399999999997</v>
      </c>
      <c r="Q28" s="317">
        <v>0</v>
      </c>
      <c r="R28" s="317">
        <v>3.7283999999999998E-2</v>
      </c>
      <c r="S28" s="317">
        <v>0</v>
      </c>
      <c r="T28" s="317">
        <v>10</v>
      </c>
      <c r="U28" s="317">
        <v>0</v>
      </c>
    </row>
    <row r="29" spans="1:21" ht="15.9">
      <c r="A29" s="315" t="s">
        <v>218</v>
      </c>
      <c r="B29" s="316">
        <v>130</v>
      </c>
      <c r="C29" s="316">
        <v>0</v>
      </c>
      <c r="D29" s="316">
        <v>0</v>
      </c>
      <c r="E29" s="316">
        <v>0</v>
      </c>
      <c r="F29" s="316">
        <v>0</v>
      </c>
      <c r="G29" s="316">
        <v>0</v>
      </c>
      <c r="H29" s="316">
        <v>20</v>
      </c>
      <c r="I29" s="316">
        <v>33</v>
      </c>
      <c r="J29" s="316">
        <v>0</v>
      </c>
      <c r="K29" s="316">
        <v>31</v>
      </c>
      <c r="L29" s="316">
        <v>31</v>
      </c>
      <c r="M29" s="316">
        <v>0</v>
      </c>
      <c r="N29" s="317">
        <v>0</v>
      </c>
      <c r="O29" s="317">
        <v>0</v>
      </c>
      <c r="P29" s="317">
        <v>5.8177599999999998</v>
      </c>
      <c r="Q29" s="317">
        <v>0</v>
      </c>
      <c r="R29" s="317">
        <v>3.5519000000000002E-2</v>
      </c>
      <c r="S29" s="317">
        <v>0</v>
      </c>
      <c r="T29" s="317">
        <v>10</v>
      </c>
      <c r="U29" s="317">
        <v>0</v>
      </c>
    </row>
    <row r="30" spans="1:21" ht="15.9">
      <c r="A30" s="315" t="s">
        <v>219</v>
      </c>
      <c r="B30" s="316">
        <v>210</v>
      </c>
      <c r="C30" s="316">
        <v>35</v>
      </c>
      <c r="D30" s="316">
        <v>3.5</v>
      </c>
      <c r="E30" s="316">
        <v>2.5</v>
      </c>
      <c r="F30" s="316">
        <v>0</v>
      </c>
      <c r="G30" s="316">
        <v>0</v>
      </c>
      <c r="H30" s="316">
        <v>45</v>
      </c>
      <c r="I30" s="316">
        <v>46</v>
      </c>
      <c r="J30" s="316">
        <v>0</v>
      </c>
      <c r="K30" s="316">
        <v>43</v>
      </c>
      <c r="L30" s="316">
        <v>20</v>
      </c>
      <c r="M30" s="316">
        <v>1</v>
      </c>
      <c r="N30" s="317">
        <v>0</v>
      </c>
      <c r="O30" s="317">
        <v>0</v>
      </c>
      <c r="P30" s="320">
        <v>7.3228799999999996</v>
      </c>
      <c r="Q30" s="320">
        <v>0</v>
      </c>
      <c r="R30" s="320">
        <v>0.51446499999999995</v>
      </c>
      <c r="S30" s="320">
        <v>2</v>
      </c>
      <c r="T30" s="320">
        <v>30</v>
      </c>
      <c r="U30" s="320">
        <v>1</v>
      </c>
    </row>
    <row r="31" spans="1:21" ht="15.9">
      <c r="A31" s="315" t="s">
        <v>220</v>
      </c>
      <c r="B31" s="316">
        <v>220</v>
      </c>
      <c r="C31" s="316">
        <v>15</v>
      </c>
      <c r="D31" s="316">
        <v>1.5</v>
      </c>
      <c r="E31" s="316">
        <v>1</v>
      </c>
      <c r="F31" s="316">
        <v>0</v>
      </c>
      <c r="G31" s="316">
        <v>0</v>
      </c>
      <c r="H31" s="316">
        <v>35</v>
      </c>
      <c r="I31" s="316">
        <v>52</v>
      </c>
      <c r="J31" s="316">
        <v>0</v>
      </c>
      <c r="K31" s="316">
        <v>49</v>
      </c>
      <c r="L31" s="316">
        <v>49</v>
      </c>
      <c r="M31" s="316">
        <v>1</v>
      </c>
      <c r="N31" s="317">
        <v>0</v>
      </c>
      <c r="O31" s="317">
        <v>0</v>
      </c>
      <c r="P31" s="320">
        <v>10.6183</v>
      </c>
      <c r="Q31" s="320">
        <v>2</v>
      </c>
      <c r="R31" s="320">
        <v>0.82832799999999995</v>
      </c>
      <c r="S31" s="320">
        <v>4</v>
      </c>
      <c r="T31" s="320">
        <v>75</v>
      </c>
      <c r="U31" s="320">
        <v>2</v>
      </c>
    </row>
    <row r="32" spans="1:21" ht="15.9">
      <c r="A32" s="315" t="s">
        <v>221</v>
      </c>
      <c r="B32" s="316">
        <v>210</v>
      </c>
      <c r="C32" s="316">
        <v>30</v>
      </c>
      <c r="D32" s="316">
        <v>3</v>
      </c>
      <c r="E32" s="316">
        <v>2.5</v>
      </c>
      <c r="F32" s="316">
        <v>0</v>
      </c>
      <c r="G32" s="316">
        <v>0</v>
      </c>
      <c r="H32" s="316">
        <v>55</v>
      </c>
      <c r="I32" s="316">
        <v>47</v>
      </c>
      <c r="J32" s="316">
        <v>0</v>
      </c>
      <c r="K32" s="316">
        <v>44</v>
      </c>
      <c r="L32" s="316">
        <v>20</v>
      </c>
      <c r="M32" s="316">
        <v>1</v>
      </c>
      <c r="N32" s="317">
        <v>0</v>
      </c>
      <c r="O32" s="317">
        <v>0</v>
      </c>
      <c r="P32" s="316">
        <v>9</v>
      </c>
      <c r="Q32" s="316">
        <v>0</v>
      </c>
      <c r="R32" s="316">
        <v>0</v>
      </c>
      <c r="S32" s="316">
        <v>0</v>
      </c>
      <c r="T32" s="316">
        <v>44</v>
      </c>
      <c r="U32" s="316">
        <v>0</v>
      </c>
    </row>
    <row r="33" spans="1:21" ht="15.9">
      <c r="A33" s="315" t="s">
        <v>222</v>
      </c>
      <c r="B33" s="316">
        <v>220</v>
      </c>
      <c r="C33" s="316">
        <v>35</v>
      </c>
      <c r="D33" s="316">
        <v>4</v>
      </c>
      <c r="E33" s="316">
        <v>3</v>
      </c>
      <c r="F33" s="316">
        <v>0</v>
      </c>
      <c r="G33" s="316">
        <v>0</v>
      </c>
      <c r="H33" s="316">
        <v>55</v>
      </c>
      <c r="I33" s="316">
        <v>46</v>
      </c>
      <c r="J33" s="316">
        <v>0</v>
      </c>
      <c r="K33" s="316">
        <v>43</v>
      </c>
      <c r="L33" s="316">
        <v>42</v>
      </c>
      <c r="M33" s="316">
        <v>1</v>
      </c>
      <c r="N33" s="317">
        <v>0</v>
      </c>
      <c r="O33" s="317">
        <v>0</v>
      </c>
      <c r="P33" s="317">
        <v>10.6976</v>
      </c>
      <c r="Q33" s="317">
        <v>2</v>
      </c>
      <c r="R33" s="317">
        <v>0.72329100000000002</v>
      </c>
      <c r="S33" s="317">
        <v>4</v>
      </c>
      <c r="T33" s="317">
        <v>50</v>
      </c>
      <c r="U33" s="317">
        <v>1</v>
      </c>
    </row>
    <row r="34" spans="1:21" ht="15.9">
      <c r="A34" s="315" t="s">
        <v>223</v>
      </c>
      <c r="B34" s="316">
        <v>200</v>
      </c>
      <c r="C34" s="316">
        <v>0</v>
      </c>
      <c r="D34" s="316">
        <v>0</v>
      </c>
      <c r="E34" s="316">
        <v>0</v>
      </c>
      <c r="F34" s="316">
        <v>0</v>
      </c>
      <c r="G34" s="316">
        <v>0</v>
      </c>
      <c r="H34" s="316">
        <v>35</v>
      </c>
      <c r="I34" s="316">
        <v>50</v>
      </c>
      <c r="J34" s="316">
        <v>0</v>
      </c>
      <c r="K34" s="316">
        <v>48</v>
      </c>
      <c r="L34" s="316">
        <v>47</v>
      </c>
      <c r="M34" s="316">
        <v>0</v>
      </c>
      <c r="N34" s="317">
        <v>0</v>
      </c>
      <c r="O34" s="317">
        <v>0</v>
      </c>
      <c r="P34" s="316">
        <v>8.7800999999999991</v>
      </c>
      <c r="Q34" s="316">
        <v>0</v>
      </c>
      <c r="R34" s="316">
        <v>0.37240600000000001</v>
      </c>
      <c r="S34" s="316">
        <v>2</v>
      </c>
      <c r="T34" s="316">
        <v>50</v>
      </c>
      <c r="U34" s="316">
        <v>1</v>
      </c>
    </row>
    <row r="35" spans="1:21" ht="15.9">
      <c r="A35" s="315" t="s">
        <v>224</v>
      </c>
      <c r="B35" s="316">
        <v>190</v>
      </c>
      <c r="C35" s="316">
        <v>20</v>
      </c>
      <c r="D35" s="316">
        <v>2.5</v>
      </c>
      <c r="E35" s="316">
        <v>2</v>
      </c>
      <c r="F35" s="316">
        <v>0</v>
      </c>
      <c r="G35" s="316">
        <v>0</v>
      </c>
      <c r="H35" s="316">
        <v>45</v>
      </c>
      <c r="I35" s="316">
        <v>42</v>
      </c>
      <c r="J35" s="316">
        <v>0</v>
      </c>
      <c r="K35" s="316">
        <v>40</v>
      </c>
      <c r="L35" s="316">
        <v>38</v>
      </c>
      <c r="M35" s="316">
        <v>0</v>
      </c>
      <c r="N35" s="317">
        <v>0</v>
      </c>
      <c r="O35" s="317">
        <v>0</v>
      </c>
      <c r="P35" s="316">
        <v>6.2278000000000002</v>
      </c>
      <c r="Q35" s="316">
        <v>0</v>
      </c>
      <c r="R35" s="316">
        <v>8.7888999999999995E-2</v>
      </c>
      <c r="S35" s="316">
        <v>0</v>
      </c>
      <c r="T35" s="316">
        <v>5</v>
      </c>
      <c r="U35" s="316">
        <v>0</v>
      </c>
    </row>
    <row r="36" spans="1:21" ht="15.9">
      <c r="A36" s="315" t="s">
        <v>225</v>
      </c>
      <c r="B36" s="316">
        <v>210</v>
      </c>
      <c r="C36" s="316">
        <v>30</v>
      </c>
      <c r="D36" s="316">
        <v>3</v>
      </c>
      <c r="E36" s="316">
        <v>2.5</v>
      </c>
      <c r="F36" s="316">
        <v>0</v>
      </c>
      <c r="G36" s="316">
        <v>0</v>
      </c>
      <c r="H36" s="316">
        <v>60</v>
      </c>
      <c r="I36" s="316">
        <v>45</v>
      </c>
      <c r="J36" s="316">
        <v>0</v>
      </c>
      <c r="K36" s="316">
        <v>40</v>
      </c>
      <c r="L36" s="316">
        <v>40</v>
      </c>
      <c r="M36" s="316">
        <v>0</v>
      </c>
      <c r="N36" s="317">
        <v>0</v>
      </c>
      <c r="O36" s="317">
        <v>0</v>
      </c>
      <c r="P36" s="317">
        <v>6.5924800000000001</v>
      </c>
      <c r="Q36" s="317">
        <v>0</v>
      </c>
      <c r="R36" s="317">
        <v>0.26568700000000001</v>
      </c>
      <c r="S36" s="317">
        <v>2</v>
      </c>
      <c r="T36" s="317">
        <v>30</v>
      </c>
      <c r="U36" s="317">
        <v>1</v>
      </c>
    </row>
    <row r="37" spans="1:21" ht="15.9">
      <c r="A37" s="315" t="s">
        <v>226</v>
      </c>
      <c r="B37" s="316">
        <v>230</v>
      </c>
      <c r="C37" s="316">
        <v>20</v>
      </c>
      <c r="D37" s="316">
        <v>2.5</v>
      </c>
      <c r="E37" s="316">
        <v>2</v>
      </c>
      <c r="F37" s="316">
        <v>0</v>
      </c>
      <c r="G37" s="316">
        <v>0</v>
      </c>
      <c r="H37" s="316">
        <v>55</v>
      </c>
      <c r="I37" s="316">
        <v>53</v>
      </c>
      <c r="J37" s="316">
        <v>0</v>
      </c>
      <c r="K37" s="316">
        <v>50</v>
      </c>
      <c r="L37" s="316">
        <v>49</v>
      </c>
      <c r="M37" s="316">
        <v>0</v>
      </c>
      <c r="N37" s="317">
        <v>0</v>
      </c>
      <c r="O37" s="317">
        <v>0</v>
      </c>
      <c r="P37" s="317">
        <v>4.9475899999999999</v>
      </c>
      <c r="Q37" s="317">
        <v>0</v>
      </c>
      <c r="R37" s="317">
        <v>0.37303700000000001</v>
      </c>
      <c r="S37" s="317">
        <v>2</v>
      </c>
      <c r="T37" s="317">
        <v>10</v>
      </c>
      <c r="U37" s="317">
        <v>0</v>
      </c>
    </row>
    <row r="38" spans="1:21" ht="15.9">
      <c r="A38" s="315" t="s">
        <v>227</v>
      </c>
      <c r="B38" s="316">
        <v>180</v>
      </c>
      <c r="C38" s="316">
        <v>0</v>
      </c>
      <c r="D38" s="316">
        <v>0</v>
      </c>
      <c r="E38" s="316">
        <v>0</v>
      </c>
      <c r="F38" s="316">
        <v>0</v>
      </c>
      <c r="G38" s="316">
        <v>0</v>
      </c>
      <c r="H38" s="316">
        <v>15</v>
      </c>
      <c r="I38" s="316">
        <v>46</v>
      </c>
      <c r="J38" s="316">
        <v>0</v>
      </c>
      <c r="K38" s="316">
        <v>46</v>
      </c>
      <c r="L38" s="316">
        <v>17</v>
      </c>
      <c r="M38" s="316">
        <v>0</v>
      </c>
      <c r="N38" s="317">
        <v>0</v>
      </c>
      <c r="O38" s="317">
        <v>0</v>
      </c>
      <c r="P38" s="317">
        <v>5.5899099999999997</v>
      </c>
      <c r="Q38" s="317">
        <v>0</v>
      </c>
      <c r="R38" s="317">
        <v>8.1897999999999999E-2</v>
      </c>
      <c r="S38" s="317">
        <v>0</v>
      </c>
      <c r="T38" s="317">
        <v>0</v>
      </c>
      <c r="U38" s="317">
        <v>0</v>
      </c>
    </row>
    <row r="39" spans="1:21" ht="15.9">
      <c r="A39" s="315" t="s">
        <v>228</v>
      </c>
      <c r="B39" s="316">
        <v>170</v>
      </c>
      <c r="C39" s="316">
        <v>0</v>
      </c>
      <c r="D39" s="316">
        <v>0</v>
      </c>
      <c r="E39" s="316">
        <v>0</v>
      </c>
      <c r="F39" s="316">
        <v>0</v>
      </c>
      <c r="G39" s="316">
        <v>0</v>
      </c>
      <c r="H39" s="316">
        <v>20</v>
      </c>
      <c r="I39" s="316">
        <v>46</v>
      </c>
      <c r="J39" s="316">
        <v>0</v>
      </c>
      <c r="K39" s="316">
        <v>45</v>
      </c>
      <c r="L39" s="316">
        <v>17</v>
      </c>
      <c r="M39" s="316">
        <v>0</v>
      </c>
      <c r="N39" s="317">
        <v>0</v>
      </c>
      <c r="O39" s="317">
        <v>0</v>
      </c>
      <c r="P39" s="317">
        <v>3.96983</v>
      </c>
      <c r="Q39" s="317">
        <v>0</v>
      </c>
      <c r="R39" s="317">
        <v>8.6879999999999995E-3</v>
      </c>
      <c r="S39" s="317">
        <v>0</v>
      </c>
      <c r="T39" s="317">
        <v>0</v>
      </c>
      <c r="U39" s="317">
        <v>0</v>
      </c>
    </row>
    <row r="40" spans="1:21" ht="15.9">
      <c r="A40" s="315" t="s">
        <v>229</v>
      </c>
      <c r="B40" s="316">
        <v>220</v>
      </c>
      <c r="C40" s="316">
        <v>25</v>
      </c>
      <c r="D40" s="316">
        <v>2.5</v>
      </c>
      <c r="E40" s="316">
        <v>2</v>
      </c>
      <c r="F40" s="316">
        <v>0</v>
      </c>
      <c r="G40" s="316">
        <v>0</v>
      </c>
      <c r="H40" s="316">
        <v>100</v>
      </c>
      <c r="I40" s="316">
        <v>50</v>
      </c>
      <c r="J40" s="316">
        <v>0</v>
      </c>
      <c r="K40" s="316">
        <v>45</v>
      </c>
      <c r="L40" s="316">
        <v>40</v>
      </c>
      <c r="M40" s="316">
        <v>0</v>
      </c>
      <c r="N40" s="317">
        <v>0</v>
      </c>
      <c r="O40" s="317">
        <v>0</v>
      </c>
      <c r="P40" s="317">
        <v>13.477600000000001</v>
      </c>
      <c r="Q40" s="317">
        <v>2</v>
      </c>
      <c r="R40" s="317">
        <v>5.6377999999999998E-2</v>
      </c>
      <c r="S40" s="317">
        <v>0</v>
      </c>
      <c r="T40" s="317">
        <v>25</v>
      </c>
      <c r="U40" s="317">
        <v>1</v>
      </c>
    </row>
    <row r="41" spans="1:21" ht="15.9">
      <c r="A41" s="315" t="s">
        <v>230</v>
      </c>
      <c r="B41" s="316">
        <v>160</v>
      </c>
      <c r="C41" s="316">
        <v>0</v>
      </c>
      <c r="D41" s="316">
        <v>0</v>
      </c>
      <c r="E41" s="316">
        <v>0</v>
      </c>
      <c r="F41" s="316">
        <v>0</v>
      </c>
      <c r="G41" s="316">
        <v>0</v>
      </c>
      <c r="H41" s="316">
        <v>25</v>
      </c>
      <c r="I41" s="316">
        <v>40</v>
      </c>
      <c r="J41" s="316">
        <v>0</v>
      </c>
      <c r="K41" s="316">
        <v>36</v>
      </c>
      <c r="L41" s="316">
        <v>34</v>
      </c>
      <c r="M41" s="316">
        <v>0</v>
      </c>
      <c r="N41" s="317">
        <v>0</v>
      </c>
      <c r="O41" s="317">
        <v>0</v>
      </c>
      <c r="P41" s="317">
        <v>6.9125199999999998</v>
      </c>
      <c r="Q41" s="317">
        <v>0</v>
      </c>
      <c r="R41" s="317">
        <v>1.6532000000000002E-2</v>
      </c>
      <c r="S41" s="317">
        <v>0</v>
      </c>
      <c r="T41" s="317">
        <v>30</v>
      </c>
      <c r="U41" s="317">
        <v>1</v>
      </c>
    </row>
    <row r="42" spans="1:21" ht="15.9">
      <c r="A42" s="315" t="s">
        <v>231</v>
      </c>
      <c r="B42" s="316">
        <v>230</v>
      </c>
      <c r="C42" s="316">
        <v>35</v>
      </c>
      <c r="D42" s="316">
        <v>3.5</v>
      </c>
      <c r="E42" s="316">
        <v>2.5</v>
      </c>
      <c r="F42" s="316">
        <v>0</v>
      </c>
      <c r="G42" s="316">
        <v>0</v>
      </c>
      <c r="H42" s="316">
        <v>70</v>
      </c>
      <c r="I42" s="316">
        <v>51</v>
      </c>
      <c r="J42" s="316">
        <v>0</v>
      </c>
      <c r="K42" s="316">
        <v>44</v>
      </c>
      <c r="L42" s="316">
        <v>44</v>
      </c>
      <c r="M42" s="316">
        <v>1</v>
      </c>
      <c r="N42" s="317">
        <v>0</v>
      </c>
      <c r="O42" s="317">
        <v>0</v>
      </c>
      <c r="P42" s="317">
        <v>10.916499999999999</v>
      </c>
      <c r="Q42" s="317">
        <v>2</v>
      </c>
      <c r="R42" s="317">
        <v>1.00051</v>
      </c>
      <c r="S42" s="317">
        <v>6</v>
      </c>
      <c r="T42" s="317">
        <v>160</v>
      </c>
      <c r="U42" s="317">
        <v>5</v>
      </c>
    </row>
    <row r="43" spans="1:21" ht="15.9">
      <c r="A43" s="315" t="s">
        <v>232</v>
      </c>
      <c r="B43" s="316">
        <v>120</v>
      </c>
      <c r="C43" s="316">
        <v>0</v>
      </c>
      <c r="D43" s="316">
        <v>0</v>
      </c>
      <c r="E43" s="316">
        <v>0</v>
      </c>
      <c r="F43" s="316">
        <v>0</v>
      </c>
      <c r="G43" s="316">
        <v>0</v>
      </c>
      <c r="H43" s="316">
        <v>20</v>
      </c>
      <c r="I43" s="316">
        <v>30</v>
      </c>
      <c r="J43" s="316">
        <v>0</v>
      </c>
      <c r="K43" s="316">
        <v>29</v>
      </c>
      <c r="L43" s="316">
        <v>29</v>
      </c>
      <c r="M43" s="316">
        <v>0</v>
      </c>
      <c r="N43" s="317">
        <v>0</v>
      </c>
      <c r="O43" s="317">
        <v>0</v>
      </c>
      <c r="P43" s="317">
        <v>4.7251200000000004</v>
      </c>
      <c r="Q43" s="317">
        <v>0</v>
      </c>
      <c r="R43" s="317">
        <v>3.5125999999999998E-2</v>
      </c>
      <c r="S43" s="317">
        <v>0</v>
      </c>
      <c r="T43" s="317">
        <v>0</v>
      </c>
      <c r="U43" s="317">
        <v>0</v>
      </c>
    </row>
    <row r="44" spans="1:21" ht="15.9">
      <c r="A44" s="315" t="s">
        <v>233</v>
      </c>
      <c r="B44" s="316">
        <v>160</v>
      </c>
      <c r="C44" s="316">
        <v>0</v>
      </c>
      <c r="D44" s="316">
        <v>0</v>
      </c>
      <c r="E44" s="316">
        <v>0</v>
      </c>
      <c r="F44" s="316">
        <v>0</v>
      </c>
      <c r="G44" s="316">
        <v>0</v>
      </c>
      <c r="H44" s="316">
        <v>25</v>
      </c>
      <c r="I44" s="316">
        <v>41</v>
      </c>
      <c r="J44" s="316">
        <v>0</v>
      </c>
      <c r="K44" s="316">
        <v>40</v>
      </c>
      <c r="L44" s="316">
        <v>38</v>
      </c>
      <c r="M44" s="316">
        <v>0</v>
      </c>
      <c r="N44" s="317">
        <v>0</v>
      </c>
      <c r="O44" s="317">
        <v>0</v>
      </c>
      <c r="P44" s="317">
        <v>7.0551700000000004</v>
      </c>
      <c r="Q44" s="317">
        <v>0</v>
      </c>
      <c r="R44" s="317">
        <v>6.7476999999999995E-2</v>
      </c>
      <c r="S44" s="317">
        <v>0</v>
      </c>
      <c r="T44" s="317">
        <v>25</v>
      </c>
      <c r="U44" s="317">
        <v>1</v>
      </c>
    </row>
    <row r="45" spans="1:21" ht="15.9">
      <c r="A45" s="315" t="s">
        <v>234</v>
      </c>
      <c r="B45" s="316">
        <v>170</v>
      </c>
      <c r="C45" s="316">
        <v>0</v>
      </c>
      <c r="D45" s="316">
        <v>0</v>
      </c>
      <c r="E45" s="316">
        <v>0</v>
      </c>
      <c r="F45" s="316">
        <v>0</v>
      </c>
      <c r="G45" s="316">
        <v>0</v>
      </c>
      <c r="H45" s="316">
        <v>20</v>
      </c>
      <c r="I45" s="316">
        <v>45</v>
      </c>
      <c r="J45" s="316">
        <v>0</v>
      </c>
      <c r="K45" s="316">
        <v>43</v>
      </c>
      <c r="L45" s="316">
        <v>14</v>
      </c>
      <c r="M45" s="316">
        <v>0</v>
      </c>
      <c r="N45" s="317">
        <v>0</v>
      </c>
      <c r="O45" s="317">
        <v>0</v>
      </c>
      <c r="P45" s="317">
        <v>4.63504</v>
      </c>
      <c r="Q45" s="317">
        <v>0</v>
      </c>
      <c r="R45" s="317">
        <v>7.071E-3</v>
      </c>
      <c r="S45" s="317">
        <v>0</v>
      </c>
      <c r="T45" s="317">
        <v>0</v>
      </c>
      <c r="U45" s="317">
        <v>0</v>
      </c>
    </row>
    <row r="46" spans="1:21" ht="15.9">
      <c r="A46" s="315" t="s">
        <v>235</v>
      </c>
      <c r="B46" s="316">
        <v>170</v>
      </c>
      <c r="C46" s="316">
        <v>15</v>
      </c>
      <c r="D46" s="316">
        <v>2</v>
      </c>
      <c r="E46" s="316">
        <v>1.5</v>
      </c>
      <c r="F46" s="316">
        <v>0</v>
      </c>
      <c r="G46" s="316">
        <v>0</v>
      </c>
      <c r="H46" s="316">
        <v>45</v>
      </c>
      <c r="I46" s="316">
        <v>39</v>
      </c>
      <c r="J46" s="316">
        <v>0</v>
      </c>
      <c r="K46" s="316">
        <v>36</v>
      </c>
      <c r="L46" s="316">
        <v>36</v>
      </c>
      <c r="M46" s="316">
        <v>0</v>
      </c>
      <c r="N46" s="317">
        <v>0</v>
      </c>
      <c r="O46" s="317">
        <v>0</v>
      </c>
      <c r="P46" s="320">
        <v>5.6022400000000001</v>
      </c>
      <c r="Q46" s="320">
        <v>0</v>
      </c>
      <c r="R46" s="320">
        <v>6.5993999999999997E-2</v>
      </c>
      <c r="S46" s="320">
        <v>0</v>
      </c>
      <c r="T46" s="320">
        <v>10</v>
      </c>
      <c r="U46" s="320">
        <v>0</v>
      </c>
    </row>
    <row r="47" spans="1:21" ht="15.9">
      <c r="A47" s="315" t="s">
        <v>236</v>
      </c>
      <c r="B47" s="316">
        <v>170</v>
      </c>
      <c r="C47" s="316">
        <v>15</v>
      </c>
      <c r="D47" s="316">
        <v>2</v>
      </c>
      <c r="E47" s="316">
        <v>1.5</v>
      </c>
      <c r="F47" s="316">
        <v>0</v>
      </c>
      <c r="G47" s="316">
        <v>0</v>
      </c>
      <c r="H47" s="316">
        <v>110</v>
      </c>
      <c r="I47" s="316">
        <v>42</v>
      </c>
      <c r="J47" s="316">
        <v>0</v>
      </c>
      <c r="K47" s="316">
        <v>39</v>
      </c>
      <c r="L47" s="316">
        <v>39</v>
      </c>
      <c r="M47" s="316">
        <v>0</v>
      </c>
      <c r="N47" s="317">
        <v>0</v>
      </c>
      <c r="O47" s="317">
        <v>0</v>
      </c>
      <c r="P47" s="316">
        <v>7.4064300000000003</v>
      </c>
      <c r="Q47" s="316">
        <v>0</v>
      </c>
      <c r="R47" s="316">
        <v>0.13124</v>
      </c>
      <c r="S47" s="316">
        <v>0</v>
      </c>
      <c r="T47" s="316">
        <v>75</v>
      </c>
      <c r="U47" s="316">
        <v>2</v>
      </c>
    </row>
    <row r="48" spans="1:21" ht="15.9">
      <c r="A48" s="315" t="s">
        <v>237</v>
      </c>
      <c r="B48" s="316">
        <v>180</v>
      </c>
      <c r="C48" s="316">
        <v>0</v>
      </c>
      <c r="D48" s="316">
        <v>0</v>
      </c>
      <c r="E48" s="316">
        <v>0</v>
      </c>
      <c r="F48" s="316">
        <v>0</v>
      </c>
      <c r="G48" s="316">
        <v>0</v>
      </c>
      <c r="H48" s="316">
        <v>25</v>
      </c>
      <c r="I48" s="316">
        <v>45</v>
      </c>
      <c r="J48" s="316">
        <v>0</v>
      </c>
      <c r="K48" s="316">
        <v>43</v>
      </c>
      <c r="L48" s="316">
        <v>42</v>
      </c>
      <c r="M48" s="316">
        <v>0</v>
      </c>
      <c r="N48" s="317">
        <v>0</v>
      </c>
      <c r="O48" s="317">
        <v>0</v>
      </c>
      <c r="P48" s="316">
        <v>5.7648799999999998</v>
      </c>
      <c r="Q48" s="316">
        <v>0</v>
      </c>
      <c r="R48" s="316">
        <v>4.9227E-2</v>
      </c>
      <c r="S48" s="316">
        <v>0</v>
      </c>
      <c r="T48" s="316">
        <v>25</v>
      </c>
      <c r="U48" s="316">
        <v>1</v>
      </c>
    </row>
    <row r="49" spans="1:21" ht="15.9" hidden="1">
      <c r="A49" s="315" t="s">
        <v>238</v>
      </c>
      <c r="B49" s="316">
        <v>150</v>
      </c>
      <c r="C49" s="316">
        <v>0</v>
      </c>
      <c r="D49" s="316">
        <v>0</v>
      </c>
      <c r="E49" s="316">
        <v>0</v>
      </c>
      <c r="F49" s="316">
        <v>0</v>
      </c>
      <c r="G49" s="316">
        <v>0</v>
      </c>
      <c r="H49" s="316">
        <v>25</v>
      </c>
      <c r="I49" s="316">
        <v>38</v>
      </c>
      <c r="J49" s="316">
        <v>0</v>
      </c>
      <c r="K49" s="316">
        <v>36</v>
      </c>
      <c r="L49" s="316">
        <v>36</v>
      </c>
      <c r="M49" s="316">
        <v>0</v>
      </c>
      <c r="N49" s="317">
        <v>0</v>
      </c>
      <c r="O49" s="317">
        <v>0</v>
      </c>
      <c r="P49" s="317">
        <v>5.6492699999999996</v>
      </c>
      <c r="Q49" s="317">
        <v>0</v>
      </c>
      <c r="R49" s="317">
        <v>0.240314</v>
      </c>
      <c r="S49" s="317">
        <v>2</v>
      </c>
      <c r="T49" s="317">
        <v>0</v>
      </c>
      <c r="U49" s="317">
        <v>0</v>
      </c>
    </row>
    <row r="50" spans="1:21" ht="15.9" hidden="1">
      <c r="A50" s="315" t="s">
        <v>239</v>
      </c>
      <c r="B50" s="316">
        <v>110</v>
      </c>
      <c r="C50" s="316">
        <v>0</v>
      </c>
      <c r="D50" s="316">
        <v>0</v>
      </c>
      <c r="E50" s="316">
        <v>0</v>
      </c>
      <c r="F50" s="316">
        <v>0</v>
      </c>
      <c r="G50" s="316">
        <v>0</v>
      </c>
      <c r="H50" s="316">
        <v>20</v>
      </c>
      <c r="I50" s="316">
        <v>28</v>
      </c>
      <c r="J50" s="316">
        <v>0</v>
      </c>
      <c r="K50" s="316">
        <v>27</v>
      </c>
      <c r="L50" s="316">
        <v>27</v>
      </c>
      <c r="M50" s="316">
        <v>0</v>
      </c>
      <c r="N50" s="317">
        <v>0</v>
      </c>
      <c r="O50" s="317">
        <v>0</v>
      </c>
      <c r="P50" s="317">
        <v>5.1318700000000002</v>
      </c>
      <c r="Q50" s="317">
        <v>0</v>
      </c>
      <c r="R50" s="317">
        <v>2.0265999999999999E-2</v>
      </c>
      <c r="S50" s="317">
        <v>0</v>
      </c>
      <c r="T50" s="317">
        <v>0</v>
      </c>
      <c r="U50" s="317">
        <v>0</v>
      </c>
    </row>
    <row r="51" spans="1:21" ht="15.9">
      <c r="A51" s="315" t="s">
        <v>240</v>
      </c>
      <c r="B51" s="316">
        <v>150</v>
      </c>
      <c r="C51" s="316">
        <v>0</v>
      </c>
      <c r="D51" s="316">
        <v>0</v>
      </c>
      <c r="E51" s="316">
        <v>0</v>
      </c>
      <c r="F51" s="316">
        <v>0</v>
      </c>
      <c r="G51" s="316">
        <v>0</v>
      </c>
      <c r="H51" s="316">
        <v>25</v>
      </c>
      <c r="I51" s="316">
        <v>38</v>
      </c>
      <c r="J51" s="316">
        <v>0</v>
      </c>
      <c r="K51" s="316">
        <v>37</v>
      </c>
      <c r="L51" s="316">
        <v>36</v>
      </c>
      <c r="M51" s="316">
        <v>0</v>
      </c>
      <c r="N51" s="317">
        <v>0</v>
      </c>
      <c r="O51" s="317">
        <v>0</v>
      </c>
      <c r="P51" s="316">
        <v>5.6967800000000004</v>
      </c>
      <c r="Q51" s="316">
        <v>0</v>
      </c>
      <c r="R51" s="316">
        <v>6.8935999999999997E-2</v>
      </c>
      <c r="S51" s="316">
        <v>0</v>
      </c>
      <c r="T51" s="316">
        <v>0</v>
      </c>
      <c r="U51" s="316">
        <v>0</v>
      </c>
    </row>
    <row r="52" spans="1:21" ht="15.9">
      <c r="A52" s="315" t="s">
        <v>241</v>
      </c>
      <c r="B52" s="316">
        <v>150</v>
      </c>
      <c r="C52" s="316">
        <v>0</v>
      </c>
      <c r="D52" s="316">
        <v>0</v>
      </c>
      <c r="E52" s="316">
        <v>0</v>
      </c>
      <c r="F52" s="316">
        <v>0</v>
      </c>
      <c r="G52" s="316">
        <v>0</v>
      </c>
      <c r="H52" s="316">
        <v>40</v>
      </c>
      <c r="I52" s="316">
        <v>38</v>
      </c>
      <c r="J52" s="316">
        <v>0</v>
      </c>
      <c r="K52" s="316">
        <v>36</v>
      </c>
      <c r="L52" s="316">
        <v>36</v>
      </c>
      <c r="M52" s="316">
        <v>0</v>
      </c>
      <c r="N52" s="317">
        <v>0</v>
      </c>
      <c r="O52" s="317">
        <v>0</v>
      </c>
      <c r="P52" s="317">
        <v>5.2319399999999998</v>
      </c>
      <c r="Q52" s="317">
        <v>0</v>
      </c>
      <c r="R52" s="317">
        <v>3.4361999999999997E-2</v>
      </c>
      <c r="S52" s="317">
        <v>0</v>
      </c>
      <c r="T52" s="317">
        <v>0</v>
      </c>
      <c r="U52" s="317">
        <v>0</v>
      </c>
    </row>
    <row r="53" spans="1:21" ht="15.9">
      <c r="A53" s="315" t="s">
        <v>242</v>
      </c>
      <c r="B53" s="316">
        <v>160</v>
      </c>
      <c r="C53" s="316">
        <v>0</v>
      </c>
      <c r="D53" s="316">
        <v>0</v>
      </c>
      <c r="E53" s="316">
        <v>0</v>
      </c>
      <c r="F53" s="316">
        <v>0</v>
      </c>
      <c r="G53" s="316">
        <v>0</v>
      </c>
      <c r="H53" s="316">
        <v>25</v>
      </c>
      <c r="I53" s="316">
        <v>40</v>
      </c>
      <c r="J53" s="316">
        <v>0</v>
      </c>
      <c r="K53" s="316">
        <v>38</v>
      </c>
      <c r="L53" s="316">
        <v>38</v>
      </c>
      <c r="M53" s="316">
        <v>0</v>
      </c>
      <c r="N53" s="317">
        <v>0</v>
      </c>
      <c r="O53" s="317">
        <v>0</v>
      </c>
      <c r="P53" s="317">
        <v>6.1817000000000002</v>
      </c>
      <c r="Q53" s="317">
        <v>0</v>
      </c>
      <c r="R53" s="317">
        <v>5.0645999999999997E-2</v>
      </c>
      <c r="S53" s="317">
        <v>0</v>
      </c>
      <c r="T53" s="317">
        <v>5</v>
      </c>
      <c r="U53" s="317">
        <v>0</v>
      </c>
    </row>
    <row r="54" spans="1:21" ht="15.9">
      <c r="A54" s="315" t="s">
        <v>243</v>
      </c>
      <c r="B54" s="316">
        <v>160</v>
      </c>
      <c r="C54" s="316">
        <v>0</v>
      </c>
      <c r="D54" s="316">
        <v>0</v>
      </c>
      <c r="E54" s="316">
        <v>0</v>
      </c>
      <c r="F54" s="316">
        <v>0</v>
      </c>
      <c r="G54" s="316">
        <v>0</v>
      </c>
      <c r="H54" s="316">
        <v>60</v>
      </c>
      <c r="I54" s="316">
        <v>40</v>
      </c>
      <c r="J54" s="316">
        <v>0</v>
      </c>
      <c r="K54" s="316">
        <v>38</v>
      </c>
      <c r="L54" s="316">
        <v>13</v>
      </c>
      <c r="M54" s="316">
        <v>0</v>
      </c>
      <c r="N54" s="317">
        <v>0</v>
      </c>
      <c r="O54" s="317">
        <v>0</v>
      </c>
      <c r="P54" s="316">
        <v>7.4429699999999999</v>
      </c>
      <c r="Q54" s="316">
        <v>0</v>
      </c>
      <c r="R54" s="316">
        <v>7.0628999999999997E-2</v>
      </c>
      <c r="S54" s="316">
        <v>0</v>
      </c>
      <c r="T54" s="316">
        <v>0</v>
      </c>
      <c r="U54" s="316">
        <v>0</v>
      </c>
    </row>
    <row r="55" spans="1:21" ht="15.9" hidden="1">
      <c r="A55" s="315" t="s">
        <v>244</v>
      </c>
      <c r="B55" s="316">
        <v>120</v>
      </c>
      <c r="C55" s="316">
        <v>0</v>
      </c>
      <c r="D55" s="316">
        <v>0</v>
      </c>
      <c r="E55" s="316">
        <v>0</v>
      </c>
      <c r="F55" s="316">
        <v>0</v>
      </c>
      <c r="G55" s="316">
        <v>0</v>
      </c>
      <c r="H55" s="316">
        <v>25</v>
      </c>
      <c r="I55" s="316">
        <v>30</v>
      </c>
      <c r="J55" s="316">
        <v>0</v>
      </c>
      <c r="K55" s="316">
        <v>29</v>
      </c>
      <c r="L55" s="316">
        <v>29</v>
      </c>
      <c r="M55" s="316">
        <v>0</v>
      </c>
      <c r="N55" s="317">
        <v>0</v>
      </c>
      <c r="O55" s="317">
        <v>0</v>
      </c>
      <c r="P55" s="317">
        <v>5.75535</v>
      </c>
      <c r="Q55" s="317">
        <v>0</v>
      </c>
      <c r="R55" s="317">
        <v>2.5859E-2</v>
      </c>
      <c r="S55" s="317">
        <v>0</v>
      </c>
      <c r="T55" s="317">
        <v>0</v>
      </c>
      <c r="U55" s="317">
        <v>0</v>
      </c>
    </row>
    <row r="56" spans="1:21" ht="15.9">
      <c r="A56" s="315" t="s">
        <v>245</v>
      </c>
      <c r="B56" s="317">
        <v>170</v>
      </c>
      <c r="C56" s="317">
        <v>0</v>
      </c>
      <c r="D56" s="317">
        <v>0</v>
      </c>
      <c r="E56" s="317">
        <v>0</v>
      </c>
      <c r="F56" s="317">
        <v>0</v>
      </c>
      <c r="G56" s="317">
        <v>0</v>
      </c>
      <c r="H56" s="317">
        <v>25</v>
      </c>
      <c r="I56" s="317">
        <v>43</v>
      </c>
      <c r="J56" s="316">
        <v>0</v>
      </c>
      <c r="K56" s="317">
        <v>41</v>
      </c>
      <c r="L56" s="317">
        <v>40</v>
      </c>
      <c r="M56" s="317">
        <v>0</v>
      </c>
      <c r="N56" s="317">
        <v>0</v>
      </c>
      <c r="O56" s="317">
        <v>0</v>
      </c>
      <c r="P56" s="317">
        <v>5.6412599999999999</v>
      </c>
      <c r="Q56" s="317">
        <v>0</v>
      </c>
      <c r="R56" s="317">
        <v>5.3061999999999998E-2</v>
      </c>
      <c r="S56" s="317">
        <v>0</v>
      </c>
      <c r="T56" s="317">
        <v>10</v>
      </c>
      <c r="U56" s="317">
        <v>0</v>
      </c>
    </row>
    <row r="57" spans="1:21" ht="15.9">
      <c r="A57" s="315" t="s">
        <v>246</v>
      </c>
      <c r="B57" s="316">
        <v>170</v>
      </c>
      <c r="C57" s="316">
        <v>0</v>
      </c>
      <c r="D57" s="316">
        <v>0</v>
      </c>
      <c r="E57" s="316">
        <v>0</v>
      </c>
      <c r="F57" s="316">
        <v>0</v>
      </c>
      <c r="G57" s="316">
        <v>0</v>
      </c>
      <c r="H57" s="316">
        <v>25</v>
      </c>
      <c r="I57" s="316">
        <v>42</v>
      </c>
      <c r="J57" s="316">
        <v>0</v>
      </c>
      <c r="K57" s="316">
        <v>39</v>
      </c>
      <c r="L57" s="316">
        <v>31</v>
      </c>
      <c r="M57" s="316">
        <v>0</v>
      </c>
      <c r="N57" s="317">
        <v>0</v>
      </c>
      <c r="O57" s="317">
        <v>0</v>
      </c>
      <c r="P57" s="317">
        <v>5.2504200000000001</v>
      </c>
      <c r="Q57" s="317">
        <v>0</v>
      </c>
      <c r="R57" s="317">
        <v>4.2653999999999997E-2</v>
      </c>
      <c r="S57" s="317">
        <v>0</v>
      </c>
      <c r="T57" s="317">
        <v>5</v>
      </c>
      <c r="U57" s="317">
        <v>0</v>
      </c>
    </row>
    <row r="58" spans="1:21" ht="15.9">
      <c r="A58" s="315" t="s">
        <v>247</v>
      </c>
      <c r="B58" s="316">
        <v>130</v>
      </c>
      <c r="C58" s="316">
        <v>0</v>
      </c>
      <c r="D58" s="316">
        <v>0</v>
      </c>
      <c r="E58" s="316">
        <v>0</v>
      </c>
      <c r="F58" s="316">
        <v>0</v>
      </c>
      <c r="G58" s="316">
        <v>0</v>
      </c>
      <c r="H58" s="316">
        <v>25</v>
      </c>
      <c r="I58" s="316">
        <v>34</v>
      </c>
      <c r="J58" s="316">
        <v>0</v>
      </c>
      <c r="K58" s="316">
        <v>32</v>
      </c>
      <c r="L58" s="316">
        <v>32</v>
      </c>
      <c r="M58" s="316">
        <v>0</v>
      </c>
      <c r="N58" s="317">
        <v>0</v>
      </c>
      <c r="O58" s="317">
        <v>0</v>
      </c>
      <c r="P58" s="316">
        <v>5</v>
      </c>
      <c r="Q58" s="316">
        <v>0</v>
      </c>
      <c r="R58" s="316">
        <v>0</v>
      </c>
      <c r="S58" s="316">
        <v>0</v>
      </c>
      <c r="T58" s="316">
        <v>6</v>
      </c>
      <c r="U58" s="316">
        <v>0</v>
      </c>
    </row>
    <row r="59" spans="1:21" ht="15.9">
      <c r="A59" s="315" t="s">
        <v>248</v>
      </c>
      <c r="B59" s="316">
        <v>170</v>
      </c>
      <c r="C59" s="316">
        <v>0</v>
      </c>
      <c r="D59" s="316">
        <v>0</v>
      </c>
      <c r="E59" s="316">
        <v>0</v>
      </c>
      <c r="F59" s="316">
        <v>0</v>
      </c>
      <c r="G59" s="316">
        <v>0</v>
      </c>
      <c r="H59" s="316">
        <v>25</v>
      </c>
      <c r="I59" s="316">
        <v>43</v>
      </c>
      <c r="J59" s="316">
        <v>0</v>
      </c>
      <c r="K59" s="316">
        <v>41</v>
      </c>
      <c r="L59" s="316">
        <v>41</v>
      </c>
      <c r="M59" s="316">
        <v>0</v>
      </c>
      <c r="N59" s="317">
        <v>0</v>
      </c>
      <c r="O59" s="317">
        <v>0</v>
      </c>
      <c r="P59" s="316">
        <v>5.52773</v>
      </c>
      <c r="Q59" s="316">
        <v>0</v>
      </c>
      <c r="R59" s="316">
        <v>0.131076</v>
      </c>
      <c r="S59" s="316">
        <v>0</v>
      </c>
      <c r="T59" s="316">
        <v>10</v>
      </c>
      <c r="U59" s="316">
        <v>0</v>
      </c>
    </row>
    <row r="60" spans="1:21" ht="15.9">
      <c r="A60" s="315" t="s">
        <v>249</v>
      </c>
      <c r="B60" s="317">
        <v>170</v>
      </c>
      <c r="C60" s="317">
        <v>0</v>
      </c>
      <c r="D60" s="317">
        <v>0</v>
      </c>
      <c r="E60" s="317">
        <v>0</v>
      </c>
      <c r="F60" s="317">
        <v>0</v>
      </c>
      <c r="G60" s="317">
        <v>0</v>
      </c>
      <c r="H60" s="317">
        <v>25</v>
      </c>
      <c r="I60" s="317">
        <v>44</v>
      </c>
      <c r="J60" s="316">
        <v>0</v>
      </c>
      <c r="K60" s="317">
        <v>42</v>
      </c>
      <c r="L60" s="317">
        <v>41</v>
      </c>
      <c r="M60" s="317">
        <v>0</v>
      </c>
      <c r="N60" s="317">
        <v>0</v>
      </c>
      <c r="O60" s="317">
        <v>0</v>
      </c>
      <c r="P60" s="317">
        <v>5.6281600000000003</v>
      </c>
      <c r="Q60" s="317">
        <v>0</v>
      </c>
      <c r="R60" s="317">
        <v>6.3182000000000002E-2</v>
      </c>
      <c r="S60" s="317">
        <v>0</v>
      </c>
      <c r="T60" s="317">
        <v>5</v>
      </c>
      <c r="U60" s="317">
        <v>0</v>
      </c>
    </row>
    <row r="61" spans="1:21" ht="15.9">
      <c r="A61" s="315" t="s">
        <v>250</v>
      </c>
      <c r="B61" s="316">
        <v>150</v>
      </c>
      <c r="C61" s="316">
        <v>0</v>
      </c>
      <c r="D61" s="316">
        <v>0</v>
      </c>
      <c r="E61" s="316">
        <v>0</v>
      </c>
      <c r="F61" s="316">
        <v>0</v>
      </c>
      <c r="G61" s="316">
        <v>0</v>
      </c>
      <c r="H61" s="316">
        <v>30</v>
      </c>
      <c r="I61" s="316">
        <v>38</v>
      </c>
      <c r="J61" s="316">
        <v>0</v>
      </c>
      <c r="K61" s="316">
        <v>37</v>
      </c>
      <c r="L61" s="316">
        <v>35</v>
      </c>
      <c r="M61" s="316">
        <v>0</v>
      </c>
      <c r="N61" s="317">
        <v>0</v>
      </c>
      <c r="O61" s="317">
        <v>0</v>
      </c>
      <c r="P61" s="316">
        <v>5.7749699999999997</v>
      </c>
      <c r="Q61" s="316">
        <v>0</v>
      </c>
      <c r="R61" s="316">
        <v>4.512E-2</v>
      </c>
      <c r="S61" s="316">
        <v>0</v>
      </c>
      <c r="T61" s="316">
        <v>5</v>
      </c>
      <c r="U61" s="316">
        <v>0</v>
      </c>
    </row>
    <row r="62" spans="1:21" ht="15.9">
      <c r="A62" s="315" t="s">
        <v>251</v>
      </c>
      <c r="B62" s="316">
        <v>200</v>
      </c>
      <c r="C62" s="316">
        <v>30</v>
      </c>
      <c r="D62" s="316">
        <v>3.5</v>
      </c>
      <c r="E62" s="316">
        <v>2.5</v>
      </c>
      <c r="F62" s="316">
        <v>0</v>
      </c>
      <c r="G62" s="316">
        <v>0</v>
      </c>
      <c r="H62" s="316">
        <v>40</v>
      </c>
      <c r="I62" s="316">
        <v>44</v>
      </c>
      <c r="J62" s="316">
        <v>0</v>
      </c>
      <c r="K62" s="316">
        <v>42</v>
      </c>
      <c r="L62" s="316">
        <v>42</v>
      </c>
      <c r="M62" s="316">
        <v>0</v>
      </c>
      <c r="N62" s="317">
        <v>0</v>
      </c>
      <c r="O62" s="317">
        <v>0</v>
      </c>
      <c r="P62" s="317">
        <v>7.2852899999999998</v>
      </c>
      <c r="Q62" s="317">
        <v>0</v>
      </c>
      <c r="R62" s="317">
        <v>0.55069500000000005</v>
      </c>
      <c r="S62" s="317">
        <v>4</v>
      </c>
      <c r="T62" s="317">
        <v>35</v>
      </c>
      <c r="U62" s="317">
        <v>1</v>
      </c>
    </row>
    <row r="63" spans="1:21" ht="15.9">
      <c r="A63" s="315" t="s">
        <v>252</v>
      </c>
      <c r="B63" s="316">
        <v>200</v>
      </c>
      <c r="C63" s="316">
        <v>20</v>
      </c>
      <c r="D63" s="316">
        <v>2.5</v>
      </c>
      <c r="E63" s="316">
        <v>2</v>
      </c>
      <c r="F63" s="316">
        <v>0</v>
      </c>
      <c r="G63" s="316">
        <v>0</v>
      </c>
      <c r="H63" s="316">
        <v>55</v>
      </c>
      <c r="I63" s="316">
        <v>44</v>
      </c>
      <c r="J63" s="316">
        <v>0</v>
      </c>
      <c r="K63" s="316">
        <v>41</v>
      </c>
      <c r="L63" s="316">
        <v>28</v>
      </c>
      <c r="M63" s="316">
        <v>0</v>
      </c>
      <c r="N63" s="317">
        <v>0</v>
      </c>
      <c r="O63" s="317">
        <v>0</v>
      </c>
      <c r="P63" s="317">
        <v>4.8489500000000003</v>
      </c>
      <c r="Q63" s="317">
        <v>0</v>
      </c>
      <c r="R63" s="317">
        <v>0.200681</v>
      </c>
      <c r="S63" s="317">
        <v>2</v>
      </c>
      <c r="T63" s="317">
        <v>0</v>
      </c>
      <c r="U63" s="317">
        <v>0</v>
      </c>
    </row>
    <row r="64" spans="1:21" ht="15.9">
      <c r="A64" s="315" t="s">
        <v>253</v>
      </c>
      <c r="B64" s="316">
        <v>180</v>
      </c>
      <c r="C64" s="316">
        <v>20</v>
      </c>
      <c r="D64" s="316">
        <v>2</v>
      </c>
      <c r="E64" s="316">
        <v>2</v>
      </c>
      <c r="F64" s="316">
        <v>0</v>
      </c>
      <c r="G64" s="316">
        <v>0</v>
      </c>
      <c r="H64" s="316">
        <v>80</v>
      </c>
      <c r="I64" s="316">
        <v>42</v>
      </c>
      <c r="J64" s="316">
        <v>0</v>
      </c>
      <c r="K64" s="316">
        <v>39</v>
      </c>
      <c r="L64" s="316">
        <v>39</v>
      </c>
      <c r="M64" s="316">
        <v>0</v>
      </c>
      <c r="N64" s="317">
        <v>0</v>
      </c>
      <c r="O64" s="317">
        <v>0</v>
      </c>
      <c r="P64" s="316">
        <v>8.3520400000000006</v>
      </c>
      <c r="Q64" s="316">
        <v>0</v>
      </c>
      <c r="R64" s="316">
        <v>0.27394099999999999</v>
      </c>
      <c r="S64" s="316">
        <v>2</v>
      </c>
      <c r="T64" s="316">
        <v>65</v>
      </c>
      <c r="U64" s="316">
        <v>2</v>
      </c>
    </row>
    <row r="65" spans="1:21" ht="15.9">
      <c r="A65" s="315" t="s">
        <v>254</v>
      </c>
      <c r="B65" s="316">
        <v>110</v>
      </c>
      <c r="C65" s="316">
        <v>0</v>
      </c>
      <c r="D65" s="316">
        <v>0</v>
      </c>
      <c r="E65" s="316">
        <v>0</v>
      </c>
      <c r="F65" s="316">
        <v>0</v>
      </c>
      <c r="G65" s="316">
        <v>0</v>
      </c>
      <c r="H65" s="316">
        <v>25</v>
      </c>
      <c r="I65" s="316">
        <v>29</v>
      </c>
      <c r="J65" s="316">
        <v>0</v>
      </c>
      <c r="K65" s="316">
        <v>27</v>
      </c>
      <c r="L65" s="316">
        <v>26</v>
      </c>
      <c r="M65" s="316">
        <v>0</v>
      </c>
      <c r="N65" s="317">
        <v>0</v>
      </c>
      <c r="O65" s="317">
        <v>0</v>
      </c>
      <c r="P65" s="317">
        <v>7</v>
      </c>
      <c r="Q65" s="317">
        <v>0</v>
      </c>
      <c r="R65" s="317">
        <v>0</v>
      </c>
      <c r="S65" s="317">
        <v>0</v>
      </c>
      <c r="T65" s="317">
        <v>12</v>
      </c>
      <c r="U65" s="317">
        <v>0</v>
      </c>
    </row>
    <row r="66" spans="1:21" ht="15.9">
      <c r="A66" s="315" t="s">
        <v>255</v>
      </c>
      <c r="B66" s="317">
        <v>220</v>
      </c>
      <c r="C66" s="317">
        <v>0</v>
      </c>
      <c r="D66" s="317">
        <v>0</v>
      </c>
      <c r="E66" s="317">
        <v>0</v>
      </c>
      <c r="F66" s="317">
        <v>0</v>
      </c>
      <c r="G66" s="317">
        <v>0</v>
      </c>
      <c r="H66" s="317">
        <v>25</v>
      </c>
      <c r="I66" s="317">
        <v>57</v>
      </c>
      <c r="J66" s="316">
        <v>0</v>
      </c>
      <c r="K66" s="317">
        <v>55</v>
      </c>
      <c r="L66" s="317">
        <v>53</v>
      </c>
      <c r="M66" s="317">
        <v>0</v>
      </c>
      <c r="N66" s="317">
        <v>0</v>
      </c>
      <c r="O66" s="317">
        <v>0</v>
      </c>
      <c r="P66" s="317">
        <v>5.8414400000000004</v>
      </c>
      <c r="Q66" s="317">
        <v>0</v>
      </c>
      <c r="R66" s="317">
        <v>3.2778000000000002E-2</v>
      </c>
      <c r="S66" s="317">
        <v>0</v>
      </c>
      <c r="T66" s="317">
        <v>35</v>
      </c>
      <c r="U66" s="317">
        <v>1</v>
      </c>
    </row>
    <row r="67" spans="1:21" ht="15.9">
      <c r="A67" s="315" t="s">
        <v>256</v>
      </c>
      <c r="B67" s="316">
        <v>170</v>
      </c>
      <c r="C67" s="316">
        <v>5</v>
      </c>
      <c r="D67" s="316">
        <v>0</v>
      </c>
      <c r="E67" s="316">
        <v>0</v>
      </c>
      <c r="F67" s="316">
        <v>0</v>
      </c>
      <c r="G67" s="316">
        <v>0</v>
      </c>
      <c r="H67" s="316">
        <v>25</v>
      </c>
      <c r="I67" s="316">
        <v>42</v>
      </c>
      <c r="J67" s="316">
        <v>0</v>
      </c>
      <c r="K67" s="316">
        <v>40</v>
      </c>
      <c r="L67" s="316">
        <v>40</v>
      </c>
      <c r="M67" s="316">
        <v>0</v>
      </c>
      <c r="N67" s="317">
        <v>0</v>
      </c>
      <c r="O67" s="317">
        <v>0</v>
      </c>
      <c r="P67" s="316">
        <v>6.5105500000000003</v>
      </c>
      <c r="Q67" s="316">
        <v>0</v>
      </c>
      <c r="R67" s="316">
        <v>5.0257999999999997E-2</v>
      </c>
      <c r="S67" s="316">
        <v>0</v>
      </c>
      <c r="T67" s="316">
        <v>0</v>
      </c>
      <c r="U67" s="316">
        <v>0</v>
      </c>
    </row>
    <row r="68" spans="1:21" ht="15.9">
      <c r="A68" s="315" t="s">
        <v>257</v>
      </c>
      <c r="B68" s="316">
        <v>150</v>
      </c>
      <c r="C68" s="316">
        <v>0</v>
      </c>
      <c r="D68" s="316">
        <v>0</v>
      </c>
      <c r="E68" s="316">
        <v>0</v>
      </c>
      <c r="F68" s="316">
        <v>0</v>
      </c>
      <c r="G68" s="316">
        <v>0</v>
      </c>
      <c r="H68" s="316">
        <v>25</v>
      </c>
      <c r="I68" s="316">
        <v>38</v>
      </c>
      <c r="J68" s="316">
        <v>0</v>
      </c>
      <c r="K68" s="316">
        <v>37</v>
      </c>
      <c r="L68" s="316">
        <v>36</v>
      </c>
      <c r="M68" s="316">
        <v>0</v>
      </c>
      <c r="N68" s="317">
        <v>0</v>
      </c>
      <c r="O68" s="317">
        <v>0</v>
      </c>
      <c r="P68" s="317">
        <v>5.5381299999999998</v>
      </c>
      <c r="Q68" s="317">
        <v>0</v>
      </c>
      <c r="R68" s="317">
        <v>0.19030900000000001</v>
      </c>
      <c r="S68" s="317">
        <v>2</v>
      </c>
      <c r="T68" s="317">
        <v>10</v>
      </c>
      <c r="U68" s="317">
        <v>0</v>
      </c>
    </row>
    <row r="69" spans="1:21" ht="15.9">
      <c r="A69" s="315" t="s">
        <v>258</v>
      </c>
      <c r="B69" s="316">
        <v>170</v>
      </c>
      <c r="C69" s="316">
        <v>15</v>
      </c>
      <c r="D69" s="316">
        <v>2</v>
      </c>
      <c r="E69" s="316">
        <v>1.5</v>
      </c>
      <c r="F69" s="316">
        <v>0</v>
      </c>
      <c r="G69" s="316">
        <v>0</v>
      </c>
      <c r="H69" s="316">
        <v>25</v>
      </c>
      <c r="I69" s="316">
        <v>39</v>
      </c>
      <c r="J69" s="316">
        <v>0</v>
      </c>
      <c r="K69" s="316">
        <v>36</v>
      </c>
      <c r="L69" s="316">
        <v>16</v>
      </c>
      <c r="M69" s="316">
        <v>0</v>
      </c>
      <c r="N69" s="317">
        <v>0</v>
      </c>
      <c r="O69" s="317">
        <v>0</v>
      </c>
      <c r="P69" s="317">
        <v>7.31393</v>
      </c>
      <c r="Q69" s="317">
        <v>0</v>
      </c>
      <c r="R69" s="317">
        <v>8.5170000000000003E-3</v>
      </c>
      <c r="S69" s="317">
        <v>0</v>
      </c>
      <c r="T69" s="317">
        <v>5</v>
      </c>
      <c r="U69" s="317">
        <v>0</v>
      </c>
    </row>
    <row r="70" spans="1:21" ht="15.9">
      <c r="A70" s="315" t="s">
        <v>259</v>
      </c>
      <c r="B70" s="316">
        <v>160</v>
      </c>
      <c r="C70" s="316">
        <v>15</v>
      </c>
      <c r="D70" s="316">
        <v>2</v>
      </c>
      <c r="E70" s="316">
        <v>1.5</v>
      </c>
      <c r="F70" s="316">
        <v>0</v>
      </c>
      <c r="G70" s="316">
        <v>0</v>
      </c>
      <c r="H70" s="316">
        <v>40</v>
      </c>
      <c r="I70" s="316">
        <v>35</v>
      </c>
      <c r="J70" s="316">
        <v>0</v>
      </c>
      <c r="K70" s="316">
        <v>33</v>
      </c>
      <c r="L70" s="316">
        <v>32</v>
      </c>
      <c r="M70" s="316">
        <v>0</v>
      </c>
      <c r="N70" s="317">
        <v>0</v>
      </c>
      <c r="O70" s="317">
        <v>0</v>
      </c>
      <c r="P70" s="320">
        <v>9.3781499999999998</v>
      </c>
      <c r="Q70" s="320">
        <v>0</v>
      </c>
      <c r="R70" s="320">
        <v>0.19126699999999999</v>
      </c>
      <c r="S70" s="320">
        <v>2</v>
      </c>
      <c r="T70" s="320">
        <v>20</v>
      </c>
      <c r="U70" s="320">
        <v>1</v>
      </c>
    </row>
    <row r="71" spans="1:21" ht="15.9">
      <c r="A71" s="315" t="s">
        <v>260</v>
      </c>
      <c r="B71" s="316">
        <v>170</v>
      </c>
      <c r="C71" s="316">
        <v>20</v>
      </c>
      <c r="D71" s="316">
        <v>2</v>
      </c>
      <c r="E71" s="316">
        <v>2</v>
      </c>
      <c r="F71" s="316">
        <v>0</v>
      </c>
      <c r="G71" s="316">
        <v>0</v>
      </c>
      <c r="H71" s="316">
        <v>70</v>
      </c>
      <c r="I71" s="316">
        <v>36</v>
      </c>
      <c r="J71" s="316">
        <v>0</v>
      </c>
      <c r="K71" s="316">
        <v>34</v>
      </c>
      <c r="L71" s="316">
        <v>34</v>
      </c>
      <c r="M71" s="316">
        <v>0</v>
      </c>
      <c r="N71" s="317">
        <v>0</v>
      </c>
      <c r="O71" s="317">
        <v>0</v>
      </c>
      <c r="P71" s="317">
        <v>8.7088199999999993</v>
      </c>
      <c r="Q71" s="317">
        <v>0</v>
      </c>
      <c r="R71" s="317">
        <v>0.17571600000000001</v>
      </c>
      <c r="S71" s="317">
        <v>0</v>
      </c>
      <c r="T71" s="317">
        <v>50</v>
      </c>
      <c r="U71" s="317">
        <v>1</v>
      </c>
    </row>
    <row r="72" spans="1:21" ht="15.9">
      <c r="A72" s="315" t="s">
        <v>261</v>
      </c>
      <c r="B72" s="316">
        <v>160</v>
      </c>
      <c r="C72" s="316">
        <v>0</v>
      </c>
      <c r="D72" s="316">
        <v>0</v>
      </c>
      <c r="E72" s="316">
        <v>0</v>
      </c>
      <c r="F72" s="316">
        <v>0</v>
      </c>
      <c r="G72" s="316">
        <v>0</v>
      </c>
      <c r="H72" s="316">
        <v>25</v>
      </c>
      <c r="I72" s="316">
        <v>41</v>
      </c>
      <c r="J72" s="316">
        <v>0</v>
      </c>
      <c r="K72" s="316">
        <v>39</v>
      </c>
      <c r="L72" s="316">
        <v>39</v>
      </c>
      <c r="M72" s="316">
        <v>0</v>
      </c>
      <c r="N72" s="317">
        <v>0</v>
      </c>
      <c r="O72" s="317">
        <v>0</v>
      </c>
      <c r="P72" s="316">
        <v>6.7421699999999998</v>
      </c>
      <c r="Q72" s="316">
        <v>0</v>
      </c>
      <c r="R72" s="316">
        <v>7.1999999999999995E-2</v>
      </c>
      <c r="S72" s="316">
        <v>0</v>
      </c>
      <c r="T72" s="316">
        <v>15</v>
      </c>
      <c r="U72" s="316">
        <v>0</v>
      </c>
    </row>
    <row r="73" spans="1:21" ht="15.9">
      <c r="A73" s="315" t="s">
        <v>262</v>
      </c>
      <c r="B73" s="316">
        <v>200</v>
      </c>
      <c r="C73" s="316">
        <v>0</v>
      </c>
      <c r="D73" s="316">
        <v>0</v>
      </c>
      <c r="E73" s="316">
        <v>0</v>
      </c>
      <c r="F73" s="316">
        <v>0</v>
      </c>
      <c r="G73" s="316">
        <v>0</v>
      </c>
      <c r="H73" s="316">
        <v>25</v>
      </c>
      <c r="I73" s="316">
        <v>51</v>
      </c>
      <c r="J73" s="316">
        <v>0</v>
      </c>
      <c r="K73" s="316">
        <v>48</v>
      </c>
      <c r="L73" s="316">
        <v>48</v>
      </c>
      <c r="M73" s="316">
        <v>0</v>
      </c>
      <c r="N73" s="317">
        <v>0</v>
      </c>
      <c r="O73" s="317">
        <v>0</v>
      </c>
      <c r="P73" s="316">
        <v>6.9279299999999999</v>
      </c>
      <c r="Q73" s="316">
        <v>0</v>
      </c>
      <c r="R73" s="316">
        <v>0.115414</v>
      </c>
      <c r="S73" s="316">
        <v>0</v>
      </c>
      <c r="T73" s="316">
        <v>0</v>
      </c>
      <c r="U73" s="316">
        <v>0</v>
      </c>
    </row>
    <row r="74" spans="1:21" ht="15.9">
      <c r="A74" s="315" t="s">
        <v>263</v>
      </c>
      <c r="B74" s="316">
        <v>240</v>
      </c>
      <c r="C74" s="316">
        <v>40</v>
      </c>
      <c r="D74" s="316">
        <v>4</v>
      </c>
      <c r="E74" s="316">
        <v>1</v>
      </c>
      <c r="F74" s="316">
        <v>0</v>
      </c>
      <c r="G74" s="316">
        <v>0</v>
      </c>
      <c r="H74" s="316">
        <v>65</v>
      </c>
      <c r="I74" s="316">
        <v>51</v>
      </c>
      <c r="J74" s="316">
        <v>0</v>
      </c>
      <c r="K74" s="316">
        <v>48</v>
      </c>
      <c r="L74" s="316">
        <v>48</v>
      </c>
      <c r="M74" s="316">
        <v>2</v>
      </c>
      <c r="N74" s="317">
        <v>0</v>
      </c>
      <c r="O74" s="317">
        <v>0</v>
      </c>
      <c r="P74" s="316">
        <v>13.237500000000001</v>
      </c>
      <c r="Q74" s="316">
        <v>2</v>
      </c>
      <c r="R74" s="316">
        <v>0.60155700000000001</v>
      </c>
      <c r="S74" s="316">
        <v>4</v>
      </c>
      <c r="T74" s="316">
        <v>85</v>
      </c>
      <c r="U74" s="316">
        <v>2</v>
      </c>
    </row>
    <row r="75" spans="1:21" ht="15.9">
      <c r="A75" s="315" t="s">
        <v>264</v>
      </c>
      <c r="B75" s="316">
        <v>250</v>
      </c>
      <c r="C75" s="316">
        <v>50</v>
      </c>
      <c r="D75" s="316">
        <v>6</v>
      </c>
      <c r="E75" s="316">
        <v>2.5</v>
      </c>
      <c r="F75" s="316">
        <v>0</v>
      </c>
      <c r="G75" s="316">
        <v>0</v>
      </c>
      <c r="H75" s="316">
        <v>70</v>
      </c>
      <c r="I75" s="316">
        <v>49</v>
      </c>
      <c r="J75" s="316">
        <v>0</v>
      </c>
      <c r="K75" s="316">
        <v>47</v>
      </c>
      <c r="L75" s="316">
        <v>47</v>
      </c>
      <c r="M75" s="316">
        <v>1</v>
      </c>
      <c r="N75" s="317">
        <v>0</v>
      </c>
      <c r="O75" s="317">
        <v>0</v>
      </c>
      <c r="P75" s="317">
        <v>10.2118</v>
      </c>
      <c r="Q75" s="317">
        <v>2</v>
      </c>
      <c r="R75" s="317">
        <v>0.445658</v>
      </c>
      <c r="S75" s="317">
        <v>2</v>
      </c>
      <c r="T75" s="317">
        <v>50</v>
      </c>
      <c r="U75" s="317">
        <v>1</v>
      </c>
    </row>
    <row r="76" spans="1:21" ht="15.9">
      <c r="A76" s="315" t="s">
        <v>265</v>
      </c>
      <c r="B76" s="316">
        <v>240</v>
      </c>
      <c r="C76" s="316">
        <v>50</v>
      </c>
      <c r="D76" s="316">
        <v>6</v>
      </c>
      <c r="E76" s="316">
        <v>1</v>
      </c>
      <c r="F76" s="316">
        <v>0</v>
      </c>
      <c r="G76" s="316">
        <v>0</v>
      </c>
      <c r="H76" s="316">
        <v>70</v>
      </c>
      <c r="I76" s="316">
        <v>46</v>
      </c>
      <c r="J76" s="316">
        <v>0</v>
      </c>
      <c r="K76" s="316">
        <v>44</v>
      </c>
      <c r="L76" s="316">
        <v>43</v>
      </c>
      <c r="M76" s="316">
        <v>2</v>
      </c>
      <c r="N76" s="317">
        <v>0</v>
      </c>
      <c r="O76" s="317">
        <v>0</v>
      </c>
      <c r="P76" s="316">
        <v>12.3687</v>
      </c>
      <c r="Q76" s="316">
        <v>2</v>
      </c>
      <c r="R76" s="316">
        <v>0.42119400000000001</v>
      </c>
      <c r="S76" s="316">
        <v>2</v>
      </c>
      <c r="T76" s="316">
        <v>55</v>
      </c>
      <c r="U76" s="316">
        <v>2</v>
      </c>
    </row>
    <row r="77" spans="1:21" ht="15.9">
      <c r="A77" s="315" t="s">
        <v>266</v>
      </c>
      <c r="B77" s="316">
        <v>160</v>
      </c>
      <c r="C77" s="316">
        <v>0</v>
      </c>
      <c r="D77" s="316">
        <v>0</v>
      </c>
      <c r="E77" s="316">
        <v>0</v>
      </c>
      <c r="F77" s="316">
        <v>0</v>
      </c>
      <c r="G77" s="316">
        <v>0</v>
      </c>
      <c r="H77" s="316">
        <v>25</v>
      </c>
      <c r="I77" s="316">
        <v>40</v>
      </c>
      <c r="J77" s="316">
        <v>0</v>
      </c>
      <c r="K77" s="316">
        <v>39</v>
      </c>
      <c r="L77" s="316">
        <v>39</v>
      </c>
      <c r="M77" s="316">
        <v>0</v>
      </c>
      <c r="N77" s="317">
        <v>0</v>
      </c>
      <c r="O77" s="317">
        <v>0</v>
      </c>
      <c r="P77" s="317">
        <v>5.6979699999999998</v>
      </c>
      <c r="Q77" s="317">
        <v>0</v>
      </c>
      <c r="R77" s="317">
        <v>3.6471999999999997E-2</v>
      </c>
      <c r="S77" s="317">
        <v>0</v>
      </c>
      <c r="T77" s="317">
        <v>10</v>
      </c>
      <c r="U77" s="317">
        <v>0</v>
      </c>
    </row>
    <row r="78" spans="1:21" ht="15.9">
      <c r="A78" s="315" t="s">
        <v>267</v>
      </c>
      <c r="B78" s="316">
        <v>160</v>
      </c>
      <c r="C78" s="316">
        <v>0</v>
      </c>
      <c r="D78" s="316">
        <v>0</v>
      </c>
      <c r="E78" s="316">
        <v>0</v>
      </c>
      <c r="F78" s="316">
        <v>0</v>
      </c>
      <c r="G78" s="316">
        <v>0</v>
      </c>
      <c r="H78" s="316">
        <v>25</v>
      </c>
      <c r="I78" s="316">
        <v>40</v>
      </c>
      <c r="J78" s="316">
        <v>0</v>
      </c>
      <c r="K78" s="316">
        <v>39</v>
      </c>
      <c r="L78" s="316">
        <v>39</v>
      </c>
      <c r="M78" s="316">
        <v>0</v>
      </c>
      <c r="N78" s="317">
        <v>0</v>
      </c>
      <c r="O78" s="317">
        <v>0</v>
      </c>
      <c r="P78" s="316">
        <v>5.6979699999999998</v>
      </c>
      <c r="Q78" s="316">
        <v>0</v>
      </c>
      <c r="R78" s="316">
        <v>3.6471999999999997E-2</v>
      </c>
      <c r="S78" s="316">
        <v>0</v>
      </c>
      <c r="T78" s="316">
        <v>10</v>
      </c>
      <c r="U78" s="316">
        <v>0</v>
      </c>
    </row>
    <row r="79" spans="1:21" ht="15.9">
      <c r="A79" s="315" t="s">
        <v>268</v>
      </c>
      <c r="B79" s="316">
        <v>220</v>
      </c>
      <c r="C79" s="316">
        <v>25</v>
      </c>
      <c r="D79" s="316">
        <v>2.5</v>
      </c>
      <c r="E79" s="316">
        <v>2</v>
      </c>
      <c r="F79" s="316">
        <v>0</v>
      </c>
      <c r="G79" s="316">
        <v>0</v>
      </c>
      <c r="H79" s="316">
        <v>40</v>
      </c>
      <c r="I79" s="316">
        <v>51</v>
      </c>
      <c r="J79" s="316">
        <v>0</v>
      </c>
      <c r="K79" s="316">
        <v>48</v>
      </c>
      <c r="L79" s="316">
        <v>48</v>
      </c>
      <c r="M79" s="316">
        <v>0</v>
      </c>
      <c r="N79" s="317">
        <v>0</v>
      </c>
      <c r="O79" s="317">
        <v>0</v>
      </c>
      <c r="P79" s="316">
        <v>6.9737099999999996</v>
      </c>
      <c r="Q79" s="316">
        <v>0</v>
      </c>
      <c r="R79" s="316">
        <v>0.51667799999999997</v>
      </c>
      <c r="S79" s="316">
        <v>2</v>
      </c>
      <c r="T79" s="316">
        <v>30</v>
      </c>
      <c r="U79" s="316">
        <v>1</v>
      </c>
    </row>
    <row r="80" spans="1:21" ht="15.9">
      <c r="A80" s="315" t="s">
        <v>269</v>
      </c>
      <c r="B80" s="316">
        <v>160</v>
      </c>
      <c r="C80" s="316">
        <v>0</v>
      </c>
      <c r="D80" s="316">
        <v>0</v>
      </c>
      <c r="E80" s="316">
        <v>0</v>
      </c>
      <c r="F80" s="316">
        <v>0</v>
      </c>
      <c r="G80" s="316">
        <v>0</v>
      </c>
      <c r="H80" s="316">
        <v>25</v>
      </c>
      <c r="I80" s="316">
        <v>42</v>
      </c>
      <c r="J80" s="316">
        <v>0</v>
      </c>
      <c r="K80" s="316">
        <v>41</v>
      </c>
      <c r="L80" s="316">
        <v>41</v>
      </c>
      <c r="M80" s="316">
        <v>0</v>
      </c>
      <c r="N80" s="317">
        <v>0</v>
      </c>
      <c r="O80" s="317">
        <v>0</v>
      </c>
      <c r="P80" s="317">
        <v>4.8599800000000002</v>
      </c>
      <c r="Q80" s="317">
        <v>0</v>
      </c>
      <c r="R80" s="317">
        <v>2.6502000000000001E-2</v>
      </c>
      <c r="S80" s="317">
        <v>0</v>
      </c>
      <c r="T80" s="317">
        <v>0</v>
      </c>
      <c r="U80" s="317">
        <v>0</v>
      </c>
    </row>
    <row r="81" spans="1:21" ht="15.9">
      <c r="A81" s="315" t="s">
        <v>270</v>
      </c>
      <c r="B81" s="316">
        <v>200</v>
      </c>
      <c r="C81" s="316">
        <v>20</v>
      </c>
      <c r="D81" s="316">
        <v>2</v>
      </c>
      <c r="E81" s="316">
        <v>2</v>
      </c>
      <c r="F81" s="316">
        <v>0</v>
      </c>
      <c r="G81" s="316">
        <v>0</v>
      </c>
      <c r="H81" s="316">
        <v>40</v>
      </c>
      <c r="I81" s="316">
        <v>47</v>
      </c>
      <c r="J81" s="316">
        <v>0</v>
      </c>
      <c r="K81" s="316">
        <v>44</v>
      </c>
      <c r="L81" s="316">
        <v>43</v>
      </c>
      <c r="M81" s="316">
        <v>0</v>
      </c>
      <c r="N81" s="317">
        <v>0</v>
      </c>
      <c r="O81" s="317">
        <v>0</v>
      </c>
      <c r="P81" s="316">
        <v>5.26227</v>
      </c>
      <c r="Q81" s="316">
        <v>0</v>
      </c>
      <c r="R81" s="316">
        <v>8.4808999999999996E-2</v>
      </c>
      <c r="S81" s="316">
        <v>0</v>
      </c>
      <c r="T81" s="316">
        <v>25</v>
      </c>
      <c r="U81" s="316">
        <v>1</v>
      </c>
    </row>
    <row r="82" spans="1:21" ht="15.9">
      <c r="A82" s="315" t="s">
        <v>271</v>
      </c>
      <c r="B82" s="316">
        <v>200</v>
      </c>
      <c r="C82" s="316">
        <v>20</v>
      </c>
      <c r="D82" s="316">
        <v>2</v>
      </c>
      <c r="E82" s="316">
        <v>2</v>
      </c>
      <c r="F82" s="316">
        <v>0</v>
      </c>
      <c r="G82" s="316">
        <v>0</v>
      </c>
      <c r="H82" s="316">
        <v>45</v>
      </c>
      <c r="I82" s="316">
        <v>46</v>
      </c>
      <c r="J82" s="316">
        <v>0</v>
      </c>
      <c r="K82" s="316">
        <v>43</v>
      </c>
      <c r="L82" s="316">
        <v>19</v>
      </c>
      <c r="M82" s="316">
        <v>0</v>
      </c>
      <c r="N82" s="317">
        <v>0</v>
      </c>
      <c r="O82" s="317">
        <v>0</v>
      </c>
      <c r="P82" s="317">
        <v>5.8893300000000002</v>
      </c>
      <c r="Q82" s="317">
        <v>0</v>
      </c>
      <c r="R82" s="317">
        <v>7.4703000000000006E-2</v>
      </c>
      <c r="S82" s="317">
        <v>0</v>
      </c>
      <c r="T82" s="317">
        <v>10</v>
      </c>
      <c r="U82" s="317">
        <v>0</v>
      </c>
    </row>
    <row r="83" spans="1:21" ht="15.9">
      <c r="A83" s="315" t="s">
        <v>272</v>
      </c>
      <c r="B83" s="316">
        <v>170</v>
      </c>
      <c r="C83" s="316">
        <v>0</v>
      </c>
      <c r="D83" s="316">
        <v>0</v>
      </c>
      <c r="E83" s="316">
        <v>0</v>
      </c>
      <c r="F83" s="316">
        <v>0</v>
      </c>
      <c r="G83" s="316">
        <v>0</v>
      </c>
      <c r="H83" s="316">
        <v>25</v>
      </c>
      <c r="I83" s="316">
        <v>44</v>
      </c>
      <c r="J83" s="316">
        <v>0</v>
      </c>
      <c r="K83" s="316">
        <v>43</v>
      </c>
      <c r="L83" s="316">
        <v>42</v>
      </c>
      <c r="M83" s="316">
        <v>0</v>
      </c>
      <c r="N83" s="317">
        <v>0</v>
      </c>
      <c r="O83" s="317">
        <v>0</v>
      </c>
      <c r="P83" s="316">
        <v>5.5383399999999998</v>
      </c>
      <c r="Q83" s="316">
        <v>0</v>
      </c>
      <c r="R83" s="316">
        <v>4.3949000000000002E-2</v>
      </c>
      <c r="S83" s="316">
        <v>0</v>
      </c>
      <c r="T83" s="316">
        <v>0</v>
      </c>
      <c r="U83" s="316">
        <v>0</v>
      </c>
    </row>
    <row r="84" spans="1:21" ht="15.9">
      <c r="A84" s="315" t="s">
        <v>273</v>
      </c>
      <c r="B84" s="316">
        <v>160</v>
      </c>
      <c r="C84" s="316">
        <v>0</v>
      </c>
      <c r="D84" s="316">
        <v>0</v>
      </c>
      <c r="E84" s="316">
        <v>0</v>
      </c>
      <c r="F84" s="316">
        <v>0</v>
      </c>
      <c r="G84" s="316">
        <v>0</v>
      </c>
      <c r="H84" s="316">
        <v>25</v>
      </c>
      <c r="I84" s="316">
        <v>40</v>
      </c>
      <c r="J84" s="316">
        <v>0</v>
      </c>
      <c r="K84" s="316">
        <v>39</v>
      </c>
      <c r="L84" s="316">
        <v>38</v>
      </c>
      <c r="M84" s="316">
        <v>0</v>
      </c>
      <c r="N84" s="317">
        <v>0</v>
      </c>
      <c r="O84" s="317">
        <v>0</v>
      </c>
      <c r="P84" s="317">
        <v>5.7113800000000001</v>
      </c>
      <c r="Q84" s="317">
        <v>0</v>
      </c>
      <c r="R84" s="317">
        <v>7.2755E-2</v>
      </c>
      <c r="S84" s="317">
        <v>0</v>
      </c>
      <c r="T84" s="317">
        <v>0</v>
      </c>
      <c r="U84" s="317">
        <v>0</v>
      </c>
    </row>
    <row r="85" spans="1:21" ht="15.9">
      <c r="A85" s="315" t="s">
        <v>274</v>
      </c>
      <c r="B85" s="316">
        <v>150</v>
      </c>
      <c r="C85" s="316">
        <v>0</v>
      </c>
      <c r="D85" s="316">
        <v>0</v>
      </c>
      <c r="E85" s="316">
        <v>0</v>
      </c>
      <c r="F85" s="316">
        <v>0</v>
      </c>
      <c r="G85" s="316">
        <v>0</v>
      </c>
      <c r="H85" s="316">
        <v>25</v>
      </c>
      <c r="I85" s="316">
        <v>38</v>
      </c>
      <c r="J85" s="316">
        <v>0</v>
      </c>
      <c r="K85" s="316">
        <v>36</v>
      </c>
      <c r="L85" s="316">
        <v>36</v>
      </c>
      <c r="M85" s="316">
        <v>0</v>
      </c>
      <c r="N85" s="317">
        <v>0</v>
      </c>
      <c r="O85" s="317">
        <v>0</v>
      </c>
      <c r="P85" s="320">
        <v>6.7035400000000003</v>
      </c>
      <c r="Q85" s="320">
        <v>0</v>
      </c>
      <c r="R85" s="320">
        <v>6.8855E-2</v>
      </c>
      <c r="S85" s="320">
        <v>0</v>
      </c>
      <c r="T85" s="320">
        <v>15</v>
      </c>
      <c r="U85" s="320">
        <v>0</v>
      </c>
    </row>
    <row r="86" spans="1:21" ht="15.9">
      <c r="A86" s="315" t="s">
        <v>275</v>
      </c>
      <c r="B86" s="316">
        <v>150</v>
      </c>
      <c r="C86" s="316">
        <v>0</v>
      </c>
      <c r="D86" s="316">
        <v>0</v>
      </c>
      <c r="E86" s="316">
        <v>0</v>
      </c>
      <c r="F86" s="316">
        <v>0</v>
      </c>
      <c r="G86" s="316">
        <v>0</v>
      </c>
      <c r="H86" s="316">
        <v>30</v>
      </c>
      <c r="I86" s="316">
        <v>38</v>
      </c>
      <c r="J86" s="316">
        <v>0</v>
      </c>
      <c r="K86" s="316">
        <v>37</v>
      </c>
      <c r="L86" s="316">
        <v>35</v>
      </c>
      <c r="M86" s="316">
        <v>0</v>
      </c>
      <c r="N86" s="317">
        <v>0</v>
      </c>
      <c r="O86" s="317">
        <v>0</v>
      </c>
      <c r="P86" s="317">
        <v>5.7749699999999997</v>
      </c>
      <c r="Q86" s="317">
        <v>0</v>
      </c>
      <c r="R86" s="317">
        <v>4.512E-2</v>
      </c>
      <c r="S86" s="317">
        <v>0</v>
      </c>
      <c r="T86" s="317">
        <v>5</v>
      </c>
      <c r="U86" s="317">
        <v>0</v>
      </c>
    </row>
    <row r="87" spans="1:21" ht="15.9" hidden="1">
      <c r="A87" s="315" t="s">
        <v>276</v>
      </c>
      <c r="B87" s="316">
        <v>120</v>
      </c>
      <c r="C87" s="316">
        <v>0</v>
      </c>
      <c r="D87" s="316">
        <v>0</v>
      </c>
      <c r="E87" s="316">
        <v>0</v>
      </c>
      <c r="F87" s="316">
        <v>0</v>
      </c>
      <c r="G87" s="316">
        <v>0</v>
      </c>
      <c r="H87" s="316">
        <v>25</v>
      </c>
      <c r="I87" s="316">
        <v>30</v>
      </c>
      <c r="J87" s="316">
        <v>0</v>
      </c>
      <c r="K87" s="316">
        <v>29</v>
      </c>
      <c r="L87" s="316">
        <v>29</v>
      </c>
      <c r="M87" s="316">
        <v>0</v>
      </c>
      <c r="N87" s="317">
        <v>0</v>
      </c>
      <c r="O87" s="317">
        <v>0</v>
      </c>
      <c r="P87" s="320">
        <v>5.7276199999999999</v>
      </c>
      <c r="Q87" s="320">
        <v>0</v>
      </c>
      <c r="R87" s="320">
        <v>2.5603999999999998E-2</v>
      </c>
      <c r="S87" s="320">
        <v>0</v>
      </c>
      <c r="T87" s="320">
        <v>0</v>
      </c>
      <c r="U87" s="320">
        <v>0</v>
      </c>
    </row>
    <row r="88" spans="1:21" ht="15.9">
      <c r="A88" s="315" t="s">
        <v>277</v>
      </c>
      <c r="B88" s="316">
        <v>160</v>
      </c>
      <c r="C88" s="316">
        <v>0</v>
      </c>
      <c r="D88" s="316">
        <v>0</v>
      </c>
      <c r="E88" s="316">
        <v>0</v>
      </c>
      <c r="F88" s="316">
        <v>0</v>
      </c>
      <c r="G88" s="316">
        <v>0</v>
      </c>
      <c r="H88" s="316">
        <v>25</v>
      </c>
      <c r="I88" s="316">
        <v>41</v>
      </c>
      <c r="J88" s="316">
        <v>0</v>
      </c>
      <c r="K88" s="316">
        <v>40</v>
      </c>
      <c r="L88" s="316">
        <v>39</v>
      </c>
      <c r="M88" s="316">
        <v>0</v>
      </c>
      <c r="N88" s="317">
        <v>0</v>
      </c>
      <c r="O88" s="317">
        <v>0</v>
      </c>
      <c r="P88" s="317">
        <v>5.5492299999999997</v>
      </c>
      <c r="Q88" s="317">
        <v>0</v>
      </c>
      <c r="R88" s="317">
        <v>6.1071E-2</v>
      </c>
      <c r="S88" s="317">
        <v>0</v>
      </c>
      <c r="T88" s="317">
        <v>10</v>
      </c>
      <c r="U88" s="317">
        <v>0</v>
      </c>
    </row>
    <row r="89" spans="1:21" ht="15.9">
      <c r="A89" s="315" t="s">
        <v>278</v>
      </c>
      <c r="B89" s="316">
        <v>80</v>
      </c>
      <c r="C89" s="316">
        <v>0</v>
      </c>
      <c r="D89" s="316">
        <v>0</v>
      </c>
      <c r="E89" s="316">
        <v>0</v>
      </c>
      <c r="F89" s="316">
        <v>0</v>
      </c>
      <c r="G89" s="316">
        <v>0</v>
      </c>
      <c r="H89" s="316">
        <v>15</v>
      </c>
      <c r="I89" s="316">
        <v>27</v>
      </c>
      <c r="J89" s="316">
        <v>0</v>
      </c>
      <c r="K89" s="316">
        <v>0</v>
      </c>
      <c r="L89" s="316">
        <v>0</v>
      </c>
      <c r="M89" s="316">
        <v>0</v>
      </c>
      <c r="N89" s="317">
        <v>0</v>
      </c>
      <c r="O89" s="317">
        <v>0</v>
      </c>
      <c r="P89" s="317">
        <v>8.0721000000000007</v>
      </c>
      <c r="Q89" s="317">
        <v>0</v>
      </c>
      <c r="R89" s="317">
        <v>3.4528999999999997E-2</v>
      </c>
      <c r="S89" s="317">
        <v>0</v>
      </c>
      <c r="T89" s="317">
        <v>10</v>
      </c>
      <c r="U89" s="317">
        <v>0</v>
      </c>
    </row>
    <row r="90" spans="1:21" ht="15.9">
      <c r="A90" s="315" t="s">
        <v>279</v>
      </c>
      <c r="B90" s="316">
        <v>100</v>
      </c>
      <c r="C90" s="316">
        <v>0</v>
      </c>
      <c r="D90" s="316">
        <v>0</v>
      </c>
      <c r="E90" s="316">
        <v>0</v>
      </c>
      <c r="F90" s="316">
        <v>0</v>
      </c>
      <c r="G90" s="316">
        <v>0</v>
      </c>
      <c r="H90" s="316">
        <v>20</v>
      </c>
      <c r="I90" s="316">
        <v>36</v>
      </c>
      <c r="J90" s="316">
        <v>0</v>
      </c>
      <c r="K90" s="316">
        <v>0</v>
      </c>
      <c r="L90" s="316">
        <v>0</v>
      </c>
      <c r="M90" s="316">
        <v>0</v>
      </c>
      <c r="N90" s="317">
        <v>0</v>
      </c>
      <c r="O90" s="317">
        <v>0</v>
      </c>
      <c r="P90" s="316">
        <v>8.7471599999999992</v>
      </c>
      <c r="Q90" s="316">
        <v>0</v>
      </c>
      <c r="R90" s="316">
        <v>4.5594000000000003E-2</v>
      </c>
      <c r="S90" s="316">
        <v>0</v>
      </c>
      <c r="T90" s="316">
        <v>20</v>
      </c>
      <c r="U90" s="316">
        <v>1</v>
      </c>
    </row>
    <row r="91" spans="1:21" ht="15.9">
      <c r="A91" s="315" t="s">
        <v>280</v>
      </c>
      <c r="B91" s="316">
        <v>70</v>
      </c>
      <c r="C91" s="316">
        <v>0</v>
      </c>
      <c r="D91" s="316">
        <v>0</v>
      </c>
      <c r="E91" s="316">
        <v>0</v>
      </c>
      <c r="F91" s="316">
        <v>0</v>
      </c>
      <c r="G91" s="316">
        <v>0</v>
      </c>
      <c r="H91" s="316">
        <v>15</v>
      </c>
      <c r="I91" s="316">
        <v>26</v>
      </c>
      <c r="J91" s="316">
        <v>0</v>
      </c>
      <c r="K91" s="316">
        <v>0</v>
      </c>
      <c r="L91" s="316">
        <v>0</v>
      </c>
      <c r="M91" s="316">
        <v>0</v>
      </c>
      <c r="N91" s="317">
        <v>0</v>
      </c>
      <c r="O91" s="317">
        <v>0</v>
      </c>
      <c r="P91" s="317">
        <v>7.9891100000000002</v>
      </c>
      <c r="Q91" s="317">
        <v>0</v>
      </c>
      <c r="R91" s="317">
        <v>4.7931000000000001E-2</v>
      </c>
      <c r="S91" s="317">
        <v>0</v>
      </c>
      <c r="T91" s="317">
        <v>15</v>
      </c>
      <c r="U91" s="317">
        <v>0</v>
      </c>
    </row>
    <row r="92" spans="1:21" ht="15.9">
      <c r="A92" s="315" t="s">
        <v>281</v>
      </c>
      <c r="B92" s="316">
        <v>80</v>
      </c>
      <c r="C92" s="316">
        <v>0</v>
      </c>
      <c r="D92" s="316">
        <v>0</v>
      </c>
      <c r="E92" s="316">
        <v>0</v>
      </c>
      <c r="F92" s="316">
        <v>0</v>
      </c>
      <c r="G92" s="316">
        <v>0</v>
      </c>
      <c r="H92" s="316">
        <v>20</v>
      </c>
      <c r="I92" s="316">
        <v>25</v>
      </c>
      <c r="J92" s="316">
        <v>0</v>
      </c>
      <c r="K92" s="316">
        <v>0</v>
      </c>
      <c r="L92" s="316">
        <v>0</v>
      </c>
      <c r="M92" s="316">
        <v>0</v>
      </c>
      <c r="N92" s="317">
        <v>0</v>
      </c>
      <c r="O92" s="317">
        <v>0</v>
      </c>
      <c r="P92" s="320">
        <v>5.1817299999999999</v>
      </c>
      <c r="Q92" s="320">
        <v>0</v>
      </c>
      <c r="R92" s="320">
        <v>3.4106999999999998E-2</v>
      </c>
      <c r="S92" s="320">
        <v>0</v>
      </c>
      <c r="T92" s="320">
        <v>15</v>
      </c>
      <c r="U92" s="320">
        <v>0</v>
      </c>
    </row>
    <row r="93" spans="1:21" ht="15.9">
      <c r="A93" s="315" t="s">
        <v>282</v>
      </c>
      <c r="B93" s="316">
        <v>80</v>
      </c>
      <c r="C93" s="316">
        <v>0</v>
      </c>
      <c r="D93" s="316">
        <v>0</v>
      </c>
      <c r="E93" s="316">
        <v>0</v>
      </c>
      <c r="F93" s="316">
        <v>0</v>
      </c>
      <c r="G93" s="316">
        <v>0</v>
      </c>
      <c r="H93" s="316">
        <v>20</v>
      </c>
      <c r="I93" s="316">
        <v>27</v>
      </c>
      <c r="J93" s="316">
        <v>0</v>
      </c>
      <c r="K93" s="316">
        <v>0</v>
      </c>
      <c r="L93" s="316">
        <v>0</v>
      </c>
      <c r="M93" s="316">
        <v>0</v>
      </c>
      <c r="N93" s="317">
        <v>0</v>
      </c>
      <c r="O93" s="317">
        <v>0</v>
      </c>
      <c r="P93" s="317">
        <v>5.0109399999999997</v>
      </c>
      <c r="Q93" s="317">
        <v>0</v>
      </c>
      <c r="R93" s="317">
        <v>3.9057000000000001E-2</v>
      </c>
      <c r="S93" s="317">
        <v>0</v>
      </c>
      <c r="T93" s="317">
        <v>10</v>
      </c>
      <c r="U93" s="317">
        <v>0</v>
      </c>
    </row>
    <row r="94" spans="1:21" ht="15.9">
      <c r="A94" s="315" t="s">
        <v>283</v>
      </c>
      <c r="B94" s="316">
        <v>80</v>
      </c>
      <c r="C94" s="316">
        <v>0</v>
      </c>
      <c r="D94" s="316">
        <v>0</v>
      </c>
      <c r="E94" s="316">
        <v>0</v>
      </c>
      <c r="F94" s="316">
        <v>0</v>
      </c>
      <c r="G94" s="316">
        <v>0</v>
      </c>
      <c r="H94" s="316">
        <v>25</v>
      </c>
      <c r="I94" s="316">
        <v>27</v>
      </c>
      <c r="J94" s="316">
        <v>0</v>
      </c>
      <c r="K94" s="316">
        <v>0</v>
      </c>
      <c r="L94" s="316">
        <v>0</v>
      </c>
      <c r="M94" s="316">
        <v>0</v>
      </c>
      <c r="N94" s="317">
        <v>0</v>
      </c>
      <c r="O94" s="317">
        <v>0</v>
      </c>
      <c r="P94" s="317">
        <v>5.0879200000000004</v>
      </c>
      <c r="Q94" s="317">
        <v>0</v>
      </c>
      <c r="R94" s="317">
        <v>3.4528999999999997E-2</v>
      </c>
      <c r="S94" s="317">
        <v>0</v>
      </c>
      <c r="T94" s="317">
        <v>15</v>
      </c>
      <c r="U94" s="317">
        <v>0</v>
      </c>
    </row>
    <row r="95" spans="1:21" ht="22.5" customHeight="1">
      <c r="A95" s="315" t="s">
        <v>284</v>
      </c>
      <c r="B95" s="316">
        <v>190</v>
      </c>
      <c r="C95" s="316">
        <v>0</v>
      </c>
      <c r="D95" s="316">
        <v>0</v>
      </c>
      <c r="E95" s="316">
        <v>0</v>
      </c>
      <c r="F95" s="316">
        <v>0</v>
      </c>
      <c r="G95" s="316">
        <v>0</v>
      </c>
      <c r="H95" s="316">
        <v>45</v>
      </c>
      <c r="I95" s="316">
        <v>48</v>
      </c>
      <c r="J95" s="316">
        <v>0</v>
      </c>
      <c r="K95" s="316">
        <v>47</v>
      </c>
      <c r="L95" s="316">
        <v>47</v>
      </c>
      <c r="M95" s="316">
        <v>0</v>
      </c>
      <c r="N95" s="317">
        <v>0</v>
      </c>
      <c r="O95" s="317">
        <v>0</v>
      </c>
      <c r="P95" s="317">
        <v>5.1147999999999998</v>
      </c>
      <c r="Q95" s="317">
        <v>0</v>
      </c>
      <c r="R95" s="317">
        <v>4.7442999999999999E-2</v>
      </c>
      <c r="S95" s="317">
        <v>0</v>
      </c>
      <c r="T95" s="317">
        <v>0</v>
      </c>
      <c r="U95" s="317">
        <v>0</v>
      </c>
    </row>
    <row r="96" spans="1:21" ht="15.9">
      <c r="A96" s="315" t="s">
        <v>285</v>
      </c>
      <c r="B96" s="316">
        <v>190</v>
      </c>
      <c r="C96" s="316">
        <v>5</v>
      </c>
      <c r="D96" s="316">
        <v>0</v>
      </c>
      <c r="E96" s="316">
        <v>0</v>
      </c>
      <c r="F96" s="316">
        <v>0</v>
      </c>
      <c r="G96" s="316">
        <v>0</v>
      </c>
      <c r="H96" s="316">
        <v>25</v>
      </c>
      <c r="I96" s="316">
        <v>46</v>
      </c>
      <c r="J96" s="316">
        <v>0</v>
      </c>
      <c r="K96" s="316">
        <v>44</v>
      </c>
      <c r="L96" s="316">
        <v>43</v>
      </c>
      <c r="M96" s="316">
        <v>0</v>
      </c>
      <c r="N96" s="317">
        <v>0</v>
      </c>
      <c r="O96" s="317">
        <v>0</v>
      </c>
      <c r="P96" s="317">
        <v>5</v>
      </c>
      <c r="Q96" s="317">
        <v>0</v>
      </c>
      <c r="R96" s="317">
        <v>0</v>
      </c>
      <c r="S96" s="317">
        <v>0</v>
      </c>
      <c r="T96" s="317">
        <v>3</v>
      </c>
      <c r="U96" s="317">
        <v>0</v>
      </c>
    </row>
    <row r="97" spans="1:21" ht="15.9">
      <c r="A97" s="315" t="s">
        <v>286</v>
      </c>
      <c r="B97" s="316">
        <v>160</v>
      </c>
      <c r="C97" s="316">
        <v>0</v>
      </c>
      <c r="D97" s="316">
        <v>0</v>
      </c>
      <c r="E97" s="316">
        <v>0</v>
      </c>
      <c r="F97" s="316">
        <v>0</v>
      </c>
      <c r="G97" s="316">
        <v>0</v>
      </c>
      <c r="H97" s="316">
        <v>25</v>
      </c>
      <c r="I97" s="316">
        <v>41</v>
      </c>
      <c r="J97" s="316">
        <v>0</v>
      </c>
      <c r="K97" s="316">
        <v>40</v>
      </c>
      <c r="L97" s="316">
        <v>38</v>
      </c>
      <c r="M97" s="316">
        <v>0</v>
      </c>
      <c r="N97" s="317">
        <v>0</v>
      </c>
      <c r="O97" s="317">
        <v>0</v>
      </c>
      <c r="P97" s="317">
        <v>5.8246200000000004</v>
      </c>
      <c r="Q97" s="317">
        <v>0</v>
      </c>
      <c r="R97" s="317">
        <v>3.4459999999999998E-2</v>
      </c>
      <c r="S97" s="317">
        <v>0</v>
      </c>
      <c r="T97" s="317">
        <v>0</v>
      </c>
      <c r="U97" s="317">
        <v>0</v>
      </c>
    </row>
    <row r="98" spans="1:21" ht="15.9">
      <c r="A98" s="315" t="s">
        <v>287</v>
      </c>
      <c r="B98" s="316">
        <v>180</v>
      </c>
      <c r="C98" s="316">
        <v>15</v>
      </c>
      <c r="D98" s="316">
        <v>2</v>
      </c>
      <c r="E98" s="316">
        <v>1.5</v>
      </c>
      <c r="F98" s="316">
        <v>0</v>
      </c>
      <c r="G98" s="316">
        <v>0</v>
      </c>
      <c r="H98" s="316">
        <v>45</v>
      </c>
      <c r="I98" s="316">
        <v>40</v>
      </c>
      <c r="J98" s="316">
        <v>0</v>
      </c>
      <c r="K98" s="316">
        <v>38</v>
      </c>
      <c r="L98" s="316">
        <v>38</v>
      </c>
      <c r="M98" s="316">
        <v>0</v>
      </c>
      <c r="N98" s="317">
        <v>0</v>
      </c>
      <c r="O98" s="317">
        <v>0</v>
      </c>
      <c r="P98" s="317">
        <v>5.2641900000000001</v>
      </c>
      <c r="Q98" s="317">
        <v>0</v>
      </c>
      <c r="R98" s="317">
        <v>6.8765000000000007E-2</v>
      </c>
      <c r="S98" s="317">
        <v>0</v>
      </c>
      <c r="T98" s="317">
        <v>15</v>
      </c>
      <c r="U98" s="317">
        <v>0</v>
      </c>
    </row>
    <row r="99" spans="1:21" ht="15.9">
      <c r="A99" s="321" t="s">
        <v>288</v>
      </c>
      <c r="B99" s="317">
        <v>150</v>
      </c>
      <c r="C99" s="317">
        <v>0</v>
      </c>
      <c r="D99" s="317">
        <v>0</v>
      </c>
      <c r="E99" s="317">
        <v>0</v>
      </c>
      <c r="F99" s="317">
        <v>0</v>
      </c>
      <c r="G99" s="317">
        <v>0</v>
      </c>
      <c r="H99" s="317">
        <v>25</v>
      </c>
      <c r="I99" s="317">
        <v>39</v>
      </c>
      <c r="J99" s="316">
        <v>0</v>
      </c>
      <c r="K99" s="317">
        <v>37</v>
      </c>
      <c r="L99" s="317">
        <v>37</v>
      </c>
      <c r="M99" s="317">
        <v>0</v>
      </c>
      <c r="N99" s="317">
        <v>0</v>
      </c>
      <c r="O99" s="317">
        <v>0</v>
      </c>
      <c r="P99" s="316">
        <v>5.1665299999999998</v>
      </c>
      <c r="Q99" s="316">
        <v>0</v>
      </c>
      <c r="R99" s="316">
        <v>3.5331000000000001E-2</v>
      </c>
      <c r="S99" s="316">
        <v>0</v>
      </c>
      <c r="T99" s="316">
        <v>10</v>
      </c>
      <c r="U99" s="316">
        <v>0</v>
      </c>
    </row>
    <row r="100" spans="1:21" ht="15.75" customHeight="1">
      <c r="A100" s="322" t="s">
        <v>289</v>
      </c>
      <c r="B100" s="317">
        <v>220</v>
      </c>
      <c r="C100" s="317">
        <v>30</v>
      </c>
      <c r="D100" s="317">
        <v>3.5</v>
      </c>
      <c r="E100" s="317">
        <v>2.5</v>
      </c>
      <c r="F100" s="317">
        <v>0</v>
      </c>
      <c r="G100" s="317">
        <v>0</v>
      </c>
      <c r="H100" s="317">
        <v>40</v>
      </c>
      <c r="I100" s="317">
        <v>50</v>
      </c>
      <c r="J100" s="316">
        <v>0</v>
      </c>
      <c r="K100" s="317">
        <v>47</v>
      </c>
      <c r="L100" s="317">
        <v>46</v>
      </c>
      <c r="M100" s="317">
        <v>0</v>
      </c>
      <c r="N100" s="317">
        <v>0</v>
      </c>
      <c r="O100" s="317">
        <v>0</v>
      </c>
      <c r="P100" s="317">
        <v>7.4710400000000003</v>
      </c>
      <c r="Q100" s="317">
        <v>0</v>
      </c>
      <c r="R100" s="317">
        <v>0.56557100000000005</v>
      </c>
      <c r="S100" s="317">
        <v>4</v>
      </c>
      <c r="T100" s="317">
        <v>35</v>
      </c>
      <c r="U100" s="317">
        <v>1</v>
      </c>
    </row>
    <row r="101" spans="1:21" ht="15.9">
      <c r="A101" s="321" t="s">
        <v>290</v>
      </c>
      <c r="B101" s="317">
        <v>180</v>
      </c>
      <c r="C101" s="317">
        <v>0</v>
      </c>
      <c r="D101" s="317">
        <v>0</v>
      </c>
      <c r="E101" s="317">
        <v>0</v>
      </c>
      <c r="F101" s="317">
        <v>0</v>
      </c>
      <c r="G101" s="317">
        <v>0</v>
      </c>
      <c r="H101" s="317">
        <v>25</v>
      </c>
      <c r="I101" s="317">
        <v>45</v>
      </c>
      <c r="J101" s="316">
        <v>0</v>
      </c>
      <c r="K101" s="317">
        <v>43</v>
      </c>
      <c r="L101" s="317">
        <v>43</v>
      </c>
      <c r="M101" s="317">
        <v>0</v>
      </c>
      <c r="N101" s="317">
        <v>0</v>
      </c>
      <c r="O101" s="317">
        <v>0</v>
      </c>
      <c r="P101" s="317">
        <v>5.2313599999999996</v>
      </c>
      <c r="Q101" s="317">
        <v>0</v>
      </c>
      <c r="R101" s="317">
        <v>4.7388E-2</v>
      </c>
      <c r="S101" s="317">
        <v>0</v>
      </c>
      <c r="T101" s="317">
        <v>5</v>
      </c>
      <c r="U101" s="317">
        <v>0</v>
      </c>
    </row>
    <row r="102" spans="1:21" ht="15.9">
      <c r="A102" s="315" t="s">
        <v>291</v>
      </c>
      <c r="B102" s="317">
        <v>170</v>
      </c>
      <c r="C102" s="317">
        <v>0</v>
      </c>
      <c r="D102" s="317">
        <v>0</v>
      </c>
      <c r="E102" s="317">
        <v>0</v>
      </c>
      <c r="F102" s="317">
        <v>0</v>
      </c>
      <c r="G102" s="317">
        <v>0</v>
      </c>
      <c r="H102" s="317">
        <v>25</v>
      </c>
      <c r="I102" s="317">
        <v>44</v>
      </c>
      <c r="J102" s="316">
        <v>0</v>
      </c>
      <c r="K102" s="317">
        <v>42</v>
      </c>
      <c r="L102" s="317">
        <v>42</v>
      </c>
      <c r="M102" s="317">
        <v>0</v>
      </c>
      <c r="N102" s="317">
        <v>0</v>
      </c>
      <c r="O102" s="317">
        <v>0</v>
      </c>
      <c r="P102" s="317">
        <v>6.2783100000000003</v>
      </c>
      <c r="Q102" s="317">
        <v>0</v>
      </c>
      <c r="R102" s="317">
        <v>8.3950999999999998E-2</v>
      </c>
      <c r="S102" s="317">
        <v>0</v>
      </c>
      <c r="T102" s="317">
        <v>5</v>
      </c>
      <c r="U102" s="317">
        <v>0</v>
      </c>
    </row>
    <row r="103" spans="1:21" ht="15.9">
      <c r="A103" s="315" t="s">
        <v>292</v>
      </c>
      <c r="B103" s="317">
        <v>160</v>
      </c>
      <c r="C103" s="317">
        <v>0</v>
      </c>
      <c r="D103" s="317">
        <v>0</v>
      </c>
      <c r="E103" s="317">
        <v>0</v>
      </c>
      <c r="F103" s="317">
        <v>0</v>
      </c>
      <c r="G103" s="317">
        <v>0</v>
      </c>
      <c r="H103" s="317">
        <v>15</v>
      </c>
      <c r="I103" s="317">
        <v>39</v>
      </c>
      <c r="J103" s="316">
        <v>0</v>
      </c>
      <c r="K103" s="317">
        <v>36</v>
      </c>
      <c r="L103" s="317">
        <v>36</v>
      </c>
      <c r="M103" s="317">
        <v>0</v>
      </c>
      <c r="N103" s="317">
        <v>0</v>
      </c>
      <c r="O103" s="317">
        <v>0</v>
      </c>
      <c r="P103" s="317">
        <v>6.3805300000000003</v>
      </c>
      <c r="Q103" s="317">
        <v>0</v>
      </c>
      <c r="R103" s="317">
        <v>4.1008000000000003E-2</v>
      </c>
      <c r="S103" s="317">
        <v>0</v>
      </c>
      <c r="T103" s="317">
        <v>15</v>
      </c>
      <c r="U103" s="317">
        <v>0</v>
      </c>
    </row>
    <row r="104" spans="1:21" ht="15.9">
      <c r="A104" s="321" t="s">
        <v>293</v>
      </c>
      <c r="B104" s="317">
        <v>160</v>
      </c>
      <c r="C104" s="317">
        <v>0</v>
      </c>
      <c r="D104" s="317">
        <v>0</v>
      </c>
      <c r="E104" s="317">
        <v>0</v>
      </c>
      <c r="F104" s="317">
        <v>0</v>
      </c>
      <c r="G104" s="317">
        <v>0</v>
      </c>
      <c r="H104" s="317">
        <v>75</v>
      </c>
      <c r="I104" s="317">
        <v>42</v>
      </c>
      <c r="J104" s="316">
        <v>0</v>
      </c>
      <c r="K104" s="317">
        <v>38</v>
      </c>
      <c r="L104" s="317">
        <v>38</v>
      </c>
      <c r="M104" s="317">
        <v>0</v>
      </c>
      <c r="N104" s="317">
        <v>0</v>
      </c>
      <c r="O104" s="317">
        <v>0</v>
      </c>
      <c r="P104" s="317">
        <v>6</v>
      </c>
      <c r="Q104" s="317">
        <v>0</v>
      </c>
      <c r="R104" s="317">
        <v>0</v>
      </c>
      <c r="S104" s="317">
        <v>0</v>
      </c>
      <c r="T104" s="317">
        <v>15</v>
      </c>
      <c r="U104" s="317">
        <v>0</v>
      </c>
    </row>
    <row r="107" spans="1:21">
      <c r="A107" s="323" t="s">
        <v>294</v>
      </c>
      <c r="B107" s="324" t="str">
        <f>MIN(B4:B104) &amp;" - "&amp; MAX(B4:B104)</f>
        <v>70 - 250</v>
      </c>
      <c r="C107" s="324" t="str">
        <f t="shared" ref="C107:U107" si="0">MIN(C4:C104) &amp;" - "&amp; MAX(C4:C104)</f>
        <v>0 - 50</v>
      </c>
      <c r="D107" s="324" t="str">
        <f t="shared" si="0"/>
        <v>0 - 6</v>
      </c>
      <c r="E107" s="324" t="str">
        <f t="shared" si="0"/>
        <v>0 - 3</v>
      </c>
      <c r="F107" s="324" t="str">
        <f t="shared" si="0"/>
        <v>0 - 0</v>
      </c>
      <c r="G107" s="324" t="str">
        <f t="shared" si="0"/>
        <v>0 - 0</v>
      </c>
      <c r="H107" s="324" t="str">
        <f t="shared" si="0"/>
        <v>5 - 110</v>
      </c>
      <c r="I107" s="324" t="str">
        <f t="shared" si="0"/>
        <v>25 - 61</v>
      </c>
      <c r="J107" s="324" t="str">
        <f t="shared" si="0"/>
        <v>0 - 0</v>
      </c>
      <c r="K107" s="324" t="str">
        <f t="shared" si="0"/>
        <v>0 - 60</v>
      </c>
      <c r="L107" s="324" t="str">
        <f t="shared" si="0"/>
        <v>0 - 60</v>
      </c>
      <c r="M107" s="324" t="str">
        <f t="shared" si="0"/>
        <v>0 - 2</v>
      </c>
      <c r="N107" s="324" t="str">
        <f t="shared" si="0"/>
        <v>0 - 0</v>
      </c>
      <c r="O107" s="324" t="str">
        <f t="shared" si="0"/>
        <v>0 - 0</v>
      </c>
      <c r="P107" s="324" t="str">
        <f t="shared" si="0"/>
        <v>3.96983 - 22.5301</v>
      </c>
      <c r="Q107" s="324" t="str">
        <f t="shared" si="0"/>
        <v>0 - 2</v>
      </c>
      <c r="R107" s="324" t="str">
        <f t="shared" si="0"/>
        <v>0 - 1.00051</v>
      </c>
      <c r="S107" s="324" t="str">
        <f t="shared" si="0"/>
        <v>0 - 6</v>
      </c>
      <c r="T107" s="324" t="str">
        <f t="shared" si="0"/>
        <v>0 - 170</v>
      </c>
      <c r="U107" s="324" t="str">
        <f t="shared" si="0"/>
        <v>0 - 5</v>
      </c>
    </row>
    <row r="108" spans="1:21">
      <c r="A108" s="323" t="s">
        <v>295</v>
      </c>
      <c r="B108" s="325">
        <f>AVERAGE(B4:B104)</f>
        <v>167.82178217821783</v>
      </c>
      <c r="C108" s="325">
        <f t="shared" ref="C108:U108" si="1">AVERAGE(C4:C104)</f>
        <v>7.8217821782178216</v>
      </c>
      <c r="D108" s="325">
        <f t="shared" si="1"/>
        <v>0.85643564356435642</v>
      </c>
      <c r="E108" s="325">
        <f t="shared" si="1"/>
        <v>0.60396039603960394</v>
      </c>
      <c r="F108" s="325">
        <f t="shared" si="1"/>
        <v>0</v>
      </c>
      <c r="G108" s="325">
        <f t="shared" si="1"/>
        <v>0</v>
      </c>
      <c r="H108" s="325">
        <f t="shared" si="1"/>
        <v>32.920792079207921</v>
      </c>
      <c r="I108" s="325">
        <f t="shared" si="1"/>
        <v>40.485148514851488</v>
      </c>
      <c r="J108" s="325">
        <f t="shared" si="1"/>
        <v>0</v>
      </c>
      <c r="K108" s="325">
        <f t="shared" si="1"/>
        <v>36.861386138613859</v>
      </c>
      <c r="L108" s="325">
        <f t="shared" si="1"/>
        <v>32.950495049504951</v>
      </c>
      <c r="M108" s="325">
        <f t="shared" si="1"/>
        <v>0.11881188118811881</v>
      </c>
      <c r="N108" s="325">
        <f t="shared" si="1"/>
        <v>0</v>
      </c>
      <c r="O108" s="325">
        <f t="shared" si="1"/>
        <v>0</v>
      </c>
      <c r="P108" s="325">
        <f t="shared" si="1"/>
        <v>7.4750803960396004</v>
      </c>
      <c r="Q108" s="325">
        <f t="shared" si="1"/>
        <v>0.29702970297029702</v>
      </c>
      <c r="R108" s="325">
        <f t="shared" si="1"/>
        <v>0.14359310891089103</v>
      </c>
      <c r="S108" s="325">
        <f t="shared" si="1"/>
        <v>0.59405940594059403</v>
      </c>
      <c r="T108" s="325">
        <f t="shared" si="1"/>
        <v>23.178217821782177</v>
      </c>
      <c r="U108" s="325">
        <f t="shared" si="1"/>
        <v>0.5544554455445545</v>
      </c>
    </row>
  </sheetData>
  <mergeCells count="2">
    <mergeCell ref="A1:U1"/>
    <mergeCell ref="A2:U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04499-112A-4ECB-BFC1-260EF064A356}">
  <dimension ref="A1:AP100"/>
  <sheetViews>
    <sheetView zoomScale="90" zoomScaleNormal="90" zoomScalePageLayoutView="80" workbookViewId="0">
      <pane xSplit="2" ySplit="3" topLeftCell="C22" activePane="bottomRight" state="frozen"/>
      <selection pane="topRight" activeCell="C1" sqref="C1"/>
      <selection pane="bottomLeft" activeCell="A4" sqref="A4"/>
      <selection pane="bottomRight" activeCell="F42" sqref="F42"/>
    </sheetView>
    <sheetView zoomScale="90" zoomScaleNormal="90" workbookViewId="1">
      <pane xSplit="2" ySplit="3" topLeftCell="C4" activePane="bottomRight" state="frozen"/>
      <selection pane="topRight" activeCell="C1" sqref="C1"/>
      <selection pane="bottomLeft" activeCell="A4" sqref="A4"/>
      <selection pane="bottomRight" activeCell="R3" sqref="R3"/>
    </sheetView>
    <sheetView tabSelected="1" zoomScale="70" zoomScaleNormal="70" workbookViewId="2">
      <selection activeCell="AS18" sqref="AS18"/>
    </sheetView>
  </sheetViews>
  <sheetFormatPr defaultColWidth="8.84375" defaultRowHeight="15.9"/>
  <cols>
    <col min="1" max="1" width="17.69140625" style="1018" bestFit="1" customWidth="1"/>
    <col min="2" max="2" width="36.69140625" style="1066" customWidth="1"/>
    <col min="3" max="3" width="14.3828125" style="1061" hidden="1" customWidth="1"/>
    <col min="4" max="4" width="14.3828125" style="1018" customWidth="1"/>
    <col min="5" max="5" width="10.53515625" style="1061" hidden="1" customWidth="1"/>
    <col min="6" max="6" width="12.3828125" style="1018" customWidth="1"/>
    <col min="7" max="7" width="8.53515625" style="1061" hidden="1" customWidth="1"/>
    <col min="8" max="8" width="8.53515625" style="1018" customWidth="1"/>
    <col min="9" max="9" width="11.53515625" style="1061" hidden="1" customWidth="1"/>
    <col min="10" max="10" width="11.53515625" style="1062" customWidth="1"/>
    <col min="11" max="11" width="8.53515625" style="1061" hidden="1" customWidth="1"/>
    <col min="12" max="12" width="8.53515625" style="1018" customWidth="1"/>
    <col min="13" max="13" width="11.53515625" style="1063" hidden="1" customWidth="1"/>
    <col min="14" max="14" width="14.84375" style="1018" bestFit="1" customWidth="1"/>
    <col min="15" max="15" width="9.53515625" style="1064" hidden="1" customWidth="1"/>
    <col min="16" max="16" width="9.53515625" style="1018" customWidth="1"/>
    <col min="17" max="17" width="16.84375" style="1063" hidden="1" customWidth="1"/>
    <col min="18" max="18" width="16.84375" style="1065" customWidth="1"/>
    <col min="19" max="19" width="9" style="1061" hidden="1" customWidth="1"/>
    <col min="20" max="20" width="14" style="1018" bestFit="1" customWidth="1"/>
    <col min="21" max="21" width="11.3828125" style="1063" hidden="1" customWidth="1"/>
    <col min="22" max="22" width="11.3828125" style="1018" customWidth="1"/>
    <col min="23" max="23" width="10.84375" style="1061" hidden="1" customWidth="1"/>
    <col min="24" max="24" width="10.84375" style="1018" customWidth="1"/>
    <col min="25" max="25" width="9" style="1061" hidden="1" customWidth="1"/>
    <col min="26" max="26" width="13.84375" style="1018" bestFit="1" customWidth="1"/>
    <col min="27" max="27" width="11.53515625" style="1075" hidden="1" customWidth="1"/>
    <col min="28" max="28" width="11.53515625" style="1018" customWidth="1"/>
    <col min="29" max="29" width="8.53515625" style="1075" hidden="1" customWidth="1"/>
    <col min="30" max="30" width="10.3828125" style="1018" customWidth="1"/>
    <col min="31" max="31" width="11.53515625" style="1061" hidden="1" customWidth="1"/>
    <col min="32" max="32" width="11.53515625" style="1018" customWidth="1"/>
    <col min="33" max="33" width="9.53515625" style="1061" hidden="1" customWidth="1"/>
    <col min="34" max="34" width="9.53515625" style="1018" customWidth="1"/>
    <col min="35" max="35" width="9" style="1061" hidden="1" customWidth="1"/>
    <col min="36" max="36" width="9" style="1018" customWidth="1"/>
    <col min="37" max="37" width="9" style="1061" hidden="1" customWidth="1"/>
    <col min="38" max="38" width="9" style="1018" customWidth="1"/>
    <col min="39" max="39" width="12.3828125" style="1061" hidden="1" customWidth="1"/>
    <col min="40" max="40" width="12.3828125" style="1018" customWidth="1"/>
    <col min="41" max="41" width="13" style="1061" hidden="1" customWidth="1"/>
    <col min="42" max="42" width="13" style="1018" customWidth="1"/>
    <col min="43" max="16384" width="8.84375" style="1018"/>
  </cols>
  <sheetData>
    <row r="1" spans="1:42" s="1019" customFormat="1" ht="18.45">
      <c r="A1" s="1205" t="s">
        <v>296</v>
      </c>
      <c r="B1" s="1205"/>
      <c r="C1" s="1205"/>
      <c r="D1" s="1205"/>
      <c r="E1" s="1205"/>
      <c r="F1" s="1205"/>
      <c r="G1" s="1205"/>
      <c r="H1" s="1205"/>
      <c r="I1" s="1205"/>
      <c r="J1" s="1205"/>
      <c r="K1" s="1205"/>
      <c r="L1" s="1205"/>
      <c r="M1" s="1205"/>
      <c r="N1" s="1205"/>
      <c r="O1" s="1205"/>
      <c r="P1" s="1205"/>
      <c r="Q1" s="1205"/>
      <c r="R1" s="1205"/>
      <c r="S1" s="1205"/>
      <c r="T1" s="1205"/>
      <c r="U1" s="1205"/>
      <c r="V1" s="1205"/>
      <c r="W1" s="1205"/>
      <c r="X1" s="1205"/>
      <c r="Y1" s="1205"/>
      <c r="Z1" s="1205"/>
      <c r="AA1" s="1205"/>
      <c r="AB1" s="1205"/>
      <c r="AC1" s="1205"/>
      <c r="AD1" s="1205"/>
      <c r="AE1" s="1205"/>
      <c r="AF1" s="1205"/>
      <c r="AG1" s="1205"/>
      <c r="AH1" s="1205"/>
      <c r="AI1" s="1205"/>
      <c r="AJ1" s="1205"/>
      <c r="AK1" s="1205"/>
      <c r="AL1" s="1205"/>
      <c r="AM1" s="1205"/>
      <c r="AN1" s="1205"/>
      <c r="AO1" s="1205"/>
      <c r="AP1" s="1206"/>
    </row>
    <row r="2" spans="1:42" s="1019" customFormat="1" ht="18.45">
      <c r="A2" s="1205" t="s">
        <v>297</v>
      </c>
      <c r="B2" s="1205"/>
      <c r="C2" s="1205"/>
      <c r="D2" s="1205"/>
      <c r="E2" s="1205"/>
      <c r="F2" s="1205"/>
      <c r="G2" s="1205"/>
      <c r="H2" s="1205"/>
      <c r="I2" s="1205"/>
      <c r="J2" s="1205"/>
      <c r="K2" s="1205"/>
      <c r="L2" s="1205"/>
      <c r="M2" s="1205"/>
      <c r="N2" s="1205"/>
      <c r="O2" s="1205"/>
      <c r="P2" s="1205"/>
      <c r="Q2" s="1205"/>
      <c r="R2" s="1205"/>
      <c r="S2" s="1205"/>
      <c r="T2" s="1205"/>
      <c r="U2" s="1205"/>
      <c r="V2" s="1205"/>
      <c r="W2" s="1205"/>
      <c r="X2" s="1205"/>
      <c r="Y2" s="1205"/>
      <c r="Z2" s="1205"/>
      <c r="AA2" s="1205"/>
      <c r="AB2" s="1205"/>
      <c r="AC2" s="1205"/>
      <c r="AD2" s="1205"/>
      <c r="AE2" s="1205"/>
      <c r="AF2" s="1205"/>
      <c r="AG2" s="1205"/>
      <c r="AH2" s="1205"/>
      <c r="AI2" s="1205"/>
      <c r="AJ2" s="1205"/>
      <c r="AK2" s="1205"/>
      <c r="AL2" s="1205"/>
      <c r="AM2" s="1205"/>
      <c r="AN2" s="1205"/>
      <c r="AO2" s="1205"/>
      <c r="AP2" s="1206"/>
    </row>
    <row r="3" spans="1:42" s="1019" customFormat="1" ht="47.6">
      <c r="A3" s="1077" t="s">
        <v>298</v>
      </c>
      <c r="B3" s="1078" t="s">
        <v>3</v>
      </c>
      <c r="C3" s="1020" t="s">
        <v>4</v>
      </c>
      <c r="D3" s="1021" t="s">
        <v>4</v>
      </c>
      <c r="E3" s="1020" t="s">
        <v>5</v>
      </c>
      <c r="F3" s="1021" t="s">
        <v>5</v>
      </c>
      <c r="G3" s="1020" t="s">
        <v>6</v>
      </c>
      <c r="H3" s="1022" t="s">
        <v>6</v>
      </c>
      <c r="I3" s="1020" t="s">
        <v>7</v>
      </c>
      <c r="J3" s="1022" t="s">
        <v>7</v>
      </c>
      <c r="K3" s="1020" t="s">
        <v>8</v>
      </c>
      <c r="L3" s="1021" t="s">
        <v>8</v>
      </c>
      <c r="M3" s="1020" t="s">
        <v>9</v>
      </c>
      <c r="N3" s="1021" t="s">
        <v>9</v>
      </c>
      <c r="O3" s="1020" t="s">
        <v>10</v>
      </c>
      <c r="P3" s="1021" t="s">
        <v>10</v>
      </c>
      <c r="Q3" s="1020" t="s">
        <v>11</v>
      </c>
      <c r="R3" s="1022" t="s">
        <v>11</v>
      </c>
      <c r="S3" s="1020" t="s">
        <v>12</v>
      </c>
      <c r="T3" s="1021" t="s">
        <v>12</v>
      </c>
      <c r="U3" s="1020" t="s">
        <v>13</v>
      </c>
      <c r="V3" s="1021" t="s">
        <v>13</v>
      </c>
      <c r="W3" s="1020" t="s">
        <v>14</v>
      </c>
      <c r="X3" s="1021" t="s">
        <v>14</v>
      </c>
      <c r="Y3" s="1020" t="s">
        <v>15</v>
      </c>
      <c r="Z3" s="1021" t="s">
        <v>15</v>
      </c>
      <c r="AA3" s="1067" t="s">
        <v>16</v>
      </c>
      <c r="AB3" s="1023" t="s">
        <v>16</v>
      </c>
      <c r="AC3" s="1067" t="s">
        <v>17</v>
      </c>
      <c r="AD3" s="1023" t="s">
        <v>17</v>
      </c>
      <c r="AE3" s="1080" t="s">
        <v>18</v>
      </c>
      <c r="AF3" s="1023" t="s">
        <v>18</v>
      </c>
      <c r="AG3" s="1080" t="s">
        <v>19</v>
      </c>
      <c r="AH3" s="1023" t="s">
        <v>19</v>
      </c>
      <c r="AI3" s="1080" t="s">
        <v>20</v>
      </c>
      <c r="AJ3" s="1023" t="s">
        <v>20</v>
      </c>
      <c r="AK3" s="1080" t="s">
        <v>21</v>
      </c>
      <c r="AL3" s="1023" t="s">
        <v>21</v>
      </c>
      <c r="AM3" s="1080" t="s">
        <v>22</v>
      </c>
      <c r="AN3" s="1023" t="s">
        <v>22</v>
      </c>
      <c r="AO3" s="1080" t="s">
        <v>23</v>
      </c>
      <c r="AP3" s="1023" t="s">
        <v>23</v>
      </c>
    </row>
    <row r="4" spans="1:42">
      <c r="A4" s="1079" t="s">
        <v>296</v>
      </c>
      <c r="B4" s="1032" t="s">
        <v>299</v>
      </c>
      <c r="C4" s="1040">
        <v>180.57300000000001</v>
      </c>
      <c r="D4" s="1025">
        <f t="shared" ref="D4:D35" si="0">MROUND(C4,10)</f>
        <v>180</v>
      </c>
      <c r="E4" s="1040">
        <v>0</v>
      </c>
      <c r="F4" s="1026">
        <f>IF(E4&lt;5,0,(IF(E4&gt;50,MROUND(E4,10),MROUND(E4,5))))</f>
        <v>0</v>
      </c>
      <c r="G4" s="1040">
        <v>0</v>
      </c>
      <c r="H4" s="1027">
        <f t="shared" ref="H4:H14" si="1">IF(G4&lt;0.5,0,MROUND(G4,5))</f>
        <v>0</v>
      </c>
      <c r="I4" s="1040">
        <v>0</v>
      </c>
      <c r="J4" s="1028">
        <f t="shared" ref="J4:J14" si="2">IF(I4&lt;0.5,0,MROUND(I4,5))</f>
        <v>0</v>
      </c>
      <c r="K4" s="1040">
        <v>0</v>
      </c>
      <c r="L4" s="1026">
        <f t="shared" ref="L4:L35" si="3">IF(K4&lt;0.5,0,MROUND(K4,5))</f>
        <v>0</v>
      </c>
      <c r="M4" s="1040">
        <v>0</v>
      </c>
      <c r="N4" s="1029">
        <v>0</v>
      </c>
      <c r="O4" s="1040">
        <v>29.085000000000001</v>
      </c>
      <c r="P4" s="1025">
        <f t="shared" ref="P4:P35" si="4">MROUND(O4,5)</f>
        <v>30</v>
      </c>
      <c r="Q4" s="1040">
        <v>45.710999999999999</v>
      </c>
      <c r="R4" s="1025">
        <f t="shared" ref="R4:R35" si="5">(MROUND(Q4,1))</f>
        <v>46</v>
      </c>
      <c r="S4" s="1040">
        <v>1.4999999999999999E-2</v>
      </c>
      <c r="T4" s="1025">
        <v>0</v>
      </c>
      <c r="U4" s="1040">
        <v>44.305</v>
      </c>
      <c r="V4" s="1030">
        <f t="shared" ref="V4:V35" si="6">(MROUND(U4,1))</f>
        <v>44</v>
      </c>
      <c r="W4" s="1040">
        <v>42.853000000000002</v>
      </c>
      <c r="X4" s="1025">
        <f t="shared" ref="X4:X35" si="7">(MROUND(W4,1))</f>
        <v>43</v>
      </c>
      <c r="Y4" s="1040">
        <v>0</v>
      </c>
      <c r="Z4" s="1025">
        <v>0</v>
      </c>
      <c r="AA4" s="1068">
        <v>0</v>
      </c>
      <c r="AB4" s="1026">
        <f>MROUND(AA4,1)</f>
        <v>0</v>
      </c>
      <c r="AC4" s="1068">
        <v>0</v>
      </c>
      <c r="AD4" s="1076" t="str">
        <f>IF(AC4&lt;1,"*",IF(AC4&gt;1,((MROUND(AC4,2))*0.01)))</f>
        <v>*</v>
      </c>
      <c r="AE4" s="1040">
        <v>5.9340000000000002</v>
      </c>
      <c r="AF4" s="1026">
        <f>MROUND(AE4,1)</f>
        <v>6</v>
      </c>
      <c r="AG4" s="1040">
        <v>0.45600000000000002</v>
      </c>
      <c r="AH4" s="1076" t="str">
        <f>IF(AG4&lt;1,"*",IF(AG4&gt;1,((MROUND(AG4,2))*0.01)))</f>
        <v>*</v>
      </c>
      <c r="AI4" s="1040">
        <v>2.5000000000000001E-2</v>
      </c>
      <c r="AJ4" s="1026">
        <f>MROUND(AI4,1)</f>
        <v>0</v>
      </c>
      <c r="AK4" s="1040">
        <v>0.13600000000000001</v>
      </c>
      <c r="AL4" s="1076" t="str">
        <f>IF(AK4&lt;1,"*",IF(AK4&gt;1,((MROUND(AK4,2))*0.01)))</f>
        <v>*</v>
      </c>
      <c r="AM4" s="1040">
        <v>0.504</v>
      </c>
      <c r="AN4" s="1026">
        <f>MROUND(AM4,1)</f>
        <v>1</v>
      </c>
      <c r="AO4" s="1040">
        <v>1.0999999999999999E-2</v>
      </c>
      <c r="AP4" s="1076" t="str">
        <f>IF(AO4&lt;1,"*",IF(AO4&gt;1,((MROUND(AO4,2))*0.01)))</f>
        <v>*</v>
      </c>
    </row>
    <row r="5" spans="1:42">
      <c r="A5" s="1079" t="s">
        <v>296</v>
      </c>
      <c r="B5" s="1032" t="s">
        <v>26</v>
      </c>
      <c r="C5" s="1024">
        <v>215.023</v>
      </c>
      <c r="D5" s="1025">
        <f t="shared" si="0"/>
        <v>220</v>
      </c>
      <c r="E5" s="1024">
        <v>0.52100000000000002</v>
      </c>
      <c r="F5" s="1026">
        <f t="shared" ref="F5:F70" si="8">IF(E5&lt;5,0,(IF(E5&gt;50,MROUND(E5,10),MROUND(E5,5))))</f>
        <v>0</v>
      </c>
      <c r="G5" s="1024">
        <v>5.8000000000000003E-2</v>
      </c>
      <c r="H5" s="1027">
        <f t="shared" si="1"/>
        <v>0</v>
      </c>
      <c r="I5" s="1024">
        <v>4.8000000000000001E-2</v>
      </c>
      <c r="J5" s="1028">
        <f t="shared" si="2"/>
        <v>0</v>
      </c>
      <c r="K5" s="1024">
        <v>2E-3</v>
      </c>
      <c r="L5" s="1026">
        <f t="shared" si="3"/>
        <v>0</v>
      </c>
      <c r="M5" s="1024">
        <v>0</v>
      </c>
      <c r="N5" s="1029">
        <v>0</v>
      </c>
      <c r="O5" s="1024">
        <v>24.719000000000001</v>
      </c>
      <c r="P5" s="1025">
        <f t="shared" si="4"/>
        <v>25</v>
      </c>
      <c r="Q5" s="1024">
        <v>54.417000000000002</v>
      </c>
      <c r="R5" s="1025">
        <f t="shared" si="5"/>
        <v>54</v>
      </c>
      <c r="S5" s="1024">
        <v>0.23400000000000001</v>
      </c>
      <c r="T5" s="1025">
        <v>0</v>
      </c>
      <c r="U5" s="1024">
        <v>51.966999999999999</v>
      </c>
      <c r="V5" s="1030">
        <f t="shared" si="6"/>
        <v>52</v>
      </c>
      <c r="W5" s="1024">
        <v>50.423000000000002</v>
      </c>
      <c r="X5" s="1025">
        <f t="shared" si="7"/>
        <v>50</v>
      </c>
      <c r="Y5" s="1024">
        <v>8.3000000000000004E-2</v>
      </c>
      <c r="Z5" s="1025">
        <v>0</v>
      </c>
      <c r="AA5" s="1069">
        <v>0</v>
      </c>
      <c r="AB5" s="1026">
        <f t="shared" ref="AB5:AB68" si="9">MROUND(AA5,1)</f>
        <v>0</v>
      </c>
      <c r="AC5" s="1069">
        <v>0</v>
      </c>
      <c r="AD5" s="1076" t="str">
        <f t="shared" ref="AD5:AD68" si="10">IF(AC5&lt;1,"*",IF(AC5&gt;1,((MROUND(AC5,2))*0.01)))</f>
        <v>*</v>
      </c>
      <c r="AE5" s="1045">
        <v>5.5309999999999997</v>
      </c>
      <c r="AF5" s="1026">
        <f t="shared" ref="AF5:AF68" si="11">MROUND(AE5,1)</f>
        <v>6</v>
      </c>
      <c r="AG5" s="1045">
        <v>0.42499999999999999</v>
      </c>
      <c r="AH5" s="1076" t="str">
        <f t="shared" ref="AH5:AH68" si="12">IF(AG5&lt;1,"*",IF(AG5&gt;1,((MROUND(AG5,2))*0.01)))</f>
        <v>*</v>
      </c>
      <c r="AI5" s="1045">
        <v>4.2000000000000003E-2</v>
      </c>
      <c r="AJ5" s="1026">
        <f t="shared" ref="AJ5:AJ68" si="13">MROUND(AI5,1)</f>
        <v>0</v>
      </c>
      <c r="AK5" s="1045">
        <v>0.23300000000000001</v>
      </c>
      <c r="AL5" s="1076" t="str">
        <f t="shared" ref="AL5:AL68" si="14">IF(AK5&lt;1,"*",IF(AK5&gt;1,((MROUND(AK5,2))*0.01)))</f>
        <v>*</v>
      </c>
      <c r="AM5" s="1045">
        <v>42.167999999999999</v>
      </c>
      <c r="AN5" s="1026">
        <f t="shared" ref="AN5:AN68" si="15">MROUND(AM5,1)</f>
        <v>42</v>
      </c>
      <c r="AO5" s="1045">
        <v>0.89700000000000002</v>
      </c>
      <c r="AP5" s="1076" t="str">
        <f t="shared" ref="AP5:AP68" si="16">IF(AO5&lt;1,"*",IF(AO5&gt;1,((MROUND(AO5,2))*0.01)))</f>
        <v>*</v>
      </c>
    </row>
    <row r="6" spans="1:42">
      <c r="A6" s="1079" t="s">
        <v>296</v>
      </c>
      <c r="B6" s="1032" t="s">
        <v>29</v>
      </c>
      <c r="C6" s="1024">
        <v>203.96199999999999</v>
      </c>
      <c r="D6" s="1025">
        <f t="shared" si="0"/>
        <v>200</v>
      </c>
      <c r="E6" s="1024">
        <v>0</v>
      </c>
      <c r="F6" s="1026">
        <f t="shared" si="8"/>
        <v>0</v>
      </c>
      <c r="G6" s="1024">
        <v>0</v>
      </c>
      <c r="H6" s="1027">
        <f t="shared" si="1"/>
        <v>0</v>
      </c>
      <c r="I6" s="1024">
        <v>0</v>
      </c>
      <c r="J6" s="1028">
        <f t="shared" si="2"/>
        <v>0</v>
      </c>
      <c r="K6" s="1024">
        <v>0</v>
      </c>
      <c r="L6" s="1026">
        <f t="shared" si="3"/>
        <v>0</v>
      </c>
      <c r="M6" s="1024">
        <v>0</v>
      </c>
      <c r="N6" s="1029">
        <v>0</v>
      </c>
      <c r="O6" s="1024">
        <v>28.13</v>
      </c>
      <c r="P6" s="1025">
        <f t="shared" si="4"/>
        <v>30</v>
      </c>
      <c r="Q6" s="1024">
        <v>51.728999999999999</v>
      </c>
      <c r="R6" s="1025">
        <f t="shared" si="5"/>
        <v>52</v>
      </c>
      <c r="S6" s="1024">
        <v>2.1000000000000001E-2</v>
      </c>
      <c r="T6" s="1025">
        <v>0</v>
      </c>
      <c r="U6" s="1024">
        <v>50.412999999999997</v>
      </c>
      <c r="V6" s="1030">
        <f t="shared" si="6"/>
        <v>50</v>
      </c>
      <c r="W6" s="1024">
        <v>50.412999999999997</v>
      </c>
      <c r="X6" s="1025">
        <f t="shared" si="7"/>
        <v>50</v>
      </c>
      <c r="Y6" s="1024">
        <v>0</v>
      </c>
      <c r="Z6" s="1025">
        <v>0</v>
      </c>
      <c r="AA6" s="1069">
        <v>0</v>
      </c>
      <c r="AB6" s="1026">
        <f t="shared" si="9"/>
        <v>0</v>
      </c>
      <c r="AC6" s="1073">
        <v>0</v>
      </c>
      <c r="AD6" s="1076" t="str">
        <f t="shared" si="10"/>
        <v>*</v>
      </c>
      <c r="AE6" s="1046">
        <v>10.038</v>
      </c>
      <c r="AF6" s="1026">
        <f t="shared" si="11"/>
        <v>10</v>
      </c>
      <c r="AG6" s="1046">
        <v>0.77200000000000002</v>
      </c>
      <c r="AH6" s="1076" t="str">
        <f t="shared" si="12"/>
        <v>*</v>
      </c>
      <c r="AI6" s="1046">
        <v>0.36</v>
      </c>
      <c r="AJ6" s="1026">
        <f t="shared" si="13"/>
        <v>0</v>
      </c>
      <c r="AK6" s="1046">
        <v>2.0009999999999999</v>
      </c>
      <c r="AL6" s="1076">
        <f t="shared" si="14"/>
        <v>0.02</v>
      </c>
      <c r="AM6" s="1046">
        <v>47.768000000000001</v>
      </c>
      <c r="AN6" s="1026">
        <f t="shared" si="15"/>
        <v>48</v>
      </c>
      <c r="AO6" s="1046">
        <v>1.016</v>
      </c>
      <c r="AP6" s="1076">
        <f t="shared" si="16"/>
        <v>0.02</v>
      </c>
    </row>
    <row r="7" spans="1:42">
      <c r="A7" s="1079" t="s">
        <v>296</v>
      </c>
      <c r="B7" s="1032" t="s">
        <v>30</v>
      </c>
      <c r="C7" s="1045">
        <v>204.72900000000001</v>
      </c>
      <c r="D7" s="1025">
        <f t="shared" si="0"/>
        <v>200</v>
      </c>
      <c r="E7" s="1045">
        <v>0.2422</v>
      </c>
      <c r="F7" s="1026">
        <f t="shared" si="8"/>
        <v>0</v>
      </c>
      <c r="G7" s="1045">
        <v>0</v>
      </c>
      <c r="H7" s="1027">
        <f t="shared" si="1"/>
        <v>0</v>
      </c>
      <c r="I7" s="1045">
        <v>2E-3</v>
      </c>
      <c r="J7" s="1028">
        <f t="shared" si="2"/>
        <v>0</v>
      </c>
      <c r="K7" s="1024">
        <v>0</v>
      </c>
      <c r="L7" s="1026">
        <f t="shared" si="3"/>
        <v>0</v>
      </c>
      <c r="M7" s="1045">
        <v>0</v>
      </c>
      <c r="N7" s="1029">
        <v>0</v>
      </c>
      <c r="O7" s="1045">
        <v>28.408000000000001</v>
      </c>
      <c r="P7" s="1025">
        <f t="shared" si="4"/>
        <v>30</v>
      </c>
      <c r="Q7" s="1045">
        <v>51.866</v>
      </c>
      <c r="R7" s="1025">
        <f t="shared" si="5"/>
        <v>52</v>
      </c>
      <c r="S7" s="1024">
        <v>0.13400000000000001</v>
      </c>
      <c r="T7" s="1025">
        <v>0</v>
      </c>
      <c r="U7" s="1045">
        <v>50.371000000000002</v>
      </c>
      <c r="V7" s="1030">
        <f t="shared" si="6"/>
        <v>50</v>
      </c>
      <c r="W7" s="1045">
        <v>50.015999999999998</v>
      </c>
      <c r="X7" s="1025">
        <f t="shared" si="7"/>
        <v>50</v>
      </c>
      <c r="Y7" s="1045">
        <v>1.7999999999999999E-2</v>
      </c>
      <c r="Z7" s="1025">
        <v>0</v>
      </c>
      <c r="AA7" s="1069">
        <v>0</v>
      </c>
      <c r="AB7" s="1026">
        <f t="shared" si="9"/>
        <v>0</v>
      </c>
      <c r="AC7" s="1073">
        <v>0</v>
      </c>
      <c r="AD7" s="1076" t="str">
        <f t="shared" si="10"/>
        <v>*</v>
      </c>
      <c r="AE7" s="1046">
        <v>26.391999999999999</v>
      </c>
      <c r="AF7" s="1026">
        <f t="shared" si="11"/>
        <v>26</v>
      </c>
      <c r="AG7" s="1046">
        <v>2.0299999999999998</v>
      </c>
      <c r="AH7" s="1076">
        <f t="shared" si="12"/>
        <v>0.02</v>
      </c>
      <c r="AI7" s="1046">
        <v>0.19700000000000001</v>
      </c>
      <c r="AJ7" s="1026">
        <f t="shared" si="13"/>
        <v>0</v>
      </c>
      <c r="AK7" s="1046">
        <v>1.095</v>
      </c>
      <c r="AL7" s="1076">
        <f t="shared" si="14"/>
        <v>0.02</v>
      </c>
      <c r="AM7" s="1046">
        <v>5.0359999999999996</v>
      </c>
      <c r="AN7" s="1026">
        <f t="shared" si="15"/>
        <v>5</v>
      </c>
      <c r="AO7" s="1046">
        <v>0.107</v>
      </c>
      <c r="AP7" s="1076" t="str">
        <f t="shared" si="16"/>
        <v>*</v>
      </c>
    </row>
    <row r="8" spans="1:42">
      <c r="A8" s="1079" t="s">
        <v>296</v>
      </c>
      <c r="B8" s="1032" t="s">
        <v>300</v>
      </c>
      <c r="C8" s="1040">
        <v>146.50399999999999</v>
      </c>
      <c r="D8" s="1025">
        <f t="shared" si="0"/>
        <v>150</v>
      </c>
      <c r="E8" s="1040">
        <v>4.9099999999999998E-2</v>
      </c>
      <c r="F8" s="1026">
        <f t="shared" si="8"/>
        <v>0</v>
      </c>
      <c r="G8" s="1040">
        <v>3.6999999999999998E-2</v>
      </c>
      <c r="H8" s="1027">
        <f t="shared" si="1"/>
        <v>0</v>
      </c>
      <c r="I8" s="1040">
        <v>1E-3</v>
      </c>
      <c r="J8" s="1028">
        <f t="shared" si="2"/>
        <v>0</v>
      </c>
      <c r="K8" s="1040">
        <v>0</v>
      </c>
      <c r="L8" s="1026">
        <f t="shared" si="3"/>
        <v>0</v>
      </c>
      <c r="M8" s="1040">
        <v>0</v>
      </c>
      <c r="N8" s="1029">
        <v>0</v>
      </c>
      <c r="O8" s="1040">
        <v>25.664000000000001</v>
      </c>
      <c r="P8" s="1025">
        <f t="shared" si="4"/>
        <v>25</v>
      </c>
      <c r="Q8" s="1040">
        <v>38.036999999999999</v>
      </c>
      <c r="R8" s="1025">
        <f t="shared" si="5"/>
        <v>38</v>
      </c>
      <c r="S8" s="1040">
        <v>0.188</v>
      </c>
      <c r="T8" s="1025">
        <v>0</v>
      </c>
      <c r="U8" s="1040">
        <v>35.118000000000002</v>
      </c>
      <c r="V8" s="1030">
        <f t="shared" si="6"/>
        <v>35</v>
      </c>
      <c r="W8" s="1040">
        <v>34.481999999999999</v>
      </c>
      <c r="X8" s="1025">
        <f t="shared" si="7"/>
        <v>34</v>
      </c>
      <c r="Y8" s="1040">
        <v>0.11700000000000001</v>
      </c>
      <c r="Z8" s="1025">
        <v>0</v>
      </c>
      <c r="AA8" s="1068">
        <v>0</v>
      </c>
      <c r="AB8" s="1026">
        <f t="shared" si="9"/>
        <v>0</v>
      </c>
      <c r="AC8" s="1073">
        <v>0</v>
      </c>
      <c r="AD8" s="1076" t="str">
        <f t="shared" si="10"/>
        <v>*</v>
      </c>
      <c r="AE8" s="1046">
        <v>16.004999999999999</v>
      </c>
      <c r="AF8" s="1026">
        <f t="shared" si="11"/>
        <v>16</v>
      </c>
      <c r="AG8" s="1046">
        <v>1.2310000000000001</v>
      </c>
      <c r="AH8" s="1076">
        <f t="shared" si="12"/>
        <v>0.02</v>
      </c>
      <c r="AI8" s="1046">
        <v>7.0000000000000007E-2</v>
      </c>
      <c r="AJ8" s="1026">
        <f t="shared" si="13"/>
        <v>0</v>
      </c>
      <c r="AK8" s="1046">
        <v>0.39</v>
      </c>
      <c r="AL8" s="1076" t="str">
        <f t="shared" si="14"/>
        <v>*</v>
      </c>
      <c r="AM8" s="1046">
        <v>14.334</v>
      </c>
      <c r="AN8" s="1026">
        <f t="shared" si="15"/>
        <v>14</v>
      </c>
      <c r="AO8" s="1046">
        <v>0.30499999999999999</v>
      </c>
      <c r="AP8" s="1076" t="str">
        <f t="shared" si="16"/>
        <v>*</v>
      </c>
    </row>
    <row r="9" spans="1:42">
      <c r="A9" s="1079" t="s">
        <v>296</v>
      </c>
      <c r="B9" s="1032" t="s">
        <v>301</v>
      </c>
      <c r="C9" s="1040">
        <v>174.19399999999999</v>
      </c>
      <c r="D9" s="1025">
        <f t="shared" si="0"/>
        <v>170</v>
      </c>
      <c r="E9" s="1040">
        <v>7.4999999999999997E-2</v>
      </c>
      <c r="F9" s="1026">
        <f t="shared" si="8"/>
        <v>0</v>
      </c>
      <c r="G9" s="1040">
        <v>8.0000000000000002E-3</v>
      </c>
      <c r="H9" s="1027">
        <f t="shared" si="1"/>
        <v>0</v>
      </c>
      <c r="I9" s="1040">
        <v>2E-3</v>
      </c>
      <c r="J9" s="1028">
        <f t="shared" si="2"/>
        <v>0</v>
      </c>
      <c r="K9" s="1040">
        <v>0</v>
      </c>
      <c r="L9" s="1026">
        <f t="shared" si="3"/>
        <v>0</v>
      </c>
      <c r="M9" s="1040">
        <v>0</v>
      </c>
      <c r="N9" s="1029">
        <v>0</v>
      </c>
      <c r="O9" s="1040">
        <v>28.71</v>
      </c>
      <c r="P9" s="1025">
        <f t="shared" si="4"/>
        <v>30</v>
      </c>
      <c r="Q9" s="1040">
        <v>44.247</v>
      </c>
      <c r="R9" s="1025">
        <f t="shared" si="5"/>
        <v>44</v>
      </c>
      <c r="S9" s="1040">
        <v>0.04</v>
      </c>
      <c r="T9" s="1025">
        <v>0</v>
      </c>
      <c r="U9" s="1040">
        <v>42.265999999999998</v>
      </c>
      <c r="V9" s="1030">
        <f t="shared" si="6"/>
        <v>42</v>
      </c>
      <c r="W9" s="1040">
        <v>41.92</v>
      </c>
      <c r="X9" s="1025">
        <f t="shared" si="7"/>
        <v>42</v>
      </c>
      <c r="Y9" s="1040">
        <v>4.2000000000000003E-2</v>
      </c>
      <c r="Z9" s="1025">
        <v>0</v>
      </c>
      <c r="AA9" s="1068">
        <v>0</v>
      </c>
      <c r="AB9" s="1026">
        <f t="shared" si="9"/>
        <v>0</v>
      </c>
      <c r="AC9" s="1069">
        <v>0</v>
      </c>
      <c r="AD9" s="1076" t="str">
        <f t="shared" si="10"/>
        <v>*</v>
      </c>
      <c r="AE9" s="1045">
        <v>6.5910000000000002</v>
      </c>
      <c r="AF9" s="1026">
        <f t="shared" si="11"/>
        <v>7</v>
      </c>
      <c r="AG9" s="1045">
        <v>0.50700000000000001</v>
      </c>
      <c r="AH9" s="1076" t="str">
        <f t="shared" si="12"/>
        <v>*</v>
      </c>
      <c r="AI9" s="1045">
        <v>4.2999999999999997E-2</v>
      </c>
      <c r="AJ9" s="1026">
        <f t="shared" si="13"/>
        <v>0</v>
      </c>
      <c r="AK9" s="1045">
        <v>0.24</v>
      </c>
      <c r="AL9" s="1076" t="str">
        <f t="shared" si="14"/>
        <v>*</v>
      </c>
      <c r="AM9" s="1045">
        <v>0.69799999999999995</v>
      </c>
      <c r="AN9" s="1026">
        <f t="shared" si="15"/>
        <v>1</v>
      </c>
      <c r="AO9" s="1045">
        <v>1.4999999999999999E-2</v>
      </c>
      <c r="AP9" s="1076" t="str">
        <f t="shared" si="16"/>
        <v>*</v>
      </c>
    </row>
    <row r="10" spans="1:42" s="1031" customFormat="1">
      <c r="A10" s="1079" t="s">
        <v>296</v>
      </c>
      <c r="B10" s="1032" t="s">
        <v>302</v>
      </c>
      <c r="C10" s="1041">
        <v>186.99</v>
      </c>
      <c r="D10" s="1025">
        <f t="shared" si="0"/>
        <v>190</v>
      </c>
      <c r="E10" s="1041">
        <v>0</v>
      </c>
      <c r="F10" s="1026">
        <f t="shared" si="8"/>
        <v>0</v>
      </c>
      <c r="G10" s="1041">
        <v>0</v>
      </c>
      <c r="H10" s="1027">
        <f t="shared" si="1"/>
        <v>0</v>
      </c>
      <c r="I10" s="1041">
        <v>0</v>
      </c>
      <c r="J10" s="1028">
        <f t="shared" si="2"/>
        <v>0</v>
      </c>
      <c r="K10" s="1041">
        <v>0</v>
      </c>
      <c r="L10" s="1026">
        <f t="shared" si="3"/>
        <v>0</v>
      </c>
      <c r="M10" s="1041">
        <v>0</v>
      </c>
      <c r="N10" s="1029">
        <v>0</v>
      </c>
      <c r="O10" s="1041">
        <v>25.158999999999999</v>
      </c>
      <c r="P10" s="1025">
        <f t="shared" si="4"/>
        <v>25</v>
      </c>
      <c r="Q10" s="1041">
        <v>47.268000000000001</v>
      </c>
      <c r="R10" s="1025">
        <f t="shared" si="5"/>
        <v>47</v>
      </c>
      <c r="S10" s="1041">
        <v>0</v>
      </c>
      <c r="T10" s="1025">
        <v>0</v>
      </c>
      <c r="U10" s="1041">
        <v>45.468000000000004</v>
      </c>
      <c r="V10" s="1030">
        <f t="shared" si="6"/>
        <v>45</v>
      </c>
      <c r="W10" s="1041">
        <v>45.786999999999999</v>
      </c>
      <c r="X10" s="1025">
        <f t="shared" si="7"/>
        <v>46</v>
      </c>
      <c r="Y10" s="1041">
        <v>0</v>
      </c>
      <c r="Z10" s="1025">
        <v>0</v>
      </c>
      <c r="AA10" s="1070">
        <v>0</v>
      </c>
      <c r="AB10" s="1026">
        <f t="shared" si="9"/>
        <v>0</v>
      </c>
      <c r="AC10" s="1069">
        <v>0</v>
      </c>
      <c r="AD10" s="1076" t="str">
        <f t="shared" si="10"/>
        <v>*</v>
      </c>
      <c r="AE10" s="1045">
        <v>6.8209999999999997</v>
      </c>
      <c r="AF10" s="1026">
        <f t="shared" si="11"/>
        <v>7</v>
      </c>
      <c r="AG10" s="1045">
        <v>0.52500000000000002</v>
      </c>
      <c r="AH10" s="1076" t="str">
        <f t="shared" si="12"/>
        <v>*</v>
      </c>
      <c r="AI10" s="1045">
        <v>5.0999999999999997E-2</v>
      </c>
      <c r="AJ10" s="1026">
        <f t="shared" si="13"/>
        <v>0</v>
      </c>
      <c r="AK10" s="1045">
        <v>0.28299999999999997</v>
      </c>
      <c r="AL10" s="1076" t="str">
        <f t="shared" si="14"/>
        <v>*</v>
      </c>
      <c r="AM10" s="1045">
        <v>2.95</v>
      </c>
      <c r="AN10" s="1026">
        <f t="shared" si="15"/>
        <v>3</v>
      </c>
      <c r="AO10" s="1045">
        <v>6.3E-2</v>
      </c>
      <c r="AP10" s="1076" t="str">
        <f t="shared" si="16"/>
        <v>*</v>
      </c>
    </row>
    <row r="11" spans="1:42">
      <c r="A11" s="1079" t="s">
        <v>296</v>
      </c>
      <c r="B11" s="1032" t="s">
        <v>31</v>
      </c>
      <c r="C11" s="1024">
        <v>157.57599999999999</v>
      </c>
      <c r="D11" s="1025">
        <f t="shared" si="0"/>
        <v>160</v>
      </c>
      <c r="E11" s="1024">
        <v>0</v>
      </c>
      <c r="F11" s="1026">
        <f t="shared" si="8"/>
        <v>0</v>
      </c>
      <c r="G11" s="1024">
        <v>2.1000000000000001E-2</v>
      </c>
      <c r="H11" s="1027">
        <f t="shared" si="1"/>
        <v>0</v>
      </c>
      <c r="I11" s="1024">
        <v>0</v>
      </c>
      <c r="J11" s="1028">
        <f t="shared" si="2"/>
        <v>0</v>
      </c>
      <c r="K11" s="1024">
        <v>0</v>
      </c>
      <c r="L11" s="1026">
        <f t="shared" si="3"/>
        <v>0</v>
      </c>
      <c r="M11" s="1024">
        <v>0</v>
      </c>
      <c r="N11" s="1029">
        <v>0</v>
      </c>
      <c r="O11" s="1024">
        <v>27.006</v>
      </c>
      <c r="P11" s="1025">
        <f t="shared" si="4"/>
        <v>25</v>
      </c>
      <c r="Q11" s="1024">
        <v>40.533000000000001</v>
      </c>
      <c r="R11" s="1025">
        <f t="shared" si="5"/>
        <v>41</v>
      </c>
      <c r="S11" s="1024">
        <v>8.1000000000000003E-2</v>
      </c>
      <c r="T11" s="1025">
        <v>0</v>
      </c>
      <c r="U11" s="1024">
        <v>38.112000000000002</v>
      </c>
      <c r="V11" s="1030">
        <f t="shared" si="6"/>
        <v>38</v>
      </c>
      <c r="W11" s="1024">
        <v>36.841999999999999</v>
      </c>
      <c r="X11" s="1025">
        <f t="shared" si="7"/>
        <v>37</v>
      </c>
      <c r="Y11" s="1024">
        <v>2.1000000000000001E-2</v>
      </c>
      <c r="Z11" s="1025">
        <v>0</v>
      </c>
      <c r="AA11" s="1069">
        <v>0</v>
      </c>
      <c r="AB11" s="1026">
        <f t="shared" si="9"/>
        <v>0</v>
      </c>
      <c r="AC11" s="1068">
        <v>0</v>
      </c>
      <c r="AD11" s="1076" t="str">
        <f t="shared" si="10"/>
        <v>*</v>
      </c>
      <c r="AE11" s="1040">
        <v>8.4450000000000003</v>
      </c>
      <c r="AF11" s="1026">
        <f t="shared" si="11"/>
        <v>8</v>
      </c>
      <c r="AG11" s="1040">
        <v>0.65</v>
      </c>
      <c r="AH11" s="1076" t="str">
        <f t="shared" si="12"/>
        <v>*</v>
      </c>
      <c r="AI11" s="1040">
        <v>3.4000000000000002E-2</v>
      </c>
      <c r="AJ11" s="1026">
        <f t="shared" si="13"/>
        <v>0</v>
      </c>
      <c r="AK11" s="1040">
        <v>0.187</v>
      </c>
      <c r="AL11" s="1076" t="str">
        <f t="shared" si="14"/>
        <v>*</v>
      </c>
      <c r="AM11" s="1040">
        <v>26.524999999999999</v>
      </c>
      <c r="AN11" s="1026">
        <f t="shared" si="15"/>
        <v>27</v>
      </c>
      <c r="AO11" s="1040">
        <v>0.56399999999999995</v>
      </c>
      <c r="AP11" s="1076" t="str">
        <f t="shared" si="16"/>
        <v>*</v>
      </c>
    </row>
    <row r="12" spans="1:42" s="1038" customFormat="1">
      <c r="A12" s="1079" t="s">
        <v>296</v>
      </c>
      <c r="B12" s="1032" t="s">
        <v>32</v>
      </c>
      <c r="C12" s="1042">
        <v>170.202</v>
      </c>
      <c r="D12" s="1025">
        <f t="shared" si="0"/>
        <v>170</v>
      </c>
      <c r="E12" s="1042">
        <v>0.24199999999999999</v>
      </c>
      <c r="F12" s="1026">
        <f t="shared" si="8"/>
        <v>0</v>
      </c>
      <c r="G12" s="1042">
        <v>2.7E-2</v>
      </c>
      <c r="H12" s="1027">
        <f t="shared" si="1"/>
        <v>0</v>
      </c>
      <c r="I12" s="1042">
        <v>0</v>
      </c>
      <c r="J12" s="1028">
        <f t="shared" si="2"/>
        <v>0</v>
      </c>
      <c r="K12" s="1042">
        <v>0</v>
      </c>
      <c r="L12" s="1026">
        <f t="shared" si="3"/>
        <v>0</v>
      </c>
      <c r="M12" s="1042">
        <v>0</v>
      </c>
      <c r="N12" s="1029">
        <v>0</v>
      </c>
      <c r="O12" s="1042">
        <v>22.956</v>
      </c>
      <c r="P12" s="1025">
        <f t="shared" si="4"/>
        <v>25</v>
      </c>
      <c r="Q12" s="1042">
        <v>44.176000000000002</v>
      </c>
      <c r="R12" s="1025">
        <f t="shared" si="5"/>
        <v>44</v>
      </c>
      <c r="S12" s="1042">
        <v>4.2000000000000003E-2</v>
      </c>
      <c r="T12" s="1025">
        <v>0</v>
      </c>
      <c r="U12" s="1042">
        <v>41.103000000000002</v>
      </c>
      <c r="V12" s="1030">
        <f t="shared" si="6"/>
        <v>41</v>
      </c>
      <c r="W12" s="1042">
        <v>40.823999999999998</v>
      </c>
      <c r="X12" s="1025">
        <f t="shared" si="7"/>
        <v>41</v>
      </c>
      <c r="Y12" s="1042">
        <v>7.4999999999999997E-2</v>
      </c>
      <c r="Z12" s="1025">
        <v>0</v>
      </c>
      <c r="AA12" s="1071">
        <v>0</v>
      </c>
      <c r="AB12" s="1026">
        <f t="shared" si="9"/>
        <v>0</v>
      </c>
      <c r="AC12" s="1073">
        <v>3.0000000000000001E-3</v>
      </c>
      <c r="AD12" s="1076" t="str">
        <f t="shared" si="10"/>
        <v>*</v>
      </c>
      <c r="AE12" s="1046">
        <v>11.038</v>
      </c>
      <c r="AF12" s="1026">
        <f t="shared" si="11"/>
        <v>11</v>
      </c>
      <c r="AG12" s="1046">
        <v>0.84899999999999998</v>
      </c>
      <c r="AH12" s="1076" t="str">
        <f t="shared" si="12"/>
        <v>*</v>
      </c>
      <c r="AI12" s="1046">
        <v>0.28799999999999998</v>
      </c>
      <c r="AJ12" s="1026">
        <f t="shared" si="13"/>
        <v>0</v>
      </c>
      <c r="AK12" s="1046">
        <v>1.601</v>
      </c>
      <c r="AL12" s="1076">
        <f t="shared" si="14"/>
        <v>0.02</v>
      </c>
      <c r="AM12" s="1083">
        <v>59.518999999999998</v>
      </c>
      <c r="AN12" s="1026">
        <f t="shared" si="15"/>
        <v>60</v>
      </c>
      <c r="AO12" s="1084">
        <v>1.266</v>
      </c>
      <c r="AP12" s="1076">
        <f t="shared" si="16"/>
        <v>0.02</v>
      </c>
    </row>
    <row r="13" spans="1:42">
      <c r="A13" s="1079" t="s">
        <v>296</v>
      </c>
      <c r="B13" s="1032" t="s">
        <v>33</v>
      </c>
      <c r="C13" s="1024">
        <v>191.065</v>
      </c>
      <c r="D13" s="1025">
        <f t="shared" si="0"/>
        <v>190</v>
      </c>
      <c r="E13" s="1024">
        <v>3.5000000000000003E-2</v>
      </c>
      <c r="F13" s="1026">
        <f t="shared" si="8"/>
        <v>0</v>
      </c>
      <c r="G13" s="1024">
        <v>4.0000000000000001E-3</v>
      </c>
      <c r="H13" s="1027">
        <f t="shared" si="1"/>
        <v>0</v>
      </c>
      <c r="I13" s="1024">
        <v>0</v>
      </c>
      <c r="J13" s="1028">
        <f t="shared" si="2"/>
        <v>0</v>
      </c>
      <c r="K13" s="1024">
        <v>0</v>
      </c>
      <c r="L13" s="1026">
        <f t="shared" si="3"/>
        <v>0</v>
      </c>
      <c r="M13" s="1024">
        <v>0</v>
      </c>
      <c r="N13" s="1029">
        <v>0</v>
      </c>
      <c r="O13" s="1024">
        <v>39.048000000000002</v>
      </c>
      <c r="P13" s="1025">
        <f t="shared" si="4"/>
        <v>40</v>
      </c>
      <c r="Q13" s="1024">
        <v>48.826000000000001</v>
      </c>
      <c r="R13" s="1025">
        <f t="shared" si="5"/>
        <v>49</v>
      </c>
      <c r="S13" s="1024">
        <v>8.7999999999999995E-2</v>
      </c>
      <c r="T13" s="1025">
        <v>0</v>
      </c>
      <c r="U13" s="1024">
        <v>46.436999999999998</v>
      </c>
      <c r="V13" s="1030">
        <f t="shared" si="6"/>
        <v>46</v>
      </c>
      <c r="W13" s="1024">
        <v>46.402999999999999</v>
      </c>
      <c r="X13" s="1025">
        <f t="shared" si="7"/>
        <v>46</v>
      </c>
      <c r="Y13" s="1024">
        <v>2.3E-2</v>
      </c>
      <c r="Z13" s="1025">
        <v>0</v>
      </c>
      <c r="AA13" s="1069">
        <v>0</v>
      </c>
      <c r="AB13" s="1026">
        <f t="shared" si="9"/>
        <v>0</v>
      </c>
      <c r="AC13" s="1068">
        <v>0</v>
      </c>
      <c r="AD13" s="1076" t="str">
        <f t="shared" si="10"/>
        <v>*</v>
      </c>
      <c r="AE13" s="1040">
        <v>6.0609999999999999</v>
      </c>
      <c r="AF13" s="1026">
        <f t="shared" si="11"/>
        <v>6</v>
      </c>
      <c r="AG13" s="1040">
        <v>0.46600000000000003</v>
      </c>
      <c r="AH13" s="1076" t="str">
        <f t="shared" si="12"/>
        <v>*</v>
      </c>
      <c r="AI13" s="1040">
        <v>2.4E-2</v>
      </c>
      <c r="AJ13" s="1026">
        <f t="shared" si="13"/>
        <v>0</v>
      </c>
      <c r="AK13" s="1040">
        <v>0.13400000000000001</v>
      </c>
      <c r="AL13" s="1076" t="str">
        <f t="shared" si="14"/>
        <v>*</v>
      </c>
      <c r="AM13" s="1040">
        <v>12.544</v>
      </c>
      <c r="AN13" s="1026">
        <f t="shared" si="15"/>
        <v>13</v>
      </c>
      <c r="AO13" s="1040">
        <v>0.26700000000000002</v>
      </c>
      <c r="AP13" s="1076" t="str">
        <f t="shared" si="16"/>
        <v>*</v>
      </c>
    </row>
    <row r="14" spans="1:42">
      <c r="A14" s="1079" t="s">
        <v>296</v>
      </c>
      <c r="B14" s="1032" t="s">
        <v>34</v>
      </c>
      <c r="C14" s="1024">
        <v>230.65100000000001</v>
      </c>
      <c r="D14" s="1025">
        <f t="shared" si="0"/>
        <v>230</v>
      </c>
      <c r="E14" s="1024">
        <v>2.5249999999999999</v>
      </c>
      <c r="F14" s="1026">
        <f t="shared" si="8"/>
        <v>0</v>
      </c>
      <c r="G14" s="1024">
        <v>0.28100000000000003</v>
      </c>
      <c r="H14" s="1027">
        <f t="shared" si="1"/>
        <v>0</v>
      </c>
      <c r="I14" s="1024">
        <v>0.16600000000000001</v>
      </c>
      <c r="J14" s="1028">
        <f t="shared" si="2"/>
        <v>0</v>
      </c>
      <c r="K14" s="1024">
        <v>0</v>
      </c>
      <c r="L14" s="1026">
        <f t="shared" si="3"/>
        <v>0</v>
      </c>
      <c r="M14" s="1024">
        <v>0</v>
      </c>
      <c r="N14" s="1029">
        <v>0</v>
      </c>
      <c r="O14" s="1024">
        <v>43.543999999999997</v>
      </c>
      <c r="P14" s="1025">
        <f t="shared" si="4"/>
        <v>45</v>
      </c>
      <c r="Q14" s="1024">
        <v>58.8</v>
      </c>
      <c r="R14" s="1025">
        <f t="shared" si="5"/>
        <v>59</v>
      </c>
      <c r="S14" s="1024">
        <v>0.82099999999999995</v>
      </c>
      <c r="T14" s="1025" t="s">
        <v>303</v>
      </c>
      <c r="U14" s="1024">
        <v>55.856999999999999</v>
      </c>
      <c r="V14" s="1030">
        <f t="shared" si="6"/>
        <v>56</v>
      </c>
      <c r="W14" s="1024">
        <v>55.627000000000002</v>
      </c>
      <c r="X14" s="1025">
        <f t="shared" si="7"/>
        <v>56</v>
      </c>
      <c r="Y14" s="1024">
        <v>0.83099999999999996</v>
      </c>
      <c r="Z14" s="1030" t="s">
        <v>303</v>
      </c>
      <c r="AA14" s="1069">
        <v>4.0000000000000001E-3</v>
      </c>
      <c r="AB14" s="1026">
        <f t="shared" si="9"/>
        <v>0</v>
      </c>
      <c r="AC14" s="1070">
        <v>0</v>
      </c>
      <c r="AD14" s="1076" t="str">
        <f t="shared" si="10"/>
        <v>*</v>
      </c>
      <c r="AE14" s="1041">
        <v>5.38</v>
      </c>
      <c r="AF14" s="1026">
        <f t="shared" si="11"/>
        <v>5</v>
      </c>
      <c r="AG14" s="1041">
        <v>0.41399999999999998</v>
      </c>
      <c r="AH14" s="1076" t="str">
        <f t="shared" si="12"/>
        <v>*</v>
      </c>
      <c r="AI14" s="1041">
        <v>8.9999999999999993E-3</v>
      </c>
      <c r="AJ14" s="1026">
        <f t="shared" si="13"/>
        <v>0</v>
      </c>
      <c r="AK14" s="1041">
        <v>0.05</v>
      </c>
      <c r="AL14" s="1076" t="str">
        <f t="shared" si="14"/>
        <v>*</v>
      </c>
      <c r="AM14" s="1041">
        <v>0.75800000000000001</v>
      </c>
      <c r="AN14" s="1026">
        <f t="shared" si="15"/>
        <v>1</v>
      </c>
      <c r="AO14" s="1041">
        <v>1.6E-2</v>
      </c>
      <c r="AP14" s="1076" t="str">
        <f t="shared" si="16"/>
        <v>*</v>
      </c>
    </row>
    <row r="15" spans="1:42">
      <c r="A15" s="1079" t="s">
        <v>296</v>
      </c>
      <c r="B15" s="1032" t="s">
        <v>35</v>
      </c>
      <c r="C15" s="1024">
        <v>261.34100000000001</v>
      </c>
      <c r="D15" s="1025">
        <f t="shared" si="0"/>
        <v>260</v>
      </c>
      <c r="E15" s="1024">
        <v>17.663</v>
      </c>
      <c r="F15" s="1026">
        <f t="shared" si="8"/>
        <v>20</v>
      </c>
      <c r="G15" s="1024">
        <v>1.9950000000000001</v>
      </c>
      <c r="H15" s="1027">
        <f>MROUND(G15,0.5)</f>
        <v>2</v>
      </c>
      <c r="I15" s="1024">
        <v>1.1879999999999999</v>
      </c>
      <c r="J15" s="1028">
        <f>MROUND(I15,0.5)</f>
        <v>1</v>
      </c>
      <c r="K15" s="1024">
        <v>0</v>
      </c>
      <c r="L15" s="1026">
        <f t="shared" si="3"/>
        <v>0</v>
      </c>
      <c r="M15" s="1024">
        <v>0</v>
      </c>
      <c r="N15" s="1029">
        <v>0</v>
      </c>
      <c r="O15" s="1024">
        <v>43.386000000000003</v>
      </c>
      <c r="P15" s="1025">
        <f t="shared" si="4"/>
        <v>45</v>
      </c>
      <c r="Q15" s="1024">
        <v>63.383000000000003</v>
      </c>
      <c r="R15" s="1025">
        <f t="shared" si="5"/>
        <v>63</v>
      </c>
      <c r="S15" s="1024">
        <v>1.3440000000000001</v>
      </c>
      <c r="T15" s="1030">
        <f>(MROUND(S15,1))</f>
        <v>1</v>
      </c>
      <c r="U15" s="1024">
        <v>59.582000000000001</v>
      </c>
      <c r="V15" s="1030">
        <f t="shared" si="6"/>
        <v>60</v>
      </c>
      <c r="W15" s="1024">
        <v>59.350999999999999</v>
      </c>
      <c r="X15" s="1025">
        <f t="shared" si="7"/>
        <v>59</v>
      </c>
      <c r="Y15" s="1024">
        <v>0.83099999999999996</v>
      </c>
      <c r="Z15" s="1030" t="s">
        <v>303</v>
      </c>
      <c r="AA15" s="1069">
        <v>4.0000000000000001E-3</v>
      </c>
      <c r="AB15" s="1026">
        <f t="shared" si="9"/>
        <v>0</v>
      </c>
      <c r="AC15" s="1073">
        <v>0</v>
      </c>
      <c r="AD15" s="1076" t="str">
        <f t="shared" si="10"/>
        <v>*</v>
      </c>
      <c r="AE15" s="1046">
        <v>1E-3</v>
      </c>
      <c r="AF15" s="1026">
        <f t="shared" si="11"/>
        <v>0</v>
      </c>
      <c r="AG15" s="1046">
        <v>1.0880000000000001</v>
      </c>
      <c r="AH15" s="1076">
        <f t="shared" si="12"/>
        <v>0.02</v>
      </c>
      <c r="AI15" s="1046">
        <v>7.0999999999999994E-2</v>
      </c>
      <c r="AJ15" s="1026">
        <f t="shared" si="13"/>
        <v>0</v>
      </c>
      <c r="AK15" s="1046">
        <v>0.39200000000000002</v>
      </c>
      <c r="AL15" s="1076" t="str">
        <f t="shared" si="14"/>
        <v>*</v>
      </c>
      <c r="AM15" s="1046">
        <v>12.246</v>
      </c>
      <c r="AN15" s="1026">
        <f t="shared" si="15"/>
        <v>12</v>
      </c>
      <c r="AO15" s="1046">
        <v>0.26100000000000001</v>
      </c>
      <c r="AP15" s="1076" t="str">
        <f t="shared" si="16"/>
        <v>*</v>
      </c>
    </row>
    <row r="16" spans="1:42">
      <c r="A16" s="1079" t="s">
        <v>296</v>
      </c>
      <c r="B16" s="1032" t="s">
        <v>304</v>
      </c>
      <c r="C16" s="1024">
        <v>160.94499999999999</v>
      </c>
      <c r="D16" s="1025">
        <f t="shared" si="0"/>
        <v>160</v>
      </c>
      <c r="E16" s="1024">
        <v>2.8000000000000001E-2</v>
      </c>
      <c r="F16" s="1026">
        <f t="shared" si="8"/>
        <v>0</v>
      </c>
      <c r="G16" s="1024">
        <v>3.0000000000000001E-3</v>
      </c>
      <c r="H16" s="1027">
        <f t="shared" ref="H16:H51" si="17">IF(G16&lt;0.5,0,MROUND(G16,5))</f>
        <v>0</v>
      </c>
      <c r="I16" s="1024">
        <v>0</v>
      </c>
      <c r="J16" s="1028">
        <f t="shared" ref="J16:J51" si="18">IF(I16&lt;0.5,0,MROUND(I16,5))</f>
        <v>0</v>
      </c>
      <c r="K16" s="1024">
        <v>0</v>
      </c>
      <c r="L16" s="1026">
        <f t="shared" si="3"/>
        <v>0</v>
      </c>
      <c r="M16" s="1024">
        <v>0</v>
      </c>
      <c r="N16" s="1029">
        <v>0</v>
      </c>
      <c r="O16" s="1024">
        <v>22.53</v>
      </c>
      <c r="P16" s="1025">
        <f t="shared" si="4"/>
        <v>25</v>
      </c>
      <c r="Q16" s="1024">
        <v>40.688000000000002</v>
      </c>
      <c r="R16" s="1025">
        <f t="shared" si="5"/>
        <v>41</v>
      </c>
      <c r="S16" s="1024">
        <v>4.7E-2</v>
      </c>
      <c r="T16" s="1025">
        <v>0</v>
      </c>
      <c r="U16" s="1024">
        <v>38.726999999999997</v>
      </c>
      <c r="V16" s="1030">
        <f t="shared" si="6"/>
        <v>39</v>
      </c>
      <c r="W16" s="1024">
        <v>38.630000000000003</v>
      </c>
      <c r="X16" s="1025">
        <f t="shared" si="7"/>
        <v>39</v>
      </c>
      <c r="Y16" s="1024">
        <v>1.4E-2</v>
      </c>
      <c r="Z16" s="1025">
        <v>0</v>
      </c>
      <c r="AA16" s="1069">
        <v>0</v>
      </c>
      <c r="AB16" s="1026">
        <f t="shared" si="9"/>
        <v>0</v>
      </c>
      <c r="AC16" s="1069">
        <v>0</v>
      </c>
      <c r="AD16" s="1076" t="str">
        <f t="shared" si="10"/>
        <v>*</v>
      </c>
      <c r="AE16" s="1045">
        <v>9.5549999999999997</v>
      </c>
      <c r="AF16" s="1026">
        <f t="shared" si="11"/>
        <v>10</v>
      </c>
      <c r="AG16" s="1045">
        <v>0.73499999999999999</v>
      </c>
      <c r="AH16" s="1076" t="str">
        <f t="shared" si="12"/>
        <v>*</v>
      </c>
      <c r="AI16" s="1045">
        <v>2.1000000000000001E-2</v>
      </c>
      <c r="AJ16" s="1026">
        <f t="shared" si="13"/>
        <v>0</v>
      </c>
      <c r="AK16" s="1045">
        <v>0.11600000000000001</v>
      </c>
      <c r="AL16" s="1076" t="str">
        <f t="shared" si="14"/>
        <v>*</v>
      </c>
      <c r="AM16" s="1045">
        <v>0.83099999999999996</v>
      </c>
      <c r="AN16" s="1026">
        <f t="shared" si="15"/>
        <v>1</v>
      </c>
      <c r="AO16" s="1045">
        <v>1.7999999999999999E-2</v>
      </c>
      <c r="AP16" s="1076" t="str">
        <f t="shared" si="16"/>
        <v>*</v>
      </c>
    </row>
    <row r="17" spans="1:42">
      <c r="A17" s="1079" t="s">
        <v>296</v>
      </c>
      <c r="B17" s="1032" t="s">
        <v>36</v>
      </c>
      <c r="C17" s="1024">
        <v>195.66900000000001</v>
      </c>
      <c r="D17" s="1025">
        <f t="shared" si="0"/>
        <v>200</v>
      </c>
      <c r="E17" s="1024">
        <v>0</v>
      </c>
      <c r="F17" s="1026">
        <f t="shared" si="8"/>
        <v>0</v>
      </c>
      <c r="G17" s="1024">
        <v>0</v>
      </c>
      <c r="H17" s="1027">
        <f t="shared" si="17"/>
        <v>0</v>
      </c>
      <c r="I17" s="1024">
        <v>0</v>
      </c>
      <c r="J17" s="1028">
        <f t="shared" si="18"/>
        <v>0</v>
      </c>
      <c r="K17" s="1024">
        <v>0</v>
      </c>
      <c r="L17" s="1026">
        <f t="shared" si="3"/>
        <v>0</v>
      </c>
      <c r="M17" s="1024">
        <v>0</v>
      </c>
      <c r="N17" s="1029">
        <v>0</v>
      </c>
      <c r="O17" s="1024">
        <v>21.193999999999999</v>
      </c>
      <c r="P17" s="1025">
        <f t="shared" si="4"/>
        <v>20</v>
      </c>
      <c r="Q17" s="1024">
        <v>49.445</v>
      </c>
      <c r="R17" s="1025">
        <f t="shared" si="5"/>
        <v>49</v>
      </c>
      <c r="S17" s="1024">
        <v>0</v>
      </c>
      <c r="T17" s="1025">
        <v>0</v>
      </c>
      <c r="U17" s="1024">
        <v>47.898000000000003</v>
      </c>
      <c r="V17" s="1030">
        <f t="shared" si="6"/>
        <v>48</v>
      </c>
      <c r="W17" s="1024">
        <v>47.898000000000003</v>
      </c>
      <c r="X17" s="1025">
        <f t="shared" si="7"/>
        <v>48</v>
      </c>
      <c r="Y17" s="1024">
        <v>0</v>
      </c>
      <c r="Z17" s="1025">
        <v>0</v>
      </c>
      <c r="AA17" s="1069">
        <v>0</v>
      </c>
      <c r="AB17" s="1026">
        <f t="shared" si="9"/>
        <v>0</v>
      </c>
      <c r="AC17" s="1071">
        <v>0</v>
      </c>
      <c r="AD17" s="1076" t="str">
        <f t="shared" si="10"/>
        <v>*</v>
      </c>
      <c r="AE17" s="1081">
        <v>7.1079999999999997</v>
      </c>
      <c r="AF17" s="1026">
        <f t="shared" si="11"/>
        <v>7</v>
      </c>
      <c r="AG17" s="1081">
        <v>0.54700000000000004</v>
      </c>
      <c r="AH17" s="1076" t="str">
        <f t="shared" si="12"/>
        <v>*</v>
      </c>
      <c r="AI17" s="1081">
        <v>1.9E-2</v>
      </c>
      <c r="AJ17" s="1026">
        <f t="shared" si="13"/>
        <v>0</v>
      </c>
      <c r="AK17" s="1081">
        <v>0.108</v>
      </c>
      <c r="AL17" s="1076" t="str">
        <f t="shared" si="14"/>
        <v>*</v>
      </c>
      <c r="AM17" s="1081">
        <v>19.346</v>
      </c>
      <c r="AN17" s="1026">
        <f t="shared" si="15"/>
        <v>19</v>
      </c>
      <c r="AO17" s="1081">
        <v>0.41199999999999998</v>
      </c>
      <c r="AP17" s="1076" t="str">
        <f t="shared" si="16"/>
        <v>*</v>
      </c>
    </row>
    <row r="18" spans="1:42">
      <c r="A18" s="1079" t="s">
        <v>296</v>
      </c>
      <c r="B18" s="1032" t="s">
        <v>305</v>
      </c>
      <c r="C18" s="1024">
        <v>98.272999999999996</v>
      </c>
      <c r="D18" s="1025">
        <f t="shared" si="0"/>
        <v>100</v>
      </c>
      <c r="E18" s="1024">
        <v>0</v>
      </c>
      <c r="F18" s="1026">
        <f t="shared" si="8"/>
        <v>0</v>
      </c>
      <c r="G18" s="1024">
        <v>0</v>
      </c>
      <c r="H18" s="1027">
        <f t="shared" si="17"/>
        <v>0</v>
      </c>
      <c r="I18" s="1024">
        <v>0</v>
      </c>
      <c r="J18" s="1028">
        <f t="shared" si="18"/>
        <v>0</v>
      </c>
      <c r="K18" s="1024">
        <v>0</v>
      </c>
      <c r="L18" s="1026">
        <f t="shared" si="3"/>
        <v>0</v>
      </c>
      <c r="M18" s="1024">
        <v>0</v>
      </c>
      <c r="N18" s="1029">
        <v>0</v>
      </c>
      <c r="O18" s="1024">
        <v>25.873999999999999</v>
      </c>
      <c r="P18" s="1025">
        <f t="shared" si="4"/>
        <v>25</v>
      </c>
      <c r="Q18" s="1024">
        <v>25.643999999999998</v>
      </c>
      <c r="R18" s="1025">
        <f t="shared" si="5"/>
        <v>26</v>
      </c>
      <c r="S18" s="1024">
        <v>0</v>
      </c>
      <c r="T18" s="1025">
        <v>0</v>
      </c>
      <c r="U18" s="1024">
        <v>24.844000000000001</v>
      </c>
      <c r="V18" s="1030">
        <f t="shared" si="6"/>
        <v>25</v>
      </c>
      <c r="W18" s="1024">
        <v>18.834</v>
      </c>
      <c r="X18" s="1025">
        <f t="shared" si="7"/>
        <v>19</v>
      </c>
      <c r="Y18" s="1024">
        <v>0</v>
      </c>
      <c r="Z18" s="1025">
        <v>0</v>
      </c>
      <c r="AA18" s="1069">
        <v>0</v>
      </c>
      <c r="AB18" s="1026">
        <f t="shared" si="9"/>
        <v>0</v>
      </c>
      <c r="AC18" s="1069">
        <v>0</v>
      </c>
      <c r="AD18" s="1076" t="str">
        <f t="shared" si="10"/>
        <v>*</v>
      </c>
      <c r="AE18" s="1045">
        <v>6.1989999999999998</v>
      </c>
      <c r="AF18" s="1026">
        <f t="shared" si="11"/>
        <v>6</v>
      </c>
      <c r="AG18" s="1045">
        <v>0.47699999999999998</v>
      </c>
      <c r="AH18" s="1076" t="str">
        <f t="shared" si="12"/>
        <v>*</v>
      </c>
      <c r="AI18" s="1045">
        <v>2.7E-2</v>
      </c>
      <c r="AJ18" s="1026">
        <f t="shared" si="13"/>
        <v>0</v>
      </c>
      <c r="AK18" s="1045">
        <v>0.14799999999999999</v>
      </c>
      <c r="AL18" s="1076" t="str">
        <f t="shared" si="14"/>
        <v>*</v>
      </c>
      <c r="AM18" s="1045">
        <v>2.6030000000000002</v>
      </c>
      <c r="AN18" s="1026">
        <f t="shared" si="15"/>
        <v>3</v>
      </c>
      <c r="AO18" s="1045">
        <v>5.5E-2</v>
      </c>
      <c r="AP18" s="1076" t="str">
        <f t="shared" si="16"/>
        <v>*</v>
      </c>
    </row>
    <row r="19" spans="1:42">
      <c r="A19" s="1079" t="s">
        <v>296</v>
      </c>
      <c r="B19" s="1032" t="s">
        <v>39</v>
      </c>
      <c r="C19" s="1024">
        <v>182.393</v>
      </c>
      <c r="D19" s="1025">
        <f t="shared" si="0"/>
        <v>180</v>
      </c>
      <c r="E19" s="1024">
        <v>0</v>
      </c>
      <c r="F19" s="1026">
        <f t="shared" si="8"/>
        <v>0</v>
      </c>
      <c r="G19" s="1024">
        <v>0</v>
      </c>
      <c r="H19" s="1027">
        <f t="shared" si="17"/>
        <v>0</v>
      </c>
      <c r="I19" s="1024">
        <v>0</v>
      </c>
      <c r="J19" s="1028">
        <f t="shared" si="18"/>
        <v>0</v>
      </c>
      <c r="K19" s="1024">
        <v>0</v>
      </c>
      <c r="L19" s="1026">
        <f t="shared" si="3"/>
        <v>0</v>
      </c>
      <c r="M19" s="1024">
        <v>0</v>
      </c>
      <c r="N19" s="1029">
        <v>0</v>
      </c>
      <c r="O19" s="1024">
        <v>21.414999999999999</v>
      </c>
      <c r="P19" s="1025">
        <f t="shared" si="4"/>
        <v>20</v>
      </c>
      <c r="Q19" s="1024">
        <v>45.942999999999998</v>
      </c>
      <c r="R19" s="1025">
        <f t="shared" si="5"/>
        <v>46</v>
      </c>
      <c r="S19" s="1024">
        <v>0.17899999999999999</v>
      </c>
      <c r="T19" s="1025">
        <v>0</v>
      </c>
      <c r="U19" s="1024">
        <v>44.518000000000001</v>
      </c>
      <c r="V19" s="1030">
        <f t="shared" si="6"/>
        <v>45</v>
      </c>
      <c r="W19" s="1024">
        <v>43.518000000000001</v>
      </c>
      <c r="X19" s="1025">
        <f t="shared" si="7"/>
        <v>44</v>
      </c>
      <c r="Y19" s="1024">
        <v>0.111</v>
      </c>
      <c r="Z19" s="1025">
        <v>0</v>
      </c>
      <c r="AA19" s="1069">
        <v>0</v>
      </c>
      <c r="AB19" s="1026">
        <f t="shared" si="9"/>
        <v>0</v>
      </c>
      <c r="AC19" s="1069">
        <v>1.7999999999999999E-2</v>
      </c>
      <c r="AD19" s="1076" t="str">
        <f t="shared" si="10"/>
        <v>*</v>
      </c>
      <c r="AE19" s="1024">
        <v>10.285</v>
      </c>
      <c r="AF19" s="1026">
        <f t="shared" si="11"/>
        <v>10</v>
      </c>
      <c r="AG19" s="1024">
        <v>0.79100000000000004</v>
      </c>
      <c r="AH19" s="1076" t="str">
        <f t="shared" si="12"/>
        <v>*</v>
      </c>
      <c r="AI19" s="1024">
        <v>0.436</v>
      </c>
      <c r="AJ19" s="1026">
        <f t="shared" si="13"/>
        <v>0</v>
      </c>
      <c r="AK19" s="1024">
        <v>2.419</v>
      </c>
      <c r="AL19" s="1076">
        <f t="shared" si="14"/>
        <v>0.02</v>
      </c>
      <c r="AM19" s="1024">
        <v>59.040999999999997</v>
      </c>
      <c r="AN19" s="1026">
        <f t="shared" si="15"/>
        <v>59</v>
      </c>
      <c r="AO19" s="1024">
        <v>1.256</v>
      </c>
      <c r="AP19" s="1076">
        <f t="shared" si="16"/>
        <v>0.02</v>
      </c>
    </row>
    <row r="20" spans="1:42">
      <c r="A20" s="1079" t="s">
        <v>296</v>
      </c>
      <c r="B20" s="1032" t="s">
        <v>40</v>
      </c>
      <c r="C20" s="1042">
        <v>191.65199999999999</v>
      </c>
      <c r="D20" s="1025">
        <f t="shared" si="0"/>
        <v>190</v>
      </c>
      <c r="E20" s="1042">
        <v>0</v>
      </c>
      <c r="F20" s="1026">
        <f t="shared" si="8"/>
        <v>0</v>
      </c>
      <c r="G20" s="1042">
        <v>0</v>
      </c>
      <c r="H20" s="1027">
        <f t="shared" si="17"/>
        <v>0</v>
      </c>
      <c r="I20" s="1042">
        <v>0</v>
      </c>
      <c r="J20" s="1028">
        <f t="shared" si="18"/>
        <v>0</v>
      </c>
      <c r="K20" s="1042">
        <v>0</v>
      </c>
      <c r="L20" s="1026">
        <f t="shared" si="3"/>
        <v>0</v>
      </c>
      <c r="M20" s="1042">
        <v>0</v>
      </c>
      <c r="N20" s="1029">
        <v>0</v>
      </c>
      <c r="O20" s="1042">
        <v>29.024999999999999</v>
      </c>
      <c r="P20" s="1025">
        <f t="shared" si="4"/>
        <v>30</v>
      </c>
      <c r="Q20" s="1042">
        <v>48.597000000000001</v>
      </c>
      <c r="R20" s="1025">
        <f t="shared" si="5"/>
        <v>49</v>
      </c>
      <c r="S20" s="1042">
        <v>1.0999999999999999E-2</v>
      </c>
      <c r="T20" s="1025">
        <v>0</v>
      </c>
      <c r="U20" s="1042">
        <v>47.13</v>
      </c>
      <c r="V20" s="1030">
        <f t="shared" si="6"/>
        <v>47</v>
      </c>
      <c r="W20" s="1042">
        <v>44.369</v>
      </c>
      <c r="X20" s="1025">
        <f t="shared" si="7"/>
        <v>44</v>
      </c>
      <c r="Y20" s="1042">
        <v>0</v>
      </c>
      <c r="Z20" s="1025">
        <v>0</v>
      </c>
      <c r="AA20" s="1071">
        <v>0</v>
      </c>
      <c r="AB20" s="1026">
        <f t="shared" si="9"/>
        <v>0</v>
      </c>
      <c r="AC20" s="1073">
        <v>0</v>
      </c>
      <c r="AD20" s="1076" t="str">
        <f t="shared" si="10"/>
        <v>*</v>
      </c>
      <c r="AE20" s="1046">
        <v>16.306999999999999</v>
      </c>
      <c r="AF20" s="1026">
        <f t="shared" si="11"/>
        <v>16</v>
      </c>
      <c r="AG20" s="1046">
        <v>1.254</v>
      </c>
      <c r="AH20" s="1076">
        <f t="shared" si="12"/>
        <v>0.02</v>
      </c>
      <c r="AI20" s="1046">
        <v>0.59699999999999998</v>
      </c>
      <c r="AJ20" s="1026">
        <f t="shared" si="13"/>
        <v>1</v>
      </c>
      <c r="AK20" s="1046">
        <v>3.3149999999999999</v>
      </c>
      <c r="AL20" s="1076">
        <f t="shared" si="14"/>
        <v>0.04</v>
      </c>
      <c r="AM20" s="1046">
        <v>39.152000000000001</v>
      </c>
      <c r="AN20" s="1026">
        <f t="shared" si="15"/>
        <v>39</v>
      </c>
      <c r="AO20" s="1046">
        <v>0.83299999999999996</v>
      </c>
      <c r="AP20" s="1076" t="str">
        <f t="shared" si="16"/>
        <v>*</v>
      </c>
    </row>
    <row r="21" spans="1:42" s="1039" customFormat="1">
      <c r="A21" s="1079" t="s">
        <v>296</v>
      </c>
      <c r="B21" s="1032" t="s">
        <v>306</v>
      </c>
      <c r="C21" s="1043">
        <v>234.69200000000001</v>
      </c>
      <c r="D21" s="1025">
        <f t="shared" si="0"/>
        <v>230</v>
      </c>
      <c r="E21" s="1043">
        <v>0.47299999999999998</v>
      </c>
      <c r="F21" s="1026">
        <f t="shared" si="8"/>
        <v>0</v>
      </c>
      <c r="G21" s="1043">
        <v>5.2999999999999999E-2</v>
      </c>
      <c r="H21" s="1027">
        <f t="shared" si="17"/>
        <v>0</v>
      </c>
      <c r="I21" s="1043">
        <v>0</v>
      </c>
      <c r="J21" s="1028">
        <f t="shared" si="18"/>
        <v>0</v>
      </c>
      <c r="K21" s="1043">
        <v>0</v>
      </c>
      <c r="L21" s="1026">
        <f t="shared" si="3"/>
        <v>0</v>
      </c>
      <c r="M21" s="1043">
        <v>0</v>
      </c>
      <c r="N21" s="1029">
        <v>0</v>
      </c>
      <c r="O21" s="1043">
        <v>23.95</v>
      </c>
      <c r="P21" s="1025">
        <f t="shared" si="4"/>
        <v>25</v>
      </c>
      <c r="Q21" s="1043">
        <v>58.627000000000002</v>
      </c>
      <c r="R21" s="1025">
        <f t="shared" si="5"/>
        <v>59</v>
      </c>
      <c r="S21" s="1043">
        <v>0</v>
      </c>
      <c r="T21" s="1025">
        <v>0</v>
      </c>
      <c r="U21" s="1043">
        <v>53.984999999999999</v>
      </c>
      <c r="V21" s="1030">
        <f t="shared" si="6"/>
        <v>54</v>
      </c>
      <c r="W21" s="1043">
        <v>53.984999999999999</v>
      </c>
      <c r="X21" s="1025">
        <f t="shared" si="7"/>
        <v>54</v>
      </c>
      <c r="Y21" s="1043">
        <v>0.42099999999999999</v>
      </c>
      <c r="Z21" s="1025">
        <v>0</v>
      </c>
      <c r="AA21" s="1072">
        <v>0</v>
      </c>
      <c r="AB21" s="1026">
        <f t="shared" si="9"/>
        <v>0</v>
      </c>
      <c r="AC21" s="1069">
        <v>1.7999999999999999E-2</v>
      </c>
      <c r="AD21" s="1076" t="str">
        <f t="shared" si="10"/>
        <v>*</v>
      </c>
      <c r="AE21" s="1048">
        <v>12.608000000000001</v>
      </c>
      <c r="AF21" s="1026">
        <f t="shared" si="11"/>
        <v>13</v>
      </c>
      <c r="AG21" s="1048">
        <v>0.97</v>
      </c>
      <c r="AH21" s="1076" t="str">
        <f t="shared" si="12"/>
        <v>*</v>
      </c>
      <c r="AI21" s="1048">
        <v>1</v>
      </c>
      <c r="AJ21" s="1026">
        <f t="shared" si="13"/>
        <v>1</v>
      </c>
      <c r="AK21" s="1048">
        <v>5.5540000000000003</v>
      </c>
      <c r="AL21" s="1076">
        <f t="shared" si="14"/>
        <v>0.06</v>
      </c>
      <c r="AM21" s="1048">
        <v>88.02</v>
      </c>
      <c r="AN21" s="1026">
        <f t="shared" si="15"/>
        <v>88</v>
      </c>
      <c r="AO21" s="1048">
        <v>1.873</v>
      </c>
      <c r="AP21" s="1076">
        <f t="shared" si="16"/>
        <v>0.02</v>
      </c>
    </row>
    <row r="22" spans="1:42" s="1044" customFormat="1">
      <c r="A22" s="1079" t="s">
        <v>296</v>
      </c>
      <c r="B22" s="1032" t="s">
        <v>42</v>
      </c>
      <c r="C22" s="1024">
        <v>209.36199999999999</v>
      </c>
      <c r="D22" s="1025">
        <f t="shared" si="0"/>
        <v>210</v>
      </c>
      <c r="E22" s="1024">
        <v>8.1000000000000003E-2</v>
      </c>
      <c r="F22" s="1026">
        <f t="shared" si="8"/>
        <v>0</v>
      </c>
      <c r="G22" s="1024">
        <v>8.9999999999999993E-3</v>
      </c>
      <c r="H22" s="1027">
        <f t="shared" si="17"/>
        <v>0</v>
      </c>
      <c r="I22" s="1024">
        <v>5.0000000000000001E-3</v>
      </c>
      <c r="J22" s="1028">
        <f t="shared" si="18"/>
        <v>0</v>
      </c>
      <c r="K22" s="1024">
        <v>5.0000000000000001E-3</v>
      </c>
      <c r="L22" s="1026">
        <f t="shared" si="3"/>
        <v>0</v>
      </c>
      <c r="M22" s="1024">
        <v>0</v>
      </c>
      <c r="N22" s="1029">
        <v>0</v>
      </c>
      <c r="O22" s="1024">
        <v>21.943000000000001</v>
      </c>
      <c r="P22" s="1025">
        <f t="shared" si="4"/>
        <v>20</v>
      </c>
      <c r="Q22" s="1024">
        <v>52.892000000000003</v>
      </c>
      <c r="R22" s="1025">
        <f t="shared" si="5"/>
        <v>53</v>
      </c>
      <c r="S22" s="1024">
        <v>0.14000000000000001</v>
      </c>
      <c r="T22" s="1025">
        <v>0</v>
      </c>
      <c r="U22" s="1024">
        <v>50.695999999999998</v>
      </c>
      <c r="V22" s="1030">
        <f t="shared" si="6"/>
        <v>51</v>
      </c>
      <c r="W22" s="1024">
        <v>49.768000000000001</v>
      </c>
      <c r="X22" s="1025">
        <f t="shared" si="7"/>
        <v>50</v>
      </c>
      <c r="Y22" s="1024">
        <v>0.122</v>
      </c>
      <c r="Z22" s="1025">
        <v>0</v>
      </c>
      <c r="AA22" s="1069">
        <v>0.54900000000000004</v>
      </c>
      <c r="AB22" s="1026">
        <f t="shared" si="9"/>
        <v>1</v>
      </c>
      <c r="AC22" s="1073">
        <v>0</v>
      </c>
      <c r="AD22" s="1076" t="str">
        <f t="shared" si="10"/>
        <v>*</v>
      </c>
      <c r="AE22" s="1046">
        <v>10.029</v>
      </c>
      <c r="AF22" s="1026">
        <f t="shared" si="11"/>
        <v>10</v>
      </c>
      <c r="AG22" s="1046">
        <v>0.77100000000000002</v>
      </c>
      <c r="AH22" s="1076" t="str">
        <f t="shared" si="12"/>
        <v>*</v>
      </c>
      <c r="AI22" s="1046">
        <v>0.47599999999999998</v>
      </c>
      <c r="AJ22" s="1026">
        <f t="shared" si="13"/>
        <v>0</v>
      </c>
      <c r="AK22" s="1046">
        <v>2.6440000000000001</v>
      </c>
      <c r="AL22" s="1076">
        <f t="shared" si="14"/>
        <v>0.02</v>
      </c>
      <c r="AM22" s="1046">
        <v>72.135000000000005</v>
      </c>
      <c r="AN22" s="1026">
        <f t="shared" si="15"/>
        <v>72</v>
      </c>
      <c r="AO22" s="1046">
        <v>1.5349999999999999</v>
      </c>
      <c r="AP22" s="1076">
        <f t="shared" si="16"/>
        <v>0.02</v>
      </c>
    </row>
    <row r="23" spans="1:42">
      <c r="A23" s="1079" t="s">
        <v>296</v>
      </c>
      <c r="B23" s="1032" t="s">
        <v>45</v>
      </c>
      <c r="C23" s="1024">
        <v>179.08</v>
      </c>
      <c r="D23" s="1025">
        <f t="shared" si="0"/>
        <v>180</v>
      </c>
      <c r="E23" s="1024">
        <v>0</v>
      </c>
      <c r="F23" s="1026">
        <f t="shared" si="8"/>
        <v>0</v>
      </c>
      <c r="G23" s="1024">
        <v>0</v>
      </c>
      <c r="H23" s="1027">
        <f t="shared" si="17"/>
        <v>0</v>
      </c>
      <c r="I23" s="1024">
        <v>0</v>
      </c>
      <c r="J23" s="1028">
        <f t="shared" si="18"/>
        <v>0</v>
      </c>
      <c r="K23" s="1024">
        <v>0</v>
      </c>
      <c r="L23" s="1026">
        <f t="shared" si="3"/>
        <v>0</v>
      </c>
      <c r="M23" s="1024">
        <v>0</v>
      </c>
      <c r="N23" s="1029">
        <v>0</v>
      </c>
      <c r="O23" s="1024">
        <v>21.757000000000001</v>
      </c>
      <c r="P23" s="1025">
        <f t="shared" si="4"/>
        <v>20</v>
      </c>
      <c r="Q23" s="1024">
        <v>45.134</v>
      </c>
      <c r="R23" s="1025">
        <f t="shared" si="5"/>
        <v>45</v>
      </c>
      <c r="S23" s="1024">
        <v>0</v>
      </c>
      <c r="T23" s="1025">
        <v>0</v>
      </c>
      <c r="U23" s="1024">
        <v>43.311999999999998</v>
      </c>
      <c r="V23" s="1030">
        <f t="shared" si="6"/>
        <v>43</v>
      </c>
      <c r="W23" s="1024">
        <v>43.142000000000003</v>
      </c>
      <c r="X23" s="1025">
        <f t="shared" si="7"/>
        <v>43</v>
      </c>
      <c r="Y23" s="1024">
        <v>4.0000000000000001E-3</v>
      </c>
      <c r="Z23" s="1025">
        <v>0</v>
      </c>
      <c r="AA23" s="1069">
        <v>0</v>
      </c>
      <c r="AB23" s="1026">
        <f t="shared" si="9"/>
        <v>0</v>
      </c>
      <c r="AC23" s="1073">
        <v>0</v>
      </c>
      <c r="AD23" s="1076" t="str">
        <f t="shared" si="10"/>
        <v>*</v>
      </c>
      <c r="AE23" s="1046">
        <v>12.394</v>
      </c>
      <c r="AF23" s="1026">
        <f t="shared" si="11"/>
        <v>12</v>
      </c>
      <c r="AG23" s="1046">
        <v>0.95299999999999996</v>
      </c>
      <c r="AH23" s="1076" t="str">
        <f t="shared" si="12"/>
        <v>*</v>
      </c>
      <c r="AI23" s="1046">
        <v>0.80200000000000005</v>
      </c>
      <c r="AJ23" s="1026">
        <f t="shared" si="13"/>
        <v>1</v>
      </c>
      <c r="AK23" s="1046">
        <v>4.4569999999999999</v>
      </c>
      <c r="AL23" s="1076">
        <f t="shared" si="14"/>
        <v>0.04</v>
      </c>
      <c r="AM23" s="1046">
        <v>60.753</v>
      </c>
      <c r="AN23" s="1026">
        <f t="shared" si="15"/>
        <v>61</v>
      </c>
      <c r="AO23" s="1046">
        <v>1.2929999999999999</v>
      </c>
      <c r="AP23" s="1076">
        <f t="shared" si="16"/>
        <v>0.02</v>
      </c>
    </row>
    <row r="24" spans="1:42">
      <c r="A24" s="1079" t="s">
        <v>296</v>
      </c>
      <c r="B24" s="1032" t="s">
        <v>46</v>
      </c>
      <c r="C24" s="1024">
        <v>175.54</v>
      </c>
      <c r="D24" s="1025">
        <f t="shared" si="0"/>
        <v>180</v>
      </c>
      <c r="E24" s="1024">
        <v>0</v>
      </c>
      <c r="F24" s="1026">
        <f t="shared" si="8"/>
        <v>0</v>
      </c>
      <c r="G24" s="1024">
        <v>1.4E-2</v>
      </c>
      <c r="H24" s="1027">
        <f t="shared" si="17"/>
        <v>0</v>
      </c>
      <c r="I24" s="1024">
        <v>0</v>
      </c>
      <c r="J24" s="1028">
        <f t="shared" si="18"/>
        <v>0</v>
      </c>
      <c r="K24" s="1024">
        <v>0</v>
      </c>
      <c r="L24" s="1026">
        <f t="shared" si="3"/>
        <v>0</v>
      </c>
      <c r="M24" s="1024">
        <v>0</v>
      </c>
      <c r="N24" s="1029">
        <v>0</v>
      </c>
      <c r="O24" s="1024">
        <v>43.886000000000003</v>
      </c>
      <c r="P24" s="1025">
        <f t="shared" si="4"/>
        <v>45</v>
      </c>
      <c r="Q24" s="1024">
        <v>44.552</v>
      </c>
      <c r="R24" s="1025">
        <f t="shared" si="5"/>
        <v>45</v>
      </c>
      <c r="S24" s="1024">
        <v>0.04</v>
      </c>
      <c r="T24" s="1025">
        <v>0</v>
      </c>
      <c r="U24" s="1024">
        <v>41.887999999999998</v>
      </c>
      <c r="V24" s="1030">
        <f t="shared" si="6"/>
        <v>42</v>
      </c>
      <c r="W24" s="1024">
        <v>41.768999999999998</v>
      </c>
      <c r="X24" s="1025">
        <f t="shared" si="7"/>
        <v>42</v>
      </c>
      <c r="Y24" s="1024">
        <v>4.7E-2</v>
      </c>
      <c r="Z24" s="1025">
        <v>0</v>
      </c>
      <c r="AA24" s="1069">
        <v>0</v>
      </c>
      <c r="AB24" s="1026">
        <f t="shared" si="9"/>
        <v>0</v>
      </c>
      <c r="AC24" s="1069">
        <v>1.7999999999999999E-2</v>
      </c>
      <c r="AD24" s="1076" t="str">
        <f t="shared" si="10"/>
        <v>*</v>
      </c>
      <c r="AE24" s="1024">
        <v>15.567</v>
      </c>
      <c r="AF24" s="1026">
        <f t="shared" si="11"/>
        <v>16</v>
      </c>
      <c r="AG24" s="1024">
        <v>1.1970000000000001</v>
      </c>
      <c r="AH24" s="1076">
        <f t="shared" si="12"/>
        <v>0.02</v>
      </c>
      <c r="AI24" s="1024">
        <v>0.70699999999999996</v>
      </c>
      <c r="AJ24" s="1026">
        <f t="shared" si="13"/>
        <v>1</v>
      </c>
      <c r="AK24" s="1024">
        <v>3.9260000000000002</v>
      </c>
      <c r="AL24" s="1076">
        <f t="shared" si="14"/>
        <v>0.04</v>
      </c>
      <c r="AM24" s="1024">
        <v>100.765</v>
      </c>
      <c r="AN24" s="1026">
        <f t="shared" si="15"/>
        <v>101</v>
      </c>
      <c r="AO24" s="1024">
        <v>2.1440000000000001</v>
      </c>
      <c r="AP24" s="1076">
        <f t="shared" si="16"/>
        <v>0.02</v>
      </c>
    </row>
    <row r="25" spans="1:42">
      <c r="A25" s="1079" t="s">
        <v>296</v>
      </c>
      <c r="B25" s="1032" t="s">
        <v>307</v>
      </c>
      <c r="C25" s="1024">
        <v>196.45</v>
      </c>
      <c r="D25" s="1025">
        <f t="shared" si="0"/>
        <v>200</v>
      </c>
      <c r="E25" s="1024">
        <v>0</v>
      </c>
      <c r="F25" s="1026">
        <f t="shared" si="8"/>
        <v>0</v>
      </c>
      <c r="G25" s="1024">
        <v>0</v>
      </c>
      <c r="H25" s="1027">
        <f t="shared" si="17"/>
        <v>0</v>
      </c>
      <c r="I25" s="1024">
        <v>0</v>
      </c>
      <c r="J25" s="1028">
        <f t="shared" si="18"/>
        <v>0</v>
      </c>
      <c r="K25" s="1024">
        <v>0</v>
      </c>
      <c r="L25" s="1026">
        <f t="shared" si="3"/>
        <v>0</v>
      </c>
      <c r="M25" s="1024">
        <v>0</v>
      </c>
      <c r="N25" s="1029">
        <v>0</v>
      </c>
      <c r="O25" s="1024">
        <v>22.187000000000001</v>
      </c>
      <c r="P25" s="1025">
        <f t="shared" si="4"/>
        <v>20</v>
      </c>
      <c r="Q25" s="1024">
        <v>49.796999999999997</v>
      </c>
      <c r="R25" s="1025">
        <f t="shared" si="5"/>
        <v>50</v>
      </c>
      <c r="S25" s="1024">
        <v>0</v>
      </c>
      <c r="T25" s="1025">
        <v>0</v>
      </c>
      <c r="U25" s="1024">
        <v>47.792000000000002</v>
      </c>
      <c r="V25" s="1030">
        <f t="shared" si="6"/>
        <v>48</v>
      </c>
      <c r="W25" s="1024">
        <v>47.792000000000002</v>
      </c>
      <c r="X25" s="1025">
        <f t="shared" si="7"/>
        <v>48</v>
      </c>
      <c r="Y25" s="1024">
        <v>0</v>
      </c>
      <c r="Z25" s="1025">
        <v>0</v>
      </c>
      <c r="AA25" s="1069">
        <v>0</v>
      </c>
      <c r="AB25" s="1026">
        <f t="shared" si="9"/>
        <v>0</v>
      </c>
      <c r="AC25" s="1069">
        <v>0</v>
      </c>
      <c r="AD25" s="1076" t="str">
        <f t="shared" si="10"/>
        <v>*</v>
      </c>
      <c r="AE25" s="1024">
        <v>6.1589999999999998</v>
      </c>
      <c r="AF25" s="1026">
        <f t="shared" si="11"/>
        <v>6</v>
      </c>
      <c r="AG25" s="1024">
        <v>0.47399999999999998</v>
      </c>
      <c r="AH25" s="1076" t="str">
        <f t="shared" si="12"/>
        <v>*</v>
      </c>
      <c r="AI25" s="1024">
        <v>1.6E-2</v>
      </c>
      <c r="AJ25" s="1026">
        <f t="shared" si="13"/>
        <v>0</v>
      </c>
      <c r="AK25" s="1024">
        <v>9.0999999999999998E-2</v>
      </c>
      <c r="AL25" s="1076" t="str">
        <f t="shared" si="14"/>
        <v>*</v>
      </c>
      <c r="AM25" s="1024">
        <v>2.395</v>
      </c>
      <c r="AN25" s="1026">
        <f t="shared" si="15"/>
        <v>2</v>
      </c>
      <c r="AO25" s="1024">
        <v>5.0999999999999997E-2</v>
      </c>
      <c r="AP25" s="1076" t="str">
        <f t="shared" si="16"/>
        <v>*</v>
      </c>
    </row>
    <row r="26" spans="1:42">
      <c r="A26" s="1079" t="s">
        <v>296</v>
      </c>
      <c r="B26" s="1032" t="s">
        <v>308</v>
      </c>
      <c r="C26" s="1024">
        <v>184.61</v>
      </c>
      <c r="D26" s="1025">
        <f t="shared" si="0"/>
        <v>180</v>
      </c>
      <c r="E26" s="1024">
        <v>0</v>
      </c>
      <c r="F26" s="1026">
        <f t="shared" si="8"/>
        <v>0</v>
      </c>
      <c r="G26" s="1024">
        <v>0</v>
      </c>
      <c r="H26" s="1027">
        <f t="shared" si="17"/>
        <v>0</v>
      </c>
      <c r="I26" s="1024">
        <v>0</v>
      </c>
      <c r="J26" s="1028">
        <f t="shared" si="18"/>
        <v>0</v>
      </c>
      <c r="K26" s="1024">
        <v>0</v>
      </c>
      <c r="L26" s="1026">
        <f t="shared" si="3"/>
        <v>0</v>
      </c>
      <c r="M26" s="1024">
        <v>0</v>
      </c>
      <c r="N26" s="1029">
        <v>0</v>
      </c>
      <c r="O26" s="1024">
        <v>22.689</v>
      </c>
      <c r="P26" s="1025">
        <f t="shared" si="4"/>
        <v>25</v>
      </c>
      <c r="Q26" s="1024">
        <v>45.860999999999997</v>
      </c>
      <c r="R26" s="1025">
        <f t="shared" si="5"/>
        <v>46</v>
      </c>
      <c r="S26" s="1024">
        <v>0</v>
      </c>
      <c r="T26" s="1025">
        <v>0</v>
      </c>
      <c r="U26" s="1024">
        <v>45.543999999999997</v>
      </c>
      <c r="V26" s="1030">
        <f t="shared" si="6"/>
        <v>46</v>
      </c>
      <c r="W26" s="1024">
        <v>45.543999999999997</v>
      </c>
      <c r="X26" s="1025">
        <f t="shared" si="7"/>
        <v>46</v>
      </c>
      <c r="Y26" s="1024">
        <v>0</v>
      </c>
      <c r="Z26" s="1025">
        <v>0</v>
      </c>
      <c r="AA26" s="1069">
        <v>0</v>
      </c>
      <c r="AB26" s="1026">
        <f t="shared" si="9"/>
        <v>0</v>
      </c>
      <c r="AC26" s="1073">
        <v>0</v>
      </c>
      <c r="AD26" s="1076" t="str">
        <f t="shared" si="10"/>
        <v>*</v>
      </c>
      <c r="AE26" s="1046">
        <v>7.2960000000000003</v>
      </c>
      <c r="AF26" s="1026">
        <f t="shared" si="11"/>
        <v>7</v>
      </c>
      <c r="AG26" s="1046">
        <v>0.56100000000000005</v>
      </c>
      <c r="AH26" s="1076" t="str">
        <f t="shared" si="12"/>
        <v>*</v>
      </c>
      <c r="AI26" s="1046">
        <v>0.10199999999999999</v>
      </c>
      <c r="AJ26" s="1026">
        <f t="shared" si="13"/>
        <v>0</v>
      </c>
      <c r="AK26" s="1046">
        <v>0.56899999999999995</v>
      </c>
      <c r="AL26" s="1076" t="str">
        <f t="shared" si="14"/>
        <v>*</v>
      </c>
      <c r="AM26" s="1046">
        <v>7.2720000000000002</v>
      </c>
      <c r="AN26" s="1026">
        <f t="shared" si="15"/>
        <v>7</v>
      </c>
      <c r="AO26" s="1046">
        <v>0.155</v>
      </c>
      <c r="AP26" s="1076" t="str">
        <f t="shared" si="16"/>
        <v>*</v>
      </c>
    </row>
    <row r="27" spans="1:42">
      <c r="A27" s="1079" t="s">
        <v>296</v>
      </c>
      <c r="B27" s="1032" t="s">
        <v>48</v>
      </c>
      <c r="C27" s="1024">
        <v>151.65</v>
      </c>
      <c r="D27" s="1025">
        <f t="shared" si="0"/>
        <v>150</v>
      </c>
      <c r="E27" s="1024">
        <v>0.30399999999999999</v>
      </c>
      <c r="F27" s="1026">
        <f t="shared" si="8"/>
        <v>0</v>
      </c>
      <c r="G27" s="1024">
        <v>3.4000000000000002E-2</v>
      </c>
      <c r="H27" s="1027">
        <f t="shared" si="17"/>
        <v>0</v>
      </c>
      <c r="I27" s="1024">
        <v>1E-3</v>
      </c>
      <c r="J27" s="1028">
        <f t="shared" si="18"/>
        <v>0</v>
      </c>
      <c r="K27" s="1024">
        <v>0</v>
      </c>
      <c r="L27" s="1026">
        <f t="shared" si="3"/>
        <v>0</v>
      </c>
      <c r="M27" s="1024">
        <v>0</v>
      </c>
      <c r="N27" s="1029">
        <v>0</v>
      </c>
      <c r="O27" s="1024">
        <v>7.9809999999999999</v>
      </c>
      <c r="P27" s="1025">
        <f t="shared" si="4"/>
        <v>10</v>
      </c>
      <c r="Q27" s="1024">
        <v>39.546999999999997</v>
      </c>
      <c r="R27" s="1025">
        <f t="shared" si="5"/>
        <v>40</v>
      </c>
      <c r="S27" s="1024">
        <v>0.105</v>
      </c>
      <c r="T27" s="1025">
        <v>0</v>
      </c>
      <c r="U27" s="1024">
        <v>37.777999999999999</v>
      </c>
      <c r="V27" s="1030">
        <f t="shared" si="6"/>
        <v>38</v>
      </c>
      <c r="W27" s="1024">
        <v>37.439</v>
      </c>
      <c r="X27" s="1025">
        <f t="shared" si="7"/>
        <v>37</v>
      </c>
      <c r="Y27" s="1024">
        <v>8.8999999999999996E-2</v>
      </c>
      <c r="Z27" s="1025">
        <v>0</v>
      </c>
      <c r="AA27" s="1069">
        <v>0</v>
      </c>
      <c r="AB27" s="1026">
        <f t="shared" si="9"/>
        <v>0</v>
      </c>
      <c r="AC27" s="1073">
        <v>5.0000000000000001E-3</v>
      </c>
      <c r="AD27" s="1076" t="str">
        <f t="shared" si="10"/>
        <v>*</v>
      </c>
      <c r="AE27" s="1046">
        <v>8.0969999999999995</v>
      </c>
      <c r="AF27" s="1026">
        <f t="shared" si="11"/>
        <v>8</v>
      </c>
      <c r="AG27" s="1046">
        <v>0.623</v>
      </c>
      <c r="AH27" s="1076" t="str">
        <f t="shared" si="12"/>
        <v>*</v>
      </c>
      <c r="AI27" s="1046">
        <v>0.30599999999999999</v>
      </c>
      <c r="AJ27" s="1026">
        <f t="shared" si="13"/>
        <v>0</v>
      </c>
      <c r="AK27" s="1046">
        <v>1.6990000000000001</v>
      </c>
      <c r="AL27" s="1076">
        <f t="shared" si="14"/>
        <v>0.02</v>
      </c>
      <c r="AM27" s="1046">
        <v>35.613</v>
      </c>
      <c r="AN27" s="1026">
        <f t="shared" si="15"/>
        <v>36</v>
      </c>
      <c r="AO27" s="1046">
        <v>0.75800000000000001</v>
      </c>
      <c r="AP27" s="1076" t="str">
        <f t="shared" si="16"/>
        <v>*</v>
      </c>
    </row>
    <row r="28" spans="1:42">
      <c r="A28" s="1079" t="s">
        <v>296</v>
      </c>
      <c r="B28" s="1032" t="s">
        <v>50</v>
      </c>
      <c r="C28" s="1045">
        <v>197.41</v>
      </c>
      <c r="D28" s="1025">
        <f t="shared" si="0"/>
        <v>200</v>
      </c>
      <c r="E28" s="1045">
        <v>0.122</v>
      </c>
      <c r="F28" s="1026">
        <f t="shared" si="8"/>
        <v>0</v>
      </c>
      <c r="G28" s="1045">
        <v>1.4E-2</v>
      </c>
      <c r="H28" s="1027">
        <f t="shared" si="17"/>
        <v>0</v>
      </c>
      <c r="I28" s="1045">
        <v>3.0000000000000001E-3</v>
      </c>
      <c r="J28" s="1028">
        <f t="shared" si="18"/>
        <v>0</v>
      </c>
      <c r="K28" s="1045">
        <v>1.4E-2</v>
      </c>
      <c r="L28" s="1026">
        <f t="shared" si="3"/>
        <v>0</v>
      </c>
      <c r="M28" s="1045">
        <v>0</v>
      </c>
      <c r="N28" s="1029">
        <v>0</v>
      </c>
      <c r="O28" s="1045">
        <v>29.721</v>
      </c>
      <c r="P28" s="1025">
        <f t="shared" si="4"/>
        <v>30</v>
      </c>
      <c r="Q28" s="1045">
        <v>50.201000000000001</v>
      </c>
      <c r="R28" s="1025">
        <f t="shared" si="5"/>
        <v>50</v>
      </c>
      <c r="S28" s="1024">
        <v>9.1999999999999998E-2</v>
      </c>
      <c r="T28" s="1025">
        <v>0</v>
      </c>
      <c r="U28" s="1045">
        <v>47.904000000000003</v>
      </c>
      <c r="V28" s="1030">
        <f t="shared" si="6"/>
        <v>48</v>
      </c>
      <c r="W28" s="1045">
        <v>47.168999999999997</v>
      </c>
      <c r="X28" s="1025">
        <f t="shared" si="7"/>
        <v>47</v>
      </c>
      <c r="Y28" s="1045">
        <v>2.8000000000000001E-2</v>
      </c>
      <c r="Z28" s="1025">
        <v>0</v>
      </c>
      <c r="AA28" s="1069">
        <v>0</v>
      </c>
      <c r="AB28" s="1026">
        <f t="shared" si="9"/>
        <v>0</v>
      </c>
      <c r="AC28" s="1073">
        <v>0</v>
      </c>
      <c r="AD28" s="1076" t="str">
        <f t="shared" si="10"/>
        <v>*</v>
      </c>
      <c r="AE28" s="1046">
        <v>6.5640000000000001</v>
      </c>
      <c r="AF28" s="1026">
        <f t="shared" si="11"/>
        <v>7</v>
      </c>
      <c r="AG28" s="1046">
        <v>0.505</v>
      </c>
      <c r="AH28" s="1076" t="str">
        <f t="shared" si="12"/>
        <v>*</v>
      </c>
      <c r="AI28" s="1046">
        <v>0.19</v>
      </c>
      <c r="AJ28" s="1026">
        <f t="shared" si="13"/>
        <v>0</v>
      </c>
      <c r="AK28" s="1046">
        <v>1.0569999999999999</v>
      </c>
      <c r="AL28" s="1076">
        <f t="shared" si="14"/>
        <v>0.02</v>
      </c>
      <c r="AM28" s="1046">
        <v>10.177</v>
      </c>
      <c r="AN28" s="1026">
        <f t="shared" si="15"/>
        <v>10</v>
      </c>
      <c r="AO28" s="1046">
        <v>0.217</v>
      </c>
      <c r="AP28" s="1076" t="str">
        <f t="shared" si="16"/>
        <v>*</v>
      </c>
    </row>
    <row r="29" spans="1:42">
      <c r="A29" s="1079" t="s">
        <v>296</v>
      </c>
      <c r="B29" s="1032" t="s">
        <v>51</v>
      </c>
      <c r="C29" s="1045">
        <v>196.834</v>
      </c>
      <c r="D29" s="1025">
        <f t="shared" si="0"/>
        <v>200</v>
      </c>
      <c r="E29" s="1045">
        <v>6.0999999999999999E-2</v>
      </c>
      <c r="F29" s="1026">
        <f t="shared" si="8"/>
        <v>0</v>
      </c>
      <c r="G29" s="1045">
        <v>7.0000000000000001E-3</v>
      </c>
      <c r="H29" s="1027">
        <f t="shared" si="17"/>
        <v>0</v>
      </c>
      <c r="I29" s="1045">
        <v>2E-3</v>
      </c>
      <c r="J29" s="1028">
        <f t="shared" si="18"/>
        <v>0</v>
      </c>
      <c r="K29" s="1045">
        <v>7.0000000000000001E-3</v>
      </c>
      <c r="L29" s="1026">
        <f t="shared" si="3"/>
        <v>0</v>
      </c>
      <c r="M29" s="1045">
        <v>0</v>
      </c>
      <c r="N29" s="1029">
        <v>0</v>
      </c>
      <c r="O29" s="1045">
        <v>29.698</v>
      </c>
      <c r="P29" s="1025">
        <f t="shared" si="4"/>
        <v>30</v>
      </c>
      <c r="Q29" s="1045">
        <v>49.993000000000002</v>
      </c>
      <c r="R29" s="1025">
        <f t="shared" si="5"/>
        <v>50</v>
      </c>
      <c r="S29" s="1024">
        <v>4.5999999999999999E-2</v>
      </c>
      <c r="T29" s="1025">
        <v>0</v>
      </c>
      <c r="U29" s="1045">
        <v>46.75</v>
      </c>
      <c r="V29" s="1030">
        <f t="shared" si="6"/>
        <v>47</v>
      </c>
      <c r="W29" s="1045">
        <v>45.658999999999999</v>
      </c>
      <c r="X29" s="1025">
        <f t="shared" si="7"/>
        <v>46</v>
      </c>
      <c r="Y29" s="1045">
        <v>1.4999999999999999E-2</v>
      </c>
      <c r="Z29" s="1025">
        <v>0</v>
      </c>
      <c r="AA29" s="1069">
        <v>0</v>
      </c>
      <c r="AB29" s="1026">
        <f t="shared" si="9"/>
        <v>0</v>
      </c>
      <c r="AC29" s="1069">
        <v>0</v>
      </c>
      <c r="AD29" s="1076" t="str">
        <f t="shared" si="10"/>
        <v>*</v>
      </c>
      <c r="AE29" s="1045">
        <v>5.4160000000000004</v>
      </c>
      <c r="AF29" s="1026">
        <f t="shared" si="11"/>
        <v>5</v>
      </c>
      <c r="AG29" s="1045">
        <v>4.7100000000000003E-2</v>
      </c>
      <c r="AH29" s="1076" t="str">
        <f t="shared" si="12"/>
        <v>*</v>
      </c>
      <c r="AI29" s="1045">
        <v>8.9999999999999993E-3</v>
      </c>
      <c r="AJ29" s="1026">
        <f t="shared" si="13"/>
        <v>0</v>
      </c>
      <c r="AK29" s="1045">
        <v>0.05</v>
      </c>
      <c r="AL29" s="1076" t="str">
        <f t="shared" si="14"/>
        <v>*</v>
      </c>
      <c r="AM29" s="1045">
        <v>1.0489999999999999</v>
      </c>
      <c r="AN29" s="1026">
        <f t="shared" si="15"/>
        <v>1</v>
      </c>
      <c r="AO29" s="1045">
        <v>2.1999999999999999E-2</v>
      </c>
      <c r="AP29" s="1076" t="str">
        <f t="shared" si="16"/>
        <v>*</v>
      </c>
    </row>
    <row r="30" spans="1:42">
      <c r="A30" s="1079" t="s">
        <v>296</v>
      </c>
      <c r="B30" s="1032" t="s">
        <v>53</v>
      </c>
      <c r="C30" s="1043">
        <v>198.41399999999999</v>
      </c>
      <c r="D30" s="1025">
        <f t="shared" si="0"/>
        <v>200</v>
      </c>
      <c r="E30" s="1043">
        <v>5.2999999999999999E-2</v>
      </c>
      <c r="F30" s="1026">
        <f t="shared" si="8"/>
        <v>0</v>
      </c>
      <c r="G30" s="1043">
        <v>6.0000000000000001E-3</v>
      </c>
      <c r="H30" s="1027">
        <f t="shared" si="17"/>
        <v>0</v>
      </c>
      <c r="I30" s="1043">
        <v>2E-3</v>
      </c>
      <c r="J30" s="1028">
        <f t="shared" si="18"/>
        <v>0</v>
      </c>
      <c r="K30" s="1043">
        <v>0</v>
      </c>
      <c r="L30" s="1026">
        <f t="shared" si="3"/>
        <v>0</v>
      </c>
      <c r="M30" s="1043">
        <v>0</v>
      </c>
      <c r="N30" s="1029">
        <v>0</v>
      </c>
      <c r="O30" s="1043">
        <v>28.423999999999999</v>
      </c>
      <c r="P30" s="1025">
        <f t="shared" si="4"/>
        <v>30</v>
      </c>
      <c r="Q30" s="1043">
        <v>50.043999999999997</v>
      </c>
      <c r="R30" s="1025">
        <f t="shared" si="5"/>
        <v>50</v>
      </c>
      <c r="S30" s="1043">
        <v>6.4000000000000001E-2</v>
      </c>
      <c r="T30" s="1025">
        <v>0</v>
      </c>
      <c r="U30" s="1043">
        <v>48.197000000000003</v>
      </c>
      <c r="V30" s="1030">
        <f t="shared" si="6"/>
        <v>48</v>
      </c>
      <c r="W30" s="1043">
        <v>47.465000000000003</v>
      </c>
      <c r="X30" s="1025">
        <f t="shared" si="7"/>
        <v>47</v>
      </c>
      <c r="Y30" s="1043">
        <v>2.9000000000000001E-2</v>
      </c>
      <c r="Z30" s="1025">
        <v>0</v>
      </c>
      <c r="AA30" s="1072">
        <v>0</v>
      </c>
      <c r="AB30" s="1026">
        <f t="shared" si="9"/>
        <v>0</v>
      </c>
      <c r="AC30" s="1069">
        <v>0</v>
      </c>
      <c r="AD30" s="1076" t="str">
        <f t="shared" si="10"/>
        <v>*</v>
      </c>
      <c r="AE30" s="1045">
        <v>4.92</v>
      </c>
      <c r="AF30" s="1026">
        <f t="shared" si="11"/>
        <v>5</v>
      </c>
      <c r="AG30" s="1045">
        <v>0.378</v>
      </c>
      <c r="AH30" s="1076" t="str">
        <f t="shared" si="12"/>
        <v>*</v>
      </c>
      <c r="AI30" s="1045">
        <v>8.9999999999999993E-3</v>
      </c>
      <c r="AJ30" s="1026">
        <f t="shared" si="13"/>
        <v>0</v>
      </c>
      <c r="AK30" s="1045">
        <v>0.05</v>
      </c>
      <c r="AL30" s="1076" t="str">
        <f t="shared" si="14"/>
        <v>*</v>
      </c>
      <c r="AM30" s="1045">
        <v>0.377</v>
      </c>
      <c r="AN30" s="1026">
        <f t="shared" si="15"/>
        <v>0</v>
      </c>
      <c r="AO30" s="1045">
        <v>8.0000000000000002E-3</v>
      </c>
      <c r="AP30" s="1076" t="str">
        <f t="shared" si="16"/>
        <v>*</v>
      </c>
    </row>
    <row r="31" spans="1:42" s="1038" customFormat="1">
      <c r="A31" s="1079" t="s">
        <v>296</v>
      </c>
      <c r="B31" s="1032" t="s">
        <v>54</v>
      </c>
      <c r="C31" s="1043">
        <v>200.21</v>
      </c>
      <c r="D31" s="1025">
        <f t="shared" si="0"/>
        <v>200</v>
      </c>
      <c r="E31" s="1043">
        <v>9.2999999999999999E-2</v>
      </c>
      <c r="F31" s="1026">
        <f t="shared" si="8"/>
        <v>0</v>
      </c>
      <c r="G31" s="1043">
        <v>0.01</v>
      </c>
      <c r="H31" s="1027">
        <f t="shared" si="17"/>
        <v>0</v>
      </c>
      <c r="I31" s="1043">
        <v>2E-3</v>
      </c>
      <c r="J31" s="1028">
        <f t="shared" si="18"/>
        <v>0</v>
      </c>
      <c r="K31" s="1043">
        <v>0</v>
      </c>
      <c r="L31" s="1026">
        <f t="shared" si="3"/>
        <v>0</v>
      </c>
      <c r="M31" s="1043">
        <v>0</v>
      </c>
      <c r="N31" s="1029">
        <v>0</v>
      </c>
      <c r="O31" s="1043">
        <v>29.513999999999999</v>
      </c>
      <c r="P31" s="1025">
        <f t="shared" si="4"/>
        <v>30</v>
      </c>
      <c r="Q31" s="1043">
        <v>50.698999999999998</v>
      </c>
      <c r="R31" s="1025">
        <f t="shared" si="5"/>
        <v>51</v>
      </c>
      <c r="S31" s="1043">
        <v>0.115</v>
      </c>
      <c r="T31" s="1025">
        <v>0</v>
      </c>
      <c r="U31" s="1043">
        <v>48.8</v>
      </c>
      <c r="V31" s="1030">
        <f t="shared" si="6"/>
        <v>49</v>
      </c>
      <c r="W31" s="1043">
        <v>48.097999999999999</v>
      </c>
      <c r="X31" s="1025">
        <f t="shared" si="7"/>
        <v>48</v>
      </c>
      <c r="Y31" s="1043">
        <v>7.4999999999999997E-2</v>
      </c>
      <c r="Z31" s="1025">
        <v>0</v>
      </c>
      <c r="AA31" s="1072">
        <v>0</v>
      </c>
      <c r="AB31" s="1026">
        <f t="shared" si="9"/>
        <v>0</v>
      </c>
      <c r="AC31" s="1073">
        <v>0</v>
      </c>
      <c r="AD31" s="1076" t="str">
        <f t="shared" si="10"/>
        <v>*</v>
      </c>
      <c r="AE31" s="1046">
        <v>6.6340000000000003</v>
      </c>
      <c r="AF31" s="1026">
        <f t="shared" si="11"/>
        <v>7</v>
      </c>
      <c r="AG31" s="1046">
        <v>0.51</v>
      </c>
      <c r="AH31" s="1076" t="str">
        <f t="shared" si="12"/>
        <v>*</v>
      </c>
      <c r="AI31" s="1046">
        <v>0.41599999999999998</v>
      </c>
      <c r="AJ31" s="1026">
        <f t="shared" si="13"/>
        <v>0</v>
      </c>
      <c r="AK31" s="1046">
        <v>2.3130000000000002</v>
      </c>
      <c r="AL31" s="1076">
        <f t="shared" si="14"/>
        <v>0.02</v>
      </c>
      <c r="AM31" s="1046">
        <v>50.709000000000003</v>
      </c>
      <c r="AN31" s="1026">
        <f t="shared" si="15"/>
        <v>51</v>
      </c>
      <c r="AO31" s="1046">
        <v>1.079</v>
      </c>
      <c r="AP31" s="1076">
        <f t="shared" si="16"/>
        <v>0.02</v>
      </c>
    </row>
    <row r="32" spans="1:42" s="1038" customFormat="1">
      <c r="A32" s="1079" t="s">
        <v>296</v>
      </c>
      <c r="B32" s="1032" t="s">
        <v>52</v>
      </c>
      <c r="C32" s="1043">
        <v>180.11699999999999</v>
      </c>
      <c r="D32" s="1025">
        <f t="shared" si="0"/>
        <v>180</v>
      </c>
      <c r="E32" s="1043">
        <v>5.7000000000000002E-2</v>
      </c>
      <c r="F32" s="1026">
        <f t="shared" si="8"/>
        <v>0</v>
      </c>
      <c r="G32" s="1043">
        <v>6.0000000000000001E-3</v>
      </c>
      <c r="H32" s="1027">
        <f t="shared" si="17"/>
        <v>0</v>
      </c>
      <c r="I32" s="1043">
        <v>2E-3</v>
      </c>
      <c r="J32" s="1028">
        <f t="shared" si="18"/>
        <v>0</v>
      </c>
      <c r="K32" s="1043">
        <v>0</v>
      </c>
      <c r="L32" s="1026">
        <f t="shared" si="3"/>
        <v>0</v>
      </c>
      <c r="M32" s="1043">
        <v>0</v>
      </c>
      <c r="N32" s="1029">
        <v>0</v>
      </c>
      <c r="O32" s="1043">
        <v>25.434999999999999</v>
      </c>
      <c r="P32" s="1025">
        <f t="shared" si="4"/>
        <v>25</v>
      </c>
      <c r="Q32" s="1043">
        <v>45.524000000000001</v>
      </c>
      <c r="R32" s="1025">
        <f t="shared" si="5"/>
        <v>46</v>
      </c>
      <c r="S32" s="1043">
        <v>0.14000000000000001</v>
      </c>
      <c r="T32" s="1025">
        <v>0</v>
      </c>
      <c r="U32" s="1043">
        <v>43.689</v>
      </c>
      <c r="V32" s="1030">
        <f t="shared" si="6"/>
        <v>44</v>
      </c>
      <c r="W32" s="1043">
        <v>42.805999999999997</v>
      </c>
      <c r="X32" s="1025">
        <f t="shared" si="7"/>
        <v>43</v>
      </c>
      <c r="Y32" s="1043">
        <v>7.2999999999999995E-2</v>
      </c>
      <c r="Z32" s="1025">
        <v>0</v>
      </c>
      <c r="AA32" s="1072">
        <v>0</v>
      </c>
      <c r="AB32" s="1026">
        <f t="shared" si="9"/>
        <v>0</v>
      </c>
      <c r="AC32" s="1073">
        <v>0</v>
      </c>
      <c r="AD32" s="1076" t="str">
        <f t="shared" si="10"/>
        <v>*</v>
      </c>
      <c r="AE32" s="1046">
        <v>12.57</v>
      </c>
      <c r="AF32" s="1026">
        <f t="shared" si="11"/>
        <v>13</v>
      </c>
      <c r="AG32" s="1046">
        <v>0.96699999999999997</v>
      </c>
      <c r="AH32" s="1076" t="str">
        <f t="shared" si="12"/>
        <v>*</v>
      </c>
      <c r="AI32" s="1046">
        <v>0.84299999999999997</v>
      </c>
      <c r="AJ32" s="1026">
        <f t="shared" si="13"/>
        <v>1</v>
      </c>
      <c r="AK32" s="1046">
        <v>4.6829999999999998</v>
      </c>
      <c r="AL32" s="1076">
        <f t="shared" si="14"/>
        <v>0.04</v>
      </c>
      <c r="AM32" s="1046">
        <v>97.498000000000005</v>
      </c>
      <c r="AN32" s="1026">
        <f t="shared" si="15"/>
        <v>97</v>
      </c>
      <c r="AO32" s="1046">
        <v>2.0739999999999998</v>
      </c>
      <c r="AP32" s="1076">
        <f t="shared" si="16"/>
        <v>0.02</v>
      </c>
    </row>
    <row r="33" spans="1:42" s="1038" customFormat="1">
      <c r="A33" s="1079" t="s">
        <v>296</v>
      </c>
      <c r="B33" s="1032" t="s">
        <v>55</v>
      </c>
      <c r="C33" s="1048">
        <v>201.03</v>
      </c>
      <c r="D33" s="1025">
        <f t="shared" si="0"/>
        <v>200</v>
      </c>
      <c r="E33" s="1048">
        <v>0.16600000000000001</v>
      </c>
      <c r="F33" s="1026">
        <f t="shared" si="8"/>
        <v>0</v>
      </c>
      <c r="G33" s="1048">
        <v>1.7999999999999999E-2</v>
      </c>
      <c r="H33" s="1027">
        <f t="shared" si="17"/>
        <v>0</v>
      </c>
      <c r="I33" s="1048">
        <v>1E-3</v>
      </c>
      <c r="J33" s="1028">
        <f t="shared" si="18"/>
        <v>0</v>
      </c>
      <c r="K33" s="1048">
        <v>0</v>
      </c>
      <c r="L33" s="1026">
        <f t="shared" si="3"/>
        <v>0</v>
      </c>
      <c r="M33" s="1048">
        <v>0</v>
      </c>
      <c r="N33" s="1029">
        <v>0</v>
      </c>
      <c r="O33" s="1048">
        <v>32.756999999999998</v>
      </c>
      <c r="P33" s="1025">
        <f t="shared" si="4"/>
        <v>35</v>
      </c>
      <c r="Q33" s="1048">
        <v>51.076999999999998</v>
      </c>
      <c r="R33" s="1025">
        <f t="shared" si="5"/>
        <v>51</v>
      </c>
      <c r="S33" s="1043">
        <v>0.13900000000000001</v>
      </c>
      <c r="T33" s="1025">
        <v>0</v>
      </c>
      <c r="U33" s="1048">
        <v>48.887999999999998</v>
      </c>
      <c r="V33" s="1030">
        <f t="shared" si="6"/>
        <v>49</v>
      </c>
      <c r="W33" s="1048">
        <v>48.374000000000002</v>
      </c>
      <c r="X33" s="1025">
        <f t="shared" si="7"/>
        <v>48</v>
      </c>
      <c r="Y33" s="1048">
        <v>0.114</v>
      </c>
      <c r="Z33" s="1025">
        <v>0</v>
      </c>
      <c r="AA33" s="1072">
        <v>0</v>
      </c>
      <c r="AB33" s="1026">
        <f t="shared" si="9"/>
        <v>0</v>
      </c>
      <c r="AC33" s="1069">
        <v>0</v>
      </c>
      <c r="AD33" s="1076" t="str">
        <f t="shared" si="10"/>
        <v>*</v>
      </c>
      <c r="AE33" s="1045">
        <v>6.202</v>
      </c>
      <c r="AF33" s="1026">
        <f t="shared" si="11"/>
        <v>6</v>
      </c>
      <c r="AG33" s="1045">
        <v>0.47699999999999998</v>
      </c>
      <c r="AH33" s="1076" t="str">
        <f t="shared" si="12"/>
        <v>*</v>
      </c>
      <c r="AI33" s="1045">
        <v>3.9E-2</v>
      </c>
      <c r="AJ33" s="1026">
        <f t="shared" si="13"/>
        <v>0</v>
      </c>
      <c r="AK33" s="1045">
        <v>0.217</v>
      </c>
      <c r="AL33" s="1076" t="str">
        <f t="shared" si="14"/>
        <v>*</v>
      </c>
      <c r="AM33" s="1045">
        <v>0.749</v>
      </c>
      <c r="AN33" s="1026">
        <f t="shared" si="15"/>
        <v>1</v>
      </c>
      <c r="AO33" s="1045">
        <v>1.6E-2</v>
      </c>
      <c r="AP33" s="1076" t="str">
        <f t="shared" si="16"/>
        <v>*</v>
      </c>
    </row>
    <row r="34" spans="1:42" s="1038" customFormat="1">
      <c r="A34" s="1079" t="s">
        <v>296</v>
      </c>
      <c r="B34" s="1032" t="s">
        <v>309</v>
      </c>
      <c r="C34" s="1045">
        <v>187.47</v>
      </c>
      <c r="D34" s="1025">
        <f t="shared" si="0"/>
        <v>190</v>
      </c>
      <c r="E34" s="1045">
        <v>0</v>
      </c>
      <c r="F34" s="1026">
        <f t="shared" si="8"/>
        <v>0</v>
      </c>
      <c r="G34" s="1045">
        <v>0</v>
      </c>
      <c r="H34" s="1027">
        <f t="shared" si="17"/>
        <v>0</v>
      </c>
      <c r="I34" s="1045">
        <v>0</v>
      </c>
      <c r="J34" s="1028">
        <f t="shared" si="18"/>
        <v>0</v>
      </c>
      <c r="K34" s="1045">
        <v>0</v>
      </c>
      <c r="L34" s="1026">
        <f t="shared" si="3"/>
        <v>0</v>
      </c>
      <c r="M34" s="1045">
        <v>0</v>
      </c>
      <c r="N34" s="1029">
        <v>0</v>
      </c>
      <c r="O34" s="1045">
        <v>22.896999999999998</v>
      </c>
      <c r="P34" s="1025">
        <f t="shared" si="4"/>
        <v>25</v>
      </c>
      <c r="Q34" s="1045">
        <v>46.570999999999998</v>
      </c>
      <c r="R34" s="1025">
        <f t="shared" si="5"/>
        <v>47</v>
      </c>
      <c r="S34" s="1024">
        <v>0</v>
      </c>
      <c r="T34" s="1025">
        <v>0</v>
      </c>
      <c r="U34" s="1045">
        <v>45.374000000000002</v>
      </c>
      <c r="V34" s="1030">
        <f t="shared" si="6"/>
        <v>45</v>
      </c>
      <c r="W34" s="1045">
        <v>45.374000000000002</v>
      </c>
      <c r="X34" s="1025">
        <f t="shared" si="7"/>
        <v>45</v>
      </c>
      <c r="Y34" s="1045">
        <v>0</v>
      </c>
      <c r="Z34" s="1025">
        <v>0</v>
      </c>
      <c r="AA34" s="1069">
        <v>0</v>
      </c>
      <c r="AB34" s="1026">
        <f t="shared" si="9"/>
        <v>0</v>
      </c>
      <c r="AC34" s="1071">
        <v>0</v>
      </c>
      <c r="AD34" s="1076" t="str">
        <f t="shared" si="10"/>
        <v>*</v>
      </c>
      <c r="AE34" s="1081">
        <v>5.1779999999999999</v>
      </c>
      <c r="AF34" s="1026">
        <f t="shared" si="11"/>
        <v>5</v>
      </c>
      <c r="AG34" s="1081">
        <v>0.39800000000000002</v>
      </c>
      <c r="AH34" s="1076" t="str">
        <f t="shared" si="12"/>
        <v>*</v>
      </c>
      <c r="AI34" s="1081">
        <v>1.2E-2</v>
      </c>
      <c r="AJ34" s="1026">
        <f t="shared" si="13"/>
        <v>0</v>
      </c>
      <c r="AK34" s="1081">
        <v>6.5000000000000002E-2</v>
      </c>
      <c r="AL34" s="1076" t="str">
        <f t="shared" si="14"/>
        <v>*</v>
      </c>
      <c r="AM34" s="1081">
        <v>0.49399999999999999</v>
      </c>
      <c r="AN34" s="1026">
        <f t="shared" si="15"/>
        <v>0</v>
      </c>
      <c r="AO34" s="1081">
        <v>1.0999999999999999E-2</v>
      </c>
      <c r="AP34" s="1076" t="str">
        <f t="shared" si="16"/>
        <v>*</v>
      </c>
    </row>
    <row r="35" spans="1:42">
      <c r="A35" s="1079" t="s">
        <v>296</v>
      </c>
      <c r="B35" s="1032" t="s">
        <v>310</v>
      </c>
      <c r="C35" s="1046">
        <v>203.23</v>
      </c>
      <c r="D35" s="1025">
        <f t="shared" si="0"/>
        <v>200</v>
      </c>
      <c r="E35" s="1046">
        <v>0</v>
      </c>
      <c r="F35" s="1026">
        <f t="shared" si="8"/>
        <v>0</v>
      </c>
      <c r="G35" s="1046">
        <v>0</v>
      </c>
      <c r="H35" s="1027">
        <f t="shared" si="17"/>
        <v>0</v>
      </c>
      <c r="I35" s="1046">
        <v>0</v>
      </c>
      <c r="J35" s="1028">
        <f t="shared" si="18"/>
        <v>0</v>
      </c>
      <c r="K35" s="1046">
        <v>0</v>
      </c>
      <c r="L35" s="1026">
        <f t="shared" si="3"/>
        <v>0</v>
      </c>
      <c r="M35" s="1046">
        <v>0</v>
      </c>
      <c r="N35" s="1029">
        <v>0</v>
      </c>
      <c r="O35" s="1046">
        <v>22.661000000000001</v>
      </c>
      <c r="P35" s="1025">
        <f t="shared" si="4"/>
        <v>25</v>
      </c>
      <c r="Q35" s="1046">
        <v>51.518000000000001</v>
      </c>
      <c r="R35" s="1025">
        <f t="shared" si="5"/>
        <v>52</v>
      </c>
      <c r="S35" s="1046">
        <v>0</v>
      </c>
      <c r="T35" s="1025">
        <v>0</v>
      </c>
      <c r="U35" s="1046">
        <v>49.445</v>
      </c>
      <c r="V35" s="1030">
        <f t="shared" si="6"/>
        <v>49</v>
      </c>
      <c r="W35" s="1046">
        <v>49.445</v>
      </c>
      <c r="X35" s="1025">
        <f t="shared" si="7"/>
        <v>49</v>
      </c>
      <c r="Y35" s="1046">
        <v>0</v>
      </c>
      <c r="Z35" s="1025">
        <v>0</v>
      </c>
      <c r="AA35" s="1073">
        <v>0</v>
      </c>
      <c r="AB35" s="1026">
        <f t="shared" si="9"/>
        <v>0</v>
      </c>
      <c r="AC35" s="1072">
        <v>0</v>
      </c>
      <c r="AD35" s="1076" t="str">
        <f t="shared" si="10"/>
        <v>*</v>
      </c>
      <c r="AE35" s="1048">
        <v>5.0780000000000003</v>
      </c>
      <c r="AF35" s="1026">
        <f t="shared" si="11"/>
        <v>5</v>
      </c>
      <c r="AG35" s="1048">
        <v>0.39100000000000001</v>
      </c>
      <c r="AH35" s="1076" t="str">
        <f t="shared" si="12"/>
        <v>*</v>
      </c>
      <c r="AI35" s="1048">
        <v>1.0999999999999999E-2</v>
      </c>
      <c r="AJ35" s="1026">
        <f t="shared" si="13"/>
        <v>0</v>
      </c>
      <c r="AK35" s="1048">
        <v>5.8999999999999997E-2</v>
      </c>
      <c r="AL35" s="1076" t="str">
        <f t="shared" si="14"/>
        <v>*</v>
      </c>
      <c r="AM35" s="1048">
        <v>0.94</v>
      </c>
      <c r="AN35" s="1026">
        <f t="shared" si="15"/>
        <v>1</v>
      </c>
      <c r="AO35" s="1048">
        <v>0.02</v>
      </c>
      <c r="AP35" s="1076" t="str">
        <f t="shared" si="16"/>
        <v>*</v>
      </c>
    </row>
    <row r="36" spans="1:42">
      <c r="A36" s="1079" t="s">
        <v>296</v>
      </c>
      <c r="B36" s="1032" t="s">
        <v>311</v>
      </c>
      <c r="C36" s="1046">
        <v>169.00800000000001</v>
      </c>
      <c r="D36" s="1025">
        <f t="shared" ref="D36:D67" si="19">MROUND(C36,10)</f>
        <v>170</v>
      </c>
      <c r="E36" s="1046">
        <v>0</v>
      </c>
      <c r="F36" s="1026">
        <f t="shared" si="8"/>
        <v>0</v>
      </c>
      <c r="G36" s="1046">
        <v>0</v>
      </c>
      <c r="H36" s="1027">
        <f t="shared" si="17"/>
        <v>0</v>
      </c>
      <c r="I36" s="1046">
        <v>0</v>
      </c>
      <c r="J36" s="1028">
        <f t="shared" si="18"/>
        <v>0</v>
      </c>
      <c r="K36" s="1046">
        <v>0</v>
      </c>
      <c r="L36" s="1026">
        <f t="shared" ref="L36:L67" si="20">IF(K36&lt;0.5,0,MROUND(K36,5))</f>
        <v>0</v>
      </c>
      <c r="M36" s="1046">
        <v>0</v>
      </c>
      <c r="N36" s="1029">
        <v>0</v>
      </c>
      <c r="O36" s="1046">
        <v>26.241</v>
      </c>
      <c r="P36" s="1025">
        <f t="shared" ref="P36:P67" si="21">MROUND(O36,5)</f>
        <v>25</v>
      </c>
      <c r="Q36" s="1046">
        <v>43.170999999999999</v>
      </c>
      <c r="R36" s="1025">
        <f t="shared" ref="R36:R67" si="22">(MROUND(Q36,1))</f>
        <v>43</v>
      </c>
      <c r="S36" s="1046">
        <v>0.111</v>
      </c>
      <c r="T36" s="1025">
        <v>0</v>
      </c>
      <c r="U36" s="1046">
        <v>41.94</v>
      </c>
      <c r="V36" s="1030">
        <f t="shared" ref="V36:V67" si="23">(MROUND(U36,1))</f>
        <v>42</v>
      </c>
      <c r="W36" s="1046">
        <v>41.546999999999997</v>
      </c>
      <c r="X36" s="1025">
        <f t="shared" ref="X36:X67" si="24">(MROUND(W36,1))</f>
        <v>42</v>
      </c>
      <c r="Y36" s="1046">
        <v>7.8E-2</v>
      </c>
      <c r="Z36" s="1025">
        <v>0</v>
      </c>
      <c r="AA36" s="1073">
        <v>0</v>
      </c>
      <c r="AB36" s="1026">
        <f t="shared" si="9"/>
        <v>0</v>
      </c>
      <c r="AC36" s="1069">
        <v>0</v>
      </c>
      <c r="AD36" s="1076" t="str">
        <f t="shared" si="10"/>
        <v>*</v>
      </c>
      <c r="AE36" s="1024">
        <v>6.1760000000000002</v>
      </c>
      <c r="AF36" s="1026">
        <f t="shared" si="11"/>
        <v>6</v>
      </c>
      <c r="AG36" s="1024">
        <v>0.47499999999999998</v>
      </c>
      <c r="AH36" s="1076" t="str">
        <f t="shared" si="12"/>
        <v>*</v>
      </c>
      <c r="AI36" s="1024">
        <v>4.2999999999999997E-2</v>
      </c>
      <c r="AJ36" s="1026">
        <f t="shared" si="13"/>
        <v>0</v>
      </c>
      <c r="AK36" s="1024">
        <v>0.24</v>
      </c>
      <c r="AL36" s="1076" t="str">
        <f t="shared" si="14"/>
        <v>*</v>
      </c>
      <c r="AM36" s="1024">
        <v>31.113</v>
      </c>
      <c r="AN36" s="1026">
        <f t="shared" si="15"/>
        <v>31</v>
      </c>
      <c r="AO36" s="1024">
        <v>0</v>
      </c>
      <c r="AP36" s="1076" t="str">
        <f t="shared" si="16"/>
        <v>*</v>
      </c>
    </row>
    <row r="37" spans="1:42">
      <c r="A37" s="1079" t="s">
        <v>296</v>
      </c>
      <c r="B37" s="1032" t="s">
        <v>58</v>
      </c>
      <c r="C37" s="1046">
        <v>193.86699999999999</v>
      </c>
      <c r="D37" s="1025">
        <f t="shared" si="19"/>
        <v>190</v>
      </c>
      <c r="E37" s="1046">
        <v>4.3070000000000004</v>
      </c>
      <c r="F37" s="1026">
        <f t="shared" si="8"/>
        <v>0</v>
      </c>
      <c r="G37" s="1046">
        <v>0.47899999999999998</v>
      </c>
      <c r="H37" s="1027">
        <f t="shared" si="17"/>
        <v>0</v>
      </c>
      <c r="I37" s="1046">
        <v>0</v>
      </c>
      <c r="J37" s="1028">
        <f t="shared" si="18"/>
        <v>0</v>
      </c>
      <c r="K37" s="1046">
        <v>0</v>
      </c>
      <c r="L37" s="1026">
        <f t="shared" si="20"/>
        <v>0</v>
      </c>
      <c r="M37" s="1046">
        <v>0</v>
      </c>
      <c r="N37" s="1029">
        <v>0</v>
      </c>
      <c r="O37" s="1046">
        <v>28.577000000000002</v>
      </c>
      <c r="P37" s="1025">
        <f t="shared" si="21"/>
        <v>30</v>
      </c>
      <c r="Q37" s="1046">
        <v>49.149000000000001</v>
      </c>
      <c r="R37" s="1025">
        <f t="shared" si="22"/>
        <v>49</v>
      </c>
      <c r="S37" s="1046">
        <v>9.1999999999999998E-2</v>
      </c>
      <c r="T37" s="1025">
        <v>0</v>
      </c>
      <c r="U37" s="1046">
        <v>47.149000000000001</v>
      </c>
      <c r="V37" s="1030">
        <f t="shared" si="23"/>
        <v>47</v>
      </c>
      <c r="W37" s="1046">
        <v>46.750999999999998</v>
      </c>
      <c r="X37" s="1025">
        <f t="shared" si="24"/>
        <v>47</v>
      </c>
      <c r="Y37" s="1046">
        <v>3.1E-2</v>
      </c>
      <c r="Z37" s="1025">
        <v>0</v>
      </c>
      <c r="AA37" s="1073">
        <v>0</v>
      </c>
      <c r="AB37" s="1026">
        <f t="shared" si="9"/>
        <v>0</v>
      </c>
      <c r="AC37" s="1069">
        <v>0</v>
      </c>
      <c r="AD37" s="1076" t="str">
        <f t="shared" si="10"/>
        <v>*</v>
      </c>
      <c r="AE37" s="1024">
        <v>5.54</v>
      </c>
      <c r="AF37" s="1026">
        <f t="shared" si="11"/>
        <v>6</v>
      </c>
      <c r="AG37" s="1024">
        <v>0.42599999999999999</v>
      </c>
      <c r="AH37" s="1076" t="str">
        <f t="shared" si="12"/>
        <v>*</v>
      </c>
      <c r="AI37" s="1024">
        <v>1.7999999999999999E-2</v>
      </c>
      <c r="AJ37" s="1026">
        <f t="shared" si="13"/>
        <v>0</v>
      </c>
      <c r="AK37" s="1024">
        <v>9.9000000000000005E-2</v>
      </c>
      <c r="AL37" s="1076" t="str">
        <f t="shared" si="14"/>
        <v>*</v>
      </c>
      <c r="AM37" s="1024">
        <v>6.4180000000000001</v>
      </c>
      <c r="AN37" s="1026">
        <f t="shared" si="15"/>
        <v>6</v>
      </c>
      <c r="AO37" s="1024">
        <v>0.13700000000000001</v>
      </c>
      <c r="AP37" s="1076" t="str">
        <f t="shared" si="16"/>
        <v>*</v>
      </c>
    </row>
    <row r="38" spans="1:42" s="1038" customFormat="1">
      <c r="A38" s="1079" t="s">
        <v>296</v>
      </c>
      <c r="B38" s="1032" t="s">
        <v>59</v>
      </c>
      <c r="C38" s="1045">
        <v>178.13900000000001</v>
      </c>
      <c r="D38" s="1025">
        <f t="shared" si="19"/>
        <v>180</v>
      </c>
      <c r="E38" s="1045">
        <v>0</v>
      </c>
      <c r="F38" s="1026">
        <f t="shared" si="8"/>
        <v>0</v>
      </c>
      <c r="G38" s="1045">
        <v>0</v>
      </c>
      <c r="H38" s="1027">
        <f t="shared" si="17"/>
        <v>0</v>
      </c>
      <c r="I38" s="1045">
        <v>0</v>
      </c>
      <c r="J38" s="1028">
        <f t="shared" si="18"/>
        <v>0</v>
      </c>
      <c r="K38" s="1045">
        <v>0</v>
      </c>
      <c r="L38" s="1026">
        <f t="shared" si="20"/>
        <v>0</v>
      </c>
      <c r="M38" s="1045">
        <v>0</v>
      </c>
      <c r="N38" s="1029">
        <v>0</v>
      </c>
      <c r="O38" s="1045">
        <v>27.898</v>
      </c>
      <c r="P38" s="1025">
        <f t="shared" si="21"/>
        <v>30</v>
      </c>
      <c r="Q38" s="1045">
        <v>44.469000000000001</v>
      </c>
      <c r="R38" s="1025">
        <f t="shared" si="22"/>
        <v>44</v>
      </c>
      <c r="S38" s="1045">
        <v>4.3999999999999997E-2</v>
      </c>
      <c r="T38" s="1025">
        <v>0</v>
      </c>
      <c r="U38" s="1045">
        <v>42.948999999999998</v>
      </c>
      <c r="V38" s="1030">
        <f t="shared" si="23"/>
        <v>43</v>
      </c>
      <c r="W38" s="1045">
        <v>42.21</v>
      </c>
      <c r="X38" s="1025">
        <f t="shared" si="24"/>
        <v>42</v>
      </c>
      <c r="Y38" s="1045">
        <v>3.1E-2</v>
      </c>
      <c r="Z38" s="1025">
        <v>0</v>
      </c>
      <c r="AA38" s="1069">
        <v>0</v>
      </c>
      <c r="AB38" s="1026">
        <f t="shared" si="9"/>
        <v>0</v>
      </c>
      <c r="AC38" s="1069">
        <v>0</v>
      </c>
      <c r="AD38" s="1076" t="str">
        <f t="shared" si="10"/>
        <v>*</v>
      </c>
      <c r="AE38" s="1045">
        <v>5.641</v>
      </c>
      <c r="AF38" s="1026">
        <f t="shared" si="11"/>
        <v>6</v>
      </c>
      <c r="AG38" s="1045">
        <v>0.434</v>
      </c>
      <c r="AH38" s="1076" t="str">
        <f t="shared" si="12"/>
        <v>*</v>
      </c>
      <c r="AI38" s="1045">
        <v>1.7000000000000001E-2</v>
      </c>
      <c r="AJ38" s="1026">
        <f t="shared" si="13"/>
        <v>0</v>
      </c>
      <c r="AK38" s="1045">
        <v>9.1999999999999998E-2</v>
      </c>
      <c r="AL38" s="1076" t="str">
        <f t="shared" si="14"/>
        <v>*</v>
      </c>
      <c r="AM38" s="1045">
        <v>7.4109999999999996</v>
      </c>
      <c r="AN38" s="1026">
        <f t="shared" si="15"/>
        <v>7</v>
      </c>
      <c r="AO38" s="1045">
        <v>0.158</v>
      </c>
      <c r="AP38" s="1076" t="str">
        <f t="shared" si="16"/>
        <v>*</v>
      </c>
    </row>
    <row r="39" spans="1:42">
      <c r="A39" s="1079" t="s">
        <v>296</v>
      </c>
      <c r="B39" s="1032" t="s">
        <v>60</v>
      </c>
      <c r="C39" s="1046">
        <v>190.749</v>
      </c>
      <c r="D39" s="1025">
        <f t="shared" si="19"/>
        <v>190</v>
      </c>
      <c r="E39" s="1046">
        <v>1.9E-2</v>
      </c>
      <c r="F39" s="1026">
        <f t="shared" si="8"/>
        <v>0</v>
      </c>
      <c r="G39" s="1046">
        <v>2E-3</v>
      </c>
      <c r="H39" s="1027">
        <f t="shared" si="17"/>
        <v>0</v>
      </c>
      <c r="I39" s="1046">
        <v>2E-3</v>
      </c>
      <c r="J39" s="1028">
        <f t="shared" si="18"/>
        <v>0</v>
      </c>
      <c r="K39" s="1046">
        <v>0</v>
      </c>
      <c r="L39" s="1026">
        <f t="shared" si="20"/>
        <v>0</v>
      </c>
      <c r="M39" s="1046">
        <v>0</v>
      </c>
      <c r="N39" s="1029">
        <v>0</v>
      </c>
      <c r="O39" s="1046">
        <v>28.131</v>
      </c>
      <c r="P39" s="1025">
        <f t="shared" si="21"/>
        <v>30</v>
      </c>
      <c r="Q39" s="1046">
        <v>48.43</v>
      </c>
      <c r="R39" s="1025">
        <f t="shared" si="22"/>
        <v>48</v>
      </c>
      <c r="S39" s="1046">
        <v>0.66800000000000004</v>
      </c>
      <c r="T39" s="1025" t="s">
        <v>303</v>
      </c>
      <c r="U39" s="1046">
        <v>45.915999999999997</v>
      </c>
      <c r="V39" s="1030">
        <f t="shared" si="23"/>
        <v>46</v>
      </c>
      <c r="W39" s="1046">
        <v>45.460999999999999</v>
      </c>
      <c r="X39" s="1025">
        <f t="shared" si="24"/>
        <v>45</v>
      </c>
      <c r="Y39" s="1046">
        <v>0.23300000000000001</v>
      </c>
      <c r="Z39" s="1025">
        <v>0</v>
      </c>
      <c r="AA39" s="1073">
        <v>0</v>
      </c>
      <c r="AB39" s="1026">
        <f t="shared" si="9"/>
        <v>0</v>
      </c>
      <c r="AC39" s="1069">
        <v>0</v>
      </c>
      <c r="AD39" s="1076" t="str">
        <f t="shared" si="10"/>
        <v>*</v>
      </c>
      <c r="AE39" s="1045">
        <v>5.2030000000000003</v>
      </c>
      <c r="AF39" s="1026">
        <f t="shared" si="11"/>
        <v>5</v>
      </c>
      <c r="AG39" s="1045">
        <v>0.4</v>
      </c>
      <c r="AH39" s="1076" t="str">
        <f t="shared" si="12"/>
        <v>*</v>
      </c>
      <c r="AI39" s="1045">
        <v>1.0999999999999999E-2</v>
      </c>
      <c r="AJ39" s="1026">
        <f t="shared" si="13"/>
        <v>0</v>
      </c>
      <c r="AK39" s="1045">
        <v>6.3E-2</v>
      </c>
      <c r="AL39" s="1076" t="str">
        <f t="shared" si="14"/>
        <v>*</v>
      </c>
      <c r="AM39" s="1045">
        <v>4.7119999999999997</v>
      </c>
      <c r="AN39" s="1026">
        <f t="shared" si="15"/>
        <v>5</v>
      </c>
      <c r="AO39" s="1045">
        <v>0.1</v>
      </c>
      <c r="AP39" s="1076" t="str">
        <f t="shared" si="16"/>
        <v>*</v>
      </c>
    </row>
    <row r="40" spans="1:42" s="1038" customFormat="1">
      <c r="A40" s="1079" t="s">
        <v>296</v>
      </c>
      <c r="B40" s="1032" t="s">
        <v>61</v>
      </c>
      <c r="C40" s="1046">
        <v>131.36099999999999</v>
      </c>
      <c r="D40" s="1025">
        <f t="shared" si="19"/>
        <v>130</v>
      </c>
      <c r="E40" s="1046">
        <v>0.374</v>
      </c>
      <c r="F40" s="1026">
        <f t="shared" si="8"/>
        <v>0</v>
      </c>
      <c r="G40" s="1046">
        <v>4.2000000000000003E-2</v>
      </c>
      <c r="H40" s="1027">
        <f t="shared" si="17"/>
        <v>0</v>
      </c>
      <c r="I40" s="1046">
        <v>2E-3</v>
      </c>
      <c r="J40" s="1028">
        <f t="shared" si="18"/>
        <v>0</v>
      </c>
      <c r="K40" s="1046">
        <v>0</v>
      </c>
      <c r="L40" s="1026">
        <f t="shared" si="20"/>
        <v>0</v>
      </c>
      <c r="M40" s="1046">
        <v>0</v>
      </c>
      <c r="N40" s="1029">
        <v>0</v>
      </c>
      <c r="O40" s="1046">
        <v>23.634</v>
      </c>
      <c r="P40" s="1025">
        <f t="shared" si="21"/>
        <v>25</v>
      </c>
      <c r="Q40" s="1046">
        <v>33.884</v>
      </c>
      <c r="R40" s="1025">
        <f t="shared" si="22"/>
        <v>34</v>
      </c>
      <c r="S40" s="1046">
        <v>0.16</v>
      </c>
      <c r="T40" s="1025">
        <v>0</v>
      </c>
      <c r="U40" s="1046">
        <v>32.106000000000002</v>
      </c>
      <c r="V40" s="1030">
        <f t="shared" si="23"/>
        <v>32</v>
      </c>
      <c r="W40" s="1046">
        <v>31.684000000000001</v>
      </c>
      <c r="X40" s="1025">
        <f t="shared" si="24"/>
        <v>32</v>
      </c>
      <c r="Y40" s="1046">
        <v>9.9000000000000005E-2</v>
      </c>
      <c r="Z40" s="1025">
        <v>0</v>
      </c>
      <c r="AA40" s="1073">
        <v>0</v>
      </c>
      <c r="AB40" s="1026">
        <f t="shared" si="9"/>
        <v>0</v>
      </c>
      <c r="AC40" s="1069">
        <v>0</v>
      </c>
      <c r="AD40" s="1076" t="str">
        <f t="shared" si="10"/>
        <v>*</v>
      </c>
      <c r="AE40" s="1045">
        <v>5.2519999999999998</v>
      </c>
      <c r="AF40" s="1026">
        <f t="shared" si="11"/>
        <v>5</v>
      </c>
      <c r="AG40" s="1045">
        <v>0.40400000000000003</v>
      </c>
      <c r="AH40" s="1076" t="str">
        <f t="shared" si="12"/>
        <v>*</v>
      </c>
      <c r="AI40" s="1045">
        <v>0.01</v>
      </c>
      <c r="AJ40" s="1026">
        <f t="shared" si="13"/>
        <v>0</v>
      </c>
      <c r="AK40" s="1045">
        <v>5.2999999999999999E-2</v>
      </c>
      <c r="AL40" s="1076" t="str">
        <f t="shared" si="14"/>
        <v>*</v>
      </c>
      <c r="AM40" s="1045">
        <v>3.4180000000000001</v>
      </c>
      <c r="AN40" s="1026">
        <f t="shared" si="15"/>
        <v>3</v>
      </c>
      <c r="AO40" s="1045">
        <v>7.2999999999999995E-2</v>
      </c>
      <c r="AP40" s="1076" t="str">
        <f t="shared" si="16"/>
        <v>*</v>
      </c>
    </row>
    <row r="41" spans="1:42" s="1038" customFormat="1">
      <c r="A41" s="1079" t="s">
        <v>296</v>
      </c>
      <c r="B41" s="1032" t="s">
        <v>312</v>
      </c>
      <c r="C41" s="1046">
        <v>166.01300000000001</v>
      </c>
      <c r="D41" s="1025">
        <f t="shared" si="19"/>
        <v>170</v>
      </c>
      <c r="E41" s="1046">
        <v>9.9000000000000005E-2</v>
      </c>
      <c r="F41" s="1026">
        <f t="shared" si="8"/>
        <v>0</v>
      </c>
      <c r="G41" s="1046">
        <v>1.0999999999999999E-2</v>
      </c>
      <c r="H41" s="1027">
        <f t="shared" si="17"/>
        <v>0</v>
      </c>
      <c r="I41" s="1046">
        <v>0</v>
      </c>
      <c r="J41" s="1028">
        <f t="shared" si="18"/>
        <v>0</v>
      </c>
      <c r="K41" s="1046">
        <v>0</v>
      </c>
      <c r="L41" s="1026">
        <f t="shared" si="20"/>
        <v>0</v>
      </c>
      <c r="M41" s="1046">
        <v>0</v>
      </c>
      <c r="N41" s="1029">
        <v>0</v>
      </c>
      <c r="O41" s="1046">
        <v>26.027000000000001</v>
      </c>
      <c r="P41" s="1025">
        <f t="shared" si="21"/>
        <v>25</v>
      </c>
      <c r="Q41" s="1046">
        <v>42.4</v>
      </c>
      <c r="R41" s="1025">
        <f t="shared" si="22"/>
        <v>42</v>
      </c>
      <c r="S41" s="1046">
        <v>2.1000000000000001E-2</v>
      </c>
      <c r="T41" s="1025">
        <v>0</v>
      </c>
      <c r="U41" s="1046">
        <v>40.698999999999998</v>
      </c>
      <c r="V41" s="1030">
        <f t="shared" si="23"/>
        <v>41</v>
      </c>
      <c r="W41" s="1046">
        <v>40.585000000000001</v>
      </c>
      <c r="X41" s="1025">
        <f t="shared" si="24"/>
        <v>41</v>
      </c>
      <c r="Y41" s="1046">
        <v>2.9000000000000001E-2</v>
      </c>
      <c r="Z41" s="1025">
        <v>0</v>
      </c>
      <c r="AA41" s="1073">
        <v>0</v>
      </c>
      <c r="AB41" s="1026">
        <f t="shared" si="9"/>
        <v>0</v>
      </c>
      <c r="AC41" s="1069">
        <v>0</v>
      </c>
      <c r="AD41" s="1076" t="str">
        <f t="shared" si="10"/>
        <v>*</v>
      </c>
      <c r="AE41" s="1024">
        <v>8.0649999999999995</v>
      </c>
      <c r="AF41" s="1026">
        <f t="shared" si="11"/>
        <v>8</v>
      </c>
      <c r="AG41" s="1024">
        <v>0.62</v>
      </c>
      <c r="AH41" s="1076" t="str">
        <f t="shared" si="12"/>
        <v>*</v>
      </c>
      <c r="AI41" s="1024">
        <v>2.9000000000000001E-2</v>
      </c>
      <c r="AJ41" s="1026">
        <f t="shared" si="13"/>
        <v>0</v>
      </c>
      <c r="AK41" s="1024">
        <v>0.159</v>
      </c>
      <c r="AL41" s="1076" t="str">
        <f t="shared" si="14"/>
        <v>*</v>
      </c>
      <c r="AM41" s="1024">
        <v>22.791</v>
      </c>
      <c r="AN41" s="1026">
        <f t="shared" si="15"/>
        <v>23</v>
      </c>
      <c r="AO41" s="1024">
        <v>0.48499999999999999</v>
      </c>
      <c r="AP41" s="1076" t="str">
        <f t="shared" si="16"/>
        <v>*</v>
      </c>
    </row>
    <row r="42" spans="1:42">
      <c r="A42" s="1079" t="s">
        <v>296</v>
      </c>
      <c r="B42" s="1032" t="s">
        <v>64</v>
      </c>
      <c r="C42" s="1046">
        <v>185.018</v>
      </c>
      <c r="D42" s="1025">
        <f t="shared" si="19"/>
        <v>190</v>
      </c>
      <c r="E42" s="1046">
        <v>0</v>
      </c>
      <c r="F42" s="1026">
        <f t="shared" si="8"/>
        <v>0</v>
      </c>
      <c r="G42" s="1046">
        <v>0</v>
      </c>
      <c r="H42" s="1027">
        <f t="shared" si="17"/>
        <v>0</v>
      </c>
      <c r="I42" s="1046">
        <v>0</v>
      </c>
      <c r="J42" s="1028">
        <f t="shared" si="18"/>
        <v>0</v>
      </c>
      <c r="K42" s="1046">
        <v>0</v>
      </c>
      <c r="L42" s="1026">
        <f t="shared" si="20"/>
        <v>0</v>
      </c>
      <c r="M42" s="1046">
        <v>0</v>
      </c>
      <c r="N42" s="1029">
        <v>0</v>
      </c>
      <c r="O42" s="1046">
        <v>28.780999999999999</v>
      </c>
      <c r="P42" s="1025">
        <f t="shared" si="21"/>
        <v>30</v>
      </c>
      <c r="Q42" s="1046">
        <v>46.747</v>
      </c>
      <c r="R42" s="1025">
        <f t="shared" si="22"/>
        <v>47</v>
      </c>
      <c r="S42" s="1046">
        <v>1.4999999999999999E-2</v>
      </c>
      <c r="T42" s="1025">
        <v>0</v>
      </c>
      <c r="U42" s="1046">
        <v>45.408999999999999</v>
      </c>
      <c r="V42" s="1030">
        <f t="shared" si="23"/>
        <v>45</v>
      </c>
      <c r="W42" s="1046">
        <v>45.408999999999999</v>
      </c>
      <c r="X42" s="1025">
        <f t="shared" si="24"/>
        <v>45</v>
      </c>
      <c r="Y42" s="1046">
        <v>0</v>
      </c>
      <c r="Z42" s="1025">
        <v>0</v>
      </c>
      <c r="AA42" s="1073">
        <v>0</v>
      </c>
      <c r="AB42" s="1026">
        <f t="shared" si="9"/>
        <v>0</v>
      </c>
      <c r="AC42" s="1069">
        <v>0</v>
      </c>
      <c r="AD42" s="1076" t="str">
        <f t="shared" si="10"/>
        <v>*</v>
      </c>
      <c r="AE42" s="1045">
        <v>6.6109999999999998</v>
      </c>
      <c r="AF42" s="1026">
        <f t="shared" si="11"/>
        <v>7</v>
      </c>
      <c r="AG42" s="1045">
        <v>0.50900000000000001</v>
      </c>
      <c r="AH42" s="1076" t="str">
        <f t="shared" si="12"/>
        <v>*</v>
      </c>
      <c r="AI42" s="1045">
        <v>6.2E-2</v>
      </c>
      <c r="AJ42" s="1026">
        <f t="shared" si="13"/>
        <v>0</v>
      </c>
      <c r="AK42" s="1045">
        <v>0.34200000000000003</v>
      </c>
      <c r="AL42" s="1076" t="str">
        <f t="shared" si="14"/>
        <v>*</v>
      </c>
      <c r="AM42" s="1045">
        <v>14.388</v>
      </c>
      <c r="AN42" s="1026">
        <f t="shared" si="15"/>
        <v>14</v>
      </c>
      <c r="AO42" s="1045">
        <v>0.30599999999999999</v>
      </c>
      <c r="AP42" s="1076" t="str">
        <f t="shared" si="16"/>
        <v>*</v>
      </c>
    </row>
    <row r="43" spans="1:42">
      <c r="A43" s="1079" t="s">
        <v>296</v>
      </c>
      <c r="B43" s="1032" t="s">
        <v>313</v>
      </c>
      <c r="C43" s="1046">
        <v>157.53</v>
      </c>
      <c r="D43" s="1025">
        <f t="shared" si="19"/>
        <v>160</v>
      </c>
      <c r="E43" s="1046">
        <v>0</v>
      </c>
      <c r="F43" s="1026">
        <f t="shared" si="8"/>
        <v>0</v>
      </c>
      <c r="G43" s="1046">
        <v>0</v>
      </c>
      <c r="H43" s="1027">
        <f t="shared" si="17"/>
        <v>0</v>
      </c>
      <c r="I43" s="1046">
        <v>0</v>
      </c>
      <c r="J43" s="1028">
        <f t="shared" si="18"/>
        <v>0</v>
      </c>
      <c r="K43" s="1046">
        <v>0</v>
      </c>
      <c r="L43" s="1026">
        <f t="shared" si="20"/>
        <v>0</v>
      </c>
      <c r="M43" s="1046">
        <v>0</v>
      </c>
      <c r="N43" s="1029">
        <v>0</v>
      </c>
      <c r="O43" s="1046">
        <v>22.995000000000001</v>
      </c>
      <c r="P43" s="1025">
        <f t="shared" si="21"/>
        <v>25</v>
      </c>
      <c r="Q43" s="1046">
        <v>39.767000000000003</v>
      </c>
      <c r="R43" s="1025">
        <f t="shared" si="22"/>
        <v>40</v>
      </c>
      <c r="S43" s="1046">
        <v>0</v>
      </c>
      <c r="T43" s="1025">
        <v>0</v>
      </c>
      <c r="U43" s="1046">
        <v>38.200000000000003</v>
      </c>
      <c r="V43" s="1030">
        <f t="shared" si="23"/>
        <v>38</v>
      </c>
      <c r="W43" s="1046">
        <v>38.200000000000003</v>
      </c>
      <c r="X43" s="1025">
        <f t="shared" si="24"/>
        <v>38</v>
      </c>
      <c r="Y43" s="1046">
        <v>0</v>
      </c>
      <c r="Z43" s="1025">
        <v>0</v>
      </c>
      <c r="AA43" s="1073">
        <v>0</v>
      </c>
      <c r="AB43" s="1026">
        <f t="shared" si="9"/>
        <v>0</v>
      </c>
      <c r="AC43" s="1069">
        <v>0</v>
      </c>
      <c r="AD43" s="1076" t="str">
        <f t="shared" si="10"/>
        <v>*</v>
      </c>
      <c r="AE43" s="1045">
        <v>5.9009999999999998</v>
      </c>
      <c r="AF43" s="1026">
        <f t="shared" si="11"/>
        <v>6</v>
      </c>
      <c r="AG43" s="1045">
        <v>0.45400000000000001</v>
      </c>
      <c r="AH43" s="1076" t="str">
        <f t="shared" si="12"/>
        <v>*</v>
      </c>
      <c r="AI43" s="1045">
        <v>3.6999999999999998E-2</v>
      </c>
      <c r="AJ43" s="1026">
        <f t="shared" si="13"/>
        <v>0</v>
      </c>
      <c r="AK43" s="1045">
        <v>0.20399999999999999</v>
      </c>
      <c r="AL43" s="1076" t="str">
        <f t="shared" si="14"/>
        <v>*</v>
      </c>
      <c r="AM43" s="1045">
        <v>7.468</v>
      </c>
      <c r="AN43" s="1026">
        <f t="shared" si="15"/>
        <v>7</v>
      </c>
      <c r="AO43" s="1045">
        <v>0.159</v>
      </c>
      <c r="AP43" s="1076" t="str">
        <f t="shared" si="16"/>
        <v>*</v>
      </c>
    </row>
    <row r="44" spans="1:42" s="1047" customFormat="1">
      <c r="A44" s="1079" t="s">
        <v>296</v>
      </c>
      <c r="B44" s="1032" t="s">
        <v>65</v>
      </c>
      <c r="C44" s="1046">
        <v>202.87200000000001</v>
      </c>
      <c r="D44" s="1025">
        <f t="shared" si="19"/>
        <v>200</v>
      </c>
      <c r="E44" s="1046">
        <v>0</v>
      </c>
      <c r="F44" s="1026">
        <f t="shared" si="8"/>
        <v>0</v>
      </c>
      <c r="G44" s="1046">
        <v>0</v>
      </c>
      <c r="H44" s="1027">
        <f t="shared" si="17"/>
        <v>0</v>
      </c>
      <c r="I44" s="1046">
        <v>0</v>
      </c>
      <c r="J44" s="1028">
        <f t="shared" si="18"/>
        <v>0</v>
      </c>
      <c r="K44" s="1046">
        <v>0</v>
      </c>
      <c r="L44" s="1026">
        <f t="shared" si="20"/>
        <v>0</v>
      </c>
      <c r="M44" s="1046">
        <v>0</v>
      </c>
      <c r="N44" s="1029">
        <v>0</v>
      </c>
      <c r="O44" s="1046">
        <v>29.024000000000001</v>
      </c>
      <c r="P44" s="1025">
        <f t="shared" si="21"/>
        <v>30</v>
      </c>
      <c r="Q44" s="1046">
        <v>51.268000000000001</v>
      </c>
      <c r="R44" s="1025">
        <f t="shared" si="22"/>
        <v>51</v>
      </c>
      <c r="S44" s="1046">
        <v>0</v>
      </c>
      <c r="T44" s="1025">
        <v>0</v>
      </c>
      <c r="U44" s="1046">
        <v>48.258000000000003</v>
      </c>
      <c r="V44" s="1030">
        <f t="shared" si="23"/>
        <v>48</v>
      </c>
      <c r="W44" s="1046">
        <v>48.258000000000003</v>
      </c>
      <c r="X44" s="1025">
        <f t="shared" si="24"/>
        <v>48</v>
      </c>
      <c r="Y44" s="1046">
        <v>0</v>
      </c>
      <c r="Z44" s="1025">
        <v>0</v>
      </c>
      <c r="AA44" s="1073">
        <v>0</v>
      </c>
      <c r="AB44" s="1026">
        <f t="shared" si="9"/>
        <v>0</v>
      </c>
      <c r="AC44" s="1072">
        <v>0</v>
      </c>
      <c r="AD44" s="1076" t="str">
        <f t="shared" si="10"/>
        <v>*</v>
      </c>
      <c r="AE44" s="1043">
        <v>6.476</v>
      </c>
      <c r="AF44" s="1026">
        <f t="shared" si="11"/>
        <v>6</v>
      </c>
      <c r="AG44" s="1043">
        <v>0.498</v>
      </c>
      <c r="AH44" s="1076" t="str">
        <f t="shared" si="12"/>
        <v>*</v>
      </c>
      <c r="AI44" s="1043">
        <v>0.153</v>
      </c>
      <c r="AJ44" s="1026">
        <f t="shared" si="13"/>
        <v>0</v>
      </c>
      <c r="AK44" s="1043">
        <v>0.85</v>
      </c>
      <c r="AL44" s="1076" t="str">
        <f t="shared" si="14"/>
        <v>*</v>
      </c>
      <c r="AM44" s="1043">
        <v>11.778</v>
      </c>
      <c r="AN44" s="1026">
        <f t="shared" si="15"/>
        <v>12</v>
      </c>
      <c r="AO44" s="1043">
        <v>0.251</v>
      </c>
      <c r="AP44" s="1076" t="str">
        <f t="shared" si="16"/>
        <v>*</v>
      </c>
    </row>
    <row r="45" spans="1:42">
      <c r="A45" s="1079" t="s">
        <v>296</v>
      </c>
      <c r="B45" s="1032" t="s">
        <v>314</v>
      </c>
      <c r="C45" s="1046">
        <v>204.929</v>
      </c>
      <c r="D45" s="1025">
        <f t="shared" si="19"/>
        <v>200</v>
      </c>
      <c r="E45" s="1046">
        <v>0</v>
      </c>
      <c r="F45" s="1026">
        <f t="shared" si="8"/>
        <v>0</v>
      </c>
      <c r="G45" s="1046">
        <v>0</v>
      </c>
      <c r="H45" s="1027">
        <f t="shared" si="17"/>
        <v>0</v>
      </c>
      <c r="I45" s="1046">
        <v>0</v>
      </c>
      <c r="J45" s="1028">
        <f t="shared" si="18"/>
        <v>0</v>
      </c>
      <c r="K45" s="1046">
        <v>0</v>
      </c>
      <c r="L45" s="1026">
        <f t="shared" si="20"/>
        <v>0</v>
      </c>
      <c r="M45" s="1046">
        <v>0</v>
      </c>
      <c r="N45" s="1029">
        <v>0</v>
      </c>
      <c r="O45" s="1046">
        <v>22.632000000000001</v>
      </c>
      <c r="P45" s="1025">
        <f t="shared" si="21"/>
        <v>25</v>
      </c>
      <c r="Q45" s="1046">
        <v>51.174999999999997</v>
      </c>
      <c r="R45" s="1025">
        <f t="shared" si="22"/>
        <v>51</v>
      </c>
      <c r="S45" s="1046">
        <v>3.7999999999999999E-2</v>
      </c>
      <c r="T45" s="1025">
        <v>0</v>
      </c>
      <c r="U45" s="1046">
        <v>48.247999999999998</v>
      </c>
      <c r="V45" s="1030">
        <f t="shared" si="23"/>
        <v>48</v>
      </c>
      <c r="W45" s="1046">
        <v>48.247999999999998</v>
      </c>
      <c r="X45" s="1025">
        <f t="shared" si="24"/>
        <v>48</v>
      </c>
      <c r="Y45" s="1046">
        <v>4.0000000000000001E-3</v>
      </c>
      <c r="Z45" s="1025">
        <v>0</v>
      </c>
      <c r="AA45" s="1073">
        <v>0</v>
      </c>
      <c r="AB45" s="1026">
        <f t="shared" si="9"/>
        <v>0</v>
      </c>
      <c r="AC45" s="1072">
        <v>0</v>
      </c>
      <c r="AD45" s="1076" t="str">
        <f t="shared" si="10"/>
        <v>*</v>
      </c>
      <c r="AE45" s="1043">
        <v>6.6340000000000003</v>
      </c>
      <c r="AF45" s="1026">
        <f t="shared" si="11"/>
        <v>7</v>
      </c>
      <c r="AG45" s="1043">
        <v>0.51</v>
      </c>
      <c r="AH45" s="1076" t="str">
        <f t="shared" si="12"/>
        <v>*</v>
      </c>
      <c r="AI45" s="1043">
        <v>7.2999999999999995E-2</v>
      </c>
      <c r="AJ45" s="1026">
        <f t="shared" si="13"/>
        <v>0</v>
      </c>
      <c r="AK45" s="1043">
        <v>0.40799999999999997</v>
      </c>
      <c r="AL45" s="1076" t="str">
        <f t="shared" si="14"/>
        <v>*</v>
      </c>
      <c r="AM45" s="1043">
        <v>11.586</v>
      </c>
      <c r="AN45" s="1026">
        <f t="shared" si="15"/>
        <v>12</v>
      </c>
      <c r="AO45" s="1043">
        <v>0.247</v>
      </c>
      <c r="AP45" s="1076" t="str">
        <f t="shared" si="16"/>
        <v>*</v>
      </c>
    </row>
    <row r="46" spans="1:42">
      <c r="A46" s="1079" t="s">
        <v>296</v>
      </c>
      <c r="B46" s="1032" t="s">
        <v>66</v>
      </c>
      <c r="C46" s="1046">
        <v>205.52500000000001</v>
      </c>
      <c r="D46" s="1025">
        <f t="shared" si="19"/>
        <v>210</v>
      </c>
      <c r="E46" s="1046">
        <v>6.4000000000000001E-2</v>
      </c>
      <c r="F46" s="1026">
        <f t="shared" si="8"/>
        <v>0</v>
      </c>
      <c r="G46" s="1046">
        <v>7.0000000000000001E-3</v>
      </c>
      <c r="H46" s="1027">
        <f t="shared" si="17"/>
        <v>0</v>
      </c>
      <c r="I46" s="1046">
        <v>2E-3</v>
      </c>
      <c r="J46" s="1028">
        <f t="shared" si="18"/>
        <v>0</v>
      </c>
      <c r="K46" s="1046">
        <v>0</v>
      </c>
      <c r="L46" s="1026">
        <f t="shared" si="20"/>
        <v>0</v>
      </c>
      <c r="M46" s="1046">
        <v>0</v>
      </c>
      <c r="N46" s="1029">
        <v>0</v>
      </c>
      <c r="O46" s="1046">
        <v>29.471</v>
      </c>
      <c r="P46" s="1025">
        <f t="shared" si="21"/>
        <v>30</v>
      </c>
      <c r="Q46" s="1046">
        <v>51.798999999999999</v>
      </c>
      <c r="R46" s="1025">
        <f t="shared" si="22"/>
        <v>52</v>
      </c>
      <c r="S46" s="1046">
        <v>0.14000000000000001</v>
      </c>
      <c r="T46" s="1025">
        <v>0</v>
      </c>
      <c r="U46" s="1046">
        <v>50.293999999999997</v>
      </c>
      <c r="V46" s="1030">
        <f t="shared" si="23"/>
        <v>50</v>
      </c>
      <c r="W46" s="1046">
        <v>49.606999999999999</v>
      </c>
      <c r="X46" s="1025">
        <f t="shared" si="24"/>
        <v>50</v>
      </c>
      <c r="Y46" s="1046">
        <v>0.127</v>
      </c>
      <c r="Z46" s="1025">
        <v>0</v>
      </c>
      <c r="AA46" s="1073">
        <v>0</v>
      </c>
      <c r="AB46" s="1026">
        <f t="shared" si="9"/>
        <v>0</v>
      </c>
      <c r="AC46" s="1072">
        <v>0</v>
      </c>
      <c r="AD46" s="1076" t="str">
        <f t="shared" si="10"/>
        <v>*</v>
      </c>
      <c r="AE46" s="1048">
        <v>6.4420000000000002</v>
      </c>
      <c r="AF46" s="1026">
        <f t="shared" si="11"/>
        <v>6</v>
      </c>
      <c r="AG46" s="1048">
        <v>0.496</v>
      </c>
      <c r="AH46" s="1076" t="str">
        <f t="shared" si="12"/>
        <v>*</v>
      </c>
      <c r="AI46" s="1048">
        <v>4.8000000000000001E-2</v>
      </c>
      <c r="AJ46" s="1026">
        <f t="shared" si="13"/>
        <v>0</v>
      </c>
      <c r="AK46" s="1048">
        <v>0.26900000000000002</v>
      </c>
      <c r="AL46" s="1076" t="str">
        <f t="shared" si="14"/>
        <v>*</v>
      </c>
      <c r="AM46" s="1048">
        <v>7.048</v>
      </c>
      <c r="AN46" s="1026">
        <f t="shared" si="15"/>
        <v>7</v>
      </c>
      <c r="AO46" s="1048">
        <v>0.15</v>
      </c>
      <c r="AP46" s="1076" t="str">
        <f t="shared" si="16"/>
        <v>*</v>
      </c>
    </row>
    <row r="47" spans="1:42">
      <c r="A47" s="1079" t="s">
        <v>296</v>
      </c>
      <c r="B47" s="1032" t="s">
        <v>67</v>
      </c>
      <c r="C47" s="1046">
        <v>204.08199999999999</v>
      </c>
      <c r="D47" s="1025">
        <f t="shared" si="19"/>
        <v>200</v>
      </c>
      <c r="E47" s="1046">
        <v>1.2999999999999999E-2</v>
      </c>
      <c r="F47" s="1026">
        <f t="shared" si="8"/>
        <v>0</v>
      </c>
      <c r="G47" s="1046">
        <v>1E-3</v>
      </c>
      <c r="H47" s="1027">
        <f t="shared" si="17"/>
        <v>0</v>
      </c>
      <c r="I47" s="1046">
        <v>0</v>
      </c>
      <c r="J47" s="1028">
        <f t="shared" si="18"/>
        <v>0</v>
      </c>
      <c r="K47" s="1046">
        <v>0</v>
      </c>
      <c r="L47" s="1026">
        <f t="shared" si="20"/>
        <v>0</v>
      </c>
      <c r="M47" s="1046">
        <v>0</v>
      </c>
      <c r="N47" s="1029">
        <v>0</v>
      </c>
      <c r="O47" s="1046">
        <v>28.870999999999999</v>
      </c>
      <c r="P47" s="1025">
        <f t="shared" si="21"/>
        <v>30</v>
      </c>
      <c r="Q47" s="1046">
        <v>51.609000000000002</v>
      </c>
      <c r="R47" s="1025">
        <f t="shared" si="22"/>
        <v>52</v>
      </c>
      <c r="S47" s="1046">
        <v>5.6000000000000001E-2</v>
      </c>
      <c r="T47" s="1025">
        <v>0</v>
      </c>
      <c r="U47" s="1046">
        <v>50.045000000000002</v>
      </c>
      <c r="V47" s="1030">
        <f t="shared" si="23"/>
        <v>50</v>
      </c>
      <c r="W47" s="1046">
        <v>49.765000000000001</v>
      </c>
      <c r="X47" s="1025">
        <f t="shared" si="24"/>
        <v>50</v>
      </c>
      <c r="Y47" s="1046">
        <v>6.2E-2</v>
      </c>
      <c r="Z47" s="1025">
        <v>0</v>
      </c>
      <c r="AA47" s="1073">
        <v>0</v>
      </c>
      <c r="AB47" s="1026">
        <f t="shared" si="9"/>
        <v>0</v>
      </c>
      <c r="AC47" s="1072">
        <v>0</v>
      </c>
      <c r="AD47" s="1076" t="str">
        <f t="shared" si="10"/>
        <v>*</v>
      </c>
      <c r="AE47" s="1048">
        <v>7.3959999999999999</v>
      </c>
      <c r="AF47" s="1026">
        <f t="shared" si="11"/>
        <v>7</v>
      </c>
      <c r="AG47" s="1048">
        <v>0.56899999999999995</v>
      </c>
      <c r="AH47" s="1076" t="str">
        <f t="shared" si="12"/>
        <v>*</v>
      </c>
      <c r="AI47" s="1048">
        <v>5.1999999999999998E-2</v>
      </c>
      <c r="AJ47" s="1026">
        <f t="shared" si="13"/>
        <v>0</v>
      </c>
      <c r="AK47" s="1048">
        <v>0.28899999999999998</v>
      </c>
      <c r="AL47" s="1076" t="str">
        <f t="shared" si="14"/>
        <v>*</v>
      </c>
      <c r="AM47" s="1048">
        <v>12.692</v>
      </c>
      <c r="AN47" s="1026">
        <f t="shared" si="15"/>
        <v>13</v>
      </c>
      <c r="AO47" s="1048">
        <v>0.27</v>
      </c>
      <c r="AP47" s="1076" t="str">
        <f t="shared" si="16"/>
        <v>*</v>
      </c>
    </row>
    <row r="48" spans="1:42">
      <c r="A48" s="1079" t="s">
        <v>296</v>
      </c>
      <c r="B48" s="1032" t="s">
        <v>68</v>
      </c>
      <c r="C48" s="1046">
        <v>174.917</v>
      </c>
      <c r="D48" s="1025">
        <f t="shared" si="19"/>
        <v>170</v>
      </c>
      <c r="E48" s="1046">
        <v>0.159</v>
      </c>
      <c r="F48" s="1026">
        <f t="shared" si="8"/>
        <v>0</v>
      </c>
      <c r="G48" s="1046">
        <v>1.7999999999999999E-2</v>
      </c>
      <c r="H48" s="1027">
        <f t="shared" si="17"/>
        <v>0</v>
      </c>
      <c r="I48" s="1046">
        <v>0</v>
      </c>
      <c r="J48" s="1028">
        <f t="shared" si="18"/>
        <v>0</v>
      </c>
      <c r="K48" s="1046">
        <v>0</v>
      </c>
      <c r="L48" s="1026">
        <f t="shared" si="20"/>
        <v>0</v>
      </c>
      <c r="M48" s="1046">
        <v>0</v>
      </c>
      <c r="N48" s="1029">
        <v>0</v>
      </c>
      <c r="O48" s="1046">
        <v>26.366</v>
      </c>
      <c r="P48" s="1025">
        <f t="shared" si="21"/>
        <v>25</v>
      </c>
      <c r="Q48" s="1046">
        <v>44.56</v>
      </c>
      <c r="R48" s="1025">
        <f t="shared" si="22"/>
        <v>45</v>
      </c>
      <c r="S48" s="1046">
        <v>0.126</v>
      </c>
      <c r="T48" s="1025">
        <v>0</v>
      </c>
      <c r="U48" s="1046">
        <v>42.56</v>
      </c>
      <c r="V48" s="1030">
        <f t="shared" si="23"/>
        <v>43</v>
      </c>
      <c r="W48" s="1046">
        <v>42.040999999999997</v>
      </c>
      <c r="X48" s="1025">
        <f t="shared" si="24"/>
        <v>42</v>
      </c>
      <c r="Y48" s="1046">
        <v>0.109</v>
      </c>
      <c r="Z48" s="1025">
        <v>0</v>
      </c>
      <c r="AA48" s="1073">
        <v>0</v>
      </c>
      <c r="AB48" s="1026">
        <f t="shared" si="9"/>
        <v>0</v>
      </c>
      <c r="AC48" s="1073">
        <v>0</v>
      </c>
      <c r="AD48" s="1076" t="str">
        <f t="shared" si="10"/>
        <v>*</v>
      </c>
      <c r="AE48" s="1046">
        <v>11.962</v>
      </c>
      <c r="AF48" s="1026">
        <f t="shared" si="11"/>
        <v>12</v>
      </c>
      <c r="AG48" s="1046">
        <v>0.92</v>
      </c>
      <c r="AH48" s="1076" t="str">
        <f t="shared" si="12"/>
        <v>*</v>
      </c>
      <c r="AI48" s="1046">
        <v>0.52100000000000002</v>
      </c>
      <c r="AJ48" s="1026">
        <f t="shared" si="13"/>
        <v>1</v>
      </c>
      <c r="AK48" s="1046">
        <v>2.8969999999999998</v>
      </c>
      <c r="AL48" s="1076">
        <f t="shared" si="14"/>
        <v>0.02</v>
      </c>
      <c r="AM48" s="1046">
        <v>56.947000000000003</v>
      </c>
      <c r="AN48" s="1026">
        <f t="shared" si="15"/>
        <v>57</v>
      </c>
      <c r="AO48" s="1046">
        <v>1.212</v>
      </c>
      <c r="AP48" s="1076">
        <f t="shared" si="16"/>
        <v>0.02</v>
      </c>
    </row>
    <row r="49" spans="1:42">
      <c r="A49" s="1079" t="s">
        <v>296</v>
      </c>
      <c r="B49" s="1032" t="s">
        <v>69</v>
      </c>
      <c r="C49" s="1046">
        <v>201.03</v>
      </c>
      <c r="D49" s="1025">
        <f t="shared" si="19"/>
        <v>200</v>
      </c>
      <c r="E49" s="1046">
        <v>0.16600000000000001</v>
      </c>
      <c r="F49" s="1026">
        <f t="shared" si="8"/>
        <v>0</v>
      </c>
      <c r="G49" s="1046">
        <v>1.7999999999999999E-2</v>
      </c>
      <c r="H49" s="1027">
        <f t="shared" si="17"/>
        <v>0</v>
      </c>
      <c r="I49" s="1046">
        <v>1E-3</v>
      </c>
      <c r="J49" s="1028">
        <f t="shared" si="18"/>
        <v>0</v>
      </c>
      <c r="K49" s="1046">
        <v>0</v>
      </c>
      <c r="L49" s="1026">
        <f t="shared" si="20"/>
        <v>0</v>
      </c>
      <c r="M49" s="1046">
        <v>0</v>
      </c>
      <c r="N49" s="1029">
        <v>0</v>
      </c>
      <c r="O49" s="1046">
        <v>32.756999999999998</v>
      </c>
      <c r="P49" s="1025">
        <f t="shared" si="21"/>
        <v>35</v>
      </c>
      <c r="Q49" s="1046">
        <v>51.076999999999998</v>
      </c>
      <c r="R49" s="1025">
        <f t="shared" si="22"/>
        <v>51</v>
      </c>
      <c r="S49" s="1046">
        <v>0.13900000000000001</v>
      </c>
      <c r="T49" s="1025">
        <v>0</v>
      </c>
      <c r="U49" s="1046">
        <v>48.887999999999998</v>
      </c>
      <c r="V49" s="1030">
        <f t="shared" si="23"/>
        <v>49</v>
      </c>
      <c r="W49" s="1046">
        <v>48.374000000000002</v>
      </c>
      <c r="X49" s="1025">
        <f t="shared" si="24"/>
        <v>48</v>
      </c>
      <c r="Y49" s="1046">
        <v>0.114</v>
      </c>
      <c r="Z49" s="1025">
        <v>0</v>
      </c>
      <c r="AA49" s="1073">
        <v>0</v>
      </c>
      <c r="AB49" s="1026">
        <f t="shared" si="9"/>
        <v>0</v>
      </c>
      <c r="AC49" s="1073">
        <v>0</v>
      </c>
      <c r="AD49" s="1076" t="str">
        <f t="shared" si="10"/>
        <v>*</v>
      </c>
      <c r="AE49" s="1046">
        <v>7.9240000000000004</v>
      </c>
      <c r="AF49" s="1026">
        <f t="shared" si="11"/>
        <v>8</v>
      </c>
      <c r="AG49" s="1046">
        <v>0.61</v>
      </c>
      <c r="AH49" s="1076" t="str">
        <f t="shared" si="12"/>
        <v>*</v>
      </c>
      <c r="AI49" s="1046">
        <v>0.58199999999999996</v>
      </c>
      <c r="AJ49" s="1026">
        <f t="shared" si="13"/>
        <v>1</v>
      </c>
      <c r="AK49" s="1046">
        <v>3.2330000000000001</v>
      </c>
      <c r="AL49" s="1076">
        <f t="shared" si="14"/>
        <v>0.04</v>
      </c>
      <c r="AM49" s="1046">
        <v>32.468000000000004</v>
      </c>
      <c r="AN49" s="1026">
        <f t="shared" si="15"/>
        <v>32</v>
      </c>
      <c r="AO49" s="1046">
        <v>0.69099999999999995</v>
      </c>
      <c r="AP49" s="1076" t="str">
        <f t="shared" si="16"/>
        <v>*</v>
      </c>
    </row>
    <row r="50" spans="1:42">
      <c r="A50" s="1079" t="s">
        <v>296</v>
      </c>
      <c r="B50" s="1032" t="s">
        <v>71</v>
      </c>
      <c r="C50" s="1046">
        <v>193.57599999999999</v>
      </c>
      <c r="D50" s="1025">
        <f t="shared" si="19"/>
        <v>190</v>
      </c>
      <c r="E50" s="1046">
        <v>7.4999999999999997E-2</v>
      </c>
      <c r="F50" s="1026">
        <f t="shared" si="8"/>
        <v>0</v>
      </c>
      <c r="G50" s="1046">
        <v>8.0000000000000002E-3</v>
      </c>
      <c r="H50" s="1027">
        <f t="shared" si="17"/>
        <v>0</v>
      </c>
      <c r="I50" s="1046">
        <v>0.01</v>
      </c>
      <c r="J50" s="1028">
        <f t="shared" si="18"/>
        <v>0</v>
      </c>
      <c r="K50" s="1046">
        <v>0</v>
      </c>
      <c r="L50" s="1026">
        <f t="shared" si="20"/>
        <v>0</v>
      </c>
      <c r="M50" s="1046">
        <v>0</v>
      </c>
      <c r="N50" s="1029">
        <v>0</v>
      </c>
      <c r="O50" s="1046">
        <v>29.518999999999998</v>
      </c>
      <c r="P50" s="1025">
        <f t="shared" si="21"/>
        <v>30</v>
      </c>
      <c r="Q50" s="1046">
        <v>48.886000000000003</v>
      </c>
      <c r="R50" s="1025">
        <f t="shared" si="22"/>
        <v>49</v>
      </c>
      <c r="S50" s="1046">
        <v>5.6000000000000001E-2</v>
      </c>
      <c r="T50" s="1025">
        <v>0</v>
      </c>
      <c r="U50" s="1046">
        <v>47.3</v>
      </c>
      <c r="V50" s="1030">
        <f t="shared" si="23"/>
        <v>47</v>
      </c>
      <c r="W50" s="1046">
        <v>46.756</v>
      </c>
      <c r="X50" s="1025">
        <f t="shared" si="24"/>
        <v>47</v>
      </c>
      <c r="Y50" s="1046">
        <v>9.1999999999999998E-2</v>
      </c>
      <c r="Z50" s="1025">
        <v>0</v>
      </c>
      <c r="AA50" s="1073">
        <v>0</v>
      </c>
      <c r="AB50" s="1026">
        <f t="shared" si="9"/>
        <v>0</v>
      </c>
      <c r="AC50" s="1073">
        <v>0</v>
      </c>
      <c r="AD50" s="1076" t="str">
        <f t="shared" si="10"/>
        <v>*</v>
      </c>
      <c r="AE50" s="1046">
        <v>7.1219999999999999</v>
      </c>
      <c r="AF50" s="1026">
        <f t="shared" si="11"/>
        <v>7</v>
      </c>
      <c r="AG50" s="1046">
        <v>0.54800000000000004</v>
      </c>
      <c r="AH50" s="1076" t="str">
        <f t="shared" si="12"/>
        <v>*</v>
      </c>
      <c r="AI50" s="1046">
        <v>0.19500000000000001</v>
      </c>
      <c r="AJ50" s="1026">
        <f t="shared" si="13"/>
        <v>0</v>
      </c>
      <c r="AK50" s="1046">
        <v>7.0839999999999996</v>
      </c>
      <c r="AL50" s="1076">
        <f t="shared" si="14"/>
        <v>0.08</v>
      </c>
      <c r="AM50" s="1046">
        <v>10.272</v>
      </c>
      <c r="AN50" s="1026">
        <f t="shared" si="15"/>
        <v>10</v>
      </c>
      <c r="AO50" s="1046">
        <v>0.219</v>
      </c>
      <c r="AP50" s="1076" t="str">
        <f t="shared" si="16"/>
        <v>*</v>
      </c>
    </row>
    <row r="51" spans="1:42">
      <c r="A51" s="1079" t="s">
        <v>296</v>
      </c>
      <c r="B51" s="1032" t="s">
        <v>72</v>
      </c>
      <c r="C51" s="1046">
        <v>222.4444</v>
      </c>
      <c r="D51" s="1025">
        <f t="shared" si="19"/>
        <v>220</v>
      </c>
      <c r="E51" s="1046">
        <v>0</v>
      </c>
      <c r="F51" s="1026">
        <f t="shared" si="8"/>
        <v>0</v>
      </c>
      <c r="G51" s="1046">
        <v>0</v>
      </c>
      <c r="H51" s="1027">
        <f t="shared" si="17"/>
        <v>0</v>
      </c>
      <c r="I51" s="1046">
        <v>0</v>
      </c>
      <c r="J51" s="1028">
        <f t="shared" si="18"/>
        <v>0</v>
      </c>
      <c r="K51" s="1046">
        <v>0</v>
      </c>
      <c r="L51" s="1026">
        <f t="shared" si="20"/>
        <v>0</v>
      </c>
      <c r="M51" s="1046">
        <v>0</v>
      </c>
      <c r="N51" s="1029">
        <v>0</v>
      </c>
      <c r="O51" s="1046">
        <v>49.997999999999998</v>
      </c>
      <c r="P51" s="1025">
        <f t="shared" si="21"/>
        <v>50</v>
      </c>
      <c r="Q51" s="1046">
        <v>56.652000000000001</v>
      </c>
      <c r="R51" s="1025">
        <f t="shared" si="22"/>
        <v>57</v>
      </c>
      <c r="S51" s="1046">
        <v>1.7999999999999999E-2</v>
      </c>
      <c r="T51" s="1025">
        <v>0</v>
      </c>
      <c r="U51" s="1046">
        <v>55.125</v>
      </c>
      <c r="V51" s="1030">
        <f t="shared" si="23"/>
        <v>55</v>
      </c>
      <c r="W51" s="1046">
        <v>55.125</v>
      </c>
      <c r="X51" s="1025">
        <f t="shared" si="24"/>
        <v>55</v>
      </c>
      <c r="Y51" s="1046">
        <v>0.21099999999999999</v>
      </c>
      <c r="Z51" s="1025">
        <v>0</v>
      </c>
      <c r="AA51" s="1073">
        <v>0</v>
      </c>
      <c r="AB51" s="1026">
        <f t="shared" si="9"/>
        <v>0</v>
      </c>
      <c r="AC51" s="1069">
        <v>0</v>
      </c>
      <c r="AD51" s="1076" t="str">
        <f t="shared" si="10"/>
        <v>*</v>
      </c>
      <c r="AE51" s="1045">
        <v>5.2249999999999996</v>
      </c>
      <c r="AF51" s="1026">
        <f t="shared" si="11"/>
        <v>5</v>
      </c>
      <c r="AG51" s="1045">
        <v>0.40200000000000002</v>
      </c>
      <c r="AH51" s="1076" t="str">
        <f t="shared" si="12"/>
        <v>*</v>
      </c>
      <c r="AI51" s="1045">
        <v>0.01</v>
      </c>
      <c r="AJ51" s="1026">
        <f t="shared" si="13"/>
        <v>0</v>
      </c>
      <c r="AK51" s="1045">
        <v>5.3999999999999999E-2</v>
      </c>
      <c r="AL51" s="1076" t="str">
        <f t="shared" si="14"/>
        <v>*</v>
      </c>
      <c r="AM51" s="1045">
        <v>0.41</v>
      </c>
      <c r="AN51" s="1026">
        <f t="shared" si="15"/>
        <v>0</v>
      </c>
      <c r="AO51" s="1045">
        <v>8.9999999999999993E-3</v>
      </c>
      <c r="AP51" s="1076" t="str">
        <f t="shared" si="16"/>
        <v>*</v>
      </c>
    </row>
    <row r="52" spans="1:42">
      <c r="A52" s="1079" t="s">
        <v>296</v>
      </c>
      <c r="B52" s="1032" t="s">
        <v>73</v>
      </c>
      <c r="C52" s="1042">
        <v>172.012</v>
      </c>
      <c r="D52" s="1025">
        <f t="shared" si="19"/>
        <v>170</v>
      </c>
      <c r="E52" s="1042">
        <v>10.471</v>
      </c>
      <c r="F52" s="1026">
        <f t="shared" si="8"/>
        <v>10</v>
      </c>
      <c r="G52" s="1042">
        <v>1.163</v>
      </c>
      <c r="H52" s="1027">
        <f>MROUND(G52,0.5)</f>
        <v>1</v>
      </c>
      <c r="I52" s="1042">
        <v>1.044</v>
      </c>
      <c r="J52" s="1028">
        <f>MROUND(I52,0.5)</f>
        <v>1</v>
      </c>
      <c r="K52" s="1042">
        <v>1E-3</v>
      </c>
      <c r="L52" s="1026">
        <f t="shared" si="20"/>
        <v>0</v>
      </c>
      <c r="M52" s="1042">
        <v>0</v>
      </c>
      <c r="N52" s="1029">
        <v>0</v>
      </c>
      <c r="O52" s="1042">
        <v>27.939</v>
      </c>
      <c r="P52" s="1025">
        <f t="shared" si="21"/>
        <v>30</v>
      </c>
      <c r="Q52" s="1042">
        <v>40.512</v>
      </c>
      <c r="R52" s="1025">
        <f t="shared" si="22"/>
        <v>41</v>
      </c>
      <c r="S52" s="1042">
        <v>0.26400000000000001</v>
      </c>
      <c r="T52" s="1025">
        <v>0</v>
      </c>
      <c r="U52" s="1042">
        <v>38.984000000000002</v>
      </c>
      <c r="V52" s="1030">
        <f t="shared" si="23"/>
        <v>39</v>
      </c>
      <c r="W52" s="1042">
        <v>33.991999999999997</v>
      </c>
      <c r="X52" s="1025">
        <f t="shared" si="24"/>
        <v>34</v>
      </c>
      <c r="Y52" s="1042">
        <v>6.2E-2</v>
      </c>
      <c r="Z52" s="1025">
        <v>0</v>
      </c>
      <c r="AA52" s="1073">
        <v>0</v>
      </c>
      <c r="AB52" s="1026">
        <f t="shared" si="9"/>
        <v>0</v>
      </c>
      <c r="AC52" s="1068">
        <v>0</v>
      </c>
      <c r="AD52" s="1076" t="str">
        <f t="shared" si="10"/>
        <v>*</v>
      </c>
      <c r="AE52" s="1040">
        <v>5.556</v>
      </c>
      <c r="AF52" s="1026">
        <f t="shared" si="11"/>
        <v>6</v>
      </c>
      <c r="AG52" s="1046">
        <v>0.42699999999999999</v>
      </c>
      <c r="AH52" s="1076" t="str">
        <f t="shared" si="12"/>
        <v>*</v>
      </c>
      <c r="AI52" s="1046">
        <v>4.7E-2</v>
      </c>
      <c r="AJ52" s="1026">
        <f t="shared" si="13"/>
        <v>0</v>
      </c>
      <c r="AK52" s="1046">
        <v>0.26300000000000001</v>
      </c>
      <c r="AL52" s="1076" t="str">
        <f t="shared" si="14"/>
        <v>*</v>
      </c>
      <c r="AM52" s="1046">
        <v>5.0819999999999999</v>
      </c>
      <c r="AN52" s="1026">
        <f t="shared" si="15"/>
        <v>5</v>
      </c>
      <c r="AO52" s="1046">
        <v>0.108</v>
      </c>
      <c r="AP52" s="1076" t="str">
        <f t="shared" si="16"/>
        <v>*</v>
      </c>
    </row>
    <row r="53" spans="1:42" s="1038" customFormat="1">
      <c r="A53" s="1079" t="s">
        <v>296</v>
      </c>
      <c r="B53" s="1032" t="s">
        <v>180</v>
      </c>
      <c r="C53" s="1046">
        <v>187.12899999999999</v>
      </c>
      <c r="D53" s="1025">
        <f t="shared" si="19"/>
        <v>190</v>
      </c>
      <c r="E53" s="1046">
        <v>0</v>
      </c>
      <c r="F53" s="1026">
        <f t="shared" si="8"/>
        <v>0</v>
      </c>
      <c r="G53" s="1046">
        <v>0</v>
      </c>
      <c r="H53" s="1027">
        <f>IF(G53&lt;0.5,0,MROUND(G53,5))</f>
        <v>0</v>
      </c>
      <c r="I53" s="1046">
        <v>0</v>
      </c>
      <c r="J53" s="1028">
        <f>IF(I53&lt;0.5,0,MROUND(I53,5))</f>
        <v>0</v>
      </c>
      <c r="K53" s="1046">
        <v>0</v>
      </c>
      <c r="L53" s="1026">
        <f t="shared" si="20"/>
        <v>0</v>
      </c>
      <c r="M53" s="1046">
        <v>0</v>
      </c>
      <c r="N53" s="1029">
        <v>0</v>
      </c>
      <c r="O53" s="1046">
        <v>84.429000000000002</v>
      </c>
      <c r="P53" s="1025">
        <f t="shared" si="21"/>
        <v>85</v>
      </c>
      <c r="Q53" s="1046">
        <v>47.877000000000002</v>
      </c>
      <c r="R53" s="1025">
        <f t="shared" si="22"/>
        <v>48</v>
      </c>
      <c r="S53" s="1046">
        <v>1.7000000000000001E-2</v>
      </c>
      <c r="T53" s="1025">
        <v>0</v>
      </c>
      <c r="U53" s="1046">
        <v>43.564</v>
      </c>
      <c r="V53" s="1030">
        <f t="shared" si="23"/>
        <v>44</v>
      </c>
      <c r="W53" s="1046">
        <v>43.564</v>
      </c>
      <c r="X53" s="1025">
        <f t="shared" si="24"/>
        <v>44</v>
      </c>
      <c r="Y53" s="1046">
        <v>3.0000000000000001E-3</v>
      </c>
      <c r="Z53" s="1025">
        <v>0</v>
      </c>
      <c r="AA53" s="1073">
        <v>0</v>
      </c>
      <c r="AB53" s="1026">
        <f t="shared" si="9"/>
        <v>0</v>
      </c>
      <c r="AC53" s="1073">
        <v>0</v>
      </c>
      <c r="AD53" s="1076" t="str">
        <f t="shared" si="10"/>
        <v>*</v>
      </c>
      <c r="AE53" s="1046">
        <v>5.1429999999999998</v>
      </c>
      <c r="AF53" s="1026">
        <f t="shared" si="11"/>
        <v>5</v>
      </c>
      <c r="AG53" s="1046">
        <v>0.39600000000000002</v>
      </c>
      <c r="AH53" s="1076" t="str">
        <f t="shared" si="12"/>
        <v>*</v>
      </c>
      <c r="AI53" s="1046">
        <v>1.2E-2</v>
      </c>
      <c r="AJ53" s="1026">
        <f t="shared" si="13"/>
        <v>0</v>
      </c>
      <c r="AK53" s="1046">
        <v>6.5000000000000002E-2</v>
      </c>
      <c r="AL53" s="1076" t="str">
        <f t="shared" si="14"/>
        <v>*</v>
      </c>
      <c r="AM53" s="1046">
        <v>0.49099999999999999</v>
      </c>
      <c r="AN53" s="1026">
        <f t="shared" si="15"/>
        <v>0</v>
      </c>
      <c r="AO53" s="1046">
        <v>0.01</v>
      </c>
      <c r="AP53" s="1076" t="str">
        <f t="shared" si="16"/>
        <v>*</v>
      </c>
    </row>
    <row r="54" spans="1:42">
      <c r="A54" s="1079" t="s">
        <v>296</v>
      </c>
      <c r="B54" s="1032" t="s">
        <v>75</v>
      </c>
      <c r="C54" s="1046">
        <v>179.74799999999999</v>
      </c>
      <c r="D54" s="1025">
        <f t="shared" si="19"/>
        <v>180</v>
      </c>
      <c r="E54" s="1046">
        <v>0</v>
      </c>
      <c r="F54" s="1026">
        <f t="shared" si="8"/>
        <v>0</v>
      </c>
      <c r="G54" s="1046">
        <v>0</v>
      </c>
      <c r="H54" s="1027">
        <f>IF(G54&lt;0.5,0,MROUND(G54,5))</f>
        <v>0</v>
      </c>
      <c r="I54" s="1046">
        <v>0</v>
      </c>
      <c r="J54" s="1028">
        <f>IF(I54&lt;0.5,0,MROUND(I54,5))</f>
        <v>0</v>
      </c>
      <c r="K54" s="1046">
        <v>0</v>
      </c>
      <c r="L54" s="1026">
        <f t="shared" si="20"/>
        <v>0</v>
      </c>
      <c r="M54" s="1046">
        <v>0</v>
      </c>
      <c r="N54" s="1029">
        <v>0</v>
      </c>
      <c r="O54" s="1046">
        <v>29.837</v>
      </c>
      <c r="P54" s="1025">
        <f t="shared" si="21"/>
        <v>30</v>
      </c>
      <c r="Q54" s="1046">
        <v>45.3</v>
      </c>
      <c r="R54" s="1025">
        <f t="shared" si="22"/>
        <v>45</v>
      </c>
      <c r="S54" s="1046">
        <v>2.9000000000000001E-2</v>
      </c>
      <c r="T54" s="1025">
        <v>0</v>
      </c>
      <c r="U54" s="1046">
        <v>43.911000000000001</v>
      </c>
      <c r="V54" s="1030">
        <f t="shared" si="23"/>
        <v>44</v>
      </c>
      <c r="W54" s="1046">
        <v>43.856999999999999</v>
      </c>
      <c r="X54" s="1025">
        <f t="shared" si="24"/>
        <v>44</v>
      </c>
      <c r="Y54" s="1046">
        <v>0</v>
      </c>
      <c r="Z54" s="1025">
        <v>0</v>
      </c>
      <c r="AA54" s="1073">
        <v>0</v>
      </c>
      <c r="AB54" s="1026">
        <f t="shared" si="9"/>
        <v>0</v>
      </c>
      <c r="AC54" s="1073">
        <v>0</v>
      </c>
      <c r="AD54" s="1076" t="str">
        <f t="shared" si="10"/>
        <v>*</v>
      </c>
      <c r="AE54" s="1046">
        <v>5.6059999999999999</v>
      </c>
      <c r="AF54" s="1026">
        <f t="shared" si="11"/>
        <v>6</v>
      </c>
      <c r="AG54" s="1046">
        <v>0.43099999999999999</v>
      </c>
      <c r="AH54" s="1076" t="str">
        <f t="shared" si="12"/>
        <v>*</v>
      </c>
      <c r="AI54" s="1046">
        <v>4.2000000000000003E-2</v>
      </c>
      <c r="AJ54" s="1026">
        <f t="shared" si="13"/>
        <v>0</v>
      </c>
      <c r="AK54" s="1046">
        <v>0.23499999999999999</v>
      </c>
      <c r="AL54" s="1076" t="str">
        <f t="shared" si="14"/>
        <v>*</v>
      </c>
      <c r="AM54" s="1046">
        <v>0.70499999999999996</v>
      </c>
      <c r="AN54" s="1026">
        <f t="shared" si="15"/>
        <v>1</v>
      </c>
      <c r="AO54" s="1046">
        <v>1.4999999999999999E-2</v>
      </c>
      <c r="AP54" s="1076" t="str">
        <f t="shared" si="16"/>
        <v>*</v>
      </c>
    </row>
    <row r="55" spans="1:42">
      <c r="A55" s="1079" t="s">
        <v>296</v>
      </c>
      <c r="B55" s="1032" t="s">
        <v>76</v>
      </c>
      <c r="C55" s="1046">
        <v>193.57599999999999</v>
      </c>
      <c r="D55" s="1025">
        <f t="shared" si="19"/>
        <v>190</v>
      </c>
      <c r="E55" s="1046">
        <v>6.6000000000000003E-2</v>
      </c>
      <c r="F55" s="1026">
        <f>IF(E55&lt;5,0,(IF(E55&gt;50,MROUND(E55,10),MROUND(E55,5))))</f>
        <v>0</v>
      </c>
      <c r="G55" s="1046">
        <v>8.0000000000000002E-3</v>
      </c>
      <c r="H55" s="1027">
        <f>IF(G55&lt;0.5,0,MROUND(G55,5))</f>
        <v>0</v>
      </c>
      <c r="I55" s="1046">
        <v>1E-3</v>
      </c>
      <c r="J55" s="1028">
        <f>IF(I55&lt;0.5,0,MROUND(I55,5))</f>
        <v>0</v>
      </c>
      <c r="K55" s="1046">
        <v>0</v>
      </c>
      <c r="L55" s="1026">
        <f t="shared" si="20"/>
        <v>0</v>
      </c>
      <c r="M55" s="1046">
        <v>0</v>
      </c>
      <c r="N55" s="1029">
        <v>0</v>
      </c>
      <c r="O55" s="1046">
        <v>29.518999999999998</v>
      </c>
      <c r="P55" s="1025">
        <f t="shared" si="21"/>
        <v>30</v>
      </c>
      <c r="Q55" s="1046">
        <v>48.886000000000003</v>
      </c>
      <c r="R55" s="1025">
        <f t="shared" si="22"/>
        <v>49</v>
      </c>
      <c r="S55" s="1046">
        <v>5.6000000000000001E-2</v>
      </c>
      <c r="T55" s="1025">
        <v>0</v>
      </c>
      <c r="U55" s="1046">
        <v>47.3</v>
      </c>
      <c r="V55" s="1030">
        <f t="shared" si="23"/>
        <v>47</v>
      </c>
      <c r="W55" s="1046">
        <v>0</v>
      </c>
      <c r="X55" s="1082">
        <v>0</v>
      </c>
      <c r="Y55" s="1046">
        <v>9.1999999999999998E-2</v>
      </c>
      <c r="Z55" s="1025">
        <v>0</v>
      </c>
      <c r="AA55" s="1073">
        <v>0</v>
      </c>
      <c r="AB55" s="1026">
        <f t="shared" si="9"/>
        <v>0</v>
      </c>
      <c r="AC55" s="1073">
        <v>0</v>
      </c>
      <c r="AD55" s="1076" t="str">
        <f t="shared" si="10"/>
        <v>*</v>
      </c>
      <c r="AE55" s="1046">
        <v>7.6260000000000003</v>
      </c>
      <c r="AF55" s="1026">
        <f t="shared" si="11"/>
        <v>8</v>
      </c>
      <c r="AG55" s="1046">
        <v>0.58699999999999997</v>
      </c>
      <c r="AH55" s="1076" t="str">
        <f t="shared" si="12"/>
        <v>*</v>
      </c>
      <c r="AI55" s="1046">
        <v>4.2999999999999997E-2</v>
      </c>
      <c r="AJ55" s="1026">
        <f t="shared" si="13"/>
        <v>0</v>
      </c>
      <c r="AK55" s="1046">
        <v>0.23699999999999999</v>
      </c>
      <c r="AL55" s="1076" t="str">
        <f t="shared" si="14"/>
        <v>*</v>
      </c>
      <c r="AM55" s="1046">
        <v>0.80200000000000005</v>
      </c>
      <c r="AN55" s="1026">
        <f t="shared" si="15"/>
        <v>1</v>
      </c>
      <c r="AO55" s="1046">
        <v>1.7000000000000001E-2</v>
      </c>
      <c r="AP55" s="1076" t="str">
        <f t="shared" si="16"/>
        <v>*</v>
      </c>
    </row>
    <row r="56" spans="1:42" s="1038" customFormat="1">
      <c r="A56" s="1079" t="s">
        <v>296</v>
      </c>
      <c r="B56" s="1032" t="s">
        <v>78</v>
      </c>
      <c r="C56" s="1046">
        <v>186.57400000000001</v>
      </c>
      <c r="D56" s="1025">
        <f t="shared" si="19"/>
        <v>190</v>
      </c>
      <c r="E56" s="1046">
        <v>8.0000000000000002E-3</v>
      </c>
      <c r="F56" s="1026">
        <f t="shared" si="8"/>
        <v>0</v>
      </c>
      <c r="G56" s="1046">
        <v>7.0000000000000001E-3</v>
      </c>
      <c r="H56" s="1027">
        <f>IF(G56&lt;0.5,0,MROUND(G56,5))</f>
        <v>0</v>
      </c>
      <c r="I56" s="1046">
        <v>0</v>
      </c>
      <c r="J56" s="1028">
        <f>IF(I56&lt;0.5,0,MROUND(I56,5))</f>
        <v>0</v>
      </c>
      <c r="K56" s="1046">
        <v>0</v>
      </c>
      <c r="L56" s="1026">
        <f t="shared" si="20"/>
        <v>0</v>
      </c>
      <c r="M56" s="1046">
        <v>0</v>
      </c>
      <c r="N56" s="1029">
        <v>0</v>
      </c>
      <c r="O56" s="1046">
        <v>31.79</v>
      </c>
      <c r="P56" s="1025">
        <f t="shared" si="21"/>
        <v>30</v>
      </c>
      <c r="Q56" s="1046">
        <v>45.030999999999999</v>
      </c>
      <c r="R56" s="1025">
        <f t="shared" si="22"/>
        <v>45</v>
      </c>
      <c r="S56" s="1046">
        <v>0.17199999999999999</v>
      </c>
      <c r="T56" s="1025">
        <v>0</v>
      </c>
      <c r="U56" s="1046">
        <v>41.941000000000003</v>
      </c>
      <c r="V56" s="1030">
        <f t="shared" si="23"/>
        <v>42</v>
      </c>
      <c r="W56" s="1046">
        <v>40.729999999999997</v>
      </c>
      <c r="X56" s="1025">
        <f t="shared" ref="X56:X86" si="25">(MROUND(W56,1))</f>
        <v>41</v>
      </c>
      <c r="Y56" s="1046">
        <v>0.32</v>
      </c>
      <c r="Z56" s="1025">
        <v>0</v>
      </c>
      <c r="AA56" s="1073">
        <v>0</v>
      </c>
      <c r="AB56" s="1026">
        <f t="shared" si="9"/>
        <v>0</v>
      </c>
      <c r="AC56" s="1069">
        <v>0</v>
      </c>
      <c r="AD56" s="1076" t="str">
        <f t="shared" si="10"/>
        <v>*</v>
      </c>
      <c r="AE56" s="1045">
        <v>6.4880000000000004</v>
      </c>
      <c r="AF56" s="1026">
        <f t="shared" si="11"/>
        <v>6</v>
      </c>
      <c r="AG56" s="1045">
        <v>0.499</v>
      </c>
      <c r="AH56" s="1076" t="str">
        <f t="shared" si="12"/>
        <v>*</v>
      </c>
      <c r="AI56" s="1045">
        <v>0.222</v>
      </c>
      <c r="AJ56" s="1026">
        <f t="shared" si="13"/>
        <v>0</v>
      </c>
      <c r="AK56" s="1045">
        <v>1.236</v>
      </c>
      <c r="AL56" s="1076">
        <f t="shared" si="14"/>
        <v>0.02</v>
      </c>
      <c r="AM56" s="1045">
        <v>9.8239999999999998</v>
      </c>
      <c r="AN56" s="1026">
        <f t="shared" si="15"/>
        <v>10</v>
      </c>
      <c r="AO56" s="1045">
        <v>0.20899999999999999</v>
      </c>
      <c r="AP56" s="1076" t="str">
        <f t="shared" si="16"/>
        <v>*</v>
      </c>
    </row>
    <row r="57" spans="1:42" s="1038" customFormat="1">
      <c r="A57" s="1079" t="s">
        <v>296</v>
      </c>
      <c r="B57" s="1032" t="s">
        <v>315</v>
      </c>
      <c r="C57" s="1042">
        <v>158.95099999999999</v>
      </c>
      <c r="D57" s="1025">
        <f t="shared" si="19"/>
        <v>160</v>
      </c>
      <c r="E57" s="1042">
        <v>5.0000000000000001E-3</v>
      </c>
      <c r="F57" s="1026">
        <f t="shared" si="8"/>
        <v>0</v>
      </c>
      <c r="G57" s="1042">
        <v>0</v>
      </c>
      <c r="H57" s="1027">
        <f>IF(G57&lt;0.5,0,MROUND(G57,5))</f>
        <v>0</v>
      </c>
      <c r="I57" s="1042">
        <v>0</v>
      </c>
      <c r="J57" s="1028">
        <f>IF(I57&lt;0.5,0,MROUND(I57,5))</f>
        <v>0</v>
      </c>
      <c r="K57" s="1042">
        <v>0</v>
      </c>
      <c r="L57" s="1026">
        <f t="shared" si="20"/>
        <v>0</v>
      </c>
      <c r="M57" s="1042">
        <v>0</v>
      </c>
      <c r="N57" s="1029">
        <v>0</v>
      </c>
      <c r="O57" s="1042">
        <v>28.423999999999999</v>
      </c>
      <c r="P57" s="1025">
        <f t="shared" si="21"/>
        <v>30</v>
      </c>
      <c r="Q57" s="1042">
        <v>39.234999999999999</v>
      </c>
      <c r="R57" s="1025">
        <f t="shared" si="22"/>
        <v>39</v>
      </c>
      <c r="S57" s="1042">
        <v>4.7E-2</v>
      </c>
      <c r="T57" s="1025">
        <v>0</v>
      </c>
      <c r="U57" s="1042">
        <v>37.19</v>
      </c>
      <c r="V57" s="1030">
        <f t="shared" si="23"/>
        <v>37</v>
      </c>
      <c r="W57" s="1042">
        <v>37.139000000000003</v>
      </c>
      <c r="X57" s="1025">
        <f t="shared" si="25"/>
        <v>37</v>
      </c>
      <c r="Y57" s="1042">
        <v>0.187</v>
      </c>
      <c r="Z57" s="1025">
        <v>0</v>
      </c>
      <c r="AA57" s="1073">
        <v>0</v>
      </c>
      <c r="AB57" s="1026">
        <f t="shared" si="9"/>
        <v>0</v>
      </c>
      <c r="AC57" s="1069">
        <v>0</v>
      </c>
      <c r="AD57" s="1076" t="str">
        <f t="shared" si="10"/>
        <v>*</v>
      </c>
      <c r="AE57" s="1045">
        <v>12.670999999999999</v>
      </c>
      <c r="AF57" s="1026">
        <f t="shared" si="11"/>
        <v>13</v>
      </c>
      <c r="AG57" s="1046">
        <v>0.97499999999999998</v>
      </c>
      <c r="AH57" s="1076" t="str">
        <f t="shared" si="12"/>
        <v>*</v>
      </c>
      <c r="AI57" s="1046">
        <v>0.161</v>
      </c>
      <c r="AJ57" s="1026">
        <f t="shared" si="13"/>
        <v>0</v>
      </c>
      <c r="AK57" s="1046">
        <v>0.89400000000000002</v>
      </c>
      <c r="AL57" s="1076" t="str">
        <f t="shared" si="14"/>
        <v>*</v>
      </c>
      <c r="AM57" s="1046">
        <v>27.942</v>
      </c>
      <c r="AN57" s="1026">
        <f t="shared" si="15"/>
        <v>28</v>
      </c>
      <c r="AO57" s="1046">
        <v>0.59499999999999997</v>
      </c>
      <c r="AP57" s="1076" t="str">
        <f t="shared" si="16"/>
        <v>*</v>
      </c>
    </row>
    <row r="58" spans="1:42" s="1038" customFormat="1">
      <c r="A58" s="1079" t="s">
        <v>92</v>
      </c>
      <c r="B58" s="1032" t="s">
        <v>93</v>
      </c>
      <c r="C58" s="1046">
        <v>225.41399999999999</v>
      </c>
      <c r="D58" s="1025">
        <f t="shared" si="19"/>
        <v>230</v>
      </c>
      <c r="E58" s="1046">
        <v>10.906000000000001</v>
      </c>
      <c r="F58" s="1026">
        <f t="shared" si="8"/>
        <v>10</v>
      </c>
      <c r="G58" s="1046">
        <v>3.339</v>
      </c>
      <c r="H58" s="1027">
        <f>MROUND(G58,0.5)</f>
        <v>3.5</v>
      </c>
      <c r="I58" s="1046">
        <v>2.5880000000000001</v>
      </c>
      <c r="J58" s="1028">
        <f t="shared" ref="J58:J85" si="26">MROUND(I58,0.5)</f>
        <v>2.5</v>
      </c>
      <c r="K58" s="1046">
        <v>2E-3</v>
      </c>
      <c r="L58" s="1026">
        <f t="shared" si="20"/>
        <v>0</v>
      </c>
      <c r="M58" s="1046">
        <v>0</v>
      </c>
      <c r="N58" s="1029">
        <v>0</v>
      </c>
      <c r="O58" s="1046">
        <v>47.921999999999997</v>
      </c>
      <c r="P58" s="1025">
        <f t="shared" si="21"/>
        <v>50</v>
      </c>
      <c r="Q58" s="1046">
        <v>52.996000000000002</v>
      </c>
      <c r="R58" s="1025">
        <f t="shared" si="22"/>
        <v>53</v>
      </c>
      <c r="S58" s="1046">
        <v>0.45200000000000001</v>
      </c>
      <c r="T58" s="1025">
        <v>0</v>
      </c>
      <c r="U58" s="1046">
        <v>49.811999999999998</v>
      </c>
      <c r="V58" s="1030">
        <f t="shared" si="23"/>
        <v>50</v>
      </c>
      <c r="W58" s="1046">
        <v>45.186999999999998</v>
      </c>
      <c r="X58" s="1025">
        <f t="shared" si="25"/>
        <v>45</v>
      </c>
      <c r="Y58" s="1046">
        <v>0.41399999999999998</v>
      </c>
      <c r="Z58" s="1025">
        <v>0</v>
      </c>
      <c r="AA58" s="1073">
        <v>0.32100000000000001</v>
      </c>
      <c r="AB58" s="1026">
        <f t="shared" si="9"/>
        <v>0</v>
      </c>
      <c r="AC58" s="1069">
        <v>0</v>
      </c>
      <c r="AD58" s="1076" t="str">
        <f t="shared" si="10"/>
        <v>*</v>
      </c>
      <c r="AE58" s="1045">
        <v>11.14</v>
      </c>
      <c r="AF58" s="1026">
        <f t="shared" si="11"/>
        <v>11</v>
      </c>
      <c r="AG58" s="1046">
        <v>0.85699999999999998</v>
      </c>
      <c r="AH58" s="1076" t="str">
        <f t="shared" si="12"/>
        <v>*</v>
      </c>
      <c r="AI58" s="1046">
        <v>0.253</v>
      </c>
      <c r="AJ58" s="1026">
        <f t="shared" si="13"/>
        <v>0</v>
      </c>
      <c r="AK58" s="1046">
        <v>1.403</v>
      </c>
      <c r="AL58" s="1076">
        <f t="shared" si="14"/>
        <v>0.02</v>
      </c>
      <c r="AM58" s="1046">
        <v>43.764000000000003</v>
      </c>
      <c r="AN58" s="1026">
        <f t="shared" si="15"/>
        <v>44</v>
      </c>
      <c r="AO58" s="1046">
        <v>0.93100000000000005</v>
      </c>
      <c r="AP58" s="1076" t="str">
        <f t="shared" si="16"/>
        <v>*</v>
      </c>
    </row>
    <row r="59" spans="1:42" s="1038" customFormat="1">
      <c r="A59" s="1079" t="s">
        <v>92</v>
      </c>
      <c r="B59" s="1032" t="s">
        <v>94</v>
      </c>
      <c r="C59" s="1046">
        <v>238.99100000000001</v>
      </c>
      <c r="D59" s="1025">
        <f t="shared" si="19"/>
        <v>240</v>
      </c>
      <c r="E59" s="1046">
        <v>7.1840000000000002</v>
      </c>
      <c r="F59" s="1026">
        <f t="shared" si="8"/>
        <v>5</v>
      </c>
      <c r="G59" s="1046">
        <v>2.948</v>
      </c>
      <c r="H59" s="1027">
        <f>MROUND(G59,0.5)</f>
        <v>3</v>
      </c>
      <c r="I59" s="1046">
        <v>2.39</v>
      </c>
      <c r="J59" s="1028">
        <f t="shared" si="26"/>
        <v>2.5</v>
      </c>
      <c r="K59" s="1046">
        <v>7.0000000000000007E-2</v>
      </c>
      <c r="L59" s="1026">
        <f t="shared" si="20"/>
        <v>0</v>
      </c>
      <c r="M59" s="1046">
        <v>0</v>
      </c>
      <c r="N59" s="1029">
        <v>0</v>
      </c>
      <c r="O59" s="1046">
        <v>123.95699999999999</v>
      </c>
      <c r="P59" s="1025">
        <f t="shared" si="21"/>
        <v>125</v>
      </c>
      <c r="Q59" s="1046">
        <v>53.143000000000001</v>
      </c>
      <c r="R59" s="1025">
        <f t="shared" si="22"/>
        <v>53</v>
      </c>
      <c r="S59" s="1046">
        <v>8.5000000000000006E-2</v>
      </c>
      <c r="T59" s="1025">
        <v>0</v>
      </c>
      <c r="U59" s="1046">
        <v>47.625999999999998</v>
      </c>
      <c r="V59" s="1030">
        <f t="shared" si="23"/>
        <v>48</v>
      </c>
      <c r="W59" s="1046">
        <v>41.185000000000002</v>
      </c>
      <c r="X59" s="1025">
        <f t="shared" si="25"/>
        <v>41</v>
      </c>
      <c r="Y59" s="1046">
        <v>0.45100000000000001</v>
      </c>
      <c r="Z59" s="1025">
        <v>0</v>
      </c>
      <c r="AA59" s="1073">
        <v>0</v>
      </c>
      <c r="AB59" s="1026">
        <f t="shared" si="9"/>
        <v>0</v>
      </c>
      <c r="AC59" s="1069">
        <v>0</v>
      </c>
      <c r="AD59" s="1076" t="str">
        <f t="shared" si="10"/>
        <v>*</v>
      </c>
      <c r="AE59" s="1048">
        <v>7.6580000000000004</v>
      </c>
      <c r="AF59" s="1026">
        <f t="shared" si="11"/>
        <v>8</v>
      </c>
      <c r="AG59" s="1046">
        <v>0.58899999999999997</v>
      </c>
      <c r="AH59" s="1076" t="str">
        <f t="shared" si="12"/>
        <v>*</v>
      </c>
      <c r="AI59" s="1046">
        <v>0.113</v>
      </c>
      <c r="AJ59" s="1026">
        <f t="shared" si="13"/>
        <v>0</v>
      </c>
      <c r="AK59" s="1046">
        <v>0.629</v>
      </c>
      <c r="AL59" s="1076" t="str">
        <f t="shared" si="14"/>
        <v>*</v>
      </c>
      <c r="AM59" s="1046">
        <v>22.024000000000001</v>
      </c>
      <c r="AN59" s="1026">
        <f t="shared" si="15"/>
        <v>22</v>
      </c>
      <c r="AO59" s="1046">
        <v>0.46899999999999997</v>
      </c>
      <c r="AP59" s="1076" t="str">
        <f t="shared" si="16"/>
        <v>*</v>
      </c>
    </row>
    <row r="60" spans="1:42">
      <c r="A60" s="1079" t="s">
        <v>92</v>
      </c>
      <c r="B60" s="1032" t="s">
        <v>95</v>
      </c>
      <c r="C60" s="1046">
        <v>256.202</v>
      </c>
      <c r="D60" s="1025">
        <f t="shared" si="19"/>
        <v>260</v>
      </c>
      <c r="E60" s="1046">
        <v>14.888</v>
      </c>
      <c r="F60" s="1026">
        <f t="shared" si="8"/>
        <v>15</v>
      </c>
      <c r="G60" s="1046">
        <v>3.778</v>
      </c>
      <c r="H60" s="1027">
        <f>MROUND(G60,0.5)</f>
        <v>4</v>
      </c>
      <c r="I60" s="1046">
        <v>3.036</v>
      </c>
      <c r="J60" s="1028">
        <f t="shared" si="26"/>
        <v>3</v>
      </c>
      <c r="K60" s="1046">
        <v>3.5000000000000003E-2</v>
      </c>
      <c r="L60" s="1026">
        <f t="shared" si="20"/>
        <v>0</v>
      </c>
      <c r="M60" s="1046">
        <v>4.109</v>
      </c>
      <c r="N60" s="1026" t="s">
        <v>316</v>
      </c>
      <c r="O60" s="1046">
        <v>54.542999999999999</v>
      </c>
      <c r="P60" s="1025">
        <f t="shared" si="21"/>
        <v>55</v>
      </c>
      <c r="Q60" s="1046">
        <v>54.908000000000001</v>
      </c>
      <c r="R60" s="1025">
        <f t="shared" si="22"/>
        <v>55</v>
      </c>
      <c r="S60" s="1046">
        <v>1.7000000000000001E-2</v>
      </c>
      <c r="T60" s="1025">
        <v>0</v>
      </c>
      <c r="U60" s="1046">
        <v>50.220999999999997</v>
      </c>
      <c r="V60" s="1030">
        <f t="shared" si="23"/>
        <v>50</v>
      </c>
      <c r="W60" s="1046">
        <v>49.914000000000001</v>
      </c>
      <c r="X60" s="1025">
        <f t="shared" si="25"/>
        <v>50</v>
      </c>
      <c r="Y60" s="1046">
        <v>0.47199999999999998</v>
      </c>
      <c r="Z60" s="1025">
        <v>0</v>
      </c>
      <c r="AA60" s="1073">
        <v>0</v>
      </c>
      <c r="AB60" s="1026">
        <f t="shared" si="9"/>
        <v>0</v>
      </c>
      <c r="AC60" s="1073">
        <v>0</v>
      </c>
      <c r="AD60" s="1076" t="str">
        <f t="shared" si="10"/>
        <v>*</v>
      </c>
      <c r="AE60" s="1046">
        <v>7.8979999999999997</v>
      </c>
      <c r="AF60" s="1026">
        <f t="shared" si="11"/>
        <v>8</v>
      </c>
      <c r="AG60" s="1046">
        <v>0.60799999999999998</v>
      </c>
      <c r="AH60" s="1076" t="str">
        <f t="shared" si="12"/>
        <v>*</v>
      </c>
      <c r="AI60" s="1046">
        <v>8.4000000000000005E-2</v>
      </c>
      <c r="AJ60" s="1026">
        <f t="shared" si="13"/>
        <v>0</v>
      </c>
      <c r="AK60" s="1046">
        <v>0.46500000000000002</v>
      </c>
      <c r="AL60" s="1076" t="str">
        <f t="shared" si="14"/>
        <v>*</v>
      </c>
      <c r="AM60" s="1046">
        <v>19.302</v>
      </c>
      <c r="AN60" s="1026">
        <f t="shared" si="15"/>
        <v>19</v>
      </c>
      <c r="AO60" s="1046">
        <v>0.41099999999999998</v>
      </c>
      <c r="AP60" s="1076" t="str">
        <f t="shared" si="16"/>
        <v>*</v>
      </c>
    </row>
    <row r="61" spans="1:42" s="1038" customFormat="1">
      <c r="A61" s="1079" t="s">
        <v>92</v>
      </c>
      <c r="B61" s="1032" t="s">
        <v>182</v>
      </c>
      <c r="C61" s="1046">
        <v>264.74900000000002</v>
      </c>
      <c r="D61" s="1025">
        <f t="shared" si="19"/>
        <v>260</v>
      </c>
      <c r="E61" s="1046">
        <v>17.867999999999999</v>
      </c>
      <c r="F61" s="1026">
        <f t="shared" si="8"/>
        <v>20</v>
      </c>
      <c r="G61" s="1046">
        <v>4.1260000000000003</v>
      </c>
      <c r="H61" s="1027">
        <f>MROUND(G61,0.5)</f>
        <v>4</v>
      </c>
      <c r="I61" s="1046">
        <v>3.1280000000000001</v>
      </c>
      <c r="J61" s="1028">
        <f t="shared" si="26"/>
        <v>3</v>
      </c>
      <c r="K61" s="1046">
        <v>2.9000000000000001E-2</v>
      </c>
      <c r="L61" s="1026">
        <f t="shared" si="20"/>
        <v>0</v>
      </c>
      <c r="M61" s="1046">
        <v>1.6890000000000001</v>
      </c>
      <c r="N61" s="1029">
        <v>0</v>
      </c>
      <c r="O61" s="1046">
        <v>79.576999999999998</v>
      </c>
      <c r="P61" s="1025">
        <f t="shared" si="21"/>
        <v>80</v>
      </c>
      <c r="Q61" s="1046">
        <v>56.677</v>
      </c>
      <c r="R61" s="1025">
        <f t="shared" si="22"/>
        <v>57</v>
      </c>
      <c r="S61" s="1046">
        <v>0.36099999999999999</v>
      </c>
      <c r="T61" s="1025">
        <v>0</v>
      </c>
      <c r="U61" s="1046">
        <v>50.158999999999999</v>
      </c>
      <c r="V61" s="1030">
        <f t="shared" si="23"/>
        <v>50</v>
      </c>
      <c r="W61" s="1046">
        <v>50.323999999999998</v>
      </c>
      <c r="X61" s="1025">
        <f t="shared" si="25"/>
        <v>50</v>
      </c>
      <c r="Y61" s="1046">
        <v>0.77500000000000002</v>
      </c>
      <c r="Z61" s="1030" t="s">
        <v>303</v>
      </c>
      <c r="AA61" s="1073">
        <v>1E-3</v>
      </c>
      <c r="AB61" s="1026">
        <f t="shared" si="9"/>
        <v>0</v>
      </c>
      <c r="AC61" s="1073">
        <v>0</v>
      </c>
      <c r="AD61" s="1076" t="str">
        <f t="shared" si="10"/>
        <v>*</v>
      </c>
      <c r="AE61" s="1046">
        <v>7.7149999999999999</v>
      </c>
      <c r="AF61" s="1026">
        <f t="shared" si="11"/>
        <v>8</v>
      </c>
      <c r="AG61" s="1046">
        <v>0.59299999999999997</v>
      </c>
      <c r="AH61" s="1076" t="str">
        <f t="shared" si="12"/>
        <v>*</v>
      </c>
      <c r="AI61" s="1046">
        <v>3.7999999999999999E-2</v>
      </c>
      <c r="AJ61" s="1026">
        <f t="shared" si="13"/>
        <v>0</v>
      </c>
      <c r="AK61" s="1046">
        <v>0.21099999999999999</v>
      </c>
      <c r="AL61" s="1076" t="str">
        <f t="shared" si="14"/>
        <v>*</v>
      </c>
      <c r="AM61" s="1046">
        <v>21.931000000000001</v>
      </c>
      <c r="AN61" s="1026">
        <f t="shared" si="15"/>
        <v>22</v>
      </c>
      <c r="AO61" s="1046">
        <v>0.46700000000000003</v>
      </c>
      <c r="AP61" s="1076" t="str">
        <f t="shared" si="16"/>
        <v>*</v>
      </c>
    </row>
    <row r="62" spans="1:42">
      <c r="A62" s="1079" t="s">
        <v>92</v>
      </c>
      <c r="B62" s="1032" t="s">
        <v>98</v>
      </c>
      <c r="C62" s="1046">
        <v>246.857</v>
      </c>
      <c r="D62" s="1025">
        <f t="shared" si="19"/>
        <v>250</v>
      </c>
      <c r="E62" s="1046">
        <v>14.977</v>
      </c>
      <c r="F62" s="1026">
        <f t="shared" si="8"/>
        <v>15</v>
      </c>
      <c r="G62" s="1046">
        <v>3.8010000000000002</v>
      </c>
      <c r="H62" s="1027">
        <f>MROUND(G62,0.5)</f>
        <v>4</v>
      </c>
      <c r="I62" s="1046">
        <v>3.0539999999999998</v>
      </c>
      <c r="J62" s="1028">
        <f t="shared" si="26"/>
        <v>3</v>
      </c>
      <c r="K62" s="1046">
        <v>3.5000000000000003E-2</v>
      </c>
      <c r="L62" s="1026">
        <f t="shared" si="20"/>
        <v>0</v>
      </c>
      <c r="M62" s="1046">
        <v>4.1340000000000003</v>
      </c>
      <c r="N62" s="1026" t="s">
        <v>316</v>
      </c>
      <c r="O62" s="1046">
        <v>55.16</v>
      </c>
      <c r="P62" s="1025">
        <f t="shared" si="21"/>
        <v>55</v>
      </c>
      <c r="Q62" s="1046">
        <v>53.061</v>
      </c>
      <c r="R62" s="1025">
        <f t="shared" si="22"/>
        <v>53</v>
      </c>
      <c r="S62" s="1046">
        <v>1.7999999999999999E-2</v>
      </c>
      <c r="T62" s="1025">
        <v>0</v>
      </c>
      <c r="U62" s="1046">
        <v>48.345999999999997</v>
      </c>
      <c r="V62" s="1030">
        <f t="shared" si="23"/>
        <v>48</v>
      </c>
      <c r="W62" s="1046">
        <v>48.036999999999999</v>
      </c>
      <c r="X62" s="1025">
        <f t="shared" si="25"/>
        <v>48</v>
      </c>
      <c r="Y62" s="1046">
        <v>0.47499999999999998</v>
      </c>
      <c r="Z62" s="1025">
        <v>0</v>
      </c>
      <c r="AA62" s="1073">
        <v>0</v>
      </c>
      <c r="AB62" s="1026">
        <f t="shared" si="9"/>
        <v>0</v>
      </c>
      <c r="AC62" s="1073">
        <v>0</v>
      </c>
      <c r="AD62" s="1076" t="str">
        <f t="shared" si="10"/>
        <v>*</v>
      </c>
      <c r="AE62" s="1046">
        <v>6.9009999999999998</v>
      </c>
      <c r="AF62" s="1026">
        <f t="shared" si="11"/>
        <v>7</v>
      </c>
      <c r="AG62" s="1046">
        <v>0.53100000000000003</v>
      </c>
      <c r="AH62" s="1076" t="str">
        <f t="shared" si="12"/>
        <v>*</v>
      </c>
      <c r="AI62" s="1046">
        <v>0.03</v>
      </c>
      <c r="AJ62" s="1026">
        <f t="shared" si="13"/>
        <v>0</v>
      </c>
      <c r="AK62" s="1046">
        <v>0.16800000000000001</v>
      </c>
      <c r="AL62" s="1076" t="str">
        <f t="shared" si="14"/>
        <v>*</v>
      </c>
      <c r="AM62" s="1046">
        <v>8.2089999999999996</v>
      </c>
      <c r="AN62" s="1026">
        <f t="shared" si="15"/>
        <v>8</v>
      </c>
      <c r="AO62" s="1046">
        <v>0.17499999999999999</v>
      </c>
      <c r="AP62" s="1076" t="str">
        <f t="shared" si="16"/>
        <v>*</v>
      </c>
    </row>
    <row r="63" spans="1:42">
      <c r="A63" s="1079" t="s">
        <v>92</v>
      </c>
      <c r="B63" s="1032" t="s">
        <v>99</v>
      </c>
      <c r="C63" s="1046">
        <v>247.53800000000001</v>
      </c>
      <c r="D63" s="1025">
        <f t="shared" si="19"/>
        <v>250</v>
      </c>
      <c r="E63" s="1046">
        <v>30.375</v>
      </c>
      <c r="F63" s="1026">
        <f t="shared" si="8"/>
        <v>30</v>
      </c>
      <c r="G63" s="1046">
        <v>5.5179999999999998</v>
      </c>
      <c r="H63" s="1027">
        <f>MROUND(G63,1)</f>
        <v>6</v>
      </c>
      <c r="I63" s="1046">
        <v>4.0860000000000003</v>
      </c>
      <c r="J63" s="1028">
        <f t="shared" si="26"/>
        <v>4</v>
      </c>
      <c r="K63" s="1046">
        <v>0.35</v>
      </c>
      <c r="L63" s="1026">
        <f t="shared" si="20"/>
        <v>0</v>
      </c>
      <c r="M63" s="1046">
        <v>4.1449999999999996</v>
      </c>
      <c r="N63" s="1026" t="s">
        <v>316</v>
      </c>
      <c r="O63" s="1046">
        <v>55.031999999999996</v>
      </c>
      <c r="P63" s="1025">
        <f t="shared" si="21"/>
        <v>55</v>
      </c>
      <c r="Q63" s="1046">
        <v>57.764000000000003</v>
      </c>
      <c r="R63" s="1025">
        <f t="shared" si="22"/>
        <v>58</v>
      </c>
      <c r="S63" s="1046">
        <v>0.499</v>
      </c>
      <c r="T63" s="1025">
        <v>0</v>
      </c>
      <c r="U63" s="1046">
        <v>52.247</v>
      </c>
      <c r="V63" s="1030">
        <f t="shared" si="23"/>
        <v>52</v>
      </c>
      <c r="W63" s="1046">
        <v>48.17</v>
      </c>
      <c r="X63" s="1025">
        <f t="shared" si="25"/>
        <v>48</v>
      </c>
      <c r="Y63" s="1046">
        <v>0.78400000000000003</v>
      </c>
      <c r="Z63" s="1030" t="s">
        <v>303</v>
      </c>
      <c r="AA63" s="1073">
        <v>0.57499999999999996</v>
      </c>
      <c r="AB63" s="1026">
        <f t="shared" si="9"/>
        <v>1</v>
      </c>
      <c r="AC63" s="1073">
        <v>0</v>
      </c>
      <c r="AD63" s="1076" t="str">
        <f t="shared" si="10"/>
        <v>*</v>
      </c>
      <c r="AE63" s="1046">
        <v>6.6749999999999998</v>
      </c>
      <c r="AF63" s="1026">
        <f t="shared" si="11"/>
        <v>7</v>
      </c>
      <c r="AG63" s="1046">
        <v>0.51300000000000001</v>
      </c>
      <c r="AH63" s="1076" t="str">
        <f t="shared" si="12"/>
        <v>*</v>
      </c>
      <c r="AI63" s="1046">
        <v>4.2000000000000003E-2</v>
      </c>
      <c r="AJ63" s="1026">
        <f t="shared" si="13"/>
        <v>0</v>
      </c>
      <c r="AK63" s="1046">
        <v>0.23499999999999999</v>
      </c>
      <c r="AL63" s="1076" t="str">
        <f t="shared" si="14"/>
        <v>*</v>
      </c>
      <c r="AM63" s="1046">
        <v>14.5</v>
      </c>
      <c r="AN63" s="1026">
        <f t="shared" si="15"/>
        <v>15</v>
      </c>
      <c r="AO63" s="1046">
        <v>0.309</v>
      </c>
      <c r="AP63" s="1076" t="str">
        <f t="shared" si="16"/>
        <v>*</v>
      </c>
    </row>
    <row r="64" spans="1:42">
      <c r="A64" s="1079" t="s">
        <v>92</v>
      </c>
      <c r="B64" s="1032" t="s">
        <v>100</v>
      </c>
      <c r="C64" s="1046">
        <v>233.946</v>
      </c>
      <c r="D64" s="1025">
        <f t="shared" si="19"/>
        <v>230</v>
      </c>
      <c r="E64" s="1046">
        <v>13.356</v>
      </c>
      <c r="F64" s="1026">
        <f t="shared" si="8"/>
        <v>15</v>
      </c>
      <c r="G64" s="1046">
        <v>3.6230000000000002</v>
      </c>
      <c r="H64" s="1027">
        <f t="shared" ref="H64:H71" si="27">MROUND(G64,0.5)</f>
        <v>3.5</v>
      </c>
      <c r="I64" s="1046">
        <v>3.1019999999999999</v>
      </c>
      <c r="J64" s="1028">
        <f t="shared" si="26"/>
        <v>3</v>
      </c>
      <c r="K64" s="1046">
        <v>2E-3</v>
      </c>
      <c r="L64" s="1026">
        <f t="shared" si="20"/>
        <v>0</v>
      </c>
      <c r="M64" s="1046">
        <v>1E-3</v>
      </c>
      <c r="N64" s="1029">
        <v>0</v>
      </c>
      <c r="O64" s="1046">
        <v>60.210999999999999</v>
      </c>
      <c r="P64" s="1025">
        <f t="shared" si="21"/>
        <v>60</v>
      </c>
      <c r="Q64" s="1046">
        <v>54.843000000000004</v>
      </c>
      <c r="R64" s="1025">
        <f t="shared" si="22"/>
        <v>55</v>
      </c>
      <c r="S64" s="1046">
        <v>0.52</v>
      </c>
      <c r="T64" s="1025" t="s">
        <v>303</v>
      </c>
      <c r="U64" s="1046">
        <v>50.598999999999997</v>
      </c>
      <c r="V64" s="1030">
        <f t="shared" si="23"/>
        <v>51</v>
      </c>
      <c r="W64" s="1046">
        <v>47.298999999999999</v>
      </c>
      <c r="X64" s="1025">
        <f t="shared" si="25"/>
        <v>47</v>
      </c>
      <c r="Y64" s="1046">
        <v>0.57099999999999995</v>
      </c>
      <c r="Z64" s="1030" t="s">
        <v>303</v>
      </c>
      <c r="AA64" s="1073">
        <v>0.28899999999999998</v>
      </c>
      <c r="AB64" s="1026">
        <f t="shared" si="9"/>
        <v>0</v>
      </c>
      <c r="AC64" s="1069">
        <v>0</v>
      </c>
      <c r="AD64" s="1076" t="str">
        <f t="shared" si="10"/>
        <v>*</v>
      </c>
      <c r="AE64" s="1024">
        <v>6.4580000000000002</v>
      </c>
      <c r="AF64" s="1026">
        <f t="shared" si="11"/>
        <v>6</v>
      </c>
      <c r="AG64" s="1046">
        <v>0.497</v>
      </c>
      <c r="AH64" s="1076" t="str">
        <f t="shared" si="12"/>
        <v>*</v>
      </c>
      <c r="AI64" s="1046">
        <v>6.0999999999999999E-2</v>
      </c>
      <c r="AJ64" s="1026">
        <f t="shared" si="13"/>
        <v>0</v>
      </c>
      <c r="AK64" s="1046">
        <v>0.33700000000000002</v>
      </c>
      <c r="AL64" s="1076" t="str">
        <f t="shared" si="14"/>
        <v>*</v>
      </c>
      <c r="AM64" s="1046">
        <v>16.506</v>
      </c>
      <c r="AN64" s="1026">
        <f t="shared" si="15"/>
        <v>17</v>
      </c>
      <c r="AO64" s="1046">
        <v>0.35099999999999998</v>
      </c>
      <c r="AP64" s="1076" t="str">
        <f t="shared" si="16"/>
        <v>*</v>
      </c>
    </row>
    <row r="65" spans="1:42">
      <c r="A65" s="1079" t="s">
        <v>92</v>
      </c>
      <c r="B65" s="1032" t="s">
        <v>101</v>
      </c>
      <c r="C65" s="1046">
        <v>223.02199999999999</v>
      </c>
      <c r="D65" s="1025">
        <f t="shared" si="19"/>
        <v>220</v>
      </c>
      <c r="E65" s="1046">
        <v>20.98</v>
      </c>
      <c r="F65" s="1026">
        <f t="shared" si="8"/>
        <v>20</v>
      </c>
      <c r="G65" s="1046">
        <v>4.5090000000000003</v>
      </c>
      <c r="H65" s="1027">
        <f t="shared" si="27"/>
        <v>4.5</v>
      </c>
      <c r="I65" s="1046">
        <v>3.6269999999999998</v>
      </c>
      <c r="J65" s="1028">
        <f t="shared" si="26"/>
        <v>3.5</v>
      </c>
      <c r="K65" s="1046">
        <v>0</v>
      </c>
      <c r="L65" s="1026">
        <f t="shared" si="20"/>
        <v>0</v>
      </c>
      <c r="M65" s="1046">
        <v>1E-3</v>
      </c>
      <c r="N65" s="1029">
        <v>0</v>
      </c>
      <c r="O65" s="1046">
        <v>65.763000000000005</v>
      </c>
      <c r="P65" s="1025">
        <f t="shared" si="21"/>
        <v>65</v>
      </c>
      <c r="Q65" s="1046">
        <v>54.073</v>
      </c>
      <c r="R65" s="1025">
        <f t="shared" si="22"/>
        <v>54</v>
      </c>
      <c r="S65" s="1046">
        <v>0.73599999999999999</v>
      </c>
      <c r="T65" s="1025" t="s">
        <v>303</v>
      </c>
      <c r="U65" s="1046">
        <v>50.091999999999999</v>
      </c>
      <c r="V65" s="1030">
        <f t="shared" si="23"/>
        <v>50</v>
      </c>
      <c r="W65" s="1046">
        <v>45.427</v>
      </c>
      <c r="X65" s="1025">
        <f t="shared" si="25"/>
        <v>45</v>
      </c>
      <c r="Y65" s="1046">
        <v>0.80600000000000005</v>
      </c>
      <c r="Z65" s="1030" t="s">
        <v>303</v>
      </c>
      <c r="AA65" s="1073">
        <v>0.58599999999999997</v>
      </c>
      <c r="AB65" s="1026">
        <f t="shared" si="9"/>
        <v>1</v>
      </c>
      <c r="AC65" s="1069">
        <v>0</v>
      </c>
      <c r="AD65" s="1076" t="str">
        <f t="shared" si="10"/>
        <v>*</v>
      </c>
      <c r="AE65" s="1048">
        <v>9.391</v>
      </c>
      <c r="AF65" s="1026">
        <f t="shared" si="11"/>
        <v>9</v>
      </c>
      <c r="AG65" s="1046">
        <v>0.72199999999999998</v>
      </c>
      <c r="AH65" s="1076" t="str">
        <f t="shared" si="12"/>
        <v>*</v>
      </c>
      <c r="AI65" s="1046">
        <v>3.9E-2</v>
      </c>
      <c r="AJ65" s="1026">
        <f t="shared" si="13"/>
        <v>0</v>
      </c>
      <c r="AK65" s="1046">
        <v>0.219</v>
      </c>
      <c r="AL65" s="1076" t="str">
        <f t="shared" si="14"/>
        <v>*</v>
      </c>
      <c r="AM65" s="1046">
        <v>12.696999999999999</v>
      </c>
      <c r="AN65" s="1026">
        <f t="shared" si="15"/>
        <v>13</v>
      </c>
      <c r="AO65" s="1046">
        <v>0.27</v>
      </c>
      <c r="AP65" s="1076" t="str">
        <f t="shared" si="16"/>
        <v>*</v>
      </c>
    </row>
    <row r="66" spans="1:42">
      <c r="A66" s="1079" t="s">
        <v>92</v>
      </c>
      <c r="B66" s="1032" t="s">
        <v>317</v>
      </c>
      <c r="C66" s="1024">
        <v>278.57900000000001</v>
      </c>
      <c r="D66" s="1025">
        <f t="shared" si="19"/>
        <v>280</v>
      </c>
      <c r="E66" s="1024">
        <v>44</v>
      </c>
      <c r="F66" s="1026">
        <f t="shared" si="8"/>
        <v>45</v>
      </c>
      <c r="G66" s="1024">
        <v>4.9080000000000004</v>
      </c>
      <c r="H66" s="1027">
        <f t="shared" si="27"/>
        <v>5</v>
      </c>
      <c r="I66" s="1024">
        <v>0.93400000000000005</v>
      </c>
      <c r="J66" s="1028">
        <f t="shared" si="26"/>
        <v>1</v>
      </c>
      <c r="K66" s="1024">
        <v>0</v>
      </c>
      <c r="L66" s="1026">
        <f t="shared" si="20"/>
        <v>0</v>
      </c>
      <c r="M66" s="1024">
        <v>0</v>
      </c>
      <c r="N66" s="1029">
        <v>0</v>
      </c>
      <c r="O66" s="1024">
        <v>63.814999999999998</v>
      </c>
      <c r="P66" s="1025">
        <f t="shared" si="21"/>
        <v>65</v>
      </c>
      <c r="Q66" s="1024">
        <v>59.59</v>
      </c>
      <c r="R66" s="1025">
        <f t="shared" si="22"/>
        <v>60</v>
      </c>
      <c r="S66" s="1024">
        <v>1.3240000000000001</v>
      </c>
      <c r="T66" s="1030">
        <f>(MROUND(S66,1))</f>
        <v>1</v>
      </c>
      <c r="U66" s="1024">
        <v>56.649000000000001</v>
      </c>
      <c r="V66" s="1030">
        <f t="shared" si="23"/>
        <v>57</v>
      </c>
      <c r="W66" s="1024">
        <v>56.183</v>
      </c>
      <c r="X66" s="1025">
        <f t="shared" si="25"/>
        <v>56</v>
      </c>
      <c r="Y66" s="1024">
        <v>2.0249999999999999</v>
      </c>
      <c r="Z66" s="1030">
        <f>(MROUND(Y66,1))</f>
        <v>2</v>
      </c>
      <c r="AA66" s="1069">
        <v>4.0000000000000001E-3</v>
      </c>
      <c r="AB66" s="1026">
        <f t="shared" si="9"/>
        <v>0</v>
      </c>
      <c r="AC66" s="1069">
        <v>0</v>
      </c>
      <c r="AD66" s="1076" t="str">
        <f t="shared" si="10"/>
        <v>*</v>
      </c>
      <c r="AE66" s="1024">
        <v>8.1379999999999999</v>
      </c>
      <c r="AF66" s="1026">
        <f t="shared" si="11"/>
        <v>8</v>
      </c>
      <c r="AG66" s="1046">
        <v>0.187</v>
      </c>
      <c r="AH66" s="1076" t="str">
        <f t="shared" si="12"/>
        <v>*</v>
      </c>
      <c r="AI66" s="1046">
        <v>2.1000000000000001E-2</v>
      </c>
      <c r="AJ66" s="1026">
        <f t="shared" si="13"/>
        <v>0</v>
      </c>
      <c r="AK66" s="1046">
        <v>0.11600000000000001</v>
      </c>
      <c r="AL66" s="1076" t="str">
        <f t="shared" si="14"/>
        <v>*</v>
      </c>
      <c r="AM66" s="1046">
        <v>8.81</v>
      </c>
      <c r="AN66" s="1026">
        <f t="shared" si="15"/>
        <v>9</v>
      </c>
      <c r="AO66" s="1046">
        <v>0.187</v>
      </c>
      <c r="AP66" s="1076" t="str">
        <f t="shared" si="16"/>
        <v>*</v>
      </c>
    </row>
    <row r="67" spans="1:42">
      <c r="A67" s="1079" t="s">
        <v>92</v>
      </c>
      <c r="B67" s="1032" t="s">
        <v>102</v>
      </c>
      <c r="C67" s="1046">
        <v>242.18799999999999</v>
      </c>
      <c r="D67" s="1025">
        <f t="shared" si="19"/>
        <v>240</v>
      </c>
      <c r="E67" s="1046">
        <v>13.16</v>
      </c>
      <c r="F67" s="1026">
        <f t="shared" si="8"/>
        <v>15</v>
      </c>
      <c r="G67" s="1046">
        <v>3.625</v>
      </c>
      <c r="H67" s="1027">
        <f t="shared" si="27"/>
        <v>3.5</v>
      </c>
      <c r="I67" s="1046">
        <v>3.169</v>
      </c>
      <c r="J67" s="1028">
        <f t="shared" si="26"/>
        <v>3</v>
      </c>
      <c r="K67" s="1046">
        <v>4.2000000000000003E-2</v>
      </c>
      <c r="L67" s="1026">
        <f t="shared" si="20"/>
        <v>0</v>
      </c>
      <c r="M67" s="1046">
        <v>0</v>
      </c>
      <c r="N67" s="1029">
        <v>0</v>
      </c>
      <c r="O67" s="1046">
        <v>53.502000000000002</v>
      </c>
      <c r="P67" s="1025">
        <f t="shared" si="21"/>
        <v>55</v>
      </c>
      <c r="Q67" s="1046">
        <v>52.613999999999997</v>
      </c>
      <c r="R67" s="1025">
        <f t="shared" si="22"/>
        <v>53</v>
      </c>
      <c r="S67" s="1046">
        <v>0.35299999999999998</v>
      </c>
      <c r="T67" s="1025">
        <v>0</v>
      </c>
      <c r="U67" s="1046">
        <v>49.235999999999997</v>
      </c>
      <c r="V67" s="1030">
        <f t="shared" si="23"/>
        <v>49</v>
      </c>
      <c r="W67" s="1046">
        <v>44.161000000000001</v>
      </c>
      <c r="X67" s="1025">
        <f t="shared" si="25"/>
        <v>44</v>
      </c>
      <c r="Y67" s="1046">
        <v>0.19900000000000001</v>
      </c>
      <c r="Z67" s="1025">
        <v>0</v>
      </c>
      <c r="AA67" s="1073">
        <v>0</v>
      </c>
      <c r="AB67" s="1026">
        <f t="shared" si="9"/>
        <v>0</v>
      </c>
      <c r="AC67" s="1073">
        <v>0</v>
      </c>
      <c r="AD67" s="1076" t="str">
        <f t="shared" si="10"/>
        <v>*</v>
      </c>
      <c r="AE67" s="1046">
        <v>9.3780000000000001</v>
      </c>
      <c r="AF67" s="1026">
        <f t="shared" si="11"/>
        <v>9</v>
      </c>
      <c r="AG67" s="1046">
        <v>0.72099999999999997</v>
      </c>
      <c r="AH67" s="1076" t="str">
        <f t="shared" si="12"/>
        <v>*</v>
      </c>
      <c r="AI67" s="1046">
        <v>4.8000000000000001E-2</v>
      </c>
      <c r="AJ67" s="1026">
        <f t="shared" si="13"/>
        <v>0</v>
      </c>
      <c r="AK67" s="1046">
        <v>0.26600000000000001</v>
      </c>
      <c r="AL67" s="1076" t="str">
        <f t="shared" si="14"/>
        <v>*</v>
      </c>
      <c r="AM67" s="1046">
        <v>16.716000000000001</v>
      </c>
      <c r="AN67" s="1026">
        <f t="shared" si="15"/>
        <v>17</v>
      </c>
      <c r="AO67" s="1046">
        <v>0.35599999999999998</v>
      </c>
      <c r="AP67" s="1076" t="str">
        <f t="shared" si="16"/>
        <v>*</v>
      </c>
    </row>
    <row r="68" spans="1:42">
      <c r="A68" s="1079" t="s">
        <v>92</v>
      </c>
      <c r="B68" s="1032" t="s">
        <v>104</v>
      </c>
      <c r="C68" s="1046">
        <v>260.61099999999999</v>
      </c>
      <c r="D68" s="1025">
        <f t="shared" ref="D68:D99" si="28">MROUND(C68,10)</f>
        <v>260</v>
      </c>
      <c r="E68" s="1046">
        <v>16.356999999999999</v>
      </c>
      <c r="F68" s="1026">
        <f t="shared" si="8"/>
        <v>15</v>
      </c>
      <c r="G68" s="1046">
        <v>3.976</v>
      </c>
      <c r="H68" s="1027">
        <f t="shared" si="27"/>
        <v>4</v>
      </c>
      <c r="I68" s="1046">
        <v>2.827</v>
      </c>
      <c r="J68" s="1028">
        <f t="shared" si="26"/>
        <v>3</v>
      </c>
      <c r="K68" s="1046">
        <v>0.14299999999999999</v>
      </c>
      <c r="L68" s="1026">
        <f t="shared" ref="L68:L99" si="29">IF(K68&lt;0.5,0,MROUND(K68,5))</f>
        <v>0</v>
      </c>
      <c r="M68" s="1046">
        <v>1.6890000000000001</v>
      </c>
      <c r="N68" s="1029">
        <v>0</v>
      </c>
      <c r="O68" s="1046">
        <v>76.146000000000001</v>
      </c>
      <c r="P68" s="1025">
        <f t="shared" ref="P68:P99" si="30">MROUND(O68,5)</f>
        <v>75</v>
      </c>
      <c r="Q68" s="1046">
        <v>56.152999999999999</v>
      </c>
      <c r="R68" s="1025">
        <f t="shared" ref="R68:R99" si="31">(MROUND(Q68,1))</f>
        <v>56</v>
      </c>
      <c r="S68" s="1046">
        <v>0.27800000000000002</v>
      </c>
      <c r="T68" s="1025">
        <v>0</v>
      </c>
      <c r="U68" s="1046">
        <v>50.331000000000003</v>
      </c>
      <c r="V68" s="1030">
        <f t="shared" ref="V68:V99" si="32">(MROUND(U68,1))</f>
        <v>50</v>
      </c>
      <c r="W68" s="1046">
        <v>49.198999999999998</v>
      </c>
      <c r="X68" s="1025">
        <f t="shared" si="25"/>
        <v>49</v>
      </c>
      <c r="Y68" s="1046">
        <v>0.58699999999999997</v>
      </c>
      <c r="Z68" s="1030" t="s">
        <v>303</v>
      </c>
      <c r="AA68" s="1073">
        <v>1E-3</v>
      </c>
      <c r="AB68" s="1026">
        <f t="shared" si="9"/>
        <v>0</v>
      </c>
      <c r="AC68" s="1073">
        <v>0</v>
      </c>
      <c r="AD68" s="1076" t="str">
        <f t="shared" si="10"/>
        <v>*</v>
      </c>
      <c r="AE68" s="1046">
        <v>9.2929999999999993</v>
      </c>
      <c r="AF68" s="1026">
        <f t="shared" si="11"/>
        <v>9</v>
      </c>
      <c r="AG68" s="1046">
        <v>0.71499999999999997</v>
      </c>
      <c r="AH68" s="1076" t="str">
        <f t="shared" si="12"/>
        <v>*</v>
      </c>
      <c r="AI68" s="1046">
        <v>5.5E-2</v>
      </c>
      <c r="AJ68" s="1026">
        <f t="shared" si="13"/>
        <v>0</v>
      </c>
      <c r="AK68" s="1046">
        <v>0.30299999999999999</v>
      </c>
      <c r="AL68" s="1076" t="str">
        <f t="shared" si="14"/>
        <v>*</v>
      </c>
      <c r="AM68" s="1046">
        <v>15.367000000000001</v>
      </c>
      <c r="AN68" s="1026">
        <f t="shared" si="15"/>
        <v>15</v>
      </c>
      <c r="AO68" s="1046">
        <v>0.32700000000000001</v>
      </c>
      <c r="AP68" s="1076" t="str">
        <f t="shared" si="16"/>
        <v>*</v>
      </c>
    </row>
    <row r="69" spans="1:42" s="1039" customFormat="1">
      <c r="A69" s="1079" t="s">
        <v>92</v>
      </c>
      <c r="B69" s="1032" t="s">
        <v>103</v>
      </c>
      <c r="C69" s="1046">
        <v>271.76499999999999</v>
      </c>
      <c r="D69" s="1025">
        <f t="shared" si="28"/>
        <v>270</v>
      </c>
      <c r="E69" s="1046">
        <v>5.7140000000000004</v>
      </c>
      <c r="F69" s="1026">
        <f>IF(E69&lt;5,0,(IF(E69&gt;50,MROUND(E69,10),MROUND(E69,5))))</f>
        <v>5</v>
      </c>
      <c r="G69" s="1046">
        <v>2.7440000000000002</v>
      </c>
      <c r="H69" s="1027">
        <f t="shared" si="27"/>
        <v>2.5</v>
      </c>
      <c r="I69" s="1046">
        <v>2.1520000000000001</v>
      </c>
      <c r="J69" s="1028">
        <f t="shared" si="26"/>
        <v>2</v>
      </c>
      <c r="K69" s="1046">
        <v>0</v>
      </c>
      <c r="L69" s="1026">
        <f t="shared" si="29"/>
        <v>0</v>
      </c>
      <c r="M69" s="1046">
        <v>2.1999999999999999E-2</v>
      </c>
      <c r="N69" s="1029">
        <v>0</v>
      </c>
      <c r="O69" s="1046">
        <v>52.189</v>
      </c>
      <c r="P69" s="1025">
        <f t="shared" si="30"/>
        <v>50</v>
      </c>
      <c r="Q69" s="1046">
        <v>62.192999999999998</v>
      </c>
      <c r="R69" s="1025">
        <f t="shared" si="31"/>
        <v>62</v>
      </c>
      <c r="S69" s="1046">
        <v>7.3999999999999996E-2</v>
      </c>
      <c r="T69" s="1025">
        <v>0</v>
      </c>
      <c r="U69" s="1046">
        <v>58.664999999999999</v>
      </c>
      <c r="V69" s="1030">
        <f t="shared" si="32"/>
        <v>59</v>
      </c>
      <c r="W69" s="1046">
        <v>58.521000000000001</v>
      </c>
      <c r="X69" s="1025">
        <f t="shared" si="25"/>
        <v>59</v>
      </c>
      <c r="Y69" s="1046">
        <v>0.33</v>
      </c>
      <c r="Z69" s="1025">
        <v>0</v>
      </c>
      <c r="AA69" s="1073">
        <v>0</v>
      </c>
      <c r="AB69" s="1026">
        <f t="shared" ref="AB69:AB92" si="33">MROUND(AA69,1)</f>
        <v>0</v>
      </c>
      <c r="AC69" s="1073">
        <v>0</v>
      </c>
      <c r="AD69" s="1076" t="str">
        <f t="shared" ref="AD69:AD92" si="34">IF(AC69&lt;1,"*",IF(AC69&gt;1,((MROUND(AC69,2))*0.01)))</f>
        <v>*</v>
      </c>
      <c r="AE69" s="1046">
        <v>6.4020000000000001</v>
      </c>
      <c r="AF69" s="1026">
        <f t="shared" ref="AF69:AF92" si="35">MROUND(AE69,1)</f>
        <v>6</v>
      </c>
      <c r="AG69" s="1046">
        <v>0.49199999999999999</v>
      </c>
      <c r="AH69" s="1076" t="str">
        <f t="shared" ref="AH69:AH92" si="36">IF(AG69&lt;1,"*",IF(AG69&gt;1,((MROUND(AG69,2))*0.01)))</f>
        <v>*</v>
      </c>
      <c r="AI69" s="1046">
        <v>2.7E-2</v>
      </c>
      <c r="AJ69" s="1026">
        <f t="shared" ref="AJ69:AJ92" si="37">MROUND(AI69,1)</f>
        <v>0</v>
      </c>
      <c r="AK69" s="1046">
        <v>0.14799999999999999</v>
      </c>
      <c r="AL69" s="1076" t="str">
        <f t="shared" ref="AL69:AL92" si="38">IF(AK69&lt;1,"*",IF(AK69&gt;1,((MROUND(AK69,2))*0.01)))</f>
        <v>*</v>
      </c>
      <c r="AM69" s="1046">
        <v>3.8639999999999999</v>
      </c>
      <c r="AN69" s="1026">
        <f t="shared" ref="AN69:AN92" si="39">MROUND(AM69,1)</f>
        <v>4</v>
      </c>
      <c r="AO69" s="1046">
        <v>8.2000000000000003E-2</v>
      </c>
      <c r="AP69" s="1076" t="str">
        <f t="shared" ref="AP69:AP92" si="40">IF(AO69&lt;1,"*",IF(AO69&gt;1,((MROUND(AO69,2))*0.01)))</f>
        <v>*</v>
      </c>
    </row>
    <row r="70" spans="1:42" s="1044" customFormat="1">
      <c r="A70" s="1079" t="s">
        <v>92</v>
      </c>
      <c r="B70" s="1032" t="s">
        <v>318</v>
      </c>
      <c r="C70" s="1046">
        <v>239.41</v>
      </c>
      <c r="D70" s="1025">
        <f t="shared" si="28"/>
        <v>240</v>
      </c>
      <c r="E70" s="1046">
        <v>1.9159999999999999</v>
      </c>
      <c r="F70" s="1026">
        <f t="shared" si="8"/>
        <v>0</v>
      </c>
      <c r="G70" s="1046">
        <v>2.246</v>
      </c>
      <c r="H70" s="1027">
        <f t="shared" si="27"/>
        <v>2</v>
      </c>
      <c r="I70" s="1046">
        <v>2.0110000000000001</v>
      </c>
      <c r="J70" s="1028">
        <f t="shared" si="26"/>
        <v>2</v>
      </c>
      <c r="K70" s="1046">
        <v>7.0000000000000007E-2</v>
      </c>
      <c r="L70" s="1026">
        <f t="shared" si="29"/>
        <v>0</v>
      </c>
      <c r="M70" s="1046">
        <v>0</v>
      </c>
      <c r="N70" s="1029">
        <v>0</v>
      </c>
      <c r="O70" s="1046">
        <v>58.41</v>
      </c>
      <c r="P70" s="1025">
        <f t="shared" si="30"/>
        <v>60</v>
      </c>
      <c r="Q70" s="1046">
        <v>56.067999999999998</v>
      </c>
      <c r="R70" s="1025">
        <f t="shared" si="31"/>
        <v>56</v>
      </c>
      <c r="S70" s="1046">
        <v>0.623</v>
      </c>
      <c r="T70" s="1025" t="s">
        <v>303</v>
      </c>
      <c r="U70" s="1046">
        <v>52.585000000000001</v>
      </c>
      <c r="V70" s="1030">
        <f t="shared" si="32"/>
        <v>53</v>
      </c>
      <c r="W70" s="1046">
        <v>52.302999999999997</v>
      </c>
      <c r="X70" s="1025">
        <f t="shared" si="25"/>
        <v>52</v>
      </c>
      <c r="Y70" s="1046">
        <v>0.56399999999999995</v>
      </c>
      <c r="Z70" s="1030" t="s">
        <v>303</v>
      </c>
      <c r="AA70" s="1073">
        <v>0.111</v>
      </c>
      <c r="AB70" s="1026">
        <f t="shared" si="33"/>
        <v>0</v>
      </c>
      <c r="AC70" s="1073">
        <v>0</v>
      </c>
      <c r="AD70" s="1076" t="str">
        <f t="shared" si="34"/>
        <v>*</v>
      </c>
      <c r="AE70" s="1046">
        <v>5.9870000000000001</v>
      </c>
      <c r="AF70" s="1026">
        <f t="shared" si="35"/>
        <v>6</v>
      </c>
      <c r="AG70" s="1046">
        <v>0.46100000000000002</v>
      </c>
      <c r="AH70" s="1076" t="str">
        <f t="shared" si="36"/>
        <v>*</v>
      </c>
      <c r="AI70" s="1046">
        <v>3.9E-2</v>
      </c>
      <c r="AJ70" s="1026">
        <f t="shared" si="37"/>
        <v>0</v>
      </c>
      <c r="AK70" s="1046">
        <v>0.219</v>
      </c>
      <c r="AL70" s="1076" t="str">
        <f t="shared" si="38"/>
        <v>*</v>
      </c>
      <c r="AM70" s="1046">
        <v>17.189</v>
      </c>
      <c r="AN70" s="1026">
        <f t="shared" si="39"/>
        <v>17</v>
      </c>
      <c r="AO70" s="1046">
        <v>0.36599999999999999</v>
      </c>
      <c r="AP70" s="1076" t="str">
        <f t="shared" si="40"/>
        <v>*</v>
      </c>
    </row>
    <row r="71" spans="1:42" s="1044" customFormat="1">
      <c r="A71" s="1079" t="s">
        <v>92</v>
      </c>
      <c r="B71" s="1032" t="s">
        <v>105</v>
      </c>
      <c r="C71" s="1046">
        <v>295.964</v>
      </c>
      <c r="D71" s="1025">
        <f t="shared" si="28"/>
        <v>300</v>
      </c>
      <c r="E71" s="1046">
        <v>0</v>
      </c>
      <c r="F71" s="1026">
        <f t="shared" ref="F71:F92" si="41">IF(E71&lt;5,0,(IF(E71&gt;50,MROUND(E71,10),MROUND(E71,5))))</f>
        <v>0</v>
      </c>
      <c r="G71" s="1046">
        <v>4.1219999999999999</v>
      </c>
      <c r="H71" s="1027">
        <f t="shared" si="27"/>
        <v>4</v>
      </c>
      <c r="I71" s="1046">
        <v>2.8860000000000001</v>
      </c>
      <c r="J71" s="1028">
        <f t="shared" si="26"/>
        <v>3</v>
      </c>
      <c r="K71" s="1046">
        <v>2.1000000000000001E-2</v>
      </c>
      <c r="L71" s="1026">
        <f t="shared" si="29"/>
        <v>0</v>
      </c>
      <c r="M71" s="1046">
        <v>1.625</v>
      </c>
      <c r="N71" s="1029">
        <v>0</v>
      </c>
      <c r="O71" s="1046">
        <v>79.866</v>
      </c>
      <c r="P71" s="1025">
        <f t="shared" si="30"/>
        <v>80</v>
      </c>
      <c r="Q71" s="1046">
        <v>66.394000000000005</v>
      </c>
      <c r="R71" s="1025">
        <f t="shared" si="31"/>
        <v>66</v>
      </c>
      <c r="S71" s="1046">
        <v>1.169</v>
      </c>
      <c r="T71" s="1030">
        <f>(MROUND(S71,1))</f>
        <v>1</v>
      </c>
      <c r="U71" s="1046">
        <v>59.021999999999998</v>
      </c>
      <c r="V71" s="1030">
        <f t="shared" si="32"/>
        <v>59</v>
      </c>
      <c r="W71" s="1046">
        <v>58.671999999999997</v>
      </c>
      <c r="X71" s="1025">
        <f t="shared" si="25"/>
        <v>59</v>
      </c>
      <c r="Y71" s="1046">
        <v>1.2010000000000001</v>
      </c>
      <c r="Z71" s="1030">
        <f>(MROUND(Y71,1))</f>
        <v>1</v>
      </c>
      <c r="AA71" s="1073">
        <v>0.108</v>
      </c>
      <c r="AB71" s="1026">
        <f t="shared" si="33"/>
        <v>0</v>
      </c>
      <c r="AC71" s="1073">
        <v>0</v>
      </c>
      <c r="AD71" s="1076" t="str">
        <f t="shared" si="34"/>
        <v>*</v>
      </c>
      <c r="AE71" s="1046">
        <v>5.4039999999999999</v>
      </c>
      <c r="AF71" s="1026">
        <f t="shared" si="35"/>
        <v>5</v>
      </c>
      <c r="AG71" s="1046">
        <v>0.41599999999999998</v>
      </c>
      <c r="AH71" s="1076" t="str">
        <f t="shared" si="36"/>
        <v>*</v>
      </c>
      <c r="AI71" s="1046">
        <v>5.0999999999999997E-2</v>
      </c>
      <c r="AJ71" s="1026">
        <f t="shared" si="37"/>
        <v>0</v>
      </c>
      <c r="AK71" s="1046">
        <v>0.28299999999999997</v>
      </c>
      <c r="AL71" s="1076" t="str">
        <f t="shared" si="38"/>
        <v>*</v>
      </c>
      <c r="AM71" s="1046">
        <v>5.4240000000000004</v>
      </c>
      <c r="AN71" s="1026">
        <f t="shared" si="39"/>
        <v>5</v>
      </c>
      <c r="AO71" s="1046">
        <v>0.41599999999999998</v>
      </c>
      <c r="AP71" s="1076" t="str">
        <f t="shared" si="40"/>
        <v>*</v>
      </c>
    </row>
    <row r="72" spans="1:42" s="1039" customFormat="1">
      <c r="A72" s="1079" t="s">
        <v>92</v>
      </c>
      <c r="B72" s="1032" t="s">
        <v>319</v>
      </c>
      <c r="C72" s="1046">
        <v>293.32900000000001</v>
      </c>
      <c r="D72" s="1025">
        <f t="shared" si="28"/>
        <v>290</v>
      </c>
      <c r="E72" s="1046">
        <v>41.554000000000002</v>
      </c>
      <c r="F72" s="1026">
        <f t="shared" si="41"/>
        <v>40</v>
      </c>
      <c r="G72" s="1046">
        <v>6.72</v>
      </c>
      <c r="H72" s="1027">
        <f>MROUND(G72,1)</f>
        <v>7</v>
      </c>
      <c r="I72" s="1046">
        <v>2.7170000000000001</v>
      </c>
      <c r="J72" s="1028">
        <f t="shared" si="26"/>
        <v>2.5</v>
      </c>
      <c r="K72" s="1046">
        <v>0</v>
      </c>
      <c r="L72" s="1026">
        <f t="shared" si="29"/>
        <v>0</v>
      </c>
      <c r="M72" s="1046">
        <v>0</v>
      </c>
      <c r="N72" s="1029">
        <v>0</v>
      </c>
      <c r="O72" s="1046">
        <v>83.561000000000007</v>
      </c>
      <c r="P72" s="1025">
        <f t="shared" si="30"/>
        <v>85</v>
      </c>
      <c r="Q72" s="1046">
        <v>57.851999999999997</v>
      </c>
      <c r="R72" s="1025">
        <f t="shared" si="31"/>
        <v>58</v>
      </c>
      <c r="S72" s="1046">
        <v>0.53700000000000003</v>
      </c>
      <c r="T72" s="1025" t="s">
        <v>303</v>
      </c>
      <c r="U72" s="1046">
        <v>54.884</v>
      </c>
      <c r="V72" s="1030">
        <f t="shared" si="32"/>
        <v>55</v>
      </c>
      <c r="W72" s="1046">
        <v>54.534999999999997</v>
      </c>
      <c r="X72" s="1025">
        <f t="shared" si="25"/>
        <v>55</v>
      </c>
      <c r="Y72" s="1046">
        <v>1.712</v>
      </c>
      <c r="Z72" s="1030">
        <f>(MROUND(Y72,1))</f>
        <v>2</v>
      </c>
      <c r="AA72" s="1073">
        <v>0</v>
      </c>
      <c r="AB72" s="1026">
        <f t="shared" si="33"/>
        <v>0</v>
      </c>
      <c r="AC72" s="1073">
        <v>0</v>
      </c>
      <c r="AD72" s="1076" t="str">
        <f t="shared" si="34"/>
        <v>*</v>
      </c>
      <c r="AE72" s="1046">
        <v>5.4279999999999999</v>
      </c>
      <c r="AF72" s="1026">
        <f t="shared" si="35"/>
        <v>5</v>
      </c>
      <c r="AG72" s="1046">
        <v>0.41799999999999998</v>
      </c>
      <c r="AH72" s="1076" t="str">
        <f t="shared" si="36"/>
        <v>*</v>
      </c>
      <c r="AI72" s="1046">
        <v>7.0000000000000001E-3</v>
      </c>
      <c r="AJ72" s="1026">
        <f t="shared" si="37"/>
        <v>0</v>
      </c>
      <c r="AK72" s="1046">
        <v>3.7999999999999999E-2</v>
      </c>
      <c r="AL72" s="1076" t="str">
        <f t="shared" si="38"/>
        <v>*</v>
      </c>
      <c r="AM72" s="1046">
        <v>0.28899999999999998</v>
      </c>
      <c r="AN72" s="1026">
        <f t="shared" si="39"/>
        <v>0</v>
      </c>
      <c r="AO72" s="1046">
        <v>6.0000000000000001E-3</v>
      </c>
      <c r="AP72" s="1076" t="str">
        <f t="shared" si="40"/>
        <v>*</v>
      </c>
    </row>
    <row r="73" spans="1:42">
      <c r="A73" s="1079" t="s">
        <v>92</v>
      </c>
      <c r="B73" s="1032" t="s">
        <v>108</v>
      </c>
      <c r="C73" s="1046">
        <v>207.57900000000001</v>
      </c>
      <c r="D73" s="1025">
        <f t="shared" si="28"/>
        <v>210</v>
      </c>
      <c r="E73" s="1046">
        <v>15.406000000000001</v>
      </c>
      <c r="F73" s="1026">
        <f t="shared" si="41"/>
        <v>15</v>
      </c>
      <c r="G73" s="1046">
        <v>3.8610000000000002</v>
      </c>
      <c r="H73" s="1027">
        <f t="shared" ref="H73:H85" si="42">MROUND(G73,0.5)</f>
        <v>4</v>
      </c>
      <c r="I73" s="1046">
        <v>3.02</v>
      </c>
      <c r="J73" s="1028">
        <f t="shared" si="26"/>
        <v>3</v>
      </c>
      <c r="K73" s="1046">
        <v>0</v>
      </c>
      <c r="L73" s="1026">
        <f t="shared" si="29"/>
        <v>0</v>
      </c>
      <c r="M73" s="1046">
        <v>0</v>
      </c>
      <c r="N73" s="1029">
        <v>0</v>
      </c>
      <c r="O73" s="1046">
        <v>42.372</v>
      </c>
      <c r="P73" s="1025">
        <f t="shared" si="30"/>
        <v>40</v>
      </c>
      <c r="Q73" s="1046">
        <v>52.335999999999999</v>
      </c>
      <c r="R73" s="1025">
        <f t="shared" si="31"/>
        <v>52</v>
      </c>
      <c r="S73" s="1046">
        <v>0.48299999999999998</v>
      </c>
      <c r="T73" s="1025">
        <v>0</v>
      </c>
      <c r="U73" s="1046">
        <v>49.332000000000001</v>
      </c>
      <c r="V73" s="1030">
        <f t="shared" si="32"/>
        <v>49</v>
      </c>
      <c r="W73" s="1046">
        <v>45.435000000000002</v>
      </c>
      <c r="X73" s="1025">
        <f t="shared" si="25"/>
        <v>45</v>
      </c>
      <c r="Y73" s="1046">
        <v>0.504</v>
      </c>
      <c r="Z73" s="1030" t="s">
        <v>303</v>
      </c>
      <c r="AA73" s="1073">
        <v>0.57699999999999996</v>
      </c>
      <c r="AB73" s="1026">
        <f t="shared" si="33"/>
        <v>1</v>
      </c>
      <c r="AC73" s="1073">
        <v>0</v>
      </c>
      <c r="AD73" s="1076" t="str">
        <f t="shared" si="34"/>
        <v>*</v>
      </c>
      <c r="AE73" s="1046">
        <v>8.1690000000000005</v>
      </c>
      <c r="AF73" s="1026">
        <f t="shared" si="35"/>
        <v>8</v>
      </c>
      <c r="AG73" s="1046">
        <v>0.628</v>
      </c>
      <c r="AH73" s="1076" t="str">
        <f t="shared" si="36"/>
        <v>*</v>
      </c>
      <c r="AI73" s="1046">
        <v>0.60499999999999998</v>
      </c>
      <c r="AJ73" s="1026">
        <f t="shared" si="37"/>
        <v>1</v>
      </c>
      <c r="AK73" s="1046">
        <v>3.359</v>
      </c>
      <c r="AL73" s="1076">
        <f t="shared" si="38"/>
        <v>0.04</v>
      </c>
      <c r="AM73" s="1046">
        <v>33.476999999999997</v>
      </c>
      <c r="AN73" s="1026">
        <f t="shared" si="39"/>
        <v>33</v>
      </c>
      <c r="AO73" s="1046">
        <v>0.71199999999999997</v>
      </c>
      <c r="AP73" s="1076" t="str">
        <f t="shared" si="40"/>
        <v>*</v>
      </c>
    </row>
    <row r="74" spans="1:42">
      <c r="A74" s="1079" t="s">
        <v>92</v>
      </c>
      <c r="B74" s="1032" t="s">
        <v>109</v>
      </c>
      <c r="C74" s="1046">
        <v>225.02600000000001</v>
      </c>
      <c r="D74" s="1025">
        <f t="shared" si="28"/>
        <v>230</v>
      </c>
      <c r="E74" s="1046">
        <v>5.8609999999999998</v>
      </c>
      <c r="F74" s="1026">
        <f t="shared" si="41"/>
        <v>5</v>
      </c>
      <c r="G74" s="1046">
        <v>2.8149999999999999</v>
      </c>
      <c r="H74" s="1027">
        <f t="shared" si="42"/>
        <v>3</v>
      </c>
      <c r="I74" s="1046">
        <v>2.2069999999999999</v>
      </c>
      <c r="J74" s="1028">
        <f t="shared" si="26"/>
        <v>2</v>
      </c>
      <c r="K74" s="1046">
        <v>0</v>
      </c>
      <c r="L74" s="1026">
        <f t="shared" si="29"/>
        <v>0</v>
      </c>
      <c r="M74" s="1046">
        <v>2.1999999999999999E-2</v>
      </c>
      <c r="N74" s="1029">
        <v>0</v>
      </c>
      <c r="O74" s="1046">
        <v>54.243000000000002</v>
      </c>
      <c r="P74" s="1025">
        <f t="shared" si="30"/>
        <v>55</v>
      </c>
      <c r="Q74" s="1046">
        <v>50.521999999999998</v>
      </c>
      <c r="R74" s="1025">
        <f t="shared" si="31"/>
        <v>51</v>
      </c>
      <c r="S74" s="1046">
        <v>6.7000000000000004E-2</v>
      </c>
      <c r="T74" s="1025">
        <v>0</v>
      </c>
      <c r="U74" s="1046">
        <v>47.191000000000003</v>
      </c>
      <c r="V74" s="1030">
        <f t="shared" si="32"/>
        <v>47</v>
      </c>
      <c r="W74" s="1046">
        <v>47.061999999999998</v>
      </c>
      <c r="X74" s="1025">
        <f t="shared" si="25"/>
        <v>47</v>
      </c>
      <c r="Y74" s="1046">
        <v>0.33800000000000002</v>
      </c>
      <c r="Z74" s="1025">
        <v>0</v>
      </c>
      <c r="AA74" s="1073">
        <v>1E-3</v>
      </c>
      <c r="AB74" s="1026">
        <f t="shared" si="33"/>
        <v>0</v>
      </c>
      <c r="AC74" s="1073">
        <v>0</v>
      </c>
      <c r="AD74" s="1076" t="str">
        <f t="shared" si="34"/>
        <v>*</v>
      </c>
      <c r="AE74" s="1046">
        <v>5.234</v>
      </c>
      <c r="AF74" s="1026">
        <f t="shared" si="35"/>
        <v>5</v>
      </c>
      <c r="AG74" s="1046">
        <v>0.40300000000000002</v>
      </c>
      <c r="AH74" s="1076" t="str">
        <f t="shared" si="36"/>
        <v>*</v>
      </c>
      <c r="AI74" s="1046">
        <v>1.6E-2</v>
      </c>
      <c r="AJ74" s="1026">
        <f t="shared" si="37"/>
        <v>0</v>
      </c>
      <c r="AK74" s="1046">
        <v>8.8999999999999996E-2</v>
      </c>
      <c r="AL74" s="1076" t="str">
        <f t="shared" si="38"/>
        <v>*</v>
      </c>
      <c r="AM74" s="1046">
        <v>0.66100000000000003</v>
      </c>
      <c r="AN74" s="1026">
        <f t="shared" si="39"/>
        <v>1</v>
      </c>
      <c r="AO74" s="1046">
        <v>1.4E-2</v>
      </c>
      <c r="AP74" s="1076" t="str">
        <f t="shared" si="40"/>
        <v>*</v>
      </c>
    </row>
    <row r="75" spans="1:42">
      <c r="A75" s="1079" t="s">
        <v>92</v>
      </c>
      <c r="B75" s="1032" t="s">
        <v>320</v>
      </c>
      <c r="C75" s="1040">
        <v>196.053</v>
      </c>
      <c r="D75" s="1025">
        <f t="shared" si="28"/>
        <v>200</v>
      </c>
      <c r="E75" s="1040">
        <v>0</v>
      </c>
      <c r="F75" s="1026">
        <f t="shared" si="41"/>
        <v>0</v>
      </c>
      <c r="G75" s="1040">
        <v>2.1160000000000001</v>
      </c>
      <c r="H75" s="1027">
        <f t="shared" si="42"/>
        <v>2</v>
      </c>
      <c r="I75" s="1040">
        <v>1.962</v>
      </c>
      <c r="J75" s="1028">
        <f t="shared" si="26"/>
        <v>2</v>
      </c>
      <c r="K75" s="1040">
        <v>0</v>
      </c>
      <c r="L75" s="1026">
        <f t="shared" si="29"/>
        <v>0</v>
      </c>
      <c r="M75" s="1040">
        <v>0</v>
      </c>
      <c r="N75" s="1029">
        <v>0</v>
      </c>
      <c r="O75" s="1040">
        <v>42.491999999999997</v>
      </c>
      <c r="P75" s="1025">
        <f t="shared" si="30"/>
        <v>40</v>
      </c>
      <c r="Q75" s="1040">
        <v>44.472000000000001</v>
      </c>
      <c r="R75" s="1025">
        <f t="shared" si="31"/>
        <v>44</v>
      </c>
      <c r="S75" s="1040">
        <v>4.0000000000000001E-3</v>
      </c>
      <c r="T75" s="1025">
        <v>0</v>
      </c>
      <c r="U75" s="1040">
        <v>41.72</v>
      </c>
      <c r="V75" s="1030">
        <f t="shared" si="32"/>
        <v>42</v>
      </c>
      <c r="W75" s="1040">
        <v>41.597999999999999</v>
      </c>
      <c r="X75" s="1025">
        <f t="shared" si="25"/>
        <v>42</v>
      </c>
      <c r="Y75" s="1040">
        <v>0.192</v>
      </c>
      <c r="Z75" s="1025">
        <v>0</v>
      </c>
      <c r="AA75" s="1069">
        <v>0</v>
      </c>
      <c r="AB75" s="1026">
        <f t="shared" si="33"/>
        <v>0</v>
      </c>
      <c r="AC75" s="1073">
        <v>0</v>
      </c>
      <c r="AD75" s="1076" t="str">
        <f t="shared" si="34"/>
        <v>*</v>
      </c>
      <c r="AE75" s="1046">
        <v>5.2759999999999998</v>
      </c>
      <c r="AF75" s="1026">
        <f t="shared" si="35"/>
        <v>5</v>
      </c>
      <c r="AG75" s="1046">
        <v>0.40600000000000003</v>
      </c>
      <c r="AH75" s="1076" t="str">
        <f t="shared" si="36"/>
        <v>*</v>
      </c>
      <c r="AI75" s="1046">
        <v>1.2E-2</v>
      </c>
      <c r="AJ75" s="1026">
        <f t="shared" si="37"/>
        <v>0</v>
      </c>
      <c r="AK75" s="1046">
        <v>6.6000000000000003E-2</v>
      </c>
      <c r="AL75" s="1076" t="str">
        <f t="shared" si="38"/>
        <v>*</v>
      </c>
      <c r="AM75" s="1046">
        <v>0.81799999999999995</v>
      </c>
      <c r="AN75" s="1026">
        <f t="shared" si="39"/>
        <v>1</v>
      </c>
      <c r="AO75" s="1046">
        <v>1.7000000000000001E-2</v>
      </c>
      <c r="AP75" s="1076" t="str">
        <f t="shared" si="40"/>
        <v>*</v>
      </c>
    </row>
    <row r="76" spans="1:42">
      <c r="A76" s="1079" t="s">
        <v>92</v>
      </c>
      <c r="B76" s="1032" t="s">
        <v>111</v>
      </c>
      <c r="C76" s="1024">
        <v>213.96</v>
      </c>
      <c r="D76" s="1025">
        <f t="shared" si="28"/>
        <v>210</v>
      </c>
      <c r="E76" s="1024">
        <v>7.5449999999999999</v>
      </c>
      <c r="F76" s="1026">
        <f t="shared" si="41"/>
        <v>10</v>
      </c>
      <c r="G76" s="1024">
        <v>2.9860000000000002</v>
      </c>
      <c r="H76" s="1027">
        <f t="shared" si="42"/>
        <v>3</v>
      </c>
      <c r="I76" s="1024">
        <v>2.532</v>
      </c>
      <c r="J76" s="1028">
        <f t="shared" si="26"/>
        <v>2.5</v>
      </c>
      <c r="K76" s="1024">
        <v>1.7999999999999999E-2</v>
      </c>
      <c r="L76" s="1026">
        <f t="shared" si="29"/>
        <v>0</v>
      </c>
      <c r="M76" s="1024">
        <v>2.077</v>
      </c>
      <c r="N76" s="1026" t="s">
        <v>316</v>
      </c>
      <c r="O76" s="1024">
        <v>49.911000000000001</v>
      </c>
      <c r="P76" s="1025">
        <f t="shared" si="30"/>
        <v>50</v>
      </c>
      <c r="Q76" s="1024">
        <v>46.774999999999999</v>
      </c>
      <c r="R76" s="1025">
        <f t="shared" si="31"/>
        <v>47</v>
      </c>
      <c r="S76" s="1024">
        <v>0.32700000000000001</v>
      </c>
      <c r="T76" s="1025">
        <v>0</v>
      </c>
      <c r="U76" s="1024">
        <v>42.738</v>
      </c>
      <c r="V76" s="1030">
        <f t="shared" si="32"/>
        <v>43</v>
      </c>
      <c r="W76" s="1024">
        <v>42.244999999999997</v>
      </c>
      <c r="X76" s="1025">
        <f t="shared" si="25"/>
        <v>42</v>
      </c>
      <c r="Y76" s="1024">
        <v>0.434</v>
      </c>
      <c r="Z76" s="1025">
        <v>0</v>
      </c>
      <c r="AA76" s="1069">
        <v>0</v>
      </c>
      <c r="AB76" s="1026">
        <f t="shared" si="33"/>
        <v>0</v>
      </c>
      <c r="AC76" s="1073">
        <v>0</v>
      </c>
      <c r="AD76" s="1076" t="str">
        <f t="shared" si="34"/>
        <v>*</v>
      </c>
      <c r="AE76" s="1046">
        <v>5.9859999999999998</v>
      </c>
      <c r="AF76" s="1026">
        <f t="shared" si="35"/>
        <v>6</v>
      </c>
      <c r="AG76" s="1046">
        <v>0.46</v>
      </c>
      <c r="AH76" s="1076" t="str">
        <f t="shared" si="36"/>
        <v>*</v>
      </c>
      <c r="AI76" s="1046">
        <v>0.08</v>
      </c>
      <c r="AJ76" s="1026">
        <f t="shared" si="37"/>
        <v>0</v>
      </c>
      <c r="AK76" s="1046">
        <v>0.44600000000000001</v>
      </c>
      <c r="AL76" s="1076" t="str">
        <f t="shared" si="38"/>
        <v>*</v>
      </c>
      <c r="AM76" s="1046">
        <v>11.063000000000001</v>
      </c>
      <c r="AN76" s="1026">
        <f t="shared" si="39"/>
        <v>11</v>
      </c>
      <c r="AO76" s="1046">
        <v>0.23499999999999999</v>
      </c>
      <c r="AP76" s="1076" t="str">
        <f t="shared" si="40"/>
        <v>*</v>
      </c>
    </row>
    <row r="77" spans="1:42">
      <c r="A77" s="1079" t="s">
        <v>92</v>
      </c>
      <c r="B77" s="1032" t="s">
        <v>112</v>
      </c>
      <c r="C77" s="1024">
        <v>187.19</v>
      </c>
      <c r="D77" s="1025">
        <f t="shared" si="28"/>
        <v>190</v>
      </c>
      <c r="E77" s="1024">
        <v>3.7999999999999999E-2</v>
      </c>
      <c r="F77" s="1026">
        <f t="shared" si="41"/>
        <v>0</v>
      </c>
      <c r="G77" s="1024">
        <v>2.1589999999999998</v>
      </c>
      <c r="H77" s="1027">
        <f t="shared" si="42"/>
        <v>2</v>
      </c>
      <c r="I77" s="1024">
        <v>2.0019999999999998</v>
      </c>
      <c r="J77" s="1028">
        <f t="shared" si="26"/>
        <v>2</v>
      </c>
      <c r="K77" s="1024">
        <v>0</v>
      </c>
      <c r="L77" s="1026">
        <f t="shared" si="29"/>
        <v>0</v>
      </c>
      <c r="M77" s="1024">
        <v>0</v>
      </c>
      <c r="N77" s="1029">
        <v>0</v>
      </c>
      <c r="O77" s="1024">
        <v>44.503999999999998</v>
      </c>
      <c r="P77" s="1025">
        <f t="shared" si="30"/>
        <v>45</v>
      </c>
      <c r="Q77" s="1024">
        <v>42.103999999999999</v>
      </c>
      <c r="R77" s="1025">
        <f t="shared" si="31"/>
        <v>42</v>
      </c>
      <c r="S77" s="1024">
        <v>0.63800000000000001</v>
      </c>
      <c r="T77" s="1025" t="s">
        <v>303</v>
      </c>
      <c r="U77" s="1024">
        <v>38.753999999999998</v>
      </c>
      <c r="V77" s="1030">
        <f t="shared" si="32"/>
        <v>39</v>
      </c>
      <c r="W77" s="1024">
        <v>38.075000000000003</v>
      </c>
      <c r="X77" s="1025">
        <f t="shared" si="25"/>
        <v>38</v>
      </c>
      <c r="Y77" s="1024">
        <v>0.39200000000000002</v>
      </c>
      <c r="Z77" s="1025">
        <v>0</v>
      </c>
      <c r="AA77" s="1069">
        <v>0</v>
      </c>
      <c r="AB77" s="1026">
        <f t="shared" si="33"/>
        <v>0</v>
      </c>
      <c r="AC77" s="1073">
        <v>0</v>
      </c>
      <c r="AD77" s="1076" t="str">
        <f t="shared" si="34"/>
        <v>*</v>
      </c>
      <c r="AE77" s="1046">
        <v>6.6479999999999997</v>
      </c>
      <c r="AF77" s="1026">
        <f t="shared" si="35"/>
        <v>7</v>
      </c>
      <c r="AG77" s="1046">
        <v>0.51100000000000001</v>
      </c>
      <c r="AH77" s="1076" t="str">
        <f t="shared" si="36"/>
        <v>*</v>
      </c>
      <c r="AI77" s="1046">
        <v>8.6999999999999994E-2</v>
      </c>
      <c r="AJ77" s="1026">
        <f t="shared" si="37"/>
        <v>0</v>
      </c>
      <c r="AK77" s="1046">
        <v>0.48299999999999998</v>
      </c>
      <c r="AL77" s="1076" t="str">
        <f t="shared" si="38"/>
        <v>*</v>
      </c>
      <c r="AM77" s="1046">
        <v>8.7520000000000007</v>
      </c>
      <c r="AN77" s="1026">
        <f t="shared" si="39"/>
        <v>9</v>
      </c>
      <c r="AO77" s="1046">
        <v>0.186</v>
      </c>
      <c r="AP77" s="1076" t="str">
        <f t="shared" si="40"/>
        <v>*</v>
      </c>
    </row>
    <row r="78" spans="1:42">
      <c r="A78" s="1079" t="s">
        <v>92</v>
      </c>
      <c r="B78" s="1032" t="s">
        <v>321</v>
      </c>
      <c r="C78" s="1024">
        <v>189.52799999999999</v>
      </c>
      <c r="D78" s="1025">
        <f t="shared" si="28"/>
        <v>190</v>
      </c>
      <c r="E78" s="1024">
        <v>0.45500000000000002</v>
      </c>
      <c r="F78" s="1026">
        <f t="shared" si="41"/>
        <v>0</v>
      </c>
      <c r="G78" s="1024">
        <v>2.1389999999999998</v>
      </c>
      <c r="H78" s="1027">
        <f t="shared" si="42"/>
        <v>2</v>
      </c>
      <c r="I78" s="1024">
        <v>1.9410000000000001</v>
      </c>
      <c r="J78" s="1028">
        <f t="shared" si="26"/>
        <v>2</v>
      </c>
      <c r="K78" s="1024">
        <v>0</v>
      </c>
      <c r="L78" s="1026">
        <f t="shared" si="29"/>
        <v>0</v>
      </c>
      <c r="M78" s="1024">
        <v>0</v>
      </c>
      <c r="N78" s="1029">
        <v>0</v>
      </c>
      <c r="O78" s="1024">
        <v>43.322000000000003</v>
      </c>
      <c r="P78" s="1025">
        <f t="shared" si="30"/>
        <v>45</v>
      </c>
      <c r="Q78" s="1024">
        <v>42.633000000000003</v>
      </c>
      <c r="R78" s="1025">
        <f t="shared" si="31"/>
        <v>43</v>
      </c>
      <c r="S78" s="1024">
        <v>0.47099999999999997</v>
      </c>
      <c r="T78" s="1025">
        <v>0</v>
      </c>
      <c r="U78" s="1024">
        <v>39.499000000000002</v>
      </c>
      <c r="V78" s="1030">
        <f t="shared" si="32"/>
        <v>39</v>
      </c>
      <c r="W78" s="1024">
        <v>38.834000000000003</v>
      </c>
      <c r="X78" s="1025">
        <f t="shared" si="25"/>
        <v>39</v>
      </c>
      <c r="Y78" s="1024">
        <v>0.33</v>
      </c>
      <c r="Z78" s="1025">
        <v>0</v>
      </c>
      <c r="AA78" s="1069">
        <v>0</v>
      </c>
      <c r="AB78" s="1026">
        <f t="shared" si="33"/>
        <v>0</v>
      </c>
      <c r="AC78" s="1073">
        <v>0</v>
      </c>
      <c r="AD78" s="1076" t="str">
        <f t="shared" si="34"/>
        <v>*</v>
      </c>
      <c r="AE78" s="1046">
        <v>10.961</v>
      </c>
      <c r="AF78" s="1026">
        <f t="shared" si="35"/>
        <v>11</v>
      </c>
      <c r="AG78" s="1046">
        <v>0.84399999999999997</v>
      </c>
      <c r="AH78" s="1076" t="str">
        <f t="shared" si="36"/>
        <v>*</v>
      </c>
      <c r="AI78" s="1046">
        <v>0.38800000000000001</v>
      </c>
      <c r="AJ78" s="1026">
        <f t="shared" si="37"/>
        <v>0</v>
      </c>
      <c r="AK78" s="1046">
        <v>2.1539999999999999</v>
      </c>
      <c r="AL78" s="1076">
        <f t="shared" si="38"/>
        <v>0.02</v>
      </c>
      <c r="AM78" s="1046">
        <v>57.987000000000002</v>
      </c>
      <c r="AN78" s="1026">
        <f t="shared" si="39"/>
        <v>58</v>
      </c>
      <c r="AO78" s="1046">
        <v>1.234</v>
      </c>
      <c r="AP78" s="1076">
        <f t="shared" si="40"/>
        <v>0.02</v>
      </c>
    </row>
    <row r="79" spans="1:42">
      <c r="A79" s="1079" t="s">
        <v>92</v>
      </c>
      <c r="B79" s="1032" t="s">
        <v>115</v>
      </c>
      <c r="C79" s="1024">
        <v>197.10900000000001</v>
      </c>
      <c r="D79" s="1025">
        <f t="shared" si="28"/>
        <v>200</v>
      </c>
      <c r="E79" s="1024">
        <v>0</v>
      </c>
      <c r="F79" s="1026">
        <f t="shared" si="41"/>
        <v>0</v>
      </c>
      <c r="G79" s="1024">
        <v>1.014</v>
      </c>
      <c r="H79" s="1027">
        <f t="shared" si="42"/>
        <v>1</v>
      </c>
      <c r="I79" s="1024">
        <v>0.94</v>
      </c>
      <c r="J79" s="1028">
        <f t="shared" si="26"/>
        <v>1</v>
      </c>
      <c r="K79" s="1024">
        <v>0</v>
      </c>
      <c r="L79" s="1026">
        <f t="shared" si="29"/>
        <v>0</v>
      </c>
      <c r="M79" s="1024">
        <v>0</v>
      </c>
      <c r="N79" s="1029">
        <v>0</v>
      </c>
      <c r="O79" s="1024">
        <v>39.161000000000001</v>
      </c>
      <c r="P79" s="1025">
        <f t="shared" si="30"/>
        <v>40</v>
      </c>
      <c r="Q79" s="1024">
        <v>36.308</v>
      </c>
      <c r="R79" s="1025">
        <f t="shared" si="31"/>
        <v>36</v>
      </c>
      <c r="S79" s="1024">
        <v>10.756</v>
      </c>
      <c r="T79" s="1030">
        <f>(MROUND(S79,1))</f>
        <v>11</v>
      </c>
      <c r="U79" s="1024">
        <v>34.665999999999997</v>
      </c>
      <c r="V79" s="1030">
        <f t="shared" si="32"/>
        <v>35</v>
      </c>
      <c r="W79" s="1024">
        <v>45.335000000000001</v>
      </c>
      <c r="X79" s="1025">
        <f t="shared" si="25"/>
        <v>45</v>
      </c>
      <c r="Y79" s="1024">
        <v>9.1999999999999998E-2</v>
      </c>
      <c r="Z79" s="1025">
        <v>0</v>
      </c>
      <c r="AA79" s="1069">
        <v>0</v>
      </c>
      <c r="AB79" s="1026">
        <f t="shared" si="33"/>
        <v>0</v>
      </c>
      <c r="AC79" s="1073">
        <v>0</v>
      </c>
      <c r="AD79" s="1076" t="str">
        <f t="shared" si="34"/>
        <v>*</v>
      </c>
      <c r="AE79" s="1046">
        <v>6.4880000000000004</v>
      </c>
      <c r="AF79" s="1026">
        <f t="shared" si="35"/>
        <v>6</v>
      </c>
      <c r="AG79" s="1046">
        <v>0.499</v>
      </c>
      <c r="AH79" s="1076" t="str">
        <f t="shared" si="36"/>
        <v>*</v>
      </c>
      <c r="AI79" s="1046">
        <v>5.0999999999999997E-2</v>
      </c>
      <c r="AJ79" s="1026">
        <f t="shared" si="37"/>
        <v>0</v>
      </c>
      <c r="AK79" s="1046">
        <v>0.28299999999999997</v>
      </c>
      <c r="AL79" s="1076" t="str">
        <f t="shared" si="38"/>
        <v>*</v>
      </c>
      <c r="AM79" s="1046">
        <v>1.905</v>
      </c>
      <c r="AN79" s="1026">
        <f t="shared" si="39"/>
        <v>2</v>
      </c>
      <c r="AO79" s="1046">
        <v>4.1000000000000002E-2</v>
      </c>
      <c r="AP79" s="1076" t="str">
        <f t="shared" si="40"/>
        <v>*</v>
      </c>
    </row>
    <row r="80" spans="1:42">
      <c r="A80" s="1079" t="s">
        <v>92</v>
      </c>
      <c r="B80" s="1032" t="s">
        <v>322</v>
      </c>
      <c r="C80" s="1040">
        <v>231.20599999999999</v>
      </c>
      <c r="D80" s="1025">
        <f t="shared" si="28"/>
        <v>230</v>
      </c>
      <c r="E80" s="1040">
        <v>0</v>
      </c>
      <c r="F80" s="1026">
        <f t="shared" si="41"/>
        <v>0</v>
      </c>
      <c r="G80" s="1040">
        <v>2.0910000000000002</v>
      </c>
      <c r="H80" s="1027">
        <f t="shared" si="42"/>
        <v>2</v>
      </c>
      <c r="I80" s="1040">
        <v>1.9390000000000001</v>
      </c>
      <c r="J80" s="1028">
        <f t="shared" si="26"/>
        <v>2</v>
      </c>
      <c r="K80" s="1040">
        <v>0</v>
      </c>
      <c r="L80" s="1026">
        <f t="shared" si="29"/>
        <v>0</v>
      </c>
      <c r="M80" s="1040">
        <v>0</v>
      </c>
      <c r="N80" s="1029">
        <v>0</v>
      </c>
      <c r="O80" s="1040">
        <v>41.094999999999999</v>
      </c>
      <c r="P80" s="1025">
        <f t="shared" si="30"/>
        <v>40</v>
      </c>
      <c r="Q80" s="1040">
        <v>53.523000000000003</v>
      </c>
      <c r="R80" s="1025">
        <f t="shared" si="31"/>
        <v>54</v>
      </c>
      <c r="S80" s="1040">
        <v>1.4999999999999999E-2</v>
      </c>
      <c r="T80" s="1025">
        <v>0</v>
      </c>
      <c r="U80" s="1040">
        <v>51.134</v>
      </c>
      <c r="V80" s="1030">
        <f t="shared" si="32"/>
        <v>51</v>
      </c>
      <c r="W80" s="1040">
        <v>51.006</v>
      </c>
      <c r="X80" s="1025">
        <f t="shared" si="25"/>
        <v>51</v>
      </c>
      <c r="Y80" s="1040">
        <v>0.19</v>
      </c>
      <c r="Z80" s="1025">
        <v>0</v>
      </c>
      <c r="AA80" s="1073">
        <v>0</v>
      </c>
      <c r="AB80" s="1026">
        <f t="shared" si="33"/>
        <v>0</v>
      </c>
      <c r="AC80" s="1073">
        <v>0</v>
      </c>
      <c r="AD80" s="1076" t="str">
        <f t="shared" si="34"/>
        <v>*</v>
      </c>
      <c r="AE80" s="1046">
        <v>7.266</v>
      </c>
      <c r="AF80" s="1026">
        <f t="shared" si="35"/>
        <v>7</v>
      </c>
      <c r="AG80" s="1046">
        <v>0.55900000000000005</v>
      </c>
      <c r="AH80" s="1076" t="str">
        <f t="shared" si="36"/>
        <v>*</v>
      </c>
      <c r="AI80" s="1046">
        <v>5.8999999999999997E-2</v>
      </c>
      <c r="AJ80" s="1026">
        <f t="shared" si="37"/>
        <v>0</v>
      </c>
      <c r="AK80" s="1046">
        <v>0.32900000000000001</v>
      </c>
      <c r="AL80" s="1076" t="str">
        <f t="shared" si="38"/>
        <v>*</v>
      </c>
      <c r="AM80" s="1046">
        <v>13.78</v>
      </c>
      <c r="AN80" s="1026">
        <f t="shared" si="39"/>
        <v>14</v>
      </c>
      <c r="AO80" s="1046">
        <v>0.29299999999999998</v>
      </c>
      <c r="AP80" s="1076" t="str">
        <f t="shared" si="40"/>
        <v>*</v>
      </c>
    </row>
    <row r="81" spans="1:42">
      <c r="A81" s="1079" t="s">
        <v>92</v>
      </c>
      <c r="B81" s="1032" t="s">
        <v>116</v>
      </c>
      <c r="C81" s="1024">
        <v>262.70699999999999</v>
      </c>
      <c r="D81" s="1025">
        <f t="shared" si="28"/>
        <v>260</v>
      </c>
      <c r="E81" s="1024">
        <v>0</v>
      </c>
      <c r="F81" s="1026">
        <f t="shared" si="41"/>
        <v>0</v>
      </c>
      <c r="G81" s="1024">
        <v>3.1850000000000001</v>
      </c>
      <c r="H81" s="1027">
        <f t="shared" si="42"/>
        <v>3</v>
      </c>
      <c r="I81" s="1024">
        <v>2.5979999999999999</v>
      </c>
      <c r="J81" s="1028">
        <f t="shared" si="26"/>
        <v>2.5</v>
      </c>
      <c r="K81" s="1024">
        <v>0</v>
      </c>
      <c r="L81" s="1026">
        <f t="shared" si="29"/>
        <v>0</v>
      </c>
      <c r="M81" s="1024">
        <v>0</v>
      </c>
      <c r="N81" s="1029">
        <v>0</v>
      </c>
      <c r="O81" s="1024">
        <v>49.691000000000003</v>
      </c>
      <c r="P81" s="1025">
        <f t="shared" si="30"/>
        <v>50</v>
      </c>
      <c r="Q81" s="1024">
        <v>59.426000000000002</v>
      </c>
      <c r="R81" s="1025">
        <f t="shared" si="31"/>
        <v>59</v>
      </c>
      <c r="S81" s="1024">
        <v>0.36199999999999999</v>
      </c>
      <c r="T81" s="1025">
        <v>0</v>
      </c>
      <c r="U81" s="1024">
        <v>56.634</v>
      </c>
      <c r="V81" s="1030">
        <f t="shared" si="32"/>
        <v>57</v>
      </c>
      <c r="W81" s="1024">
        <v>56.518000000000001</v>
      </c>
      <c r="X81" s="1025">
        <f t="shared" si="25"/>
        <v>57</v>
      </c>
      <c r="Y81" s="1024">
        <v>0.39800000000000002</v>
      </c>
      <c r="Z81" s="1025">
        <v>0</v>
      </c>
      <c r="AA81" s="1073">
        <v>0</v>
      </c>
      <c r="AB81" s="1026">
        <f t="shared" si="33"/>
        <v>0</v>
      </c>
      <c r="AC81" s="1073">
        <v>0</v>
      </c>
      <c r="AD81" s="1076" t="str">
        <f t="shared" si="34"/>
        <v>*</v>
      </c>
      <c r="AE81" s="1046">
        <v>7.3959999999999999</v>
      </c>
      <c r="AF81" s="1026">
        <f t="shared" si="35"/>
        <v>7</v>
      </c>
      <c r="AG81" s="1046">
        <v>0.56899999999999995</v>
      </c>
      <c r="AH81" s="1076" t="str">
        <f t="shared" si="36"/>
        <v>*</v>
      </c>
      <c r="AI81" s="1046">
        <v>5.1999999999999998E-2</v>
      </c>
      <c r="AJ81" s="1026">
        <f t="shared" si="37"/>
        <v>0</v>
      </c>
      <c r="AK81" s="1046">
        <v>0.28899999999999998</v>
      </c>
      <c r="AL81" s="1076" t="str">
        <f t="shared" si="38"/>
        <v>*</v>
      </c>
      <c r="AM81" s="1046">
        <v>12.692</v>
      </c>
      <c r="AN81" s="1026">
        <f t="shared" si="39"/>
        <v>13</v>
      </c>
      <c r="AO81" s="1046">
        <v>0.27</v>
      </c>
      <c r="AP81" s="1076" t="str">
        <f t="shared" si="40"/>
        <v>*</v>
      </c>
    </row>
    <row r="82" spans="1:42">
      <c r="A82" s="1079" t="s">
        <v>92</v>
      </c>
      <c r="B82" s="1032" t="s">
        <v>323</v>
      </c>
      <c r="C82" s="1085">
        <v>225.22200000000001</v>
      </c>
      <c r="D82" s="1025">
        <f t="shared" si="28"/>
        <v>230</v>
      </c>
      <c r="E82" s="1085">
        <v>3.5000000000000003E-2</v>
      </c>
      <c r="F82" s="1026">
        <f t="shared" si="41"/>
        <v>0</v>
      </c>
      <c r="G82" s="1085">
        <v>2.157</v>
      </c>
      <c r="H82" s="1027">
        <f t="shared" si="42"/>
        <v>2</v>
      </c>
      <c r="I82" s="1085">
        <v>1.9970000000000001</v>
      </c>
      <c r="J82" s="1028">
        <f t="shared" si="26"/>
        <v>2</v>
      </c>
      <c r="K82" s="1085">
        <v>0</v>
      </c>
      <c r="L82" s="1026">
        <f t="shared" si="29"/>
        <v>0</v>
      </c>
      <c r="M82" s="1085">
        <v>0</v>
      </c>
      <c r="N82" s="1029">
        <v>0</v>
      </c>
      <c r="O82" s="1085">
        <v>44.154000000000003</v>
      </c>
      <c r="P82" s="1025">
        <f t="shared" si="30"/>
        <v>45</v>
      </c>
      <c r="Q82" s="1085">
        <v>51.865000000000002</v>
      </c>
      <c r="R82" s="1025">
        <f t="shared" si="31"/>
        <v>52</v>
      </c>
      <c r="S82" s="1085">
        <v>8.2000000000000003E-2</v>
      </c>
      <c r="T82" s="1025">
        <v>0</v>
      </c>
      <c r="U82" s="1085">
        <v>49.095999999999997</v>
      </c>
      <c r="V82" s="1030">
        <f t="shared" si="32"/>
        <v>49</v>
      </c>
      <c r="W82" s="1085">
        <v>48.231999999999999</v>
      </c>
      <c r="X82" s="1025">
        <f t="shared" si="25"/>
        <v>48</v>
      </c>
      <c r="Y82" s="1085">
        <v>0.22900000000000001</v>
      </c>
      <c r="Z82" s="1025">
        <v>0</v>
      </c>
      <c r="AA82" s="1073">
        <v>0</v>
      </c>
      <c r="AB82" s="1026">
        <f t="shared" si="33"/>
        <v>0</v>
      </c>
      <c r="AC82" s="1073">
        <v>0</v>
      </c>
      <c r="AD82" s="1076" t="str">
        <f t="shared" si="34"/>
        <v>*</v>
      </c>
      <c r="AE82" s="1046">
        <v>6.2770000000000001</v>
      </c>
      <c r="AF82" s="1026">
        <f t="shared" si="35"/>
        <v>6</v>
      </c>
      <c r="AG82" s="1046">
        <v>0.48299999999999998</v>
      </c>
      <c r="AH82" s="1076" t="str">
        <f t="shared" si="36"/>
        <v>*</v>
      </c>
      <c r="AI82" s="1046">
        <v>0.06</v>
      </c>
      <c r="AJ82" s="1026">
        <f t="shared" si="37"/>
        <v>0</v>
      </c>
      <c r="AK82" s="1046">
        <v>0.33300000000000002</v>
      </c>
      <c r="AL82" s="1076" t="str">
        <f t="shared" si="38"/>
        <v>*</v>
      </c>
      <c r="AM82" s="1046">
        <v>6.8680000000000003</v>
      </c>
      <c r="AN82" s="1026">
        <f t="shared" si="39"/>
        <v>7</v>
      </c>
      <c r="AO82" s="1046">
        <v>0.14599999999999999</v>
      </c>
      <c r="AP82" s="1076" t="str">
        <f t="shared" si="40"/>
        <v>*</v>
      </c>
    </row>
    <row r="83" spans="1:42">
      <c r="A83" s="1079" t="s">
        <v>92</v>
      </c>
      <c r="B83" s="1032" t="s">
        <v>118</v>
      </c>
      <c r="C83" s="1042">
        <v>257.04899999999998</v>
      </c>
      <c r="D83" s="1025">
        <f t="shared" si="28"/>
        <v>260</v>
      </c>
      <c r="E83" s="1042">
        <v>14.909000000000001</v>
      </c>
      <c r="F83" s="1026">
        <f t="shared" si="41"/>
        <v>15</v>
      </c>
      <c r="G83" s="1042">
        <v>3.7770000000000001</v>
      </c>
      <c r="H83" s="1027">
        <f t="shared" si="42"/>
        <v>4</v>
      </c>
      <c r="I83" s="1042">
        <v>3.0310000000000001</v>
      </c>
      <c r="J83" s="1028">
        <f t="shared" si="26"/>
        <v>3</v>
      </c>
      <c r="K83" s="1042">
        <v>1E-3</v>
      </c>
      <c r="L83" s="1026">
        <f t="shared" si="29"/>
        <v>0</v>
      </c>
      <c r="M83" s="1042">
        <v>4.1020000000000003</v>
      </c>
      <c r="N83" s="1026" t="s">
        <v>316</v>
      </c>
      <c r="O83" s="1042">
        <v>56.125999999999998</v>
      </c>
      <c r="P83" s="1025">
        <f t="shared" si="30"/>
        <v>55</v>
      </c>
      <c r="Q83" s="1042">
        <v>55.959000000000003</v>
      </c>
      <c r="R83" s="1025">
        <f t="shared" si="31"/>
        <v>56</v>
      </c>
      <c r="S83" s="1042">
        <v>0.123</v>
      </c>
      <c r="T83" s="1025">
        <v>0</v>
      </c>
      <c r="U83" s="1042">
        <v>50.777000000000001</v>
      </c>
      <c r="V83" s="1030">
        <f t="shared" si="32"/>
        <v>51</v>
      </c>
      <c r="W83" s="1042">
        <v>49.430999999999997</v>
      </c>
      <c r="X83" s="1025">
        <f t="shared" si="25"/>
        <v>49</v>
      </c>
      <c r="Y83" s="1042">
        <v>0.74299999999999999</v>
      </c>
      <c r="Z83" s="1030" t="s">
        <v>303</v>
      </c>
      <c r="AA83" s="1073">
        <v>0</v>
      </c>
      <c r="AB83" s="1026">
        <f t="shared" si="33"/>
        <v>0</v>
      </c>
      <c r="AC83" s="1073">
        <v>0</v>
      </c>
      <c r="AD83" s="1076" t="str">
        <f t="shared" si="34"/>
        <v>*</v>
      </c>
      <c r="AE83" s="1046">
        <v>6.5970000000000004</v>
      </c>
      <c r="AF83" s="1026">
        <f t="shared" si="35"/>
        <v>7</v>
      </c>
      <c r="AG83" s="1046">
        <v>0.50700000000000001</v>
      </c>
      <c r="AH83" s="1076" t="str">
        <f t="shared" si="36"/>
        <v>*</v>
      </c>
      <c r="AI83" s="1046">
        <v>0.10299999999999999</v>
      </c>
      <c r="AJ83" s="1026">
        <f t="shared" si="37"/>
        <v>0</v>
      </c>
      <c r="AK83" s="1046">
        <v>0.57199999999999995</v>
      </c>
      <c r="AL83" s="1076" t="str">
        <f t="shared" si="38"/>
        <v>*</v>
      </c>
      <c r="AM83" s="1046">
        <v>33.158999999999999</v>
      </c>
      <c r="AN83" s="1026">
        <f t="shared" si="39"/>
        <v>33</v>
      </c>
      <c r="AO83" s="1046">
        <v>0.70599999999999996</v>
      </c>
      <c r="AP83" s="1076" t="str">
        <f t="shared" si="40"/>
        <v>*</v>
      </c>
    </row>
    <row r="84" spans="1:42">
      <c r="A84" s="1079" t="s">
        <v>92</v>
      </c>
      <c r="B84" s="1032" t="s">
        <v>183</v>
      </c>
      <c r="C84" s="1024">
        <v>169.43199999999999</v>
      </c>
      <c r="D84" s="1025">
        <f t="shared" si="28"/>
        <v>170</v>
      </c>
      <c r="E84" s="1024">
        <v>0.32800000000000001</v>
      </c>
      <c r="F84" s="1026">
        <f t="shared" si="41"/>
        <v>0</v>
      </c>
      <c r="G84" s="1024">
        <v>2.42</v>
      </c>
      <c r="H84" s="1027">
        <f t="shared" si="42"/>
        <v>2.5</v>
      </c>
      <c r="I84" s="1024">
        <v>2.238</v>
      </c>
      <c r="J84" s="1028">
        <f t="shared" si="26"/>
        <v>2</v>
      </c>
      <c r="K84" s="1024">
        <v>1E-3</v>
      </c>
      <c r="L84" s="1026">
        <f t="shared" si="29"/>
        <v>0</v>
      </c>
      <c r="M84" s="1024">
        <v>0</v>
      </c>
      <c r="N84" s="1029">
        <v>0</v>
      </c>
      <c r="O84" s="1024">
        <v>52.564</v>
      </c>
      <c r="P84" s="1025">
        <f t="shared" si="30"/>
        <v>55</v>
      </c>
      <c r="Q84" s="1024">
        <v>36.572000000000003</v>
      </c>
      <c r="R84" s="1025">
        <f t="shared" si="31"/>
        <v>37</v>
      </c>
      <c r="S84" s="1024">
        <v>0.20799999999999999</v>
      </c>
      <c r="T84" s="1025">
        <v>0</v>
      </c>
      <c r="U84" s="1024">
        <v>33.151000000000003</v>
      </c>
      <c r="V84" s="1030">
        <f t="shared" si="32"/>
        <v>33</v>
      </c>
      <c r="W84" s="1024">
        <v>31.783999999999999</v>
      </c>
      <c r="X84" s="1025">
        <f t="shared" si="25"/>
        <v>32</v>
      </c>
      <c r="Y84" s="1024">
        <v>0.33100000000000002</v>
      </c>
      <c r="Z84" s="1025">
        <v>0</v>
      </c>
      <c r="AA84" s="1073">
        <v>0</v>
      </c>
      <c r="AB84" s="1026">
        <f t="shared" si="33"/>
        <v>0</v>
      </c>
      <c r="AC84" s="1073">
        <v>0</v>
      </c>
      <c r="AD84" s="1076" t="str">
        <f t="shared" si="34"/>
        <v>*</v>
      </c>
      <c r="AE84" s="1046">
        <v>5.992</v>
      </c>
      <c r="AF84" s="1026">
        <f t="shared" si="35"/>
        <v>6</v>
      </c>
      <c r="AG84" s="1046">
        <v>0.46100000000000002</v>
      </c>
      <c r="AH84" s="1076" t="str">
        <f t="shared" si="36"/>
        <v>*</v>
      </c>
      <c r="AI84" s="1046">
        <v>5.5E-2</v>
      </c>
      <c r="AJ84" s="1026">
        <f t="shared" si="37"/>
        <v>0</v>
      </c>
      <c r="AK84" s="1046">
        <v>0.30499999999999999</v>
      </c>
      <c r="AL84" s="1076" t="str">
        <f t="shared" si="38"/>
        <v>*</v>
      </c>
      <c r="AM84" s="1046">
        <v>0.80700000000000005</v>
      </c>
      <c r="AN84" s="1026">
        <f t="shared" si="39"/>
        <v>1</v>
      </c>
      <c r="AO84" s="1046">
        <v>1.7000000000000001E-2</v>
      </c>
      <c r="AP84" s="1076" t="str">
        <f t="shared" si="40"/>
        <v>*</v>
      </c>
    </row>
    <row r="85" spans="1:42" s="1038" customFormat="1">
      <c r="A85" s="1079" t="s">
        <v>92</v>
      </c>
      <c r="B85" s="1032" t="s">
        <v>120</v>
      </c>
      <c r="C85" s="1024">
        <v>232.95500000000001</v>
      </c>
      <c r="D85" s="1025">
        <f t="shared" si="28"/>
        <v>230</v>
      </c>
      <c r="E85" s="1024">
        <v>15.407</v>
      </c>
      <c r="F85" s="1026">
        <f t="shared" si="41"/>
        <v>15</v>
      </c>
      <c r="G85" s="1024">
        <v>3.8479999999999999</v>
      </c>
      <c r="H85" s="1027">
        <f t="shared" si="42"/>
        <v>4</v>
      </c>
      <c r="I85" s="1024">
        <v>3.0009999999999999</v>
      </c>
      <c r="J85" s="1028">
        <f t="shared" si="26"/>
        <v>3</v>
      </c>
      <c r="K85" s="1024">
        <v>0</v>
      </c>
      <c r="L85" s="1026">
        <f t="shared" si="29"/>
        <v>0</v>
      </c>
      <c r="M85" s="1024">
        <v>0</v>
      </c>
      <c r="N85" s="1029">
        <v>0</v>
      </c>
      <c r="O85" s="1024">
        <v>48.886000000000003</v>
      </c>
      <c r="P85" s="1025">
        <f t="shared" si="30"/>
        <v>50</v>
      </c>
      <c r="Q85" s="1024">
        <v>58.661999999999999</v>
      </c>
      <c r="R85" s="1025">
        <f t="shared" si="31"/>
        <v>59</v>
      </c>
      <c r="S85" s="1024">
        <v>0.501</v>
      </c>
      <c r="T85" s="1025" t="s">
        <v>303</v>
      </c>
      <c r="U85" s="1024">
        <v>54.747</v>
      </c>
      <c r="V85" s="1030">
        <f t="shared" si="32"/>
        <v>55</v>
      </c>
      <c r="W85" s="1024">
        <v>50.761000000000003</v>
      </c>
      <c r="X85" s="1025">
        <f t="shared" si="25"/>
        <v>51</v>
      </c>
      <c r="Y85" s="1024">
        <v>0.54300000000000004</v>
      </c>
      <c r="Z85" s="1030" t="s">
        <v>303</v>
      </c>
      <c r="AA85" s="1073">
        <v>0.57399999999999995</v>
      </c>
      <c r="AB85" s="1026">
        <f t="shared" si="33"/>
        <v>1</v>
      </c>
      <c r="AC85" s="1073">
        <v>0</v>
      </c>
      <c r="AD85" s="1076" t="str">
        <f t="shared" si="34"/>
        <v>*</v>
      </c>
      <c r="AE85" s="1046">
        <v>5.9329999999999998</v>
      </c>
      <c r="AF85" s="1026">
        <f t="shared" si="35"/>
        <v>6</v>
      </c>
      <c r="AG85" s="1046">
        <v>0.45600000000000002</v>
      </c>
      <c r="AH85" s="1076" t="str">
        <f t="shared" si="36"/>
        <v>*</v>
      </c>
      <c r="AI85" s="1046">
        <v>3.1E-2</v>
      </c>
      <c r="AJ85" s="1026">
        <f t="shared" si="37"/>
        <v>0</v>
      </c>
      <c r="AK85" s="1046">
        <v>0.17100000000000001</v>
      </c>
      <c r="AL85" s="1076" t="str">
        <f t="shared" si="38"/>
        <v>*</v>
      </c>
      <c r="AM85" s="1046">
        <v>3.7149999999999999</v>
      </c>
      <c r="AN85" s="1026">
        <f t="shared" si="39"/>
        <v>4</v>
      </c>
      <c r="AO85" s="1046">
        <v>7.9000000000000001E-2</v>
      </c>
      <c r="AP85" s="1076" t="str">
        <f t="shared" si="40"/>
        <v>*</v>
      </c>
    </row>
    <row r="86" spans="1:42" s="1019" customFormat="1">
      <c r="A86" s="1079" t="s">
        <v>92</v>
      </c>
      <c r="B86" s="1032" t="s">
        <v>324</v>
      </c>
      <c r="C86" s="1046">
        <v>198.23</v>
      </c>
      <c r="D86" s="1025">
        <f t="shared" si="28"/>
        <v>200</v>
      </c>
      <c r="E86" s="1046">
        <v>0</v>
      </c>
      <c r="F86" s="1026">
        <f t="shared" si="41"/>
        <v>0</v>
      </c>
      <c r="G86" s="1046">
        <v>0</v>
      </c>
      <c r="H86" s="1027">
        <f t="shared" ref="H86:H92" si="43">IF(G86&lt;0.5,0,MROUND(G86,5))</f>
        <v>0</v>
      </c>
      <c r="I86" s="1046">
        <v>0</v>
      </c>
      <c r="J86" s="1028">
        <f t="shared" ref="J86:J92" si="44">IF(I86&lt;0.5,0,MROUND(I86,5))</f>
        <v>0</v>
      </c>
      <c r="K86" s="1046">
        <v>0</v>
      </c>
      <c r="L86" s="1026">
        <f t="shared" si="29"/>
        <v>0</v>
      </c>
      <c r="M86" s="1046">
        <v>0</v>
      </c>
      <c r="N86" s="1029">
        <v>0</v>
      </c>
      <c r="O86" s="1046">
        <v>39.265999999999998</v>
      </c>
      <c r="P86" s="1025">
        <f t="shared" si="30"/>
        <v>40</v>
      </c>
      <c r="Q86" s="1046">
        <v>50.319000000000003</v>
      </c>
      <c r="R86" s="1025">
        <f t="shared" si="31"/>
        <v>50</v>
      </c>
      <c r="S86" s="1046">
        <v>1.9E-2</v>
      </c>
      <c r="T86" s="1025">
        <v>0</v>
      </c>
      <c r="U86" s="1046">
        <v>48.899000000000001</v>
      </c>
      <c r="V86" s="1030">
        <f t="shared" si="32"/>
        <v>49</v>
      </c>
      <c r="W86" s="1046">
        <v>48.899000000000001</v>
      </c>
      <c r="X86" s="1025">
        <f t="shared" si="25"/>
        <v>49</v>
      </c>
      <c r="Y86" s="1046">
        <v>0.106</v>
      </c>
      <c r="Z86" s="1025">
        <v>0</v>
      </c>
      <c r="AA86" s="1073">
        <v>0</v>
      </c>
      <c r="AB86" s="1026">
        <f t="shared" si="33"/>
        <v>0</v>
      </c>
      <c r="AC86" s="1073">
        <v>0</v>
      </c>
      <c r="AD86" s="1076" t="str">
        <f t="shared" si="34"/>
        <v>*</v>
      </c>
      <c r="AE86" s="1046">
        <v>6.4950000000000001</v>
      </c>
      <c r="AF86" s="1026">
        <f t="shared" si="35"/>
        <v>6</v>
      </c>
      <c r="AG86" s="1046">
        <v>0.5</v>
      </c>
      <c r="AH86" s="1076" t="str">
        <f t="shared" si="36"/>
        <v>*</v>
      </c>
      <c r="AI86" s="1046">
        <v>0.439</v>
      </c>
      <c r="AJ86" s="1026">
        <f t="shared" si="37"/>
        <v>0</v>
      </c>
      <c r="AK86" s="1046">
        <v>2.44</v>
      </c>
      <c r="AL86" s="1076">
        <f t="shared" si="38"/>
        <v>0.02</v>
      </c>
      <c r="AM86" s="1046">
        <v>16.736000000000001</v>
      </c>
      <c r="AN86" s="1026">
        <f t="shared" si="39"/>
        <v>17</v>
      </c>
      <c r="AO86" s="1046">
        <v>0.35599999999999998</v>
      </c>
      <c r="AP86" s="1076" t="str">
        <f t="shared" si="40"/>
        <v>*</v>
      </c>
    </row>
    <row r="87" spans="1:42">
      <c r="A87" s="1079" t="s">
        <v>325</v>
      </c>
      <c r="B87" s="1032" t="s">
        <v>122</v>
      </c>
      <c r="C87" s="1024">
        <v>88.42</v>
      </c>
      <c r="D87" s="1025">
        <f t="shared" si="28"/>
        <v>90</v>
      </c>
      <c r="E87" s="1024">
        <v>5.1999999999999998E-2</v>
      </c>
      <c r="F87" s="1026">
        <f t="shared" si="41"/>
        <v>0</v>
      </c>
      <c r="G87" s="1024">
        <v>6.0000000000000001E-3</v>
      </c>
      <c r="H87" s="1027">
        <f t="shared" si="43"/>
        <v>0</v>
      </c>
      <c r="I87" s="1024">
        <v>6.0000000000000001E-3</v>
      </c>
      <c r="J87" s="1028">
        <f t="shared" si="44"/>
        <v>0</v>
      </c>
      <c r="K87" s="1024">
        <v>0</v>
      </c>
      <c r="L87" s="1026">
        <f t="shared" si="29"/>
        <v>0</v>
      </c>
      <c r="M87" s="1024">
        <v>0</v>
      </c>
      <c r="N87" s="1029">
        <v>0</v>
      </c>
      <c r="O87" s="1024">
        <v>17.913</v>
      </c>
      <c r="P87" s="1025">
        <f t="shared" si="30"/>
        <v>20</v>
      </c>
      <c r="Q87" s="1024">
        <v>31.009</v>
      </c>
      <c r="R87" s="1025">
        <f t="shared" si="31"/>
        <v>31</v>
      </c>
      <c r="S87" s="1024">
        <v>2.3E-2</v>
      </c>
      <c r="T87" s="1025">
        <v>0</v>
      </c>
      <c r="U87" s="1024">
        <v>6.0999999999999999E-2</v>
      </c>
      <c r="V87" s="1082">
        <v>0</v>
      </c>
      <c r="W87" s="1024">
        <v>0</v>
      </c>
      <c r="X87" s="1082">
        <v>0</v>
      </c>
      <c r="Y87" s="1024">
        <v>0.25</v>
      </c>
      <c r="Z87" s="1025">
        <v>0</v>
      </c>
      <c r="AA87" s="1069">
        <v>0</v>
      </c>
      <c r="AB87" s="1026">
        <f t="shared" si="33"/>
        <v>0</v>
      </c>
      <c r="AC87" s="1073">
        <v>0</v>
      </c>
      <c r="AD87" s="1076" t="str">
        <f t="shared" si="34"/>
        <v>*</v>
      </c>
      <c r="AE87" s="1046">
        <v>6.0519999999999996</v>
      </c>
      <c r="AF87" s="1026">
        <f t="shared" si="35"/>
        <v>6</v>
      </c>
      <c r="AG87" s="1046">
        <v>0.46600000000000003</v>
      </c>
      <c r="AH87" s="1076" t="str">
        <f t="shared" si="36"/>
        <v>*</v>
      </c>
      <c r="AI87" s="1046">
        <v>4.1000000000000002E-2</v>
      </c>
      <c r="AJ87" s="1026">
        <f t="shared" si="37"/>
        <v>0</v>
      </c>
      <c r="AK87" s="1046">
        <v>0.22700000000000001</v>
      </c>
      <c r="AL87" s="1076" t="str">
        <f t="shared" si="38"/>
        <v>*</v>
      </c>
      <c r="AM87" s="1046">
        <v>13.71</v>
      </c>
      <c r="AN87" s="1026">
        <f t="shared" si="39"/>
        <v>14</v>
      </c>
      <c r="AO87" s="1046">
        <v>0.29199999999999998</v>
      </c>
      <c r="AP87" s="1076" t="str">
        <f t="shared" si="40"/>
        <v>*</v>
      </c>
    </row>
    <row r="88" spans="1:42">
      <c r="A88" s="1079" t="s">
        <v>325</v>
      </c>
      <c r="B88" s="1032" t="s">
        <v>123</v>
      </c>
      <c r="C88" s="1024">
        <v>88.307000000000002</v>
      </c>
      <c r="D88" s="1025">
        <f t="shared" si="28"/>
        <v>90</v>
      </c>
      <c r="E88" s="1024">
        <v>0</v>
      </c>
      <c r="F88" s="1026">
        <f t="shared" si="41"/>
        <v>0</v>
      </c>
      <c r="G88" s="1024">
        <v>6.0000000000000001E-3</v>
      </c>
      <c r="H88" s="1027">
        <f t="shared" si="43"/>
        <v>0</v>
      </c>
      <c r="I88" s="1024">
        <v>6.0000000000000001E-3</v>
      </c>
      <c r="J88" s="1028">
        <f t="shared" si="44"/>
        <v>0</v>
      </c>
      <c r="K88" s="1024">
        <v>0</v>
      </c>
      <c r="L88" s="1026">
        <f t="shared" si="29"/>
        <v>0</v>
      </c>
      <c r="M88" s="1024">
        <v>0</v>
      </c>
      <c r="N88" s="1029">
        <v>0</v>
      </c>
      <c r="O88" s="1024">
        <v>18.916</v>
      </c>
      <c r="P88" s="1025">
        <f t="shared" si="30"/>
        <v>20</v>
      </c>
      <c r="Q88" s="1024">
        <v>30.908999999999999</v>
      </c>
      <c r="R88" s="1025">
        <f t="shared" si="31"/>
        <v>31</v>
      </c>
      <c r="S88" s="1024">
        <v>6.0000000000000001E-3</v>
      </c>
      <c r="T88" s="1025">
        <v>0</v>
      </c>
      <c r="U88" s="1024">
        <v>6.2E-2</v>
      </c>
      <c r="V88" s="1082">
        <v>0</v>
      </c>
      <c r="W88" s="1024">
        <v>0</v>
      </c>
      <c r="X88" s="1082">
        <v>0</v>
      </c>
      <c r="Y88" s="1024">
        <v>1.7999999999999999E-2</v>
      </c>
      <c r="Z88" s="1025">
        <v>0</v>
      </c>
      <c r="AA88" s="1069">
        <v>0</v>
      </c>
      <c r="AB88" s="1026">
        <f t="shared" si="33"/>
        <v>0</v>
      </c>
      <c r="AC88" s="1073">
        <v>0</v>
      </c>
      <c r="AD88" s="1076" t="str">
        <f t="shared" si="34"/>
        <v>*</v>
      </c>
      <c r="AE88" s="1046">
        <v>0</v>
      </c>
      <c r="AF88" s="1026">
        <f t="shared" si="35"/>
        <v>0</v>
      </c>
      <c r="AG88" s="1046">
        <v>0</v>
      </c>
      <c r="AH88" s="1076" t="str">
        <f t="shared" si="36"/>
        <v>*</v>
      </c>
      <c r="AI88" s="1046">
        <v>0</v>
      </c>
      <c r="AJ88" s="1026">
        <f t="shared" si="37"/>
        <v>0</v>
      </c>
      <c r="AK88" s="1046">
        <v>0</v>
      </c>
      <c r="AL88" s="1076" t="str">
        <f t="shared" si="38"/>
        <v>*</v>
      </c>
      <c r="AM88" s="1046">
        <v>0</v>
      </c>
      <c r="AN88" s="1026">
        <f t="shared" si="39"/>
        <v>0</v>
      </c>
      <c r="AO88" s="1046">
        <v>0</v>
      </c>
      <c r="AP88" s="1076" t="str">
        <f t="shared" si="40"/>
        <v>*</v>
      </c>
    </row>
    <row r="89" spans="1:42" s="1038" customFormat="1">
      <c r="A89" s="1079" t="s">
        <v>325</v>
      </c>
      <c r="B89" s="1032" t="s">
        <v>326</v>
      </c>
      <c r="C89" s="1043">
        <v>87.744</v>
      </c>
      <c r="D89" s="1025">
        <f t="shared" si="28"/>
        <v>90</v>
      </c>
      <c r="E89" s="1043">
        <v>6.3E-2</v>
      </c>
      <c r="F89" s="1026">
        <f t="shared" si="41"/>
        <v>0</v>
      </c>
      <c r="G89" s="1043">
        <v>7.0000000000000001E-3</v>
      </c>
      <c r="H89" s="1027">
        <f t="shared" si="43"/>
        <v>0</v>
      </c>
      <c r="I89" s="1043">
        <v>6.0000000000000001E-3</v>
      </c>
      <c r="J89" s="1028">
        <f t="shared" si="44"/>
        <v>0</v>
      </c>
      <c r="K89" s="1043">
        <v>0</v>
      </c>
      <c r="L89" s="1026">
        <f t="shared" si="29"/>
        <v>0</v>
      </c>
      <c r="M89" s="1043">
        <v>0</v>
      </c>
      <c r="N89" s="1029">
        <v>0</v>
      </c>
      <c r="O89" s="1043">
        <v>18.341999999999999</v>
      </c>
      <c r="P89" s="1025">
        <f t="shared" si="30"/>
        <v>20</v>
      </c>
      <c r="Q89" s="1043">
        <v>30.591999999999999</v>
      </c>
      <c r="R89" s="1025">
        <f t="shared" si="31"/>
        <v>31</v>
      </c>
      <c r="S89" s="1043">
        <v>1.2E-2</v>
      </c>
      <c r="T89" s="1025">
        <v>0</v>
      </c>
      <c r="U89" s="1043">
        <v>0.109</v>
      </c>
      <c r="V89" s="1082">
        <v>0</v>
      </c>
      <c r="W89" s="1043">
        <v>0</v>
      </c>
      <c r="X89" s="1082">
        <v>0</v>
      </c>
      <c r="Y89" s="1043">
        <v>8.9999999999999993E-3</v>
      </c>
      <c r="Z89" s="1025">
        <v>0</v>
      </c>
      <c r="AA89" s="1073">
        <v>0</v>
      </c>
      <c r="AB89" s="1026">
        <f t="shared" si="33"/>
        <v>0</v>
      </c>
      <c r="AC89" s="1073">
        <v>0</v>
      </c>
      <c r="AD89" s="1076" t="str">
        <f t="shared" si="34"/>
        <v>*</v>
      </c>
      <c r="AE89" s="1046">
        <v>8.5449999999999999</v>
      </c>
      <c r="AF89" s="1026">
        <f t="shared" si="35"/>
        <v>9</v>
      </c>
      <c r="AG89" s="1045">
        <v>0.68700000000000006</v>
      </c>
      <c r="AH89" s="1076" t="str">
        <f t="shared" si="36"/>
        <v>*</v>
      </c>
      <c r="AI89" s="1045">
        <v>0.60599999999999998</v>
      </c>
      <c r="AJ89" s="1026">
        <f t="shared" si="37"/>
        <v>1</v>
      </c>
      <c r="AK89" s="1045">
        <v>3.3690000000000002</v>
      </c>
      <c r="AL89" s="1076">
        <f t="shared" si="38"/>
        <v>0.04</v>
      </c>
      <c r="AM89" s="1045">
        <v>39.716000000000001</v>
      </c>
      <c r="AN89" s="1026">
        <f t="shared" si="39"/>
        <v>40</v>
      </c>
      <c r="AO89" s="1045">
        <v>0.84499999999999997</v>
      </c>
      <c r="AP89" s="1076" t="str">
        <f t="shared" si="40"/>
        <v>*</v>
      </c>
    </row>
    <row r="90" spans="1:42" s="1039" customFormat="1">
      <c r="A90" s="1079" t="s">
        <v>325</v>
      </c>
      <c r="B90" s="1032" t="s">
        <v>124</v>
      </c>
      <c r="C90" s="1024">
        <v>84.572000000000003</v>
      </c>
      <c r="D90" s="1025">
        <f t="shared" si="28"/>
        <v>80</v>
      </c>
      <c r="E90" s="1024">
        <v>7.1999999999999995E-2</v>
      </c>
      <c r="F90" s="1026">
        <f t="shared" si="41"/>
        <v>0</v>
      </c>
      <c r="G90" s="1024">
        <v>8.0000000000000002E-3</v>
      </c>
      <c r="H90" s="1027">
        <f t="shared" si="43"/>
        <v>0</v>
      </c>
      <c r="I90" s="1024">
        <v>6.0000000000000001E-3</v>
      </c>
      <c r="J90" s="1028">
        <f t="shared" si="44"/>
        <v>0</v>
      </c>
      <c r="K90" s="1024">
        <v>0</v>
      </c>
      <c r="L90" s="1026">
        <f t="shared" si="29"/>
        <v>0</v>
      </c>
      <c r="M90" s="1024">
        <v>0</v>
      </c>
      <c r="N90" s="1029">
        <v>0</v>
      </c>
      <c r="O90" s="1024">
        <v>17.513000000000002</v>
      </c>
      <c r="P90" s="1025">
        <f t="shared" si="30"/>
        <v>20</v>
      </c>
      <c r="Q90" s="1024">
        <v>29.638000000000002</v>
      </c>
      <c r="R90" s="1025">
        <f t="shared" si="31"/>
        <v>30</v>
      </c>
      <c r="S90" s="1024">
        <v>1.7000000000000001E-2</v>
      </c>
      <c r="T90" s="1025">
        <v>0</v>
      </c>
      <c r="U90" s="1024">
        <v>0.151</v>
      </c>
      <c r="V90" s="1082">
        <v>0</v>
      </c>
      <c r="W90" s="1024">
        <v>0</v>
      </c>
      <c r="X90" s="1082">
        <v>0</v>
      </c>
      <c r="Y90" s="1024">
        <v>0</v>
      </c>
      <c r="Z90" s="1025">
        <v>0</v>
      </c>
      <c r="AA90" s="1073">
        <v>0</v>
      </c>
      <c r="AB90" s="1026">
        <f t="shared" si="33"/>
        <v>0</v>
      </c>
      <c r="AC90" s="1073">
        <v>0</v>
      </c>
      <c r="AD90" s="1076" t="str">
        <f t="shared" si="34"/>
        <v>*</v>
      </c>
      <c r="AE90" s="1046">
        <v>10.151999999999999</v>
      </c>
      <c r="AF90" s="1026">
        <f t="shared" si="35"/>
        <v>10</v>
      </c>
      <c r="AG90" s="1046">
        <v>0.78100000000000003</v>
      </c>
      <c r="AH90" s="1076" t="str">
        <f t="shared" si="36"/>
        <v>*</v>
      </c>
      <c r="AI90" s="1046">
        <v>0.13600000000000001</v>
      </c>
      <c r="AJ90" s="1026">
        <f t="shared" si="37"/>
        <v>0</v>
      </c>
      <c r="AK90" s="1046">
        <v>0.753</v>
      </c>
      <c r="AL90" s="1076" t="str">
        <f t="shared" si="38"/>
        <v>*</v>
      </c>
      <c r="AM90" s="1046">
        <v>14.914999999999999</v>
      </c>
      <c r="AN90" s="1026">
        <f t="shared" si="39"/>
        <v>15</v>
      </c>
      <c r="AO90" s="1046">
        <v>0.317</v>
      </c>
      <c r="AP90" s="1076" t="str">
        <f t="shared" si="40"/>
        <v>*</v>
      </c>
    </row>
    <row r="91" spans="1:42" s="1038" customFormat="1">
      <c r="A91" s="1079" t="s">
        <v>325</v>
      </c>
      <c r="B91" s="1032" t="s">
        <v>327</v>
      </c>
      <c r="C91" s="1043">
        <v>116.23699999999999</v>
      </c>
      <c r="D91" s="1025">
        <f t="shared" si="28"/>
        <v>120</v>
      </c>
      <c r="E91" s="1043">
        <v>0</v>
      </c>
      <c r="F91" s="1026">
        <f t="shared" si="41"/>
        <v>0</v>
      </c>
      <c r="G91" s="1043">
        <v>0</v>
      </c>
      <c r="H91" s="1027">
        <f t="shared" si="43"/>
        <v>0</v>
      </c>
      <c r="I91" s="1043">
        <v>0</v>
      </c>
      <c r="J91" s="1028">
        <f t="shared" si="44"/>
        <v>0</v>
      </c>
      <c r="K91" s="1043">
        <v>0</v>
      </c>
      <c r="L91" s="1026">
        <f t="shared" si="29"/>
        <v>0</v>
      </c>
      <c r="M91" s="1043">
        <v>0</v>
      </c>
      <c r="N91" s="1029">
        <v>0</v>
      </c>
      <c r="O91" s="1043">
        <v>18.058</v>
      </c>
      <c r="P91" s="1025">
        <f t="shared" si="30"/>
        <v>20</v>
      </c>
      <c r="Q91" s="1043">
        <v>30.41</v>
      </c>
      <c r="R91" s="1025">
        <f t="shared" si="31"/>
        <v>30</v>
      </c>
      <c r="S91" s="1043">
        <v>0.20599999999999999</v>
      </c>
      <c r="T91" s="1025">
        <v>0</v>
      </c>
      <c r="U91" s="1043">
        <v>0</v>
      </c>
      <c r="V91" s="1082">
        <v>0</v>
      </c>
      <c r="W91" s="1043">
        <v>0</v>
      </c>
      <c r="X91" s="1082">
        <v>0</v>
      </c>
      <c r="Y91" s="1043">
        <v>0.02</v>
      </c>
      <c r="Z91" s="1025">
        <v>0</v>
      </c>
      <c r="AA91" s="1073">
        <v>0</v>
      </c>
      <c r="AB91" s="1026">
        <f t="shared" si="33"/>
        <v>0</v>
      </c>
      <c r="AC91" s="1073">
        <v>0</v>
      </c>
      <c r="AD91" s="1076" t="str">
        <f t="shared" si="34"/>
        <v>*</v>
      </c>
      <c r="AE91" s="1046">
        <v>6.3719999999999999</v>
      </c>
      <c r="AF91" s="1026">
        <f t="shared" si="35"/>
        <v>6</v>
      </c>
      <c r="AG91" s="1046">
        <v>0.49</v>
      </c>
      <c r="AH91" s="1076" t="str">
        <f t="shared" si="36"/>
        <v>*</v>
      </c>
      <c r="AI91" s="1046">
        <v>4.7E-2</v>
      </c>
      <c r="AJ91" s="1026">
        <f t="shared" si="37"/>
        <v>0</v>
      </c>
      <c r="AK91" s="1046">
        <v>0.26200000000000001</v>
      </c>
      <c r="AL91" s="1076" t="str">
        <f t="shared" si="38"/>
        <v>*</v>
      </c>
      <c r="AM91" s="1046">
        <v>0.67400000000000004</v>
      </c>
      <c r="AN91" s="1026">
        <f t="shared" si="39"/>
        <v>1</v>
      </c>
      <c r="AO91" s="1046">
        <v>1.4E-2</v>
      </c>
      <c r="AP91" s="1076" t="str">
        <f t="shared" si="40"/>
        <v>*</v>
      </c>
    </row>
    <row r="92" spans="1:42">
      <c r="A92" s="1079" t="s">
        <v>325</v>
      </c>
      <c r="B92" s="1032" t="s">
        <v>127</v>
      </c>
      <c r="C92" s="1024">
        <v>89.338999999999999</v>
      </c>
      <c r="D92" s="1025">
        <f t="shared" si="28"/>
        <v>90</v>
      </c>
      <c r="E92" s="1024">
        <v>5.1999999999999998E-2</v>
      </c>
      <c r="F92" s="1026">
        <f t="shared" si="41"/>
        <v>0</v>
      </c>
      <c r="G92" s="1024">
        <v>6.0000000000000001E-3</v>
      </c>
      <c r="H92" s="1027">
        <f t="shared" si="43"/>
        <v>0</v>
      </c>
      <c r="I92" s="1024">
        <v>0</v>
      </c>
      <c r="J92" s="1028">
        <f t="shared" si="44"/>
        <v>0</v>
      </c>
      <c r="K92" s="1024">
        <v>0</v>
      </c>
      <c r="L92" s="1026">
        <f t="shared" si="29"/>
        <v>0</v>
      </c>
      <c r="M92" s="1024">
        <v>0</v>
      </c>
      <c r="N92" s="1029">
        <v>0</v>
      </c>
      <c r="O92" s="1024">
        <v>26.792000000000002</v>
      </c>
      <c r="P92" s="1025">
        <f t="shared" si="30"/>
        <v>25</v>
      </c>
      <c r="Q92" s="1024">
        <v>30.853999999999999</v>
      </c>
      <c r="R92" s="1025">
        <f t="shared" si="31"/>
        <v>31</v>
      </c>
      <c r="S92" s="1024">
        <v>0</v>
      </c>
      <c r="T92" s="1025">
        <v>0</v>
      </c>
      <c r="U92" s="1024">
        <v>6.0999999999999999E-2</v>
      </c>
      <c r="V92" s="1082">
        <v>0</v>
      </c>
      <c r="W92" s="1024">
        <v>0</v>
      </c>
      <c r="X92" s="1082">
        <v>0</v>
      </c>
      <c r="Y92" s="1024">
        <v>0.01</v>
      </c>
      <c r="Z92" s="1025">
        <v>0</v>
      </c>
      <c r="AA92" s="1073">
        <v>0</v>
      </c>
      <c r="AB92" s="1026">
        <f t="shared" si="33"/>
        <v>0</v>
      </c>
      <c r="AC92" s="1073">
        <v>0</v>
      </c>
      <c r="AD92" s="1076" t="str">
        <f t="shared" si="34"/>
        <v>*</v>
      </c>
      <c r="AE92" s="1046">
        <v>7.2350000000000003</v>
      </c>
      <c r="AF92" s="1026">
        <f t="shared" si="35"/>
        <v>7</v>
      </c>
      <c r="AG92" s="1046">
        <v>0.55700000000000005</v>
      </c>
      <c r="AH92" s="1076" t="str">
        <f t="shared" si="36"/>
        <v>*</v>
      </c>
      <c r="AI92" s="1046">
        <v>0.03</v>
      </c>
      <c r="AJ92" s="1026">
        <f t="shared" si="37"/>
        <v>0</v>
      </c>
      <c r="AK92" s="1046">
        <v>0.16700000000000001</v>
      </c>
      <c r="AL92" s="1076" t="str">
        <f t="shared" si="38"/>
        <v>*</v>
      </c>
      <c r="AM92" s="1046">
        <v>9.0220000000000002</v>
      </c>
      <c r="AN92" s="1026">
        <f t="shared" si="39"/>
        <v>9</v>
      </c>
      <c r="AO92" s="1046">
        <v>0.192</v>
      </c>
      <c r="AP92" s="1076" t="str">
        <f t="shared" si="40"/>
        <v>*</v>
      </c>
    </row>
    <row r="93" spans="1:42" s="1039" customFormat="1" ht="6" customHeight="1">
      <c r="B93" s="1053"/>
      <c r="C93" s="1054"/>
      <c r="E93" s="1055"/>
      <c r="G93" s="1055"/>
      <c r="H93" s="1056"/>
      <c r="I93" s="1055"/>
      <c r="J93" s="1057"/>
      <c r="K93" s="1055"/>
      <c r="M93" s="1058"/>
      <c r="O93" s="1059"/>
      <c r="Q93" s="1058"/>
      <c r="R93" s="1060"/>
      <c r="S93" s="1055"/>
      <c r="U93" s="1058"/>
      <c r="W93" s="1055"/>
      <c r="Y93" s="1055"/>
      <c r="AA93" s="1074"/>
      <c r="AC93" s="1074"/>
      <c r="AD93" s="1056"/>
      <c r="AE93" s="1055"/>
      <c r="AF93" s="1056"/>
      <c r="AG93" s="1055"/>
      <c r="AH93" s="1056"/>
      <c r="AI93" s="1055"/>
      <c r="AJ93" s="1056"/>
      <c r="AK93" s="1055"/>
      <c r="AL93" s="1056"/>
      <c r="AM93" s="1055"/>
      <c r="AN93" s="1056"/>
      <c r="AO93" s="1055"/>
      <c r="AP93" s="1056"/>
    </row>
    <row r="94" spans="1:42">
      <c r="A94" s="1203" t="s">
        <v>328</v>
      </c>
      <c r="B94" s="1203"/>
      <c r="C94" s="1203"/>
      <c r="D94" s="1203"/>
    </row>
    <row r="95" spans="1:42" ht="6" customHeight="1"/>
    <row r="96" spans="1:42" ht="15.75" customHeight="1">
      <c r="A96" s="1204" t="s">
        <v>168</v>
      </c>
      <c r="B96" s="1204"/>
      <c r="C96" s="1204"/>
      <c r="D96" s="1204"/>
      <c r="E96" s="1204"/>
      <c r="F96" s="1204"/>
      <c r="G96" s="1204"/>
      <c r="H96" s="1204"/>
      <c r="I96" s="1204"/>
      <c r="J96" s="1204"/>
      <c r="K96" s="1204"/>
      <c r="L96" s="1204"/>
      <c r="M96" s="1204"/>
      <c r="N96" s="1204"/>
      <c r="O96" s="1204"/>
      <c r="P96" s="1204"/>
      <c r="Q96" s="1204"/>
      <c r="R96" s="1204"/>
      <c r="S96" s="1204"/>
      <c r="T96" s="1204"/>
      <c r="U96" s="1204"/>
      <c r="V96" s="1204"/>
      <c r="W96" s="1204"/>
      <c r="X96" s="1204"/>
      <c r="Y96" s="1204"/>
      <c r="Z96" s="1204"/>
      <c r="AA96" s="1204"/>
      <c r="AB96" s="1204"/>
      <c r="AC96" s="1204"/>
      <c r="AD96" s="1204"/>
      <c r="AE96" s="1204"/>
      <c r="AF96" s="1204"/>
      <c r="AG96" s="1204"/>
      <c r="AH96" s="1204"/>
      <c r="AI96" s="1204"/>
      <c r="AJ96" s="1204"/>
      <c r="AK96" s="1204"/>
      <c r="AL96" s="1204"/>
      <c r="AM96" s="1204"/>
      <c r="AN96" s="1204"/>
      <c r="AO96" s="1204"/>
      <c r="AP96" s="1204"/>
    </row>
    <row r="97" spans="1:42">
      <c r="A97" s="1204"/>
      <c r="B97" s="1204"/>
      <c r="C97" s="1204"/>
      <c r="D97" s="1204"/>
      <c r="E97" s="1204"/>
      <c r="F97" s="1204"/>
      <c r="G97" s="1204"/>
      <c r="H97" s="1204"/>
      <c r="I97" s="1204"/>
      <c r="J97" s="1204"/>
      <c r="K97" s="1204"/>
      <c r="L97" s="1204"/>
      <c r="M97" s="1204"/>
      <c r="N97" s="1204"/>
      <c r="O97" s="1204"/>
      <c r="P97" s="1204"/>
      <c r="Q97" s="1204"/>
      <c r="R97" s="1204"/>
      <c r="S97" s="1204"/>
      <c r="T97" s="1204"/>
      <c r="U97" s="1204"/>
      <c r="V97" s="1204"/>
      <c r="W97" s="1204"/>
      <c r="X97" s="1204"/>
      <c r="Y97" s="1204"/>
      <c r="Z97" s="1204"/>
      <c r="AA97" s="1204"/>
      <c r="AB97" s="1204"/>
      <c r="AC97" s="1204"/>
      <c r="AD97" s="1204"/>
      <c r="AE97" s="1204"/>
      <c r="AF97" s="1204"/>
      <c r="AG97" s="1204"/>
      <c r="AH97" s="1204"/>
      <c r="AI97" s="1204"/>
      <c r="AJ97" s="1204"/>
      <c r="AK97" s="1204"/>
      <c r="AL97" s="1204"/>
      <c r="AM97" s="1204"/>
      <c r="AN97" s="1204"/>
      <c r="AO97" s="1204"/>
      <c r="AP97" s="1204"/>
    </row>
    <row r="98" spans="1:42">
      <c r="A98" s="1087"/>
      <c r="B98" s="1087"/>
      <c r="C98" s="1087"/>
      <c r="D98" s="1087"/>
      <c r="E98" s="1087"/>
      <c r="F98" s="1087"/>
      <c r="G98" s="1087"/>
      <c r="H98" s="1087"/>
      <c r="I98" s="1087"/>
      <c r="J98" s="1087"/>
      <c r="K98" s="1087"/>
      <c r="L98" s="1087"/>
      <c r="M98" s="1087"/>
      <c r="N98" s="1087"/>
      <c r="O98" s="1087"/>
      <c r="P98" s="1087"/>
      <c r="Q98" s="1087"/>
      <c r="R98" s="1087"/>
      <c r="S98" s="1087"/>
      <c r="T98" s="1087"/>
      <c r="U98" s="1087"/>
      <c r="V98" s="1087"/>
      <c r="W98" s="1087"/>
      <c r="X98" s="1087"/>
      <c r="Y98" s="1087"/>
      <c r="Z98" s="1087"/>
      <c r="AA98" s="1087"/>
      <c r="AB98" s="1087"/>
      <c r="AC98" s="1087"/>
      <c r="AD98" s="1087"/>
      <c r="AE98" s="1087"/>
      <c r="AF98" s="1087"/>
      <c r="AG98" s="1087"/>
      <c r="AH98" s="1087"/>
      <c r="AI98" s="1087"/>
      <c r="AJ98" s="1087"/>
      <c r="AK98" s="1087"/>
      <c r="AL98" s="1087"/>
      <c r="AM98" s="1087"/>
      <c r="AN98" s="1087"/>
      <c r="AO98" s="1087"/>
      <c r="AP98" s="1087"/>
    </row>
    <row r="99" spans="1:42">
      <c r="A99" s="1087"/>
      <c r="B99" s="1087"/>
      <c r="C99" s="1087"/>
      <c r="D99" s="1087"/>
      <c r="E99" s="1087"/>
      <c r="F99" s="1087"/>
      <c r="G99" s="1087"/>
      <c r="H99" s="1087"/>
      <c r="I99" s="1087"/>
      <c r="J99" s="1087"/>
      <c r="K99" s="1087"/>
      <c r="L99" s="1087"/>
      <c r="M99" s="1087"/>
      <c r="N99" s="1087"/>
      <c r="O99" s="1087"/>
      <c r="P99" s="1087"/>
      <c r="Q99" s="1087"/>
      <c r="R99" s="1087"/>
      <c r="S99" s="1087"/>
      <c r="T99" s="1087"/>
      <c r="U99" s="1087"/>
      <c r="V99" s="1087"/>
      <c r="W99" s="1087"/>
      <c r="X99" s="1087"/>
      <c r="Y99" s="1087"/>
      <c r="Z99" s="1087"/>
      <c r="AA99" s="1087"/>
      <c r="AB99" s="1087"/>
      <c r="AC99" s="1087"/>
      <c r="AD99" s="1087"/>
      <c r="AE99" s="1087"/>
      <c r="AF99" s="1087"/>
      <c r="AG99" s="1087"/>
      <c r="AH99" s="1087"/>
      <c r="AI99" s="1087"/>
      <c r="AJ99" s="1087"/>
      <c r="AK99" s="1087"/>
      <c r="AL99" s="1087"/>
      <c r="AM99" s="1087"/>
      <c r="AN99" s="1087"/>
      <c r="AO99" s="1087"/>
      <c r="AP99" s="1087"/>
    </row>
    <row r="100" spans="1:42">
      <c r="A100" s="1087"/>
      <c r="B100" s="1087"/>
      <c r="C100" s="1087"/>
      <c r="D100" s="1087"/>
      <c r="E100" s="1087"/>
      <c r="F100" s="1087"/>
      <c r="G100" s="1087"/>
      <c r="H100" s="1087"/>
      <c r="I100" s="1087"/>
      <c r="J100" s="1087"/>
      <c r="K100" s="1087"/>
      <c r="L100" s="1087"/>
      <c r="M100" s="1087"/>
      <c r="N100" s="1087"/>
      <c r="O100" s="1087"/>
      <c r="P100" s="1087"/>
      <c r="Q100" s="1087"/>
      <c r="R100" s="1087"/>
      <c r="S100" s="1087"/>
      <c r="T100" s="1087"/>
      <c r="U100" s="1087"/>
      <c r="V100" s="1087"/>
      <c r="W100" s="1087"/>
      <c r="X100" s="1087"/>
      <c r="Y100" s="1087"/>
      <c r="Z100" s="1087"/>
      <c r="AA100" s="1087"/>
      <c r="AB100" s="1087"/>
      <c r="AC100" s="1087"/>
      <c r="AD100" s="1087"/>
      <c r="AE100" s="1087"/>
      <c r="AF100" s="1087"/>
      <c r="AG100" s="1087"/>
      <c r="AH100" s="1087"/>
      <c r="AI100" s="1087"/>
      <c r="AJ100" s="1087"/>
      <c r="AK100" s="1087"/>
      <c r="AL100" s="1087"/>
      <c r="AM100" s="1087"/>
      <c r="AN100" s="1087"/>
      <c r="AO100" s="1087"/>
      <c r="AP100" s="1087"/>
    </row>
  </sheetData>
  <sortState xmlns:xlrd2="http://schemas.microsoft.com/office/spreadsheetml/2017/richdata2" ref="A4:AA92">
    <sortCondition ref="A4:A92" customList="Italian Ice,Cream Ice,Sugar Free Ice"/>
  </sortState>
  <mergeCells count="4">
    <mergeCell ref="A94:D94"/>
    <mergeCell ref="A96:AP97"/>
    <mergeCell ref="A1:AP1"/>
    <mergeCell ref="A2:AP2"/>
  </mergeCells>
  <pageMargins left="0.7" right="0.7" top="0.75" bottom="0.75" header="0.3" footer="0.3"/>
  <pageSetup scale="43" fitToHeight="0" orientation="landscape" r:id="rId1"/>
  <headerFooter>
    <oddHeader xml:space="preserve">&amp;R&amp;14 2024 Nutrition Information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V114"/>
  <sheetViews>
    <sheetView view="pageLayout" zoomScale="79" zoomScaleNormal="75" zoomScalePageLayoutView="79" workbookViewId="0">
      <selection activeCell="D21" sqref="D21"/>
    </sheetView>
    <sheetView workbookViewId="1">
      <selection sqref="A1:V1"/>
    </sheetView>
    <sheetView workbookViewId="2">
      <selection sqref="A1:V1"/>
    </sheetView>
  </sheetViews>
  <sheetFormatPr defaultColWidth="8.84375" defaultRowHeight="15.9"/>
  <cols>
    <col min="1" max="1" width="6.53515625" style="179" customWidth="1"/>
    <col min="2" max="2" width="42.84375" style="339" customWidth="1"/>
    <col min="3" max="3" width="10.53515625" style="179" customWidth="1"/>
    <col min="4" max="4" width="12.53515625" style="179" customWidth="1"/>
    <col min="5" max="5" width="8.53515625" style="179" customWidth="1"/>
    <col min="6" max="6" width="14.53515625" style="179" bestFit="1" customWidth="1"/>
    <col min="7" max="7" width="8.53515625" style="179" bestFit="1" customWidth="1"/>
    <col min="8" max="8" width="15.84375" style="179" bestFit="1" customWidth="1"/>
    <col min="9" max="9" width="11.3828125" style="179" bestFit="1" customWidth="1"/>
    <col min="10" max="10" width="21.3828125" style="179" bestFit="1" customWidth="1"/>
    <col min="11" max="11" width="11" style="179" bestFit="1" customWidth="1"/>
    <col min="12" max="12" width="9.15234375" style="179" bestFit="1" customWidth="1"/>
    <col min="13" max="13" width="10.53515625" style="179" bestFit="1" customWidth="1"/>
    <col min="14" max="15" width="11.53515625" style="179" customWidth="1"/>
    <col min="16" max="16" width="14.15234375" style="179" bestFit="1" customWidth="1"/>
    <col min="17" max="17" width="10.53515625" style="179" bestFit="1" customWidth="1"/>
    <col min="18" max="18" width="12" style="179" bestFit="1" customWidth="1"/>
    <col min="19" max="19" width="7.3828125" style="179" bestFit="1" customWidth="1"/>
    <col min="20" max="20" width="10.53515625" style="179" bestFit="1" customWidth="1"/>
    <col min="21" max="21" width="11" style="179" bestFit="1" customWidth="1"/>
    <col min="22" max="22" width="13.84375" style="179" bestFit="1" customWidth="1"/>
    <col min="23" max="16384" width="8.84375" style="179"/>
  </cols>
  <sheetData>
    <row r="1" spans="1:22" ht="22.5" customHeight="1">
      <c r="A1" s="1207" t="s">
        <v>177</v>
      </c>
      <c r="B1" s="1208"/>
      <c r="C1" s="1208"/>
      <c r="D1" s="1208"/>
      <c r="E1" s="1208"/>
      <c r="F1" s="1208"/>
      <c r="G1" s="1208"/>
      <c r="H1" s="1208"/>
      <c r="I1" s="1208"/>
      <c r="J1" s="1208"/>
      <c r="K1" s="1208"/>
      <c r="L1" s="1208"/>
      <c r="M1" s="1208"/>
      <c r="N1" s="1208"/>
      <c r="O1" s="1208"/>
      <c r="P1" s="1208"/>
      <c r="Q1" s="1208"/>
      <c r="R1" s="1208"/>
      <c r="S1" s="1208"/>
      <c r="T1" s="1208"/>
      <c r="U1" s="1208"/>
      <c r="V1" s="1208"/>
    </row>
    <row r="2" spans="1:22" ht="18" customHeight="1" thickBot="1">
      <c r="A2" s="1209" t="s">
        <v>329</v>
      </c>
      <c r="B2" s="1210"/>
      <c r="C2" s="1210"/>
      <c r="D2" s="1210"/>
      <c r="E2" s="1210"/>
      <c r="F2" s="1210"/>
      <c r="G2" s="1210"/>
      <c r="H2" s="1210"/>
      <c r="I2" s="1210"/>
      <c r="J2" s="1210"/>
      <c r="K2" s="1210"/>
      <c r="L2" s="1210"/>
      <c r="M2" s="1210"/>
      <c r="N2" s="1210"/>
      <c r="O2" s="1210"/>
      <c r="P2" s="1210"/>
      <c r="Q2" s="1210"/>
      <c r="R2" s="1210"/>
      <c r="S2" s="1210"/>
      <c r="T2" s="1210"/>
      <c r="U2" s="1210"/>
      <c r="V2" s="1210"/>
    </row>
    <row r="3" spans="1:22" s="223" customFormat="1" ht="37.5" customHeight="1" thickBot="1">
      <c r="A3" s="250"/>
      <c r="B3" s="335" t="s">
        <v>3</v>
      </c>
      <c r="C3" s="214" t="s">
        <v>4</v>
      </c>
      <c r="D3" s="214" t="s">
        <v>5</v>
      </c>
      <c r="E3" s="214" t="s">
        <v>6</v>
      </c>
      <c r="F3" s="214" t="s">
        <v>7</v>
      </c>
      <c r="G3" s="214" t="s">
        <v>8</v>
      </c>
      <c r="H3" s="214" t="s">
        <v>9</v>
      </c>
      <c r="I3" s="214" t="s">
        <v>10</v>
      </c>
      <c r="J3" s="214" t="s">
        <v>11</v>
      </c>
      <c r="K3" s="214" t="s">
        <v>12</v>
      </c>
      <c r="L3" s="214" t="s">
        <v>13</v>
      </c>
      <c r="M3" s="214" t="s">
        <v>14</v>
      </c>
      <c r="N3" s="214" t="s">
        <v>15</v>
      </c>
      <c r="O3" s="215" t="s">
        <v>16</v>
      </c>
      <c r="P3" s="215" t="s">
        <v>17</v>
      </c>
      <c r="Q3" s="215" t="s">
        <v>18</v>
      </c>
      <c r="R3" s="215" t="s">
        <v>19</v>
      </c>
      <c r="S3" s="267" t="s">
        <v>20</v>
      </c>
      <c r="T3" s="267" t="s">
        <v>21</v>
      </c>
      <c r="U3" s="215" t="s">
        <v>22</v>
      </c>
      <c r="V3" s="215" t="s">
        <v>23</v>
      </c>
    </row>
    <row r="4" spans="1:22" s="223" customFormat="1" ht="15.75" customHeight="1">
      <c r="A4" s="1211" t="s">
        <v>24</v>
      </c>
      <c r="B4" s="336" t="s">
        <v>25</v>
      </c>
      <c r="C4" s="308">
        <v>250</v>
      </c>
      <c r="D4" s="308">
        <v>0</v>
      </c>
      <c r="E4" s="308">
        <v>0</v>
      </c>
      <c r="F4" s="308">
        <v>0</v>
      </c>
      <c r="G4" s="308">
        <v>0</v>
      </c>
      <c r="H4" s="308">
        <v>0</v>
      </c>
      <c r="I4" s="308">
        <v>45</v>
      </c>
      <c r="J4" s="308">
        <v>63</v>
      </c>
      <c r="K4" s="308">
        <v>0</v>
      </c>
      <c r="L4" s="308">
        <v>60</v>
      </c>
      <c r="M4" s="308">
        <v>58</v>
      </c>
      <c r="N4" s="308">
        <v>0</v>
      </c>
      <c r="O4" s="308">
        <v>1</v>
      </c>
      <c r="P4" s="308">
        <v>6</v>
      </c>
      <c r="Q4" s="308">
        <v>9</v>
      </c>
      <c r="R4" s="308">
        <v>0</v>
      </c>
      <c r="S4" s="308">
        <v>0</v>
      </c>
      <c r="T4" s="308">
        <v>0</v>
      </c>
      <c r="U4" s="308">
        <v>22</v>
      </c>
      <c r="V4" s="308">
        <v>0</v>
      </c>
    </row>
    <row r="5" spans="1:22" s="223" customFormat="1" ht="15" customHeight="1">
      <c r="A5" s="1199"/>
      <c r="B5" s="333" t="s">
        <v>26</v>
      </c>
      <c r="C5" s="195">
        <v>290</v>
      </c>
      <c r="D5" s="195">
        <v>5</v>
      </c>
      <c r="E5" s="195">
        <v>0.5</v>
      </c>
      <c r="F5" s="195">
        <v>0.5</v>
      </c>
      <c r="G5" s="195">
        <v>0</v>
      </c>
      <c r="H5" s="195">
        <v>0</v>
      </c>
      <c r="I5" s="195">
        <v>35</v>
      </c>
      <c r="J5" s="195">
        <v>74</v>
      </c>
      <c r="K5" s="195">
        <v>0</v>
      </c>
      <c r="L5" s="195">
        <v>71</v>
      </c>
      <c r="M5" s="195">
        <v>69</v>
      </c>
      <c r="N5" s="195">
        <v>0</v>
      </c>
      <c r="O5" s="188">
        <v>0</v>
      </c>
      <c r="P5" s="188">
        <v>0</v>
      </c>
      <c r="Q5" s="188">
        <v>8</v>
      </c>
      <c r="R5" s="188">
        <v>0</v>
      </c>
      <c r="S5" s="188">
        <v>0</v>
      </c>
      <c r="T5" s="188">
        <v>0</v>
      </c>
      <c r="U5" s="188">
        <v>58</v>
      </c>
      <c r="V5" s="188">
        <v>2</v>
      </c>
    </row>
    <row r="6" spans="1:22" hidden="1">
      <c r="A6" s="1199"/>
      <c r="B6" s="333" t="s">
        <v>27</v>
      </c>
      <c r="C6" s="195">
        <v>210</v>
      </c>
      <c r="D6" s="195">
        <v>0</v>
      </c>
      <c r="E6" s="195">
        <v>0</v>
      </c>
      <c r="F6" s="195">
        <v>0</v>
      </c>
      <c r="G6" s="195">
        <v>0</v>
      </c>
      <c r="H6" s="195">
        <v>0</v>
      </c>
      <c r="I6" s="195">
        <v>30</v>
      </c>
      <c r="J6" s="195">
        <v>53</v>
      </c>
      <c r="K6" s="195">
        <v>0</v>
      </c>
      <c r="L6" s="195">
        <v>50</v>
      </c>
      <c r="M6" s="195">
        <v>50</v>
      </c>
      <c r="N6" s="195">
        <v>0</v>
      </c>
      <c r="O6" s="195">
        <v>0</v>
      </c>
      <c r="P6" s="195">
        <v>0</v>
      </c>
      <c r="Q6" s="195">
        <v>7.9637099999999998</v>
      </c>
      <c r="R6" s="195">
        <v>0</v>
      </c>
      <c r="S6" s="195">
        <v>9.4400000000000005E-3</v>
      </c>
      <c r="T6" s="195">
        <v>0</v>
      </c>
      <c r="U6" s="195">
        <v>0</v>
      </c>
      <c r="V6" s="195">
        <v>0</v>
      </c>
    </row>
    <row r="7" spans="1:22">
      <c r="A7" s="1199"/>
      <c r="B7" s="333" t="s">
        <v>28</v>
      </c>
      <c r="C7" s="195">
        <v>240</v>
      </c>
      <c r="D7" s="195">
        <v>0</v>
      </c>
      <c r="E7" s="195">
        <v>0</v>
      </c>
      <c r="F7" s="195">
        <v>0</v>
      </c>
      <c r="G7" s="195">
        <v>0</v>
      </c>
      <c r="H7" s="195">
        <v>0</v>
      </c>
      <c r="I7" s="195">
        <v>30</v>
      </c>
      <c r="J7" s="195">
        <v>61</v>
      </c>
      <c r="K7" s="195">
        <v>0</v>
      </c>
      <c r="L7" s="195">
        <v>59</v>
      </c>
      <c r="M7" s="195">
        <v>59</v>
      </c>
      <c r="N7" s="195">
        <v>0</v>
      </c>
      <c r="O7" s="188">
        <v>0</v>
      </c>
      <c r="P7" s="188">
        <v>0</v>
      </c>
      <c r="Q7" s="188">
        <v>10</v>
      </c>
      <c r="R7" s="188">
        <v>0</v>
      </c>
      <c r="S7" s="188">
        <v>0</v>
      </c>
      <c r="T7" s="188">
        <v>0</v>
      </c>
      <c r="U7" s="188">
        <v>13</v>
      </c>
      <c r="V7" s="188">
        <v>0</v>
      </c>
    </row>
    <row r="8" spans="1:22">
      <c r="A8" s="1199"/>
      <c r="B8" s="333" t="s">
        <v>29</v>
      </c>
      <c r="C8" s="195">
        <v>320</v>
      </c>
      <c r="D8" s="195">
        <v>0</v>
      </c>
      <c r="E8" s="195">
        <v>0</v>
      </c>
      <c r="F8" s="195">
        <v>0</v>
      </c>
      <c r="G8" s="195">
        <v>0</v>
      </c>
      <c r="H8" s="195">
        <v>0</v>
      </c>
      <c r="I8" s="195">
        <v>35</v>
      </c>
      <c r="J8" s="195">
        <v>82</v>
      </c>
      <c r="K8" s="195">
        <v>0</v>
      </c>
      <c r="L8" s="195">
        <v>79</v>
      </c>
      <c r="M8" s="195">
        <v>36</v>
      </c>
      <c r="N8" s="195">
        <v>0</v>
      </c>
      <c r="O8" s="188">
        <v>1</v>
      </c>
      <c r="P8" s="188">
        <v>6</v>
      </c>
      <c r="Q8" s="188">
        <v>6.9075300000000004</v>
      </c>
      <c r="R8" s="188">
        <v>0</v>
      </c>
      <c r="S8" s="188">
        <v>1.8273999999999999E-2</v>
      </c>
      <c r="T8" s="188">
        <v>0</v>
      </c>
      <c r="U8" s="188">
        <v>0</v>
      </c>
      <c r="V8" s="188">
        <v>0</v>
      </c>
    </row>
    <row r="9" spans="1:22">
      <c r="A9" s="1199"/>
      <c r="B9" s="333" t="s">
        <v>30</v>
      </c>
      <c r="C9" s="195">
        <v>210</v>
      </c>
      <c r="D9" s="195">
        <v>0</v>
      </c>
      <c r="E9" s="195">
        <v>0</v>
      </c>
      <c r="F9" s="195">
        <v>0</v>
      </c>
      <c r="G9" s="195">
        <v>0</v>
      </c>
      <c r="H9" s="195">
        <v>0</v>
      </c>
      <c r="I9" s="195">
        <v>40</v>
      </c>
      <c r="J9" s="195">
        <v>75</v>
      </c>
      <c r="K9" s="195">
        <v>0</v>
      </c>
      <c r="L9" s="195">
        <v>72</v>
      </c>
      <c r="M9" s="195">
        <v>34</v>
      </c>
      <c r="N9" s="195">
        <v>0</v>
      </c>
      <c r="O9" s="188">
        <v>1</v>
      </c>
      <c r="P9" s="188">
        <v>6</v>
      </c>
      <c r="Q9" s="188">
        <v>7.8618699999999997</v>
      </c>
      <c r="R9" s="188">
        <v>0</v>
      </c>
      <c r="S9" s="188">
        <v>4.8382000000000001E-2</v>
      </c>
      <c r="T9" s="188">
        <v>0</v>
      </c>
      <c r="U9" s="188">
        <v>0</v>
      </c>
      <c r="V9" s="188">
        <v>0</v>
      </c>
    </row>
    <row r="10" spans="1:22">
      <c r="A10" s="1199"/>
      <c r="B10" s="333" t="s">
        <v>31</v>
      </c>
      <c r="C10" s="195">
        <v>220</v>
      </c>
      <c r="D10" s="195">
        <v>0</v>
      </c>
      <c r="E10" s="195">
        <v>0</v>
      </c>
      <c r="F10" s="195">
        <v>0</v>
      </c>
      <c r="G10" s="195">
        <v>0</v>
      </c>
      <c r="H10" s="195">
        <v>0</v>
      </c>
      <c r="I10" s="195">
        <v>35</v>
      </c>
      <c r="J10" s="195">
        <v>55</v>
      </c>
      <c r="K10" s="195">
        <v>0</v>
      </c>
      <c r="L10" s="195">
        <v>52</v>
      </c>
      <c r="M10" s="195">
        <v>50</v>
      </c>
      <c r="N10" s="195">
        <v>0</v>
      </c>
      <c r="O10" s="188">
        <v>0</v>
      </c>
      <c r="P10" s="188">
        <v>0</v>
      </c>
      <c r="Q10" s="188">
        <v>13</v>
      </c>
      <c r="R10" s="188">
        <v>2</v>
      </c>
      <c r="S10" s="188">
        <v>0</v>
      </c>
      <c r="T10" s="188">
        <v>0</v>
      </c>
      <c r="U10" s="188">
        <v>1</v>
      </c>
      <c r="V10" s="188">
        <v>0</v>
      </c>
    </row>
    <row r="11" spans="1:22">
      <c r="A11" s="1199"/>
      <c r="B11" s="333" t="s">
        <v>32</v>
      </c>
      <c r="C11" s="195">
        <v>240</v>
      </c>
      <c r="D11" s="195">
        <v>0</v>
      </c>
      <c r="E11" s="195">
        <v>0</v>
      </c>
      <c r="F11" s="195">
        <v>0</v>
      </c>
      <c r="G11" s="195">
        <v>0</v>
      </c>
      <c r="H11" s="195">
        <v>0</v>
      </c>
      <c r="I11" s="195">
        <v>40</v>
      </c>
      <c r="J11" s="195">
        <v>61</v>
      </c>
      <c r="K11" s="195">
        <v>0</v>
      </c>
      <c r="L11" s="195">
        <v>57</v>
      </c>
      <c r="M11" s="195">
        <v>57</v>
      </c>
      <c r="N11" s="195">
        <v>0</v>
      </c>
      <c r="O11" s="188">
        <v>0</v>
      </c>
      <c r="P11" s="188">
        <v>0</v>
      </c>
      <c r="Q11" s="188">
        <v>10</v>
      </c>
      <c r="R11" s="188">
        <v>0</v>
      </c>
      <c r="S11" s="188">
        <v>0</v>
      </c>
      <c r="T11" s="188">
        <v>0</v>
      </c>
      <c r="U11" s="188">
        <v>18</v>
      </c>
      <c r="V11" s="188">
        <v>0</v>
      </c>
    </row>
    <row r="12" spans="1:22">
      <c r="A12" s="1199"/>
      <c r="B12" s="333" t="s">
        <v>33</v>
      </c>
      <c r="C12" s="195">
        <v>200</v>
      </c>
      <c r="D12" s="195">
        <v>0</v>
      </c>
      <c r="E12" s="195">
        <v>0</v>
      </c>
      <c r="F12" s="195">
        <v>0</v>
      </c>
      <c r="G12" s="195">
        <v>0</v>
      </c>
      <c r="H12" s="195">
        <v>0</v>
      </c>
      <c r="I12" s="195">
        <v>30</v>
      </c>
      <c r="J12" s="195">
        <v>52</v>
      </c>
      <c r="K12" s="195">
        <v>0</v>
      </c>
      <c r="L12" s="195">
        <v>50</v>
      </c>
      <c r="M12" s="195">
        <v>49</v>
      </c>
      <c r="N12" s="195">
        <v>0</v>
      </c>
      <c r="O12" s="188">
        <v>0</v>
      </c>
      <c r="P12" s="188">
        <v>0</v>
      </c>
      <c r="Q12" s="195">
        <v>9.3084199999999999</v>
      </c>
      <c r="R12" s="195">
        <v>0</v>
      </c>
      <c r="S12" s="195">
        <v>5.6831E-2</v>
      </c>
      <c r="T12" s="195">
        <v>0</v>
      </c>
      <c r="U12" s="195">
        <v>15</v>
      </c>
      <c r="V12" s="195">
        <v>0</v>
      </c>
    </row>
    <row r="13" spans="1:22">
      <c r="A13" s="1199"/>
      <c r="B13" s="333" t="s">
        <v>34</v>
      </c>
      <c r="C13" s="195">
        <v>320</v>
      </c>
      <c r="D13" s="195">
        <v>5</v>
      </c>
      <c r="E13" s="195">
        <v>0</v>
      </c>
      <c r="F13" s="195">
        <v>0</v>
      </c>
      <c r="G13" s="195">
        <v>0</v>
      </c>
      <c r="H13" s="195">
        <v>0</v>
      </c>
      <c r="I13" s="195">
        <v>60</v>
      </c>
      <c r="J13" s="195">
        <v>80</v>
      </c>
      <c r="K13" s="195">
        <v>0</v>
      </c>
      <c r="L13" s="195">
        <v>76</v>
      </c>
      <c r="M13" s="195">
        <v>76</v>
      </c>
      <c r="N13" s="195">
        <v>1</v>
      </c>
      <c r="O13" s="188">
        <v>0</v>
      </c>
      <c r="P13" s="188">
        <v>0</v>
      </c>
      <c r="Q13" s="188">
        <v>14</v>
      </c>
      <c r="R13" s="188">
        <v>2</v>
      </c>
      <c r="S13" s="188">
        <v>1</v>
      </c>
      <c r="T13" s="188">
        <v>6</v>
      </c>
      <c r="U13" s="188">
        <v>81</v>
      </c>
      <c r="V13" s="188">
        <v>2</v>
      </c>
    </row>
    <row r="14" spans="1:22">
      <c r="A14" s="1199"/>
      <c r="B14" s="333" t="s">
        <v>35</v>
      </c>
      <c r="C14" s="195">
        <v>350</v>
      </c>
      <c r="D14" s="195">
        <v>25</v>
      </c>
      <c r="E14" s="195">
        <v>2.5</v>
      </c>
      <c r="F14" s="195">
        <v>1.5</v>
      </c>
      <c r="G14" s="195">
        <v>0</v>
      </c>
      <c r="H14" s="195">
        <v>0</v>
      </c>
      <c r="I14" s="195">
        <v>60</v>
      </c>
      <c r="J14" s="195">
        <v>84</v>
      </c>
      <c r="K14" s="195">
        <v>0</v>
      </c>
      <c r="L14" s="195">
        <v>79</v>
      </c>
      <c r="M14" s="195">
        <v>79</v>
      </c>
      <c r="N14" s="195">
        <v>1</v>
      </c>
      <c r="O14" s="188">
        <v>0</v>
      </c>
      <c r="P14" s="188">
        <v>0</v>
      </c>
      <c r="Q14" s="195">
        <v>16.9893</v>
      </c>
      <c r="R14" s="195">
        <v>2</v>
      </c>
      <c r="S14" s="195">
        <v>1.3253200000000001</v>
      </c>
      <c r="T14" s="195">
        <v>8</v>
      </c>
      <c r="U14" s="195">
        <v>115</v>
      </c>
      <c r="V14" s="195">
        <v>3</v>
      </c>
    </row>
    <row r="15" spans="1:22">
      <c r="A15" s="1199"/>
      <c r="B15" s="333" t="s">
        <v>36</v>
      </c>
      <c r="C15" s="195">
        <v>270</v>
      </c>
      <c r="D15" s="195">
        <v>0</v>
      </c>
      <c r="E15" s="195">
        <v>0</v>
      </c>
      <c r="F15" s="195">
        <v>0</v>
      </c>
      <c r="G15" s="195">
        <v>0</v>
      </c>
      <c r="H15" s="195">
        <v>0</v>
      </c>
      <c r="I15" s="195">
        <v>30</v>
      </c>
      <c r="J15" s="195">
        <v>69</v>
      </c>
      <c r="K15" s="195">
        <v>0</v>
      </c>
      <c r="L15" s="195">
        <v>66</v>
      </c>
      <c r="M15" s="195">
        <v>26</v>
      </c>
      <c r="N15" s="195">
        <v>0</v>
      </c>
      <c r="O15" s="188">
        <v>0</v>
      </c>
      <c r="P15" s="188">
        <v>0</v>
      </c>
      <c r="Q15" s="188">
        <v>7</v>
      </c>
      <c r="R15" s="188">
        <v>0</v>
      </c>
      <c r="S15" s="188">
        <v>0</v>
      </c>
      <c r="T15" s="188">
        <v>0</v>
      </c>
      <c r="U15" s="188">
        <v>1</v>
      </c>
      <c r="V15" s="188">
        <v>0</v>
      </c>
    </row>
    <row r="16" spans="1:22">
      <c r="A16" s="1199"/>
      <c r="B16" s="333" t="s">
        <v>37</v>
      </c>
      <c r="C16" s="195">
        <v>280</v>
      </c>
      <c r="D16" s="195">
        <v>0</v>
      </c>
      <c r="E16" s="195">
        <v>0</v>
      </c>
      <c r="F16" s="195">
        <v>0</v>
      </c>
      <c r="G16" s="195">
        <v>0</v>
      </c>
      <c r="H16" s="195">
        <v>0</v>
      </c>
      <c r="I16" s="195">
        <v>30</v>
      </c>
      <c r="J16" s="195">
        <v>74</v>
      </c>
      <c r="K16" s="195">
        <v>0</v>
      </c>
      <c r="L16" s="195">
        <v>73</v>
      </c>
      <c r="M16" s="195">
        <v>28</v>
      </c>
      <c r="N16" s="195">
        <v>0</v>
      </c>
      <c r="O16" s="188">
        <v>0</v>
      </c>
      <c r="P16" s="188">
        <v>0</v>
      </c>
      <c r="Q16" s="188">
        <v>6</v>
      </c>
      <c r="R16" s="188">
        <v>0</v>
      </c>
      <c r="S16" s="188">
        <v>0</v>
      </c>
      <c r="T16" s="188">
        <v>0</v>
      </c>
      <c r="U16" s="188">
        <v>1</v>
      </c>
      <c r="V16" s="188">
        <v>0</v>
      </c>
    </row>
    <row r="17" spans="1:22">
      <c r="A17" s="1199"/>
      <c r="B17" s="333" t="s">
        <v>38</v>
      </c>
      <c r="C17" s="195">
        <v>250</v>
      </c>
      <c r="D17" s="195">
        <v>0</v>
      </c>
      <c r="E17" s="195">
        <v>0</v>
      </c>
      <c r="F17" s="195">
        <v>0</v>
      </c>
      <c r="G17" s="195">
        <v>0</v>
      </c>
      <c r="H17" s="195">
        <v>0</v>
      </c>
      <c r="I17" s="195">
        <v>35</v>
      </c>
      <c r="J17" s="195">
        <v>65</v>
      </c>
      <c r="K17" s="195">
        <v>0</v>
      </c>
      <c r="L17" s="195">
        <v>58</v>
      </c>
      <c r="M17" s="195">
        <v>30</v>
      </c>
      <c r="N17" s="195">
        <v>0</v>
      </c>
      <c r="O17" s="188">
        <v>0</v>
      </c>
      <c r="P17" s="188">
        <v>0</v>
      </c>
      <c r="Q17" s="188">
        <v>9</v>
      </c>
      <c r="R17" s="188">
        <v>0</v>
      </c>
      <c r="S17" s="188">
        <v>0</v>
      </c>
      <c r="T17" s="188">
        <v>0</v>
      </c>
      <c r="U17" s="188">
        <v>6</v>
      </c>
      <c r="V17" s="188">
        <v>0</v>
      </c>
    </row>
    <row r="18" spans="1:22">
      <c r="A18" s="1199"/>
      <c r="B18" s="333" t="s">
        <v>39</v>
      </c>
      <c r="C18" s="195">
        <v>190</v>
      </c>
      <c r="D18" s="195">
        <v>0</v>
      </c>
      <c r="E18" s="195">
        <v>0</v>
      </c>
      <c r="F18" s="195">
        <v>0</v>
      </c>
      <c r="G18" s="195">
        <v>0</v>
      </c>
      <c r="H18" s="195">
        <v>0</v>
      </c>
      <c r="I18" s="195">
        <v>35</v>
      </c>
      <c r="J18" s="195">
        <v>48</v>
      </c>
      <c r="K18" s="195">
        <v>0</v>
      </c>
      <c r="L18" s="195">
        <v>46</v>
      </c>
      <c r="M18" s="195">
        <v>46</v>
      </c>
      <c r="N18" s="195">
        <v>0</v>
      </c>
      <c r="O18" s="188">
        <v>0</v>
      </c>
      <c r="P18" s="188">
        <v>0</v>
      </c>
      <c r="Q18" s="188">
        <v>7.5602</v>
      </c>
      <c r="R18" s="188">
        <v>0</v>
      </c>
      <c r="S18" s="188">
        <v>5.6202000000000002E-2</v>
      </c>
      <c r="T18" s="188">
        <v>0</v>
      </c>
      <c r="U18" s="188">
        <v>0</v>
      </c>
      <c r="V18" s="188">
        <v>0</v>
      </c>
    </row>
    <row r="19" spans="1:22" s="212" customFormat="1">
      <c r="A19" s="1199"/>
      <c r="B19" s="333" t="s">
        <v>40</v>
      </c>
      <c r="C19" s="195">
        <v>260</v>
      </c>
      <c r="D19" s="195">
        <v>0</v>
      </c>
      <c r="E19" s="195">
        <v>0</v>
      </c>
      <c r="F19" s="195">
        <v>0</v>
      </c>
      <c r="G19" s="195">
        <v>0</v>
      </c>
      <c r="H19" s="195">
        <v>0</v>
      </c>
      <c r="I19" s="195">
        <v>15</v>
      </c>
      <c r="J19" s="195">
        <v>66</v>
      </c>
      <c r="K19" s="195">
        <v>0</v>
      </c>
      <c r="L19" s="195">
        <v>64</v>
      </c>
      <c r="M19" s="195">
        <v>28</v>
      </c>
      <c r="N19" s="195">
        <v>0</v>
      </c>
      <c r="O19" s="188">
        <v>1</v>
      </c>
      <c r="P19" s="188">
        <v>6</v>
      </c>
      <c r="Q19" s="188">
        <v>6.6609999999999996</v>
      </c>
      <c r="R19" s="188">
        <v>0</v>
      </c>
      <c r="S19" s="188">
        <v>6.8039000000000002E-2</v>
      </c>
      <c r="T19" s="188">
        <v>0</v>
      </c>
      <c r="U19" s="188">
        <v>20</v>
      </c>
      <c r="V19" s="188">
        <v>1</v>
      </c>
    </row>
    <row r="20" spans="1:22">
      <c r="A20" s="1199"/>
      <c r="B20" s="333" t="s">
        <v>41</v>
      </c>
      <c r="C20" s="195">
        <v>270</v>
      </c>
      <c r="D20" s="195">
        <v>0</v>
      </c>
      <c r="E20" s="195">
        <v>0</v>
      </c>
      <c r="F20" s="195">
        <v>0</v>
      </c>
      <c r="G20" s="195">
        <v>0</v>
      </c>
      <c r="H20" s="195">
        <v>0</v>
      </c>
      <c r="I20" s="195">
        <v>30</v>
      </c>
      <c r="J20" s="195">
        <v>72</v>
      </c>
      <c r="K20" s="195">
        <v>0</v>
      </c>
      <c r="L20" s="195">
        <v>69</v>
      </c>
      <c r="M20" s="195">
        <v>23</v>
      </c>
      <c r="N20" s="195">
        <v>0</v>
      </c>
      <c r="O20" s="188">
        <v>0</v>
      </c>
      <c r="P20" s="188">
        <v>0</v>
      </c>
      <c r="Q20" s="188">
        <v>7</v>
      </c>
      <c r="R20" s="188">
        <v>0</v>
      </c>
      <c r="S20" s="188">
        <v>0</v>
      </c>
      <c r="T20" s="188">
        <v>0</v>
      </c>
      <c r="U20" s="188">
        <v>0</v>
      </c>
      <c r="V20" s="188">
        <v>0</v>
      </c>
    </row>
    <row r="21" spans="1:22">
      <c r="A21" s="1199"/>
      <c r="B21" s="333" t="s">
        <v>42</v>
      </c>
      <c r="C21" s="195">
        <v>280</v>
      </c>
      <c r="D21" s="195">
        <v>0</v>
      </c>
      <c r="E21" s="195">
        <v>0</v>
      </c>
      <c r="F21" s="195">
        <v>0</v>
      </c>
      <c r="G21" s="195">
        <v>0</v>
      </c>
      <c r="H21" s="195">
        <v>0</v>
      </c>
      <c r="I21" s="195">
        <v>45</v>
      </c>
      <c r="J21" s="195">
        <v>72</v>
      </c>
      <c r="K21" s="195">
        <v>0</v>
      </c>
      <c r="L21" s="195">
        <v>69</v>
      </c>
      <c r="M21" s="195">
        <v>68</v>
      </c>
      <c r="N21" s="195">
        <v>0</v>
      </c>
      <c r="O21" s="188">
        <v>0</v>
      </c>
      <c r="P21" s="188">
        <v>0</v>
      </c>
      <c r="Q21" s="188">
        <v>9</v>
      </c>
      <c r="R21" s="188">
        <v>0</v>
      </c>
      <c r="S21" s="188">
        <v>0</v>
      </c>
      <c r="T21" s="188">
        <v>0</v>
      </c>
      <c r="U21" s="188">
        <v>37</v>
      </c>
      <c r="V21" s="188">
        <v>0</v>
      </c>
    </row>
    <row r="22" spans="1:22">
      <c r="A22" s="1199"/>
      <c r="B22" s="333" t="s">
        <v>45</v>
      </c>
      <c r="C22" s="188">
        <v>240</v>
      </c>
      <c r="D22" s="188">
        <v>0</v>
      </c>
      <c r="E22" s="188">
        <v>0</v>
      </c>
      <c r="F22" s="188">
        <v>0</v>
      </c>
      <c r="G22" s="195">
        <v>0</v>
      </c>
      <c r="H22" s="188">
        <v>0</v>
      </c>
      <c r="I22" s="188">
        <v>40</v>
      </c>
      <c r="J22" s="188">
        <v>61</v>
      </c>
      <c r="K22" s="188">
        <v>0</v>
      </c>
      <c r="L22" s="188">
        <v>59</v>
      </c>
      <c r="M22" s="188">
        <v>58</v>
      </c>
      <c r="N22" s="188">
        <v>0</v>
      </c>
      <c r="O22" s="188">
        <v>0</v>
      </c>
      <c r="P22" s="188">
        <v>0</v>
      </c>
      <c r="Q22" s="188">
        <v>9</v>
      </c>
      <c r="R22" s="188">
        <v>0</v>
      </c>
      <c r="S22" s="188">
        <v>0</v>
      </c>
      <c r="T22" s="188">
        <v>0</v>
      </c>
      <c r="U22" s="188">
        <v>1</v>
      </c>
      <c r="V22" s="188">
        <v>0</v>
      </c>
    </row>
    <row r="23" spans="1:22">
      <c r="A23" s="1199"/>
      <c r="B23" s="333" t="s">
        <v>46</v>
      </c>
      <c r="C23" s="195">
        <v>240</v>
      </c>
      <c r="D23" s="195">
        <v>0</v>
      </c>
      <c r="E23" s="195">
        <v>0</v>
      </c>
      <c r="F23" s="195">
        <v>0</v>
      </c>
      <c r="G23" s="195">
        <v>0</v>
      </c>
      <c r="H23" s="195">
        <v>0</v>
      </c>
      <c r="I23" s="195">
        <v>60</v>
      </c>
      <c r="J23" s="195">
        <v>60</v>
      </c>
      <c r="K23" s="195">
        <v>0</v>
      </c>
      <c r="L23" s="195">
        <v>57</v>
      </c>
      <c r="M23" s="195">
        <v>57</v>
      </c>
      <c r="N23" s="195">
        <v>0</v>
      </c>
      <c r="O23" s="195">
        <v>0</v>
      </c>
      <c r="P23" s="195">
        <v>0</v>
      </c>
      <c r="Q23" s="195">
        <v>8.3711000000000002</v>
      </c>
      <c r="R23" s="195">
        <v>0</v>
      </c>
      <c r="S23" s="195">
        <v>5.4979E-2</v>
      </c>
      <c r="T23" s="195">
        <v>0</v>
      </c>
      <c r="U23" s="195">
        <v>0</v>
      </c>
      <c r="V23" s="195">
        <v>0</v>
      </c>
    </row>
    <row r="24" spans="1:22">
      <c r="A24" s="1199"/>
      <c r="B24" s="333" t="s">
        <v>47</v>
      </c>
      <c r="C24" s="195">
        <v>250</v>
      </c>
      <c r="D24" s="195">
        <v>0</v>
      </c>
      <c r="E24" s="195">
        <v>0</v>
      </c>
      <c r="F24" s="195">
        <v>0</v>
      </c>
      <c r="G24" s="195">
        <v>0</v>
      </c>
      <c r="H24" s="195">
        <v>0</v>
      </c>
      <c r="I24" s="195">
        <v>40</v>
      </c>
      <c r="J24" s="195">
        <v>64</v>
      </c>
      <c r="K24" s="195">
        <v>0</v>
      </c>
      <c r="L24" s="195">
        <v>61</v>
      </c>
      <c r="M24" s="195">
        <v>61</v>
      </c>
      <c r="N24" s="195">
        <v>0</v>
      </c>
      <c r="O24" s="188">
        <v>0</v>
      </c>
      <c r="P24" s="188">
        <v>0</v>
      </c>
      <c r="Q24" s="188">
        <v>10</v>
      </c>
      <c r="R24" s="188">
        <v>0</v>
      </c>
      <c r="S24" s="188">
        <v>0</v>
      </c>
      <c r="T24" s="188">
        <v>0</v>
      </c>
      <c r="U24" s="188">
        <v>9</v>
      </c>
      <c r="V24" s="188">
        <v>0</v>
      </c>
    </row>
    <row r="25" spans="1:22">
      <c r="A25" s="1199"/>
      <c r="B25" s="333" t="s">
        <v>48</v>
      </c>
      <c r="C25" s="195">
        <v>210</v>
      </c>
      <c r="D25" s="195">
        <v>0</v>
      </c>
      <c r="E25" s="195">
        <v>0</v>
      </c>
      <c r="F25" s="195">
        <v>0</v>
      </c>
      <c r="G25" s="195">
        <v>0</v>
      </c>
      <c r="H25" s="195">
        <v>0</v>
      </c>
      <c r="I25" s="195">
        <v>30</v>
      </c>
      <c r="J25" s="195">
        <v>54</v>
      </c>
      <c r="K25" s="195">
        <v>0</v>
      </c>
      <c r="L25" s="195">
        <v>51</v>
      </c>
      <c r="M25" s="195">
        <v>51</v>
      </c>
      <c r="N25" s="195">
        <v>0</v>
      </c>
      <c r="O25" s="188">
        <v>0</v>
      </c>
      <c r="P25" s="188">
        <v>0</v>
      </c>
      <c r="Q25" s="188">
        <v>10</v>
      </c>
      <c r="R25" s="188">
        <v>0</v>
      </c>
      <c r="S25" s="188">
        <v>0</v>
      </c>
      <c r="T25" s="188">
        <v>0</v>
      </c>
      <c r="U25" s="188">
        <v>10</v>
      </c>
      <c r="V25" s="188">
        <v>0</v>
      </c>
    </row>
    <row r="26" spans="1:22">
      <c r="A26" s="1199"/>
      <c r="B26" s="333" t="s">
        <v>50</v>
      </c>
      <c r="C26" s="195">
        <v>270</v>
      </c>
      <c r="D26" s="195">
        <v>0</v>
      </c>
      <c r="E26" s="195">
        <v>0</v>
      </c>
      <c r="F26" s="195">
        <v>0</v>
      </c>
      <c r="G26" s="195">
        <v>0</v>
      </c>
      <c r="H26" s="195">
        <v>0</v>
      </c>
      <c r="I26" s="195">
        <v>40</v>
      </c>
      <c r="J26" s="195">
        <v>69</v>
      </c>
      <c r="K26" s="195">
        <v>0</v>
      </c>
      <c r="L26" s="195">
        <v>66</v>
      </c>
      <c r="M26" s="195">
        <v>65</v>
      </c>
      <c r="N26" s="195">
        <v>0</v>
      </c>
      <c r="O26" s="188">
        <v>0</v>
      </c>
      <c r="P26" s="188">
        <v>0</v>
      </c>
      <c r="Q26" s="188">
        <v>9</v>
      </c>
      <c r="R26" s="188">
        <v>0</v>
      </c>
      <c r="S26" s="188">
        <v>0</v>
      </c>
      <c r="T26" s="188">
        <v>0</v>
      </c>
      <c r="U26" s="188">
        <v>20</v>
      </c>
      <c r="V26" s="188">
        <v>0</v>
      </c>
    </row>
    <row r="27" spans="1:22">
      <c r="A27" s="1199"/>
      <c r="B27" s="333" t="s">
        <v>51</v>
      </c>
      <c r="C27" s="195">
        <v>270</v>
      </c>
      <c r="D27" s="195">
        <v>0</v>
      </c>
      <c r="E27" s="195">
        <v>0</v>
      </c>
      <c r="F27" s="195">
        <v>0</v>
      </c>
      <c r="G27" s="195">
        <v>0</v>
      </c>
      <c r="H27" s="195">
        <v>0</v>
      </c>
      <c r="I27" s="195">
        <v>35</v>
      </c>
      <c r="J27" s="195">
        <v>67</v>
      </c>
      <c r="K27" s="195">
        <v>0</v>
      </c>
      <c r="L27" s="195">
        <v>62</v>
      </c>
      <c r="M27" s="195">
        <v>49</v>
      </c>
      <c r="N27" s="195">
        <v>0</v>
      </c>
      <c r="O27" s="260">
        <v>0</v>
      </c>
      <c r="P27" s="260">
        <v>0</v>
      </c>
      <c r="Q27" s="260">
        <v>8</v>
      </c>
      <c r="R27" s="260">
        <v>0</v>
      </c>
      <c r="S27" s="260">
        <v>0</v>
      </c>
      <c r="T27" s="260">
        <v>0</v>
      </c>
      <c r="U27" s="260">
        <v>10</v>
      </c>
      <c r="V27" s="260">
        <v>0</v>
      </c>
    </row>
    <row r="28" spans="1:22">
      <c r="A28" s="1199"/>
      <c r="B28" s="333" t="s">
        <v>52</v>
      </c>
      <c r="C28" s="195">
        <v>210</v>
      </c>
      <c r="D28" s="195">
        <v>0</v>
      </c>
      <c r="E28" s="195">
        <v>0</v>
      </c>
      <c r="F28" s="195">
        <v>0</v>
      </c>
      <c r="G28" s="195">
        <v>0</v>
      </c>
      <c r="H28" s="195">
        <v>0</v>
      </c>
      <c r="I28" s="195">
        <v>40</v>
      </c>
      <c r="J28" s="195">
        <v>54</v>
      </c>
      <c r="K28" s="195">
        <v>0</v>
      </c>
      <c r="L28" s="195">
        <v>52</v>
      </c>
      <c r="M28" s="195">
        <v>51</v>
      </c>
      <c r="N28" s="195">
        <v>0</v>
      </c>
      <c r="O28" s="260">
        <v>0</v>
      </c>
      <c r="P28" s="260">
        <v>0</v>
      </c>
      <c r="Q28" s="260">
        <v>8</v>
      </c>
      <c r="R28" s="260">
        <v>0</v>
      </c>
      <c r="S28" s="260">
        <v>0</v>
      </c>
      <c r="T28" s="260">
        <v>0</v>
      </c>
      <c r="U28" s="260">
        <v>10</v>
      </c>
      <c r="V28" s="260">
        <v>0</v>
      </c>
    </row>
    <row r="29" spans="1:22">
      <c r="A29" s="1199"/>
      <c r="B29" s="333" t="s">
        <v>53</v>
      </c>
      <c r="C29" s="195">
        <v>270</v>
      </c>
      <c r="D29" s="195">
        <v>0</v>
      </c>
      <c r="E29" s="195">
        <v>0</v>
      </c>
      <c r="F29" s="195">
        <v>0</v>
      </c>
      <c r="G29" s="195">
        <v>0</v>
      </c>
      <c r="H29" s="195">
        <v>0</v>
      </c>
      <c r="I29" s="195">
        <v>40</v>
      </c>
      <c r="J29" s="195">
        <v>68</v>
      </c>
      <c r="K29" s="195">
        <v>0</v>
      </c>
      <c r="L29" s="195">
        <v>66</v>
      </c>
      <c r="M29" s="195">
        <v>65</v>
      </c>
      <c r="N29" s="195">
        <v>0</v>
      </c>
      <c r="O29" s="195">
        <v>0</v>
      </c>
      <c r="P29" s="195">
        <v>0</v>
      </c>
      <c r="Q29" s="195">
        <v>9</v>
      </c>
      <c r="R29" s="195">
        <v>0</v>
      </c>
      <c r="S29" s="195">
        <v>0</v>
      </c>
      <c r="T29" s="195">
        <v>0</v>
      </c>
      <c r="U29" s="195">
        <v>16</v>
      </c>
      <c r="V29" s="195">
        <v>0</v>
      </c>
    </row>
    <row r="30" spans="1:22">
      <c r="A30" s="1199"/>
      <c r="B30" s="333" t="s">
        <v>54</v>
      </c>
      <c r="C30" s="195">
        <v>280</v>
      </c>
      <c r="D30" s="195">
        <v>0</v>
      </c>
      <c r="E30" s="195">
        <v>0</v>
      </c>
      <c r="F30" s="195">
        <v>0</v>
      </c>
      <c r="G30" s="195">
        <v>0</v>
      </c>
      <c r="H30" s="195">
        <v>0</v>
      </c>
      <c r="I30" s="195">
        <v>40</v>
      </c>
      <c r="J30" s="195">
        <v>70</v>
      </c>
      <c r="K30" s="195">
        <v>0</v>
      </c>
      <c r="L30" s="195">
        <v>67</v>
      </c>
      <c r="M30" s="195">
        <v>66</v>
      </c>
      <c r="N30" s="195">
        <v>0</v>
      </c>
      <c r="O30" s="188">
        <v>0</v>
      </c>
      <c r="P30" s="188">
        <v>0</v>
      </c>
      <c r="Q30" s="188">
        <v>9</v>
      </c>
      <c r="R30" s="188">
        <v>0</v>
      </c>
      <c r="S30" s="188">
        <v>0</v>
      </c>
      <c r="T30" s="188">
        <v>0</v>
      </c>
      <c r="U30" s="188">
        <v>12</v>
      </c>
      <c r="V30" s="188">
        <v>0</v>
      </c>
    </row>
    <row r="31" spans="1:22">
      <c r="A31" s="1199"/>
      <c r="B31" s="333" t="s">
        <v>55</v>
      </c>
      <c r="C31" s="195">
        <v>270</v>
      </c>
      <c r="D31" s="195">
        <v>0</v>
      </c>
      <c r="E31" s="195">
        <v>0</v>
      </c>
      <c r="F31" s="195">
        <v>0</v>
      </c>
      <c r="G31" s="195">
        <v>0</v>
      </c>
      <c r="H31" s="195">
        <v>0</v>
      </c>
      <c r="I31" s="195">
        <v>50</v>
      </c>
      <c r="J31" s="195">
        <v>70</v>
      </c>
      <c r="K31" s="195">
        <v>0</v>
      </c>
      <c r="L31" s="195">
        <v>67</v>
      </c>
      <c r="M31" s="195">
        <v>63</v>
      </c>
      <c r="N31" s="195">
        <v>0</v>
      </c>
      <c r="O31" s="195">
        <v>0</v>
      </c>
      <c r="P31" s="195">
        <v>0</v>
      </c>
      <c r="Q31" s="195">
        <v>11.29</v>
      </c>
      <c r="R31" s="195">
        <v>2</v>
      </c>
      <c r="S31" s="195">
        <v>0.10211099999999999</v>
      </c>
      <c r="T31" s="195">
        <v>0</v>
      </c>
      <c r="U31" s="195">
        <v>20</v>
      </c>
      <c r="V31" s="195">
        <v>1</v>
      </c>
    </row>
    <row r="32" spans="1:22">
      <c r="A32" s="1199"/>
      <c r="B32" s="333" t="s">
        <v>56</v>
      </c>
      <c r="C32" s="195">
        <v>180</v>
      </c>
      <c r="D32" s="195">
        <v>0</v>
      </c>
      <c r="E32" s="195">
        <v>0</v>
      </c>
      <c r="F32" s="195">
        <v>0</v>
      </c>
      <c r="G32" s="195">
        <v>0</v>
      </c>
      <c r="H32" s="195">
        <v>0</v>
      </c>
      <c r="I32" s="195">
        <v>45</v>
      </c>
      <c r="J32" s="195">
        <v>46</v>
      </c>
      <c r="K32" s="195">
        <v>0</v>
      </c>
      <c r="L32" s="195">
        <v>43</v>
      </c>
      <c r="M32" s="195">
        <v>42</v>
      </c>
      <c r="N32" s="195">
        <v>0</v>
      </c>
      <c r="O32" s="195">
        <v>0</v>
      </c>
      <c r="P32" s="195">
        <v>0</v>
      </c>
      <c r="Q32" s="195">
        <v>11</v>
      </c>
      <c r="R32" s="195">
        <v>0</v>
      </c>
      <c r="S32" s="195">
        <v>0</v>
      </c>
      <c r="T32" s="195">
        <v>0</v>
      </c>
      <c r="U32" s="195">
        <v>19</v>
      </c>
      <c r="V32" s="195">
        <v>0</v>
      </c>
    </row>
    <row r="33" spans="1:22">
      <c r="A33" s="1199"/>
      <c r="B33" s="333" t="s">
        <v>57</v>
      </c>
      <c r="C33" s="195">
        <v>360</v>
      </c>
      <c r="D33" s="195">
        <v>0</v>
      </c>
      <c r="E33" s="195">
        <v>0</v>
      </c>
      <c r="F33" s="195">
        <v>0</v>
      </c>
      <c r="G33" s="195">
        <v>0</v>
      </c>
      <c r="H33" s="195">
        <v>0</v>
      </c>
      <c r="I33" s="195">
        <v>40</v>
      </c>
      <c r="J33" s="195">
        <v>91</v>
      </c>
      <c r="K33" s="195">
        <v>0</v>
      </c>
      <c r="L33" s="195">
        <v>88</v>
      </c>
      <c r="M33" s="195">
        <v>85</v>
      </c>
      <c r="N33" s="195">
        <v>0</v>
      </c>
      <c r="O33" s="188">
        <v>0</v>
      </c>
      <c r="P33" s="188">
        <v>0</v>
      </c>
      <c r="Q33" s="188">
        <v>9</v>
      </c>
      <c r="R33" s="188">
        <v>0</v>
      </c>
      <c r="S33" s="188">
        <v>0</v>
      </c>
      <c r="T33" s="188">
        <v>0</v>
      </c>
      <c r="U33" s="188">
        <v>54</v>
      </c>
      <c r="V33" s="188">
        <v>2</v>
      </c>
    </row>
    <row r="34" spans="1:22">
      <c r="A34" s="1199"/>
      <c r="B34" s="333" t="s">
        <v>58</v>
      </c>
      <c r="C34" s="195">
        <v>260</v>
      </c>
      <c r="D34" s="195">
        <v>5</v>
      </c>
      <c r="E34" s="195">
        <v>0.5</v>
      </c>
      <c r="F34" s="195">
        <v>0</v>
      </c>
      <c r="G34" s="195">
        <v>0</v>
      </c>
      <c r="H34" s="195">
        <v>0</v>
      </c>
      <c r="I34" s="195">
        <v>40</v>
      </c>
      <c r="J34" s="195">
        <v>67</v>
      </c>
      <c r="K34" s="195">
        <v>0</v>
      </c>
      <c r="L34" s="195">
        <v>64</v>
      </c>
      <c r="M34" s="195">
        <v>64</v>
      </c>
      <c r="N34" s="195">
        <v>0</v>
      </c>
      <c r="O34" s="188">
        <v>0</v>
      </c>
      <c r="P34" s="188">
        <v>0</v>
      </c>
      <c r="Q34" s="188">
        <v>10</v>
      </c>
      <c r="R34" s="188">
        <v>0</v>
      </c>
      <c r="S34" s="188">
        <v>0</v>
      </c>
      <c r="T34" s="188">
        <v>0</v>
      </c>
      <c r="U34" s="188">
        <v>2</v>
      </c>
      <c r="V34" s="188">
        <v>0</v>
      </c>
    </row>
    <row r="35" spans="1:22">
      <c r="A35" s="1199"/>
      <c r="B35" s="333" t="s">
        <v>59</v>
      </c>
      <c r="C35" s="195">
        <v>240</v>
      </c>
      <c r="D35" s="195">
        <v>0</v>
      </c>
      <c r="E35" s="195">
        <v>0</v>
      </c>
      <c r="F35" s="195">
        <v>0</v>
      </c>
      <c r="G35" s="195">
        <v>0</v>
      </c>
      <c r="H35" s="195">
        <v>0</v>
      </c>
      <c r="I35" s="195">
        <v>40</v>
      </c>
      <c r="J35" s="195">
        <v>61</v>
      </c>
      <c r="K35" s="195">
        <v>0</v>
      </c>
      <c r="L35" s="195">
        <v>59</v>
      </c>
      <c r="M35" s="195">
        <v>58</v>
      </c>
      <c r="N35" s="195">
        <v>0</v>
      </c>
      <c r="O35" s="188">
        <v>0</v>
      </c>
      <c r="P35" s="188">
        <v>0</v>
      </c>
      <c r="Q35" s="188">
        <v>9</v>
      </c>
      <c r="R35" s="188">
        <v>0</v>
      </c>
      <c r="S35" s="188">
        <v>0</v>
      </c>
      <c r="T35" s="188">
        <v>0</v>
      </c>
      <c r="U35" s="188">
        <v>13</v>
      </c>
      <c r="V35" s="188">
        <v>0</v>
      </c>
    </row>
    <row r="36" spans="1:22">
      <c r="A36" s="1199"/>
      <c r="B36" s="333" t="s">
        <v>60</v>
      </c>
      <c r="C36" s="195">
        <v>260</v>
      </c>
      <c r="D36" s="195">
        <v>0</v>
      </c>
      <c r="E36" s="195">
        <v>0</v>
      </c>
      <c r="F36" s="195">
        <v>0</v>
      </c>
      <c r="G36" s="195">
        <v>0</v>
      </c>
      <c r="H36" s="195">
        <v>0</v>
      </c>
      <c r="I36" s="195">
        <v>40</v>
      </c>
      <c r="J36" s="195">
        <v>66</v>
      </c>
      <c r="K36" s="195">
        <v>1</v>
      </c>
      <c r="L36" s="195">
        <v>63</v>
      </c>
      <c r="M36" s="195">
        <v>62</v>
      </c>
      <c r="N36" s="195">
        <v>0</v>
      </c>
      <c r="O36" s="188">
        <v>0</v>
      </c>
      <c r="P36" s="188">
        <v>0</v>
      </c>
      <c r="Q36" s="188">
        <v>11</v>
      </c>
      <c r="R36" s="188">
        <v>0</v>
      </c>
      <c r="S36" s="188">
        <v>0</v>
      </c>
      <c r="T36" s="188">
        <v>0</v>
      </c>
      <c r="U36" s="188">
        <v>26</v>
      </c>
      <c r="V36" s="188">
        <v>0</v>
      </c>
    </row>
    <row r="37" spans="1:22">
      <c r="A37" s="1199"/>
      <c r="B37" s="333" t="s">
        <v>61</v>
      </c>
      <c r="C37" s="195">
        <v>270</v>
      </c>
      <c r="D37" s="195">
        <v>0</v>
      </c>
      <c r="E37" s="195">
        <v>0</v>
      </c>
      <c r="F37" s="195">
        <v>0</v>
      </c>
      <c r="G37" s="195">
        <v>0</v>
      </c>
      <c r="H37" s="195">
        <v>0</v>
      </c>
      <c r="I37" s="195">
        <v>50</v>
      </c>
      <c r="J37" s="195">
        <v>69</v>
      </c>
      <c r="K37" s="195">
        <v>0</v>
      </c>
      <c r="L37" s="195">
        <v>65</v>
      </c>
      <c r="M37" s="195">
        <v>57</v>
      </c>
      <c r="N37" s="195">
        <v>0</v>
      </c>
      <c r="O37" s="188">
        <v>0</v>
      </c>
      <c r="P37" s="188">
        <v>0</v>
      </c>
      <c r="Q37" s="188">
        <v>11</v>
      </c>
      <c r="R37" s="188">
        <v>0</v>
      </c>
      <c r="S37" s="188">
        <v>0</v>
      </c>
      <c r="T37" s="188">
        <v>0</v>
      </c>
      <c r="U37" s="188">
        <v>38</v>
      </c>
      <c r="V37" s="188">
        <v>0</v>
      </c>
    </row>
    <row r="38" spans="1:22" ht="14.25" customHeight="1">
      <c r="A38" s="1199"/>
      <c r="B38" s="333" t="s">
        <v>62</v>
      </c>
      <c r="C38" s="195">
        <v>380</v>
      </c>
      <c r="D38" s="195">
        <v>60</v>
      </c>
      <c r="E38" s="195">
        <v>7</v>
      </c>
      <c r="F38" s="195">
        <v>1.5</v>
      </c>
      <c r="G38" s="195">
        <v>0</v>
      </c>
      <c r="H38" s="195">
        <v>0</v>
      </c>
      <c r="I38" s="195">
        <v>105</v>
      </c>
      <c r="J38" s="195">
        <v>82</v>
      </c>
      <c r="K38" s="195">
        <v>1</v>
      </c>
      <c r="L38" s="195">
        <v>77</v>
      </c>
      <c r="M38" s="195">
        <v>76</v>
      </c>
      <c r="N38" s="195">
        <v>3</v>
      </c>
      <c r="O38" s="188">
        <v>0</v>
      </c>
      <c r="P38" s="188">
        <v>0</v>
      </c>
      <c r="Q38" s="188">
        <v>21</v>
      </c>
      <c r="R38" s="188">
        <v>2</v>
      </c>
      <c r="S38" s="188">
        <v>1</v>
      </c>
      <c r="T38" s="188">
        <v>6</v>
      </c>
      <c r="U38" s="188">
        <v>80</v>
      </c>
      <c r="V38" s="188">
        <v>2</v>
      </c>
    </row>
    <row r="39" spans="1:22">
      <c r="A39" s="1199"/>
      <c r="B39" s="333" t="s">
        <v>63</v>
      </c>
      <c r="C39" s="195">
        <v>380</v>
      </c>
      <c r="D39" s="195">
        <v>80</v>
      </c>
      <c r="E39" s="195">
        <v>9</v>
      </c>
      <c r="F39" s="195">
        <v>1.5</v>
      </c>
      <c r="G39" s="195">
        <v>0</v>
      </c>
      <c r="H39" s="195">
        <v>0</v>
      </c>
      <c r="I39" s="195">
        <v>150</v>
      </c>
      <c r="J39" s="195">
        <v>74</v>
      </c>
      <c r="K39" s="195">
        <v>0</v>
      </c>
      <c r="L39" s="195">
        <v>70</v>
      </c>
      <c r="M39" s="195">
        <v>67</v>
      </c>
      <c r="N39" s="195">
        <v>2</v>
      </c>
      <c r="O39" s="188">
        <v>0</v>
      </c>
      <c r="P39" s="188">
        <v>0</v>
      </c>
      <c r="Q39" s="188">
        <v>9</v>
      </c>
      <c r="R39" s="188">
        <v>0</v>
      </c>
      <c r="S39" s="188">
        <v>1</v>
      </c>
      <c r="T39" s="188">
        <v>6</v>
      </c>
      <c r="U39" s="188">
        <v>4</v>
      </c>
      <c r="V39" s="188">
        <v>0</v>
      </c>
    </row>
    <row r="40" spans="1:22">
      <c r="A40" s="1199"/>
      <c r="B40" s="333" t="s">
        <v>64</v>
      </c>
      <c r="C40" s="195">
        <v>250</v>
      </c>
      <c r="D40" s="195">
        <v>0</v>
      </c>
      <c r="E40" s="195">
        <v>0</v>
      </c>
      <c r="F40" s="195">
        <v>0</v>
      </c>
      <c r="G40" s="195">
        <v>0</v>
      </c>
      <c r="H40" s="195">
        <v>0</v>
      </c>
      <c r="I40" s="195">
        <v>40</v>
      </c>
      <c r="J40" s="195">
        <v>64</v>
      </c>
      <c r="K40" s="195">
        <v>0</v>
      </c>
      <c r="L40" s="195">
        <v>62</v>
      </c>
      <c r="M40" s="195">
        <v>62</v>
      </c>
      <c r="N40" s="195">
        <v>0</v>
      </c>
      <c r="O40" s="188">
        <v>0</v>
      </c>
      <c r="P40" s="188">
        <v>0</v>
      </c>
      <c r="Q40" s="188">
        <v>9</v>
      </c>
      <c r="R40" s="188">
        <v>0</v>
      </c>
      <c r="S40" s="188">
        <v>0</v>
      </c>
      <c r="T40" s="188">
        <v>0</v>
      </c>
      <c r="U40" s="188">
        <v>20</v>
      </c>
      <c r="V40" s="188">
        <v>0</v>
      </c>
    </row>
    <row r="41" spans="1:22">
      <c r="A41" s="1199"/>
      <c r="B41" s="333" t="s">
        <v>65</v>
      </c>
      <c r="C41" s="195">
        <v>250</v>
      </c>
      <c r="D41" s="195">
        <v>0</v>
      </c>
      <c r="E41" s="195">
        <v>0</v>
      </c>
      <c r="F41" s="195">
        <v>0</v>
      </c>
      <c r="G41" s="195">
        <v>0</v>
      </c>
      <c r="H41" s="195">
        <v>0</v>
      </c>
      <c r="I41" s="195">
        <v>40</v>
      </c>
      <c r="J41" s="195">
        <v>68</v>
      </c>
      <c r="K41" s="195">
        <v>0</v>
      </c>
      <c r="L41" s="195">
        <v>66</v>
      </c>
      <c r="M41" s="195">
        <v>66</v>
      </c>
      <c r="N41" s="195">
        <v>0</v>
      </c>
      <c r="O41" s="188">
        <v>0</v>
      </c>
      <c r="P41" s="188">
        <v>0</v>
      </c>
      <c r="Q41" s="188">
        <v>8</v>
      </c>
      <c r="R41" s="188">
        <v>0</v>
      </c>
      <c r="S41" s="188">
        <v>0</v>
      </c>
      <c r="T41" s="188">
        <v>0</v>
      </c>
      <c r="U41" s="188">
        <v>0</v>
      </c>
      <c r="V41" s="188">
        <v>0</v>
      </c>
    </row>
    <row r="42" spans="1:22">
      <c r="A42" s="1199"/>
      <c r="B42" s="333" t="s">
        <v>66</v>
      </c>
      <c r="C42" s="195">
        <v>260</v>
      </c>
      <c r="D42" s="195">
        <v>0</v>
      </c>
      <c r="E42" s="195">
        <v>0</v>
      </c>
      <c r="F42" s="195">
        <v>0</v>
      </c>
      <c r="G42" s="195">
        <v>0</v>
      </c>
      <c r="H42" s="195">
        <v>0</v>
      </c>
      <c r="I42" s="195">
        <v>40</v>
      </c>
      <c r="J42" s="195">
        <v>64</v>
      </c>
      <c r="K42" s="195">
        <v>0</v>
      </c>
      <c r="L42" s="195">
        <v>62</v>
      </c>
      <c r="M42" s="195">
        <v>61</v>
      </c>
      <c r="N42" s="195">
        <v>0</v>
      </c>
      <c r="O42" s="188">
        <v>0</v>
      </c>
      <c r="P42" s="188">
        <v>0</v>
      </c>
      <c r="Q42" s="188">
        <v>9</v>
      </c>
      <c r="R42" s="188">
        <v>0</v>
      </c>
      <c r="S42" s="188">
        <v>0</v>
      </c>
      <c r="T42" s="188">
        <v>0</v>
      </c>
      <c r="U42" s="188">
        <v>4</v>
      </c>
      <c r="V42" s="188">
        <v>0</v>
      </c>
    </row>
    <row r="43" spans="1:22">
      <c r="A43" s="1199"/>
      <c r="B43" s="333" t="s">
        <v>67</v>
      </c>
      <c r="C43" s="195">
        <v>280</v>
      </c>
      <c r="D43" s="195">
        <v>0</v>
      </c>
      <c r="E43" s="195">
        <v>0</v>
      </c>
      <c r="F43" s="195">
        <v>0</v>
      </c>
      <c r="G43" s="195">
        <v>0</v>
      </c>
      <c r="H43" s="195">
        <v>0</v>
      </c>
      <c r="I43" s="195">
        <v>40</v>
      </c>
      <c r="J43" s="195">
        <v>70</v>
      </c>
      <c r="K43" s="195">
        <v>0</v>
      </c>
      <c r="L43" s="195">
        <v>68</v>
      </c>
      <c r="M43" s="195">
        <v>68</v>
      </c>
      <c r="N43" s="195">
        <v>0</v>
      </c>
      <c r="O43" s="188">
        <v>0</v>
      </c>
      <c r="P43" s="188">
        <v>0</v>
      </c>
      <c r="Q43" s="188">
        <v>9</v>
      </c>
      <c r="R43" s="188">
        <v>0</v>
      </c>
      <c r="S43" s="188">
        <v>0</v>
      </c>
      <c r="T43" s="188">
        <v>0</v>
      </c>
      <c r="U43" s="188">
        <v>3</v>
      </c>
      <c r="V43" s="188">
        <v>0</v>
      </c>
    </row>
    <row r="44" spans="1:22">
      <c r="A44" s="1199"/>
      <c r="B44" s="333" t="s">
        <v>68</v>
      </c>
      <c r="C44" s="195">
        <v>180</v>
      </c>
      <c r="D44" s="195">
        <v>0</v>
      </c>
      <c r="E44" s="195">
        <v>0</v>
      </c>
      <c r="F44" s="195">
        <v>0</v>
      </c>
      <c r="G44" s="195">
        <v>0</v>
      </c>
      <c r="H44" s="195">
        <v>0</v>
      </c>
      <c r="I44" s="195">
        <v>55</v>
      </c>
      <c r="J44" s="195">
        <v>45</v>
      </c>
      <c r="K44" s="195">
        <v>0</v>
      </c>
      <c r="L44" s="195">
        <v>43</v>
      </c>
      <c r="M44" s="195">
        <v>27</v>
      </c>
      <c r="N44" s="195">
        <v>0</v>
      </c>
      <c r="O44" s="260">
        <v>0</v>
      </c>
      <c r="P44" s="260">
        <v>0</v>
      </c>
      <c r="Q44" s="260">
        <v>11</v>
      </c>
      <c r="R44" s="260">
        <v>0</v>
      </c>
      <c r="S44" s="260">
        <v>0</v>
      </c>
      <c r="T44" s="260">
        <v>0</v>
      </c>
      <c r="U44" s="260">
        <v>3</v>
      </c>
      <c r="V44" s="260">
        <v>0</v>
      </c>
    </row>
    <row r="45" spans="1:22">
      <c r="A45" s="1199"/>
      <c r="B45" s="333" t="s">
        <v>69</v>
      </c>
      <c r="C45" s="195">
        <v>270</v>
      </c>
      <c r="D45" s="195">
        <v>0</v>
      </c>
      <c r="E45" s="195">
        <v>0</v>
      </c>
      <c r="F45" s="195">
        <v>0</v>
      </c>
      <c r="G45" s="195">
        <v>0</v>
      </c>
      <c r="H45" s="195">
        <v>0</v>
      </c>
      <c r="I45" s="195">
        <v>50</v>
      </c>
      <c r="J45" s="195">
        <v>70</v>
      </c>
      <c r="K45" s="195">
        <v>0</v>
      </c>
      <c r="L45" s="195">
        <v>67</v>
      </c>
      <c r="M45" s="195">
        <v>63</v>
      </c>
      <c r="N45" s="195">
        <v>0</v>
      </c>
      <c r="O45" s="195">
        <v>0</v>
      </c>
      <c r="P45" s="195">
        <v>0</v>
      </c>
      <c r="Q45" s="195">
        <v>11.29</v>
      </c>
      <c r="R45" s="195">
        <v>2</v>
      </c>
      <c r="S45" s="195">
        <v>0.10211099999999999</v>
      </c>
      <c r="T45" s="195">
        <v>0</v>
      </c>
      <c r="U45" s="195">
        <v>20</v>
      </c>
      <c r="V45" s="195">
        <v>1</v>
      </c>
    </row>
    <row r="46" spans="1:22" s="248" customFormat="1">
      <c r="A46" s="1199"/>
      <c r="B46" s="333" t="s">
        <v>71</v>
      </c>
      <c r="C46" s="195">
        <v>260</v>
      </c>
      <c r="D46" s="195">
        <v>0</v>
      </c>
      <c r="E46" s="195">
        <v>0</v>
      </c>
      <c r="F46" s="195">
        <v>0</v>
      </c>
      <c r="G46" s="195">
        <v>0</v>
      </c>
      <c r="H46" s="195">
        <v>0</v>
      </c>
      <c r="I46" s="195">
        <v>40</v>
      </c>
      <c r="J46" s="195">
        <v>66</v>
      </c>
      <c r="K46" s="195">
        <v>0</v>
      </c>
      <c r="L46" s="195">
        <v>64</v>
      </c>
      <c r="M46" s="195">
        <v>62</v>
      </c>
      <c r="N46" s="195">
        <v>0</v>
      </c>
      <c r="O46" s="188">
        <v>0</v>
      </c>
      <c r="P46" s="188">
        <v>0</v>
      </c>
      <c r="Q46" s="188">
        <v>9</v>
      </c>
      <c r="R46" s="188">
        <v>0</v>
      </c>
      <c r="S46" s="188">
        <v>0</v>
      </c>
      <c r="T46" s="188">
        <v>0</v>
      </c>
      <c r="U46" s="188">
        <v>17</v>
      </c>
      <c r="V46" s="188">
        <v>0</v>
      </c>
    </row>
    <row r="47" spans="1:22" s="223" customFormat="1">
      <c r="A47" s="1199"/>
      <c r="B47" s="333" t="s">
        <v>72</v>
      </c>
      <c r="C47" s="195">
        <v>300</v>
      </c>
      <c r="D47" s="195">
        <v>0</v>
      </c>
      <c r="E47" s="195">
        <v>0</v>
      </c>
      <c r="F47" s="195">
        <v>0</v>
      </c>
      <c r="G47" s="195">
        <v>0</v>
      </c>
      <c r="H47" s="195">
        <v>0</v>
      </c>
      <c r="I47" s="195">
        <v>70</v>
      </c>
      <c r="J47" s="195">
        <v>77</v>
      </c>
      <c r="K47" s="195">
        <v>0</v>
      </c>
      <c r="L47" s="195">
        <v>75</v>
      </c>
      <c r="M47" s="195">
        <v>75</v>
      </c>
      <c r="N47" s="195">
        <v>0</v>
      </c>
      <c r="O47" s="188">
        <v>0</v>
      </c>
      <c r="P47" s="188">
        <v>0</v>
      </c>
      <c r="Q47" s="188">
        <v>8</v>
      </c>
      <c r="R47" s="188">
        <v>0</v>
      </c>
      <c r="S47" s="188">
        <v>0</v>
      </c>
      <c r="T47" s="188">
        <v>0</v>
      </c>
      <c r="U47" s="188">
        <v>1</v>
      </c>
      <c r="V47" s="188">
        <v>0</v>
      </c>
    </row>
    <row r="48" spans="1:22" s="223" customFormat="1">
      <c r="A48" s="1199"/>
      <c r="B48" s="333" t="s">
        <v>73</v>
      </c>
      <c r="C48" s="195">
        <v>300</v>
      </c>
      <c r="D48" s="195">
        <v>5</v>
      </c>
      <c r="E48" s="195">
        <v>0.5</v>
      </c>
      <c r="F48" s="195">
        <v>0.5</v>
      </c>
      <c r="G48" s="195">
        <v>0</v>
      </c>
      <c r="H48" s="195">
        <v>0</v>
      </c>
      <c r="I48" s="195">
        <v>40</v>
      </c>
      <c r="J48" s="195">
        <v>73</v>
      </c>
      <c r="K48" s="195">
        <v>0</v>
      </c>
      <c r="L48" s="195">
        <v>71</v>
      </c>
      <c r="M48" s="195">
        <v>68</v>
      </c>
      <c r="N48" s="195">
        <v>0</v>
      </c>
      <c r="O48" s="195">
        <v>0</v>
      </c>
      <c r="P48" s="195">
        <v>0</v>
      </c>
      <c r="Q48" s="195">
        <v>8</v>
      </c>
      <c r="R48" s="195">
        <v>0</v>
      </c>
      <c r="S48" s="195">
        <v>0</v>
      </c>
      <c r="T48" s="195">
        <v>0</v>
      </c>
      <c r="U48" s="195">
        <v>5</v>
      </c>
      <c r="V48" s="195">
        <v>0</v>
      </c>
    </row>
    <row r="49" spans="1:22" s="248" customFormat="1" ht="15" customHeight="1">
      <c r="A49" s="1199"/>
      <c r="B49" s="333" t="s">
        <v>74</v>
      </c>
      <c r="C49" s="195">
        <v>250</v>
      </c>
      <c r="D49" s="195">
        <v>0</v>
      </c>
      <c r="E49" s="195">
        <v>0</v>
      </c>
      <c r="F49" s="195">
        <v>0</v>
      </c>
      <c r="G49" s="195">
        <v>0</v>
      </c>
      <c r="H49" s="195">
        <v>0</v>
      </c>
      <c r="I49" s="195">
        <v>40</v>
      </c>
      <c r="J49" s="195">
        <v>66</v>
      </c>
      <c r="K49" s="195">
        <v>0</v>
      </c>
      <c r="L49" s="195">
        <v>63</v>
      </c>
      <c r="M49" s="195">
        <v>60</v>
      </c>
      <c r="N49" s="195">
        <v>0</v>
      </c>
      <c r="O49" s="188">
        <v>0</v>
      </c>
      <c r="P49" s="188">
        <v>0</v>
      </c>
      <c r="Q49" s="188">
        <v>9</v>
      </c>
      <c r="R49" s="188">
        <v>0</v>
      </c>
      <c r="S49" s="188">
        <v>0</v>
      </c>
      <c r="T49" s="188">
        <v>0</v>
      </c>
      <c r="U49" s="188">
        <v>1</v>
      </c>
      <c r="V49" s="188">
        <v>0</v>
      </c>
    </row>
    <row r="50" spans="1:22" s="248" customFormat="1">
      <c r="A50" s="1199"/>
      <c r="B50" s="333" t="s">
        <v>75</v>
      </c>
      <c r="C50" s="195">
        <v>250</v>
      </c>
      <c r="D50" s="195">
        <v>0</v>
      </c>
      <c r="E50" s="195">
        <v>0</v>
      </c>
      <c r="F50" s="195">
        <v>0</v>
      </c>
      <c r="G50" s="195">
        <v>0</v>
      </c>
      <c r="H50" s="195">
        <v>0</v>
      </c>
      <c r="I50" s="195">
        <v>40</v>
      </c>
      <c r="J50" s="195">
        <v>62</v>
      </c>
      <c r="K50" s="195">
        <v>0</v>
      </c>
      <c r="L50" s="195">
        <v>60</v>
      </c>
      <c r="M50" s="195">
        <v>60</v>
      </c>
      <c r="N50" s="195">
        <v>0</v>
      </c>
      <c r="O50" s="188">
        <v>0</v>
      </c>
      <c r="P50" s="188">
        <v>0</v>
      </c>
      <c r="Q50" s="188">
        <v>8</v>
      </c>
      <c r="R50" s="188">
        <v>0</v>
      </c>
      <c r="S50" s="188">
        <v>0</v>
      </c>
      <c r="T50" s="188">
        <v>0</v>
      </c>
      <c r="U50" s="188">
        <v>19</v>
      </c>
      <c r="V50" s="188">
        <v>0</v>
      </c>
    </row>
    <row r="51" spans="1:22" s="248" customFormat="1">
      <c r="A51" s="1199"/>
      <c r="B51" s="333" t="s">
        <v>76</v>
      </c>
      <c r="C51" s="195">
        <v>280</v>
      </c>
      <c r="D51" s="195">
        <v>0</v>
      </c>
      <c r="E51" s="195">
        <v>0</v>
      </c>
      <c r="F51" s="195">
        <v>0</v>
      </c>
      <c r="G51" s="195">
        <v>0</v>
      </c>
      <c r="H51" s="195">
        <v>0</v>
      </c>
      <c r="I51" s="195">
        <v>40</v>
      </c>
      <c r="J51" s="195">
        <v>71</v>
      </c>
      <c r="K51" s="195">
        <v>0</v>
      </c>
      <c r="L51" s="195">
        <v>69</v>
      </c>
      <c r="M51" s="195">
        <v>34</v>
      </c>
      <c r="N51" s="195">
        <v>0</v>
      </c>
      <c r="O51" s="195">
        <v>0</v>
      </c>
      <c r="P51" s="195">
        <v>0</v>
      </c>
      <c r="Q51" s="195">
        <v>7</v>
      </c>
      <c r="R51" s="195">
        <v>0</v>
      </c>
      <c r="S51" s="195">
        <v>0</v>
      </c>
      <c r="T51" s="195">
        <v>0</v>
      </c>
      <c r="U51" s="195">
        <v>4</v>
      </c>
      <c r="V51" s="195">
        <v>0</v>
      </c>
    </row>
    <row r="52" spans="1:22" s="248" customFormat="1">
      <c r="A52" s="1199"/>
      <c r="B52" s="333" t="s">
        <v>77</v>
      </c>
      <c r="C52" s="195">
        <v>280</v>
      </c>
      <c r="D52" s="195">
        <v>0</v>
      </c>
      <c r="E52" s="195">
        <v>0</v>
      </c>
      <c r="F52" s="195">
        <v>0</v>
      </c>
      <c r="G52" s="195">
        <v>0</v>
      </c>
      <c r="H52" s="195">
        <v>0</v>
      </c>
      <c r="I52" s="195">
        <v>40</v>
      </c>
      <c r="J52" s="195">
        <v>71</v>
      </c>
      <c r="K52" s="195">
        <v>0</v>
      </c>
      <c r="L52" s="195">
        <v>68</v>
      </c>
      <c r="M52" s="195">
        <v>67</v>
      </c>
      <c r="N52" s="195">
        <v>0</v>
      </c>
      <c r="O52" s="188">
        <v>0</v>
      </c>
      <c r="P52" s="188">
        <v>0</v>
      </c>
      <c r="Q52" s="188">
        <v>10</v>
      </c>
      <c r="R52" s="188">
        <v>0</v>
      </c>
      <c r="S52" s="188">
        <v>0</v>
      </c>
      <c r="T52" s="188">
        <v>0</v>
      </c>
      <c r="U52" s="188">
        <v>11</v>
      </c>
      <c r="V52" s="188">
        <v>0</v>
      </c>
    </row>
    <row r="53" spans="1:22" s="248" customFormat="1">
      <c r="A53" s="1199"/>
      <c r="B53" s="333" t="s">
        <v>78</v>
      </c>
      <c r="C53" s="188">
        <v>290</v>
      </c>
      <c r="D53" s="188">
        <v>0</v>
      </c>
      <c r="E53" s="188">
        <v>0</v>
      </c>
      <c r="F53" s="188">
        <v>0</v>
      </c>
      <c r="G53" s="188">
        <v>0</v>
      </c>
      <c r="H53" s="188">
        <v>0</v>
      </c>
      <c r="I53" s="188">
        <v>40</v>
      </c>
      <c r="J53" s="188">
        <v>70</v>
      </c>
      <c r="K53" s="188">
        <v>0</v>
      </c>
      <c r="L53" s="188">
        <v>66</v>
      </c>
      <c r="M53" s="188">
        <v>64</v>
      </c>
      <c r="N53" s="188">
        <v>1</v>
      </c>
      <c r="O53" s="188">
        <v>0</v>
      </c>
      <c r="P53" s="188">
        <v>0</v>
      </c>
      <c r="Q53" s="188">
        <v>15</v>
      </c>
      <c r="R53" s="188">
        <v>2</v>
      </c>
      <c r="S53" s="188">
        <v>0</v>
      </c>
      <c r="T53" s="188">
        <v>0</v>
      </c>
      <c r="U53" s="188">
        <v>24</v>
      </c>
      <c r="V53" s="188">
        <v>0</v>
      </c>
    </row>
    <row r="54" spans="1:22" s="248" customFormat="1">
      <c r="A54" s="1199"/>
      <c r="B54" s="333" t="s">
        <v>180</v>
      </c>
      <c r="C54" s="188">
        <v>260</v>
      </c>
      <c r="D54" s="188">
        <v>0</v>
      </c>
      <c r="E54" s="188">
        <v>0</v>
      </c>
      <c r="F54" s="188">
        <v>0</v>
      </c>
      <c r="G54" s="188">
        <v>0</v>
      </c>
      <c r="H54" s="188">
        <v>0</v>
      </c>
      <c r="I54" s="188">
        <v>115</v>
      </c>
      <c r="J54" s="188">
        <v>67</v>
      </c>
      <c r="K54" s="188">
        <v>0</v>
      </c>
      <c r="L54" s="188">
        <v>61</v>
      </c>
      <c r="M54" s="188">
        <v>61</v>
      </c>
      <c r="N54" s="188">
        <v>0</v>
      </c>
      <c r="O54" s="188">
        <v>0</v>
      </c>
      <c r="P54" s="188">
        <v>0</v>
      </c>
      <c r="Q54" s="188">
        <v>9</v>
      </c>
      <c r="R54" s="188">
        <v>0</v>
      </c>
      <c r="S54" s="188">
        <v>1</v>
      </c>
      <c r="T54" s="188">
        <v>6</v>
      </c>
      <c r="U54" s="188">
        <v>23</v>
      </c>
      <c r="V54" s="188">
        <v>0</v>
      </c>
    </row>
    <row r="55" spans="1:22" s="248" customFormat="1" ht="16.3" thickBot="1">
      <c r="A55" s="1200"/>
      <c r="B55" s="333" t="s">
        <v>315</v>
      </c>
      <c r="C55" s="188">
        <v>190</v>
      </c>
      <c r="D55" s="188">
        <v>0</v>
      </c>
      <c r="E55" s="188">
        <v>0</v>
      </c>
      <c r="F55" s="188">
        <v>0</v>
      </c>
      <c r="G55" s="188">
        <v>0</v>
      </c>
      <c r="H55" s="188">
        <v>0</v>
      </c>
      <c r="I55" s="188">
        <v>35</v>
      </c>
      <c r="J55" s="188">
        <v>51</v>
      </c>
      <c r="K55" s="188">
        <v>0</v>
      </c>
      <c r="L55" s="188">
        <v>49</v>
      </c>
      <c r="M55" s="188">
        <v>49</v>
      </c>
      <c r="N55" s="188">
        <v>0</v>
      </c>
      <c r="O55" s="188">
        <v>0</v>
      </c>
      <c r="P55" s="188">
        <v>0</v>
      </c>
      <c r="Q55" s="188">
        <v>10</v>
      </c>
      <c r="R55" s="188">
        <v>0</v>
      </c>
      <c r="S55" s="188">
        <v>0</v>
      </c>
      <c r="T55" s="188">
        <v>0</v>
      </c>
      <c r="U55" s="188">
        <v>11</v>
      </c>
      <c r="V55" s="188">
        <v>0</v>
      </c>
    </row>
    <row r="56" spans="1:22" s="248" customFormat="1" ht="14.25" customHeight="1">
      <c r="A56" s="1189" t="s">
        <v>79</v>
      </c>
      <c r="B56" s="333" t="s">
        <v>80</v>
      </c>
      <c r="C56" s="195">
        <v>270</v>
      </c>
      <c r="D56" s="195">
        <v>0</v>
      </c>
      <c r="E56" s="195">
        <v>0</v>
      </c>
      <c r="F56" s="195">
        <v>0</v>
      </c>
      <c r="G56" s="195">
        <v>0</v>
      </c>
      <c r="H56" s="195">
        <v>0</v>
      </c>
      <c r="I56" s="195">
        <v>15</v>
      </c>
      <c r="J56" s="195">
        <v>54</v>
      </c>
      <c r="K56" s="195">
        <v>2</v>
      </c>
      <c r="L56" s="195">
        <v>52</v>
      </c>
      <c r="M56" s="195">
        <v>48</v>
      </c>
      <c r="N56" s="195">
        <v>1</v>
      </c>
      <c r="O56" s="188">
        <v>0</v>
      </c>
      <c r="P56" s="188">
        <v>0</v>
      </c>
      <c r="Q56" s="188">
        <v>22</v>
      </c>
      <c r="R56" s="188">
        <v>2</v>
      </c>
      <c r="S56" s="188">
        <v>0</v>
      </c>
      <c r="T56" s="188">
        <v>0</v>
      </c>
      <c r="U56" s="188">
        <v>199</v>
      </c>
      <c r="V56" s="188">
        <v>4</v>
      </c>
    </row>
    <row r="57" spans="1:22">
      <c r="A57" s="1190"/>
      <c r="B57" s="333" t="s">
        <v>82</v>
      </c>
      <c r="C57" s="195">
        <v>220</v>
      </c>
      <c r="D57" s="195">
        <v>0</v>
      </c>
      <c r="E57" s="195">
        <v>0</v>
      </c>
      <c r="F57" s="195">
        <v>0</v>
      </c>
      <c r="G57" s="195">
        <v>0</v>
      </c>
      <c r="H57" s="195">
        <v>0</v>
      </c>
      <c r="I57" s="195">
        <v>10</v>
      </c>
      <c r="J57" s="195">
        <v>55</v>
      </c>
      <c r="K57" s="195">
        <v>0</v>
      </c>
      <c r="L57" s="195">
        <v>52</v>
      </c>
      <c r="M57" s="195">
        <v>51</v>
      </c>
      <c r="N57" s="195">
        <v>0</v>
      </c>
      <c r="O57" s="195">
        <v>0</v>
      </c>
      <c r="P57" s="195">
        <v>0</v>
      </c>
      <c r="Q57" s="195">
        <v>12</v>
      </c>
      <c r="R57" s="195">
        <v>0</v>
      </c>
      <c r="S57" s="195">
        <v>0</v>
      </c>
      <c r="T57" s="195">
        <v>0</v>
      </c>
      <c r="U57" s="195">
        <v>9</v>
      </c>
      <c r="V57" s="195">
        <v>0</v>
      </c>
    </row>
    <row r="58" spans="1:22">
      <c r="A58" s="1190"/>
      <c r="B58" s="333" t="s">
        <v>83</v>
      </c>
      <c r="C58" s="188">
        <v>210</v>
      </c>
      <c r="D58" s="188">
        <v>0</v>
      </c>
      <c r="E58" s="188">
        <v>0</v>
      </c>
      <c r="F58" s="188">
        <v>0</v>
      </c>
      <c r="G58" s="188">
        <v>0</v>
      </c>
      <c r="H58" s="188">
        <v>0</v>
      </c>
      <c r="I58" s="188">
        <v>10</v>
      </c>
      <c r="J58" s="188">
        <v>55</v>
      </c>
      <c r="K58" s="188">
        <v>0</v>
      </c>
      <c r="L58" s="188">
        <v>53</v>
      </c>
      <c r="M58" s="188">
        <v>51</v>
      </c>
      <c r="N58" s="188">
        <v>0</v>
      </c>
      <c r="O58" s="188">
        <v>0</v>
      </c>
      <c r="P58" s="188">
        <v>0</v>
      </c>
      <c r="Q58" s="188">
        <v>13</v>
      </c>
      <c r="R58" s="188">
        <v>2</v>
      </c>
      <c r="S58" s="188">
        <v>0</v>
      </c>
      <c r="T58" s="188">
        <v>0</v>
      </c>
      <c r="U58" s="188">
        <v>21</v>
      </c>
      <c r="V58" s="188">
        <v>0</v>
      </c>
    </row>
    <row r="59" spans="1:22">
      <c r="A59" s="1190"/>
      <c r="B59" s="333" t="s">
        <v>84</v>
      </c>
      <c r="C59" s="195">
        <v>270</v>
      </c>
      <c r="D59" s="195">
        <v>0</v>
      </c>
      <c r="E59" s="195">
        <v>0</v>
      </c>
      <c r="F59" s="195">
        <v>0</v>
      </c>
      <c r="G59" s="195">
        <v>0</v>
      </c>
      <c r="H59" s="195">
        <v>0</v>
      </c>
      <c r="I59" s="195">
        <v>10</v>
      </c>
      <c r="J59" s="195">
        <v>52</v>
      </c>
      <c r="K59" s="195">
        <v>2</v>
      </c>
      <c r="L59" s="195">
        <v>49</v>
      </c>
      <c r="M59" s="195">
        <v>48</v>
      </c>
      <c r="N59" s="195">
        <v>1</v>
      </c>
      <c r="O59" s="195">
        <v>0</v>
      </c>
      <c r="P59" s="195">
        <v>0</v>
      </c>
      <c r="Q59" s="195">
        <v>26</v>
      </c>
      <c r="R59" s="195">
        <v>2</v>
      </c>
      <c r="S59" s="195">
        <v>0</v>
      </c>
      <c r="T59" s="195">
        <v>0</v>
      </c>
      <c r="U59" s="195">
        <v>153</v>
      </c>
      <c r="V59" s="195">
        <v>4</v>
      </c>
    </row>
    <row r="60" spans="1:22">
      <c r="A60" s="1190"/>
      <c r="B60" s="333" t="s">
        <v>85</v>
      </c>
      <c r="C60" s="195">
        <v>220</v>
      </c>
      <c r="D60" s="195">
        <v>0</v>
      </c>
      <c r="E60" s="195">
        <v>0</v>
      </c>
      <c r="F60" s="195">
        <v>0</v>
      </c>
      <c r="G60" s="195">
        <v>0</v>
      </c>
      <c r="H60" s="195">
        <v>0</v>
      </c>
      <c r="I60" s="195">
        <v>10</v>
      </c>
      <c r="J60" s="195">
        <v>55</v>
      </c>
      <c r="K60" s="195">
        <v>0</v>
      </c>
      <c r="L60" s="195">
        <v>53</v>
      </c>
      <c r="M60" s="195">
        <v>49</v>
      </c>
      <c r="N60" s="195">
        <v>0</v>
      </c>
      <c r="O60" s="188">
        <v>0</v>
      </c>
      <c r="P60" s="188">
        <v>0</v>
      </c>
      <c r="Q60" s="188">
        <v>18</v>
      </c>
      <c r="R60" s="188">
        <v>2</v>
      </c>
      <c r="S60" s="188">
        <v>0</v>
      </c>
      <c r="T60" s="188">
        <v>0</v>
      </c>
      <c r="U60" s="188">
        <v>91</v>
      </c>
      <c r="V60" s="188">
        <v>2</v>
      </c>
    </row>
    <row r="61" spans="1:22">
      <c r="A61" s="1190"/>
      <c r="B61" s="333" t="s">
        <v>88</v>
      </c>
      <c r="C61" s="195">
        <v>240</v>
      </c>
      <c r="D61" s="195">
        <v>0</v>
      </c>
      <c r="E61" s="195">
        <v>0</v>
      </c>
      <c r="F61" s="195">
        <v>0</v>
      </c>
      <c r="G61" s="195">
        <v>0</v>
      </c>
      <c r="H61" s="195">
        <v>0</v>
      </c>
      <c r="I61" s="195">
        <v>15</v>
      </c>
      <c r="J61" s="195">
        <v>58</v>
      </c>
      <c r="K61" s="195">
        <v>0</v>
      </c>
      <c r="L61" s="195">
        <v>57</v>
      </c>
      <c r="M61" s="195">
        <v>51</v>
      </c>
      <c r="N61" s="195">
        <v>0</v>
      </c>
      <c r="O61" s="188">
        <v>0</v>
      </c>
      <c r="P61" s="188">
        <v>0</v>
      </c>
      <c r="Q61" s="188">
        <v>15</v>
      </c>
      <c r="R61" s="188">
        <v>2</v>
      </c>
      <c r="S61" s="188">
        <v>0</v>
      </c>
      <c r="T61" s="188">
        <v>0</v>
      </c>
      <c r="U61" s="188">
        <v>53</v>
      </c>
      <c r="V61" s="188">
        <v>2</v>
      </c>
    </row>
    <row r="62" spans="1:22">
      <c r="A62" s="1190"/>
      <c r="B62" s="333" t="s">
        <v>89</v>
      </c>
      <c r="C62" s="195">
        <v>300</v>
      </c>
      <c r="D62" s="195">
        <v>0</v>
      </c>
      <c r="E62" s="195">
        <v>0</v>
      </c>
      <c r="F62" s="195">
        <v>0</v>
      </c>
      <c r="G62" s="195">
        <v>0</v>
      </c>
      <c r="H62" s="195">
        <v>0</v>
      </c>
      <c r="I62" s="195">
        <v>10</v>
      </c>
      <c r="J62" s="195">
        <v>47</v>
      </c>
      <c r="K62" s="195">
        <v>3</v>
      </c>
      <c r="L62" s="195">
        <v>43</v>
      </c>
      <c r="M62" s="195">
        <v>43</v>
      </c>
      <c r="N62" s="195">
        <v>1</v>
      </c>
      <c r="O62" s="188">
        <v>0</v>
      </c>
      <c r="P62" s="188">
        <v>0</v>
      </c>
      <c r="Q62" s="188">
        <v>35</v>
      </c>
      <c r="R62" s="188">
        <v>2</v>
      </c>
      <c r="S62" s="188">
        <v>0</v>
      </c>
      <c r="T62" s="188">
        <v>0</v>
      </c>
      <c r="U62" s="188">
        <v>272</v>
      </c>
      <c r="V62" s="188">
        <v>6</v>
      </c>
    </row>
    <row r="63" spans="1:22">
      <c r="A63" s="1190"/>
      <c r="B63" s="333" t="s">
        <v>90</v>
      </c>
      <c r="C63" s="188">
        <v>260</v>
      </c>
      <c r="D63" s="188">
        <v>0</v>
      </c>
      <c r="E63" s="188">
        <v>0</v>
      </c>
      <c r="F63" s="188">
        <v>0</v>
      </c>
      <c r="G63" s="188">
        <v>0</v>
      </c>
      <c r="H63" s="188">
        <v>0</v>
      </c>
      <c r="I63" s="188">
        <v>10</v>
      </c>
      <c r="J63" s="188">
        <v>48</v>
      </c>
      <c r="K63" s="188">
        <v>2</v>
      </c>
      <c r="L63" s="188">
        <v>46</v>
      </c>
      <c r="M63" s="188">
        <v>44</v>
      </c>
      <c r="N63" s="188">
        <v>1</v>
      </c>
      <c r="O63" s="188">
        <v>0</v>
      </c>
      <c r="P63" s="188">
        <v>0</v>
      </c>
      <c r="Q63" s="188">
        <v>25</v>
      </c>
      <c r="R63" s="188">
        <v>2</v>
      </c>
      <c r="S63" s="188">
        <v>0</v>
      </c>
      <c r="T63" s="188">
        <v>0</v>
      </c>
      <c r="U63" s="188">
        <v>183</v>
      </c>
      <c r="V63" s="188">
        <v>4</v>
      </c>
    </row>
    <row r="64" spans="1:22" s="212" customFormat="1" ht="15" customHeight="1">
      <c r="A64" s="1190"/>
      <c r="B64" s="333" t="s">
        <v>91</v>
      </c>
      <c r="C64" s="188">
        <v>230</v>
      </c>
      <c r="D64" s="188">
        <v>0</v>
      </c>
      <c r="E64" s="188">
        <v>0</v>
      </c>
      <c r="F64" s="188">
        <v>0</v>
      </c>
      <c r="G64" s="188">
        <v>0</v>
      </c>
      <c r="H64" s="188">
        <v>0</v>
      </c>
      <c r="I64" s="188">
        <v>10</v>
      </c>
      <c r="J64" s="188">
        <v>44</v>
      </c>
      <c r="K64" s="188">
        <v>2</v>
      </c>
      <c r="L64" s="188">
        <v>42</v>
      </c>
      <c r="M64" s="188">
        <v>40</v>
      </c>
      <c r="N64" s="188">
        <v>1</v>
      </c>
      <c r="O64" s="188">
        <v>0</v>
      </c>
      <c r="P64" s="188">
        <v>0</v>
      </c>
      <c r="Q64" s="188">
        <v>25</v>
      </c>
      <c r="R64" s="188">
        <v>2</v>
      </c>
      <c r="S64" s="188">
        <v>0</v>
      </c>
      <c r="T64" s="188">
        <v>0</v>
      </c>
      <c r="U64" s="188">
        <v>169</v>
      </c>
      <c r="V64" s="188">
        <v>4</v>
      </c>
    </row>
    <row r="65" spans="1:22" s="212" customFormat="1" ht="15" customHeight="1" thickBot="1">
      <c r="A65" s="1198"/>
      <c r="B65" s="333" t="s">
        <v>181</v>
      </c>
      <c r="C65" s="188">
        <v>230</v>
      </c>
      <c r="D65" s="188">
        <v>0</v>
      </c>
      <c r="E65" s="188">
        <v>0</v>
      </c>
      <c r="F65" s="188">
        <v>0</v>
      </c>
      <c r="G65" s="188">
        <v>0</v>
      </c>
      <c r="H65" s="188">
        <v>0</v>
      </c>
      <c r="I65" s="188">
        <v>10</v>
      </c>
      <c r="J65" s="188">
        <v>56</v>
      </c>
      <c r="K65" s="188">
        <v>0</v>
      </c>
      <c r="L65" s="188">
        <v>55</v>
      </c>
      <c r="M65" s="188">
        <v>50</v>
      </c>
      <c r="N65" s="188">
        <v>0</v>
      </c>
      <c r="O65" s="188">
        <v>0</v>
      </c>
      <c r="P65" s="188">
        <v>0</v>
      </c>
      <c r="Q65" s="188">
        <v>17</v>
      </c>
      <c r="R65" s="188">
        <v>2</v>
      </c>
      <c r="S65" s="188">
        <v>0</v>
      </c>
      <c r="T65" s="188">
        <v>0</v>
      </c>
      <c r="U65" s="188">
        <v>76</v>
      </c>
      <c r="V65" s="188">
        <v>2</v>
      </c>
    </row>
    <row r="66" spans="1:22" s="212" customFormat="1" ht="15" customHeight="1">
      <c r="A66" s="1189" t="s">
        <v>92</v>
      </c>
      <c r="B66" s="333" t="s">
        <v>94</v>
      </c>
      <c r="C66" s="195">
        <v>330</v>
      </c>
      <c r="D66" s="195">
        <v>35</v>
      </c>
      <c r="E66" s="195">
        <v>4</v>
      </c>
      <c r="F66" s="195">
        <v>3.5</v>
      </c>
      <c r="G66" s="195">
        <v>0</v>
      </c>
      <c r="H66" s="195">
        <v>0</v>
      </c>
      <c r="I66" s="195">
        <v>170</v>
      </c>
      <c r="J66" s="195">
        <v>73</v>
      </c>
      <c r="K66" s="195">
        <v>0</v>
      </c>
      <c r="L66" s="195">
        <v>65</v>
      </c>
      <c r="M66" s="195">
        <v>56</v>
      </c>
      <c r="N66" s="195">
        <v>1</v>
      </c>
      <c r="O66" s="188">
        <v>0</v>
      </c>
      <c r="P66" s="188">
        <v>0</v>
      </c>
      <c r="Q66" s="188">
        <v>36</v>
      </c>
      <c r="R66" s="188">
        <v>2</v>
      </c>
      <c r="S66" s="188">
        <v>0</v>
      </c>
      <c r="T66" s="188">
        <v>0</v>
      </c>
      <c r="U66" s="188">
        <v>7</v>
      </c>
      <c r="V66" s="188">
        <v>0</v>
      </c>
    </row>
    <row r="67" spans="1:22" s="212" customFormat="1" ht="15" customHeight="1">
      <c r="A67" s="1190"/>
      <c r="B67" s="333" t="s">
        <v>93</v>
      </c>
      <c r="C67" s="195">
        <v>330</v>
      </c>
      <c r="D67" s="195">
        <v>40</v>
      </c>
      <c r="E67" s="195">
        <v>4.5</v>
      </c>
      <c r="F67" s="195">
        <v>3.5</v>
      </c>
      <c r="G67" s="195">
        <v>0</v>
      </c>
      <c r="H67" s="195">
        <v>0</v>
      </c>
      <c r="I67" s="195">
        <v>45</v>
      </c>
      <c r="J67" s="195">
        <v>73</v>
      </c>
      <c r="K67" s="195">
        <v>0</v>
      </c>
      <c r="L67" s="195">
        <v>69</v>
      </c>
      <c r="M67" s="195">
        <v>30</v>
      </c>
      <c r="N67" s="195">
        <v>1</v>
      </c>
      <c r="O67" s="188">
        <v>0</v>
      </c>
      <c r="P67" s="188">
        <v>0</v>
      </c>
      <c r="Q67" s="195">
        <v>13.8581</v>
      </c>
      <c r="R67" s="195">
        <v>2</v>
      </c>
      <c r="S67" s="195">
        <v>0.53702700000000003</v>
      </c>
      <c r="T67" s="195">
        <v>2</v>
      </c>
      <c r="U67" s="195">
        <v>30</v>
      </c>
      <c r="V67" s="195">
        <v>1</v>
      </c>
    </row>
    <row r="68" spans="1:22" ht="14.25" customHeight="1">
      <c r="A68" s="1190"/>
      <c r="B68" s="333" t="s">
        <v>95</v>
      </c>
      <c r="C68" s="195">
        <v>320</v>
      </c>
      <c r="D68" s="195">
        <v>30</v>
      </c>
      <c r="E68" s="195">
        <v>3.5</v>
      </c>
      <c r="F68" s="195">
        <v>3</v>
      </c>
      <c r="G68" s="195">
        <v>0</v>
      </c>
      <c r="H68" s="195">
        <v>0</v>
      </c>
      <c r="I68" s="195">
        <v>70</v>
      </c>
      <c r="J68" s="195">
        <v>73</v>
      </c>
      <c r="K68" s="195">
        <v>0</v>
      </c>
      <c r="L68" s="195">
        <v>64</v>
      </c>
      <c r="M68" s="195">
        <v>27</v>
      </c>
      <c r="N68" s="195">
        <v>1</v>
      </c>
      <c r="O68" s="188">
        <v>0</v>
      </c>
      <c r="P68" s="188">
        <v>0</v>
      </c>
      <c r="Q68" s="188">
        <v>9</v>
      </c>
      <c r="R68" s="188">
        <v>0</v>
      </c>
      <c r="S68" s="188">
        <v>0</v>
      </c>
      <c r="T68" s="188">
        <v>0</v>
      </c>
      <c r="U68" s="188">
        <v>7</v>
      </c>
      <c r="V68" s="188">
        <v>0</v>
      </c>
    </row>
    <row r="69" spans="1:22" ht="14.25" customHeight="1">
      <c r="A69" s="1190"/>
      <c r="B69" s="333" t="s">
        <v>96</v>
      </c>
      <c r="C69" s="195">
        <v>350</v>
      </c>
      <c r="D69" s="195">
        <v>50</v>
      </c>
      <c r="E69" s="195">
        <v>6</v>
      </c>
      <c r="F69" s="195">
        <v>4.5</v>
      </c>
      <c r="G69" s="195">
        <v>0</v>
      </c>
      <c r="H69" s="195">
        <v>5</v>
      </c>
      <c r="I69" s="195">
        <v>120</v>
      </c>
      <c r="J69" s="195">
        <v>74</v>
      </c>
      <c r="K69" s="195">
        <v>0</v>
      </c>
      <c r="L69" s="195">
        <v>65</v>
      </c>
      <c r="M69" s="195">
        <v>62</v>
      </c>
      <c r="N69" s="195">
        <v>1</v>
      </c>
      <c r="O69" s="188">
        <v>0</v>
      </c>
      <c r="P69" s="188">
        <v>0</v>
      </c>
      <c r="Q69" s="188">
        <v>16</v>
      </c>
      <c r="R69" s="188">
        <v>2</v>
      </c>
      <c r="S69" s="188">
        <v>0</v>
      </c>
      <c r="T69" s="188">
        <v>0</v>
      </c>
      <c r="U69" s="188">
        <v>55</v>
      </c>
      <c r="V69" s="188">
        <v>2</v>
      </c>
    </row>
    <row r="70" spans="1:22" ht="15" customHeight="1">
      <c r="A70" s="1190"/>
      <c r="B70" s="333" t="s">
        <v>97</v>
      </c>
      <c r="C70" s="195">
        <v>360</v>
      </c>
      <c r="D70" s="195">
        <v>35</v>
      </c>
      <c r="E70" s="195">
        <v>3.5</v>
      </c>
      <c r="F70" s="195">
        <v>3</v>
      </c>
      <c r="G70" s="195">
        <v>0</v>
      </c>
      <c r="H70" s="195">
        <v>5</v>
      </c>
      <c r="I70" s="195">
        <v>150</v>
      </c>
      <c r="J70" s="195">
        <v>81</v>
      </c>
      <c r="K70" s="195">
        <v>0</v>
      </c>
      <c r="L70" s="195">
        <v>72</v>
      </c>
      <c r="M70" s="195">
        <v>57</v>
      </c>
      <c r="N70" s="195">
        <v>0</v>
      </c>
      <c r="O70" s="188">
        <v>0</v>
      </c>
      <c r="P70" s="188">
        <v>0</v>
      </c>
      <c r="Q70" s="260">
        <v>12</v>
      </c>
      <c r="R70" s="260">
        <v>0</v>
      </c>
      <c r="S70" s="260">
        <v>0</v>
      </c>
      <c r="T70" s="260">
        <v>0</v>
      </c>
      <c r="U70" s="260">
        <v>29</v>
      </c>
      <c r="V70" s="260">
        <v>0</v>
      </c>
    </row>
    <row r="71" spans="1:22" ht="15" customHeight="1">
      <c r="A71" s="1190"/>
      <c r="B71" s="333" t="s">
        <v>98</v>
      </c>
      <c r="C71" s="195">
        <v>310</v>
      </c>
      <c r="D71" s="195">
        <v>30</v>
      </c>
      <c r="E71" s="195">
        <v>3.5</v>
      </c>
      <c r="F71" s="195">
        <v>3</v>
      </c>
      <c r="G71" s="195">
        <v>0</v>
      </c>
      <c r="H71" s="195">
        <v>0</v>
      </c>
      <c r="I71" s="195">
        <v>70</v>
      </c>
      <c r="J71" s="195">
        <v>69</v>
      </c>
      <c r="K71" s="195">
        <v>0</v>
      </c>
      <c r="L71" s="195">
        <v>66</v>
      </c>
      <c r="M71" s="195">
        <v>28</v>
      </c>
      <c r="N71" s="195">
        <v>1</v>
      </c>
      <c r="O71" s="188">
        <v>0</v>
      </c>
      <c r="P71" s="188">
        <v>0</v>
      </c>
      <c r="Q71" s="188">
        <v>9</v>
      </c>
      <c r="R71" s="188">
        <v>0</v>
      </c>
      <c r="S71" s="188">
        <v>0</v>
      </c>
      <c r="T71" s="188">
        <v>0</v>
      </c>
      <c r="U71" s="188">
        <v>7</v>
      </c>
      <c r="V71" s="188">
        <v>0</v>
      </c>
    </row>
    <row r="72" spans="1:22" ht="15" customHeight="1">
      <c r="A72" s="1190"/>
      <c r="B72" s="333" t="s">
        <v>99</v>
      </c>
      <c r="C72" s="195">
        <v>340</v>
      </c>
      <c r="D72" s="195">
        <v>50</v>
      </c>
      <c r="E72" s="195">
        <v>6</v>
      </c>
      <c r="F72" s="195">
        <v>4.5</v>
      </c>
      <c r="G72" s="195">
        <v>0</v>
      </c>
      <c r="H72" s="195">
        <v>0</v>
      </c>
      <c r="I72" s="195">
        <v>70</v>
      </c>
      <c r="J72" s="195">
        <v>73</v>
      </c>
      <c r="K72" s="195">
        <v>0</v>
      </c>
      <c r="L72" s="195">
        <v>69</v>
      </c>
      <c r="M72" s="195">
        <v>32</v>
      </c>
      <c r="N72" s="195">
        <v>1</v>
      </c>
      <c r="O72" s="188">
        <v>0</v>
      </c>
      <c r="P72" s="188">
        <v>0</v>
      </c>
      <c r="Q72" s="195">
        <v>11.7166</v>
      </c>
      <c r="R72" s="195">
        <v>2</v>
      </c>
      <c r="S72" s="195">
        <v>0.82314299999999996</v>
      </c>
      <c r="T72" s="195">
        <v>4</v>
      </c>
      <c r="U72" s="195">
        <v>45</v>
      </c>
      <c r="V72" s="195">
        <v>1</v>
      </c>
    </row>
    <row r="73" spans="1:22" ht="15" customHeight="1">
      <c r="A73" s="1190"/>
      <c r="B73" s="333" t="s">
        <v>100</v>
      </c>
      <c r="C73" s="195">
        <v>340</v>
      </c>
      <c r="D73" s="195">
        <v>50</v>
      </c>
      <c r="E73" s="195">
        <v>5</v>
      </c>
      <c r="F73" s="195">
        <v>4.5</v>
      </c>
      <c r="G73" s="195">
        <v>0</v>
      </c>
      <c r="H73" s="195">
        <v>0</v>
      </c>
      <c r="I73" s="195">
        <v>75</v>
      </c>
      <c r="J73" s="195">
        <v>75</v>
      </c>
      <c r="K73" s="195">
        <v>0</v>
      </c>
      <c r="L73" s="195">
        <v>70</v>
      </c>
      <c r="M73" s="195">
        <v>28</v>
      </c>
      <c r="N73" s="195">
        <v>1</v>
      </c>
      <c r="O73" s="195">
        <v>0</v>
      </c>
      <c r="P73" s="195">
        <v>0</v>
      </c>
      <c r="Q73" s="195">
        <v>22</v>
      </c>
      <c r="R73" s="195">
        <v>2</v>
      </c>
      <c r="S73" s="195">
        <v>0</v>
      </c>
      <c r="T73" s="195">
        <v>0</v>
      </c>
      <c r="U73" s="195">
        <v>37</v>
      </c>
      <c r="V73" s="195">
        <v>0</v>
      </c>
    </row>
    <row r="74" spans="1:22">
      <c r="A74" s="1190"/>
      <c r="B74" s="333" t="s">
        <v>101</v>
      </c>
      <c r="C74" s="195">
        <v>350</v>
      </c>
      <c r="D74" s="195">
        <v>60</v>
      </c>
      <c r="E74" s="195">
        <v>6</v>
      </c>
      <c r="F74" s="195">
        <v>5</v>
      </c>
      <c r="G74" s="195">
        <v>0</v>
      </c>
      <c r="H74" s="195">
        <v>0</v>
      </c>
      <c r="I74" s="195">
        <v>80</v>
      </c>
      <c r="J74" s="195">
        <v>74</v>
      </c>
      <c r="K74" s="195">
        <v>0</v>
      </c>
      <c r="L74" s="195">
        <v>69</v>
      </c>
      <c r="M74" s="195">
        <v>64</v>
      </c>
      <c r="N74" s="195">
        <v>1</v>
      </c>
      <c r="O74" s="188">
        <v>0</v>
      </c>
      <c r="P74" s="188">
        <v>0</v>
      </c>
      <c r="Q74" s="195">
        <v>22.804200000000002</v>
      </c>
      <c r="R74" s="195">
        <v>2</v>
      </c>
      <c r="S74" s="195">
        <v>0.96233000000000002</v>
      </c>
      <c r="T74" s="195">
        <v>6</v>
      </c>
      <c r="U74" s="195">
        <v>50</v>
      </c>
      <c r="V74" s="195">
        <v>1</v>
      </c>
    </row>
    <row r="75" spans="1:22">
      <c r="A75" s="1190"/>
      <c r="B75" s="333" t="s">
        <v>102</v>
      </c>
      <c r="C75" s="195">
        <v>310</v>
      </c>
      <c r="D75" s="195">
        <v>35</v>
      </c>
      <c r="E75" s="195">
        <v>4</v>
      </c>
      <c r="F75" s="195">
        <v>3.5</v>
      </c>
      <c r="G75" s="195">
        <v>0</v>
      </c>
      <c r="H75" s="195">
        <v>0</v>
      </c>
      <c r="I75" s="195">
        <v>70</v>
      </c>
      <c r="J75" s="195">
        <v>68</v>
      </c>
      <c r="K75" s="195">
        <v>0</v>
      </c>
      <c r="L75" s="195">
        <v>63</v>
      </c>
      <c r="M75" s="195">
        <v>60</v>
      </c>
      <c r="N75" s="195">
        <v>0</v>
      </c>
      <c r="O75" s="188">
        <v>0</v>
      </c>
      <c r="P75" s="188">
        <v>0</v>
      </c>
      <c r="Q75" s="188">
        <v>10</v>
      </c>
      <c r="R75" s="188">
        <v>0</v>
      </c>
      <c r="S75" s="188">
        <v>0</v>
      </c>
      <c r="T75" s="188">
        <v>0</v>
      </c>
      <c r="U75" s="188">
        <v>10</v>
      </c>
      <c r="V75" s="188">
        <v>0</v>
      </c>
    </row>
    <row r="76" spans="1:22">
      <c r="A76" s="1190"/>
      <c r="B76" s="333" t="s">
        <v>104</v>
      </c>
      <c r="C76" s="195">
        <v>330</v>
      </c>
      <c r="D76" s="195">
        <v>45</v>
      </c>
      <c r="E76" s="195">
        <v>5</v>
      </c>
      <c r="F76" s="195">
        <v>3.5</v>
      </c>
      <c r="G76" s="195">
        <v>0</v>
      </c>
      <c r="H76" s="195">
        <v>0</v>
      </c>
      <c r="I76" s="195">
        <v>100</v>
      </c>
      <c r="J76" s="195">
        <v>71</v>
      </c>
      <c r="K76" s="195">
        <v>0</v>
      </c>
      <c r="L76" s="195">
        <v>64</v>
      </c>
      <c r="M76" s="195">
        <v>64</v>
      </c>
      <c r="N76" s="195">
        <v>1</v>
      </c>
      <c r="O76" s="188">
        <v>0</v>
      </c>
      <c r="P76" s="188">
        <v>0</v>
      </c>
      <c r="Q76" s="195">
        <v>10.548</v>
      </c>
      <c r="R76" s="195">
        <v>2</v>
      </c>
      <c r="S76" s="195">
        <v>0.42509999999999998</v>
      </c>
      <c r="T76" s="195">
        <v>2</v>
      </c>
      <c r="U76" s="195">
        <v>45</v>
      </c>
      <c r="V76" s="195">
        <v>1</v>
      </c>
    </row>
    <row r="77" spans="1:22">
      <c r="A77" s="1190"/>
      <c r="B77" s="333" t="s">
        <v>103</v>
      </c>
      <c r="C77" s="195">
        <v>370</v>
      </c>
      <c r="D77" s="195">
        <v>35</v>
      </c>
      <c r="E77" s="195">
        <v>3.5</v>
      </c>
      <c r="F77" s="195">
        <v>3</v>
      </c>
      <c r="G77" s="195">
        <v>0</v>
      </c>
      <c r="H77" s="195">
        <v>0</v>
      </c>
      <c r="I77" s="195">
        <v>90</v>
      </c>
      <c r="J77" s="195">
        <v>85</v>
      </c>
      <c r="K77" s="195"/>
      <c r="L77" s="195">
        <v>80</v>
      </c>
      <c r="M77" s="195">
        <v>78</v>
      </c>
      <c r="N77" s="195">
        <v>0</v>
      </c>
      <c r="O77" s="188"/>
      <c r="P77" s="188"/>
      <c r="Q77" s="188">
        <v>7.91615</v>
      </c>
      <c r="R77" s="188">
        <v>0</v>
      </c>
      <c r="S77" s="188">
        <v>0.59685900000000003</v>
      </c>
      <c r="T77" s="188">
        <v>4</v>
      </c>
      <c r="U77" s="188">
        <v>20</v>
      </c>
      <c r="V77" s="188">
        <v>1</v>
      </c>
    </row>
    <row r="78" spans="1:22" ht="15" customHeight="1">
      <c r="A78" s="1190"/>
      <c r="B78" s="333" t="s">
        <v>105</v>
      </c>
      <c r="C78" s="195">
        <v>420</v>
      </c>
      <c r="D78" s="195">
        <v>60</v>
      </c>
      <c r="E78" s="195">
        <v>7</v>
      </c>
      <c r="F78" s="195">
        <v>5</v>
      </c>
      <c r="G78" s="195">
        <v>0</v>
      </c>
      <c r="H78" s="195">
        <v>0</v>
      </c>
      <c r="I78" s="195">
        <v>180</v>
      </c>
      <c r="J78" s="195">
        <v>90</v>
      </c>
      <c r="K78" s="195"/>
      <c r="L78" s="195">
        <v>78</v>
      </c>
      <c r="M78" s="195">
        <v>35</v>
      </c>
      <c r="N78" s="195">
        <v>2</v>
      </c>
      <c r="O78" s="188"/>
      <c r="P78" s="188"/>
      <c r="Q78" s="195">
        <v>18.614599999999999</v>
      </c>
      <c r="R78" s="195">
        <v>2</v>
      </c>
      <c r="S78" s="195">
        <v>3.3293900000000001</v>
      </c>
      <c r="T78" s="195">
        <v>20</v>
      </c>
      <c r="U78" s="195">
        <v>55</v>
      </c>
      <c r="V78" s="195">
        <v>2</v>
      </c>
    </row>
    <row r="79" spans="1:22">
      <c r="A79" s="1190"/>
      <c r="B79" s="333" t="s">
        <v>106</v>
      </c>
      <c r="C79" s="195">
        <v>270</v>
      </c>
      <c r="D79" s="195">
        <v>25</v>
      </c>
      <c r="E79" s="195">
        <v>3</v>
      </c>
      <c r="F79" s="195">
        <v>2.5</v>
      </c>
      <c r="G79" s="195">
        <v>0</v>
      </c>
      <c r="H79" s="195">
        <v>0</v>
      </c>
      <c r="I79" s="195">
        <v>70</v>
      </c>
      <c r="J79" s="195">
        <v>62</v>
      </c>
      <c r="K79" s="195">
        <v>0</v>
      </c>
      <c r="L79" s="195">
        <v>58</v>
      </c>
      <c r="M79" s="195">
        <v>58</v>
      </c>
      <c r="N79" s="195">
        <v>1</v>
      </c>
      <c r="O79" s="188">
        <v>0</v>
      </c>
      <c r="P79" s="188">
        <v>0</v>
      </c>
      <c r="Q79" s="195">
        <v>9</v>
      </c>
      <c r="R79" s="195">
        <v>0</v>
      </c>
      <c r="S79" s="195">
        <v>0</v>
      </c>
      <c r="T79" s="195">
        <v>0</v>
      </c>
      <c r="U79" s="195">
        <v>14</v>
      </c>
      <c r="V79" s="195">
        <v>0</v>
      </c>
    </row>
    <row r="80" spans="1:22">
      <c r="A80" s="1190"/>
      <c r="B80" s="333" t="s">
        <v>107</v>
      </c>
      <c r="C80" s="195">
        <v>280</v>
      </c>
      <c r="D80" s="195">
        <v>25</v>
      </c>
      <c r="E80" s="195">
        <v>3</v>
      </c>
      <c r="F80" s="195">
        <v>2.5</v>
      </c>
      <c r="G80" s="195">
        <v>0</v>
      </c>
      <c r="H80" s="195">
        <v>0</v>
      </c>
      <c r="I80" s="195">
        <v>170</v>
      </c>
      <c r="J80" s="195">
        <v>67</v>
      </c>
      <c r="K80" s="195">
        <v>0</v>
      </c>
      <c r="L80" s="195">
        <v>63</v>
      </c>
      <c r="M80" s="195">
        <v>62</v>
      </c>
      <c r="N80" s="195">
        <v>1</v>
      </c>
      <c r="O80" s="188">
        <v>0</v>
      </c>
      <c r="P80" s="188">
        <v>0</v>
      </c>
      <c r="Q80" s="188">
        <v>12</v>
      </c>
      <c r="R80" s="188">
        <v>0</v>
      </c>
      <c r="S80" s="188">
        <v>0</v>
      </c>
      <c r="T80" s="188">
        <v>0</v>
      </c>
      <c r="U80" s="188">
        <v>118</v>
      </c>
      <c r="V80" s="188">
        <v>2</v>
      </c>
    </row>
    <row r="81" spans="1:22">
      <c r="A81" s="1190"/>
      <c r="B81" s="333" t="s">
        <v>108</v>
      </c>
      <c r="C81" s="195">
        <v>320</v>
      </c>
      <c r="D81" s="195">
        <v>50</v>
      </c>
      <c r="E81" s="195">
        <v>5</v>
      </c>
      <c r="F81" s="195">
        <v>4</v>
      </c>
      <c r="G81" s="195">
        <v>0</v>
      </c>
      <c r="H81" s="195">
        <v>0</v>
      </c>
      <c r="I81" s="195">
        <v>65</v>
      </c>
      <c r="J81" s="195">
        <v>71</v>
      </c>
      <c r="K81" s="195">
        <v>0</v>
      </c>
      <c r="L81" s="195">
        <v>67</v>
      </c>
      <c r="M81" s="195">
        <v>67</v>
      </c>
      <c r="N81" s="195">
        <v>1</v>
      </c>
      <c r="O81" s="188">
        <v>0</v>
      </c>
      <c r="P81" s="188">
        <v>0</v>
      </c>
      <c r="Q81" s="195">
        <v>11.656499999999999</v>
      </c>
      <c r="R81" s="195">
        <v>2</v>
      </c>
      <c r="S81" s="195">
        <v>0.88111300000000004</v>
      </c>
      <c r="T81" s="195">
        <v>4</v>
      </c>
      <c r="U81" s="195">
        <v>55</v>
      </c>
      <c r="V81" s="195">
        <v>2</v>
      </c>
    </row>
    <row r="82" spans="1:22" s="248" customFormat="1">
      <c r="A82" s="1190"/>
      <c r="B82" s="333" t="s">
        <v>109</v>
      </c>
      <c r="C82" s="195">
        <v>310</v>
      </c>
      <c r="D82" s="195">
        <v>35</v>
      </c>
      <c r="E82" s="195">
        <v>4</v>
      </c>
      <c r="F82" s="195">
        <v>3</v>
      </c>
      <c r="G82" s="195">
        <v>0</v>
      </c>
      <c r="H82" s="195">
        <v>0</v>
      </c>
      <c r="I82" s="195">
        <v>90</v>
      </c>
      <c r="J82" s="195">
        <v>71</v>
      </c>
      <c r="K82" s="195">
        <v>0</v>
      </c>
      <c r="L82" s="195">
        <v>66</v>
      </c>
      <c r="M82" s="195">
        <v>44</v>
      </c>
      <c r="N82" s="195">
        <v>0</v>
      </c>
      <c r="O82" s="188">
        <v>0</v>
      </c>
      <c r="P82" s="188">
        <v>0</v>
      </c>
      <c r="Q82" s="188">
        <v>8</v>
      </c>
      <c r="R82" s="188">
        <v>0</v>
      </c>
      <c r="S82" s="188">
        <v>0</v>
      </c>
      <c r="T82" s="188">
        <v>0</v>
      </c>
      <c r="U82" s="188">
        <v>7</v>
      </c>
      <c r="V82" s="188">
        <v>0</v>
      </c>
    </row>
    <row r="83" spans="1:22" ht="15" customHeight="1">
      <c r="A83" s="1190"/>
      <c r="B83" s="333" t="s">
        <v>110</v>
      </c>
      <c r="C83" s="195">
        <v>300</v>
      </c>
      <c r="D83" s="195">
        <v>30</v>
      </c>
      <c r="E83" s="195">
        <v>3</v>
      </c>
      <c r="F83" s="195">
        <v>3</v>
      </c>
      <c r="G83" s="195">
        <v>0</v>
      </c>
      <c r="H83" s="195">
        <v>0</v>
      </c>
      <c r="I83" s="195">
        <v>130</v>
      </c>
      <c r="J83" s="195">
        <v>68</v>
      </c>
      <c r="K83" s="195">
        <v>1</v>
      </c>
      <c r="L83" s="195">
        <v>63</v>
      </c>
      <c r="M83" s="195">
        <v>62</v>
      </c>
      <c r="N83" s="195">
        <v>1</v>
      </c>
      <c r="O83" s="188">
        <v>0</v>
      </c>
      <c r="P83" s="188">
        <v>0</v>
      </c>
      <c r="Q83" s="195">
        <v>13</v>
      </c>
      <c r="R83" s="195">
        <v>2</v>
      </c>
      <c r="S83" s="195">
        <v>0</v>
      </c>
      <c r="T83" s="195">
        <v>0</v>
      </c>
      <c r="U83" s="195">
        <v>103</v>
      </c>
      <c r="V83" s="195">
        <v>2</v>
      </c>
    </row>
    <row r="84" spans="1:22">
      <c r="A84" s="1190"/>
      <c r="B84" s="333" t="s">
        <v>330</v>
      </c>
      <c r="C84" s="195">
        <v>320</v>
      </c>
      <c r="D84" s="195">
        <v>45</v>
      </c>
      <c r="E84" s="195">
        <v>5</v>
      </c>
      <c r="F84" s="195">
        <v>4</v>
      </c>
      <c r="G84" s="195">
        <v>0</v>
      </c>
      <c r="H84" s="195">
        <v>0</v>
      </c>
      <c r="I84" s="195">
        <v>70</v>
      </c>
      <c r="J84" s="195">
        <v>73</v>
      </c>
      <c r="K84" s="195">
        <v>0</v>
      </c>
      <c r="L84" s="195">
        <v>69</v>
      </c>
      <c r="M84" s="195">
        <v>64</v>
      </c>
      <c r="N84" s="195">
        <v>1</v>
      </c>
      <c r="O84" s="188">
        <v>0</v>
      </c>
      <c r="P84" s="188">
        <v>0</v>
      </c>
      <c r="Q84" s="188">
        <v>13</v>
      </c>
      <c r="R84" s="188">
        <v>2</v>
      </c>
      <c r="S84" s="188">
        <v>1</v>
      </c>
      <c r="T84" s="188">
        <v>6</v>
      </c>
      <c r="U84" s="188">
        <v>22</v>
      </c>
      <c r="V84" s="188">
        <v>0</v>
      </c>
    </row>
    <row r="85" spans="1:22" s="212" customFormat="1">
      <c r="A85" s="1190"/>
      <c r="B85" s="333" t="s">
        <v>111</v>
      </c>
      <c r="C85" s="195">
        <v>270</v>
      </c>
      <c r="D85" s="195">
        <v>25</v>
      </c>
      <c r="E85" s="195">
        <v>3</v>
      </c>
      <c r="F85" s="195">
        <v>3</v>
      </c>
      <c r="G85" s="195">
        <v>0</v>
      </c>
      <c r="H85" s="195">
        <v>0</v>
      </c>
      <c r="I85" s="195">
        <v>40</v>
      </c>
      <c r="J85" s="195">
        <v>62</v>
      </c>
      <c r="K85" s="195">
        <v>0</v>
      </c>
      <c r="L85" s="195">
        <v>58</v>
      </c>
      <c r="M85" s="195">
        <v>26</v>
      </c>
      <c r="N85" s="195">
        <v>1</v>
      </c>
      <c r="O85" s="188">
        <v>0</v>
      </c>
      <c r="P85" s="188">
        <v>0</v>
      </c>
      <c r="Q85" s="188">
        <v>12</v>
      </c>
      <c r="R85" s="188">
        <v>0</v>
      </c>
      <c r="S85" s="188">
        <v>0</v>
      </c>
      <c r="T85" s="188">
        <v>0</v>
      </c>
      <c r="U85" s="188">
        <v>11</v>
      </c>
      <c r="V85" s="188">
        <v>0</v>
      </c>
    </row>
    <row r="86" spans="1:22">
      <c r="A86" s="1190"/>
      <c r="B86" s="333" t="s">
        <v>112</v>
      </c>
      <c r="C86" s="195">
        <v>250</v>
      </c>
      <c r="D86" s="195">
        <v>25</v>
      </c>
      <c r="E86" s="195">
        <v>3</v>
      </c>
      <c r="F86" s="195">
        <v>2.5</v>
      </c>
      <c r="G86" s="195">
        <v>0</v>
      </c>
      <c r="H86" s="195">
        <v>0</v>
      </c>
      <c r="I86" s="195">
        <v>65</v>
      </c>
      <c r="J86" s="195">
        <v>57</v>
      </c>
      <c r="K86" s="195">
        <v>1</v>
      </c>
      <c r="L86" s="195">
        <v>52</v>
      </c>
      <c r="M86" s="195">
        <v>51</v>
      </c>
      <c r="N86" s="195">
        <v>1</v>
      </c>
      <c r="O86" s="188">
        <v>0</v>
      </c>
      <c r="P86" s="188">
        <v>0</v>
      </c>
      <c r="Q86" s="260">
        <v>15</v>
      </c>
      <c r="R86" s="260">
        <v>2</v>
      </c>
      <c r="S86" s="260">
        <v>0</v>
      </c>
      <c r="T86" s="260">
        <v>0</v>
      </c>
      <c r="U86" s="260">
        <v>29</v>
      </c>
      <c r="V86" s="260">
        <v>0</v>
      </c>
    </row>
    <row r="87" spans="1:22">
      <c r="A87" s="1190"/>
      <c r="B87" s="333" t="s">
        <v>113</v>
      </c>
      <c r="C87" s="195">
        <v>260</v>
      </c>
      <c r="D87" s="195">
        <v>30</v>
      </c>
      <c r="E87" s="195">
        <v>3.5</v>
      </c>
      <c r="F87" s="195">
        <v>3</v>
      </c>
      <c r="G87" s="195">
        <v>0</v>
      </c>
      <c r="H87" s="195">
        <v>0</v>
      </c>
      <c r="I87" s="195">
        <v>115</v>
      </c>
      <c r="J87" s="195">
        <v>58</v>
      </c>
      <c r="K87" s="195">
        <v>0</v>
      </c>
      <c r="L87" s="195">
        <v>54</v>
      </c>
      <c r="M87" s="195">
        <v>54</v>
      </c>
      <c r="N87" s="195">
        <v>1</v>
      </c>
      <c r="O87" s="188">
        <v>0</v>
      </c>
      <c r="P87" s="188">
        <v>0</v>
      </c>
      <c r="Q87" s="188">
        <v>14</v>
      </c>
      <c r="R87" s="188">
        <v>2</v>
      </c>
      <c r="S87" s="188">
        <v>0</v>
      </c>
      <c r="T87" s="188">
        <v>0</v>
      </c>
      <c r="U87" s="188">
        <v>84</v>
      </c>
      <c r="V87" s="188">
        <v>2</v>
      </c>
    </row>
    <row r="88" spans="1:22" ht="14.25" customHeight="1">
      <c r="A88" s="1190"/>
      <c r="B88" s="333" t="s">
        <v>114</v>
      </c>
      <c r="C88" s="195">
        <v>400</v>
      </c>
      <c r="D88" s="195">
        <v>80</v>
      </c>
      <c r="E88" s="195">
        <v>9</v>
      </c>
      <c r="F88" s="195">
        <v>3.5</v>
      </c>
      <c r="G88" s="195">
        <v>0</v>
      </c>
      <c r="H88" s="195">
        <v>0</v>
      </c>
      <c r="I88" s="195">
        <v>115</v>
      </c>
      <c r="J88" s="195">
        <v>79</v>
      </c>
      <c r="K88" s="195">
        <v>0</v>
      </c>
      <c r="L88" s="195">
        <v>75</v>
      </c>
      <c r="M88" s="195">
        <v>74</v>
      </c>
      <c r="N88" s="195">
        <v>2</v>
      </c>
      <c r="O88" s="188">
        <v>0</v>
      </c>
      <c r="P88" s="188">
        <v>0</v>
      </c>
      <c r="Q88" s="260">
        <v>16</v>
      </c>
      <c r="R88" s="260">
        <v>2</v>
      </c>
      <c r="S88" s="260">
        <v>1</v>
      </c>
      <c r="T88" s="260">
        <v>6</v>
      </c>
      <c r="U88" s="260">
        <v>21</v>
      </c>
      <c r="V88" s="260">
        <v>0</v>
      </c>
    </row>
    <row r="89" spans="1:22">
      <c r="A89" s="1190"/>
      <c r="B89" s="333" t="s">
        <v>115</v>
      </c>
      <c r="C89" s="195">
        <v>270</v>
      </c>
      <c r="D89" s="195">
        <v>10</v>
      </c>
      <c r="E89" s="195">
        <v>1.5</v>
      </c>
      <c r="F89" s="195">
        <v>1.5</v>
      </c>
      <c r="G89" s="195">
        <v>0</v>
      </c>
      <c r="H89" s="195">
        <v>0</v>
      </c>
      <c r="I89" s="195">
        <v>55</v>
      </c>
      <c r="J89" s="195">
        <v>66</v>
      </c>
      <c r="K89" s="195">
        <v>0</v>
      </c>
      <c r="L89" s="195">
        <v>63</v>
      </c>
      <c r="M89" s="195">
        <v>47</v>
      </c>
      <c r="N89" s="195">
        <v>0</v>
      </c>
      <c r="O89" s="188">
        <v>0</v>
      </c>
      <c r="P89" s="188">
        <v>0</v>
      </c>
      <c r="Q89" s="188">
        <v>8</v>
      </c>
      <c r="R89" s="188">
        <v>0</v>
      </c>
      <c r="S89" s="188">
        <v>0</v>
      </c>
      <c r="T89" s="188">
        <v>0</v>
      </c>
      <c r="U89" s="188">
        <v>15</v>
      </c>
      <c r="V89" s="188">
        <v>0</v>
      </c>
    </row>
    <row r="90" spans="1:22" ht="15" customHeight="1">
      <c r="A90" s="1190"/>
      <c r="B90" s="333" t="s">
        <v>116</v>
      </c>
      <c r="C90" s="195">
        <v>360</v>
      </c>
      <c r="D90" s="195">
        <v>40</v>
      </c>
      <c r="E90" s="195">
        <v>4.5</v>
      </c>
      <c r="F90" s="195">
        <v>3.5</v>
      </c>
      <c r="G90" s="195">
        <v>0</v>
      </c>
      <c r="H90" s="195">
        <v>0</v>
      </c>
      <c r="I90" s="195">
        <v>70</v>
      </c>
      <c r="J90" s="195">
        <v>81</v>
      </c>
      <c r="K90" s="195">
        <v>0</v>
      </c>
      <c r="L90" s="195">
        <v>77</v>
      </c>
      <c r="M90" s="195">
        <v>74</v>
      </c>
      <c r="N90" s="195">
        <v>1</v>
      </c>
      <c r="O90" s="188">
        <v>0</v>
      </c>
      <c r="P90" s="188">
        <v>0</v>
      </c>
      <c r="Q90" s="188">
        <v>11</v>
      </c>
      <c r="R90" s="188">
        <v>0</v>
      </c>
      <c r="S90" s="188">
        <v>1</v>
      </c>
      <c r="T90" s="188">
        <v>6</v>
      </c>
      <c r="U90" s="188">
        <v>21</v>
      </c>
      <c r="V90" s="188">
        <v>0</v>
      </c>
    </row>
    <row r="91" spans="1:22" ht="14.25" customHeight="1">
      <c r="A91" s="1190"/>
      <c r="B91" s="333" t="s">
        <v>117</v>
      </c>
      <c r="C91" s="195">
        <v>320</v>
      </c>
      <c r="D91" s="195">
        <v>30</v>
      </c>
      <c r="E91" s="195">
        <v>3.5</v>
      </c>
      <c r="F91" s="195">
        <v>3</v>
      </c>
      <c r="G91" s="195">
        <v>0</v>
      </c>
      <c r="H91" s="195">
        <v>0</v>
      </c>
      <c r="I91" s="195">
        <v>65</v>
      </c>
      <c r="J91" s="195">
        <v>75</v>
      </c>
      <c r="K91" s="195">
        <v>0</v>
      </c>
      <c r="L91" s="195">
        <v>71</v>
      </c>
      <c r="M91" s="195">
        <v>69</v>
      </c>
      <c r="N91" s="195">
        <v>0</v>
      </c>
      <c r="O91" s="188">
        <v>0</v>
      </c>
      <c r="P91" s="188">
        <v>0</v>
      </c>
      <c r="Q91" s="195">
        <v>8</v>
      </c>
      <c r="R91" s="195">
        <v>0</v>
      </c>
      <c r="S91" s="195">
        <v>0</v>
      </c>
      <c r="T91" s="195">
        <v>0</v>
      </c>
      <c r="U91" s="195">
        <v>37</v>
      </c>
      <c r="V91" s="195">
        <v>0</v>
      </c>
    </row>
    <row r="92" spans="1:22" ht="14.25" customHeight="1">
      <c r="A92" s="1190"/>
      <c r="B92" s="333" t="s">
        <v>118</v>
      </c>
      <c r="C92" s="195">
        <v>320</v>
      </c>
      <c r="D92" s="195">
        <v>30</v>
      </c>
      <c r="E92" s="195">
        <v>3.5</v>
      </c>
      <c r="F92" s="195">
        <v>3</v>
      </c>
      <c r="G92" s="195">
        <v>0</v>
      </c>
      <c r="H92" s="195">
        <v>0</v>
      </c>
      <c r="I92" s="195">
        <v>75</v>
      </c>
      <c r="J92" s="195">
        <v>73</v>
      </c>
      <c r="K92" s="195">
        <v>0</v>
      </c>
      <c r="L92" s="195">
        <v>69</v>
      </c>
      <c r="M92" s="195">
        <v>31</v>
      </c>
      <c r="N92" s="195">
        <v>1</v>
      </c>
      <c r="O92" s="188">
        <v>0</v>
      </c>
      <c r="P92" s="188">
        <v>0</v>
      </c>
      <c r="Q92" s="188">
        <v>9</v>
      </c>
      <c r="R92" s="188">
        <v>0</v>
      </c>
      <c r="S92" s="188">
        <v>0</v>
      </c>
      <c r="T92" s="188">
        <v>0</v>
      </c>
      <c r="U92" s="188">
        <v>18</v>
      </c>
      <c r="V92" s="188">
        <v>0</v>
      </c>
    </row>
    <row r="93" spans="1:22" ht="15.75" customHeight="1">
      <c r="A93" s="1190"/>
      <c r="B93" s="333" t="s">
        <v>119</v>
      </c>
      <c r="C93" s="195">
        <v>280</v>
      </c>
      <c r="D93" s="195">
        <v>25</v>
      </c>
      <c r="E93" s="195">
        <v>3</v>
      </c>
      <c r="F93" s="195">
        <v>2.5</v>
      </c>
      <c r="G93" s="195">
        <v>0</v>
      </c>
      <c r="H93" s="195">
        <v>0</v>
      </c>
      <c r="I93" s="195">
        <v>70</v>
      </c>
      <c r="J93" s="195">
        <v>64</v>
      </c>
      <c r="K93" s="195">
        <v>0</v>
      </c>
      <c r="L93" s="195">
        <v>60</v>
      </c>
      <c r="M93" s="195">
        <v>60</v>
      </c>
      <c r="N93" s="195">
        <v>0</v>
      </c>
      <c r="O93" s="188">
        <v>0</v>
      </c>
      <c r="P93" s="188">
        <v>0</v>
      </c>
      <c r="Q93" s="260">
        <v>8</v>
      </c>
      <c r="R93" s="260">
        <v>0</v>
      </c>
      <c r="S93" s="260">
        <v>0</v>
      </c>
      <c r="T93" s="260">
        <v>0</v>
      </c>
      <c r="U93" s="260">
        <v>25</v>
      </c>
      <c r="V93" s="260">
        <v>0</v>
      </c>
    </row>
    <row r="94" spans="1:22" s="248" customFormat="1" ht="16.3" thickBot="1">
      <c r="A94" s="1198"/>
      <c r="B94" s="333" t="s">
        <v>120</v>
      </c>
      <c r="C94" s="195">
        <v>340</v>
      </c>
      <c r="D94" s="195">
        <v>60</v>
      </c>
      <c r="E94" s="195">
        <v>6</v>
      </c>
      <c r="F94" s="195">
        <v>5</v>
      </c>
      <c r="G94" s="195">
        <v>0</v>
      </c>
      <c r="H94" s="195">
        <v>0</v>
      </c>
      <c r="I94" s="195">
        <v>95</v>
      </c>
      <c r="J94" s="195">
        <v>72</v>
      </c>
      <c r="K94" s="195">
        <v>0</v>
      </c>
      <c r="L94" s="195">
        <v>67</v>
      </c>
      <c r="M94" s="195">
        <v>53</v>
      </c>
      <c r="N94" s="195">
        <v>1</v>
      </c>
      <c r="O94" s="188">
        <v>0</v>
      </c>
      <c r="P94" s="188">
        <v>0</v>
      </c>
      <c r="Q94" s="195">
        <v>12.0284</v>
      </c>
      <c r="R94" s="195">
        <v>2</v>
      </c>
      <c r="S94" s="195">
        <v>0.84947899999999998</v>
      </c>
      <c r="T94" s="195">
        <v>4</v>
      </c>
      <c r="U94" s="195">
        <v>45</v>
      </c>
      <c r="V94" s="195">
        <v>1</v>
      </c>
    </row>
    <row r="95" spans="1:22" s="212" customFormat="1" ht="14.25" customHeight="1">
      <c r="A95" s="1189" t="s">
        <v>121</v>
      </c>
      <c r="B95" s="333" t="s">
        <v>122</v>
      </c>
      <c r="C95" s="195">
        <v>120</v>
      </c>
      <c r="D95" s="195">
        <v>0</v>
      </c>
      <c r="E95" s="195">
        <v>0</v>
      </c>
      <c r="F95" s="195">
        <v>0</v>
      </c>
      <c r="G95" s="195">
        <v>0</v>
      </c>
      <c r="H95" s="195">
        <v>0</v>
      </c>
      <c r="I95" s="195">
        <v>25</v>
      </c>
      <c r="J95" s="195">
        <v>43</v>
      </c>
      <c r="K95" s="195">
        <v>0</v>
      </c>
      <c r="L95" s="195">
        <v>0</v>
      </c>
      <c r="M95" s="195">
        <v>0</v>
      </c>
      <c r="N95" s="195">
        <v>0</v>
      </c>
      <c r="O95" s="188">
        <v>0</v>
      </c>
      <c r="P95" s="188">
        <v>0</v>
      </c>
      <c r="Q95" s="188">
        <v>13</v>
      </c>
      <c r="R95" s="188">
        <v>2</v>
      </c>
      <c r="S95" s="188">
        <v>0</v>
      </c>
      <c r="T95" s="188">
        <v>0</v>
      </c>
      <c r="U95" s="188">
        <v>18</v>
      </c>
      <c r="V95" s="188">
        <v>0</v>
      </c>
    </row>
    <row r="96" spans="1:22">
      <c r="A96" s="1190"/>
      <c r="B96" s="333" t="s">
        <v>123</v>
      </c>
      <c r="C96" s="195">
        <v>160</v>
      </c>
      <c r="D96" s="195">
        <v>0</v>
      </c>
      <c r="E96" s="195">
        <v>0</v>
      </c>
      <c r="F96" s="195">
        <v>0</v>
      </c>
      <c r="G96" s="195">
        <v>0</v>
      </c>
      <c r="H96" s="195">
        <v>0</v>
      </c>
      <c r="I96" s="195">
        <v>30</v>
      </c>
      <c r="J96" s="195">
        <v>57</v>
      </c>
      <c r="K96" s="195">
        <v>0</v>
      </c>
      <c r="L96" s="195">
        <v>0</v>
      </c>
      <c r="M96" s="195">
        <v>0</v>
      </c>
      <c r="N96" s="195">
        <v>0</v>
      </c>
      <c r="O96" s="188">
        <v>0</v>
      </c>
      <c r="P96" s="188">
        <v>0</v>
      </c>
      <c r="Q96" s="188">
        <v>14</v>
      </c>
      <c r="R96" s="188">
        <v>2</v>
      </c>
      <c r="S96" s="188">
        <v>0</v>
      </c>
      <c r="T96" s="188">
        <v>0</v>
      </c>
      <c r="U96" s="188">
        <v>33</v>
      </c>
      <c r="V96" s="188">
        <v>0</v>
      </c>
    </row>
    <row r="97" spans="1:22">
      <c r="A97" s="1190"/>
      <c r="B97" s="333" t="s">
        <v>124</v>
      </c>
      <c r="C97" s="195">
        <v>170</v>
      </c>
      <c r="D97" s="195">
        <v>0</v>
      </c>
      <c r="E97" s="195">
        <v>0</v>
      </c>
      <c r="F97" s="195">
        <v>0</v>
      </c>
      <c r="G97" s="195">
        <v>0</v>
      </c>
      <c r="H97" s="195">
        <v>0</v>
      </c>
      <c r="I97" s="195">
        <v>25</v>
      </c>
      <c r="J97" s="195">
        <v>43</v>
      </c>
      <c r="K97" s="195">
        <v>0</v>
      </c>
      <c r="L97" s="195">
        <v>1</v>
      </c>
      <c r="M97" s="195">
        <v>0</v>
      </c>
      <c r="N97" s="195">
        <v>0</v>
      </c>
      <c r="O97" s="188">
        <v>0</v>
      </c>
      <c r="P97" s="188">
        <v>0</v>
      </c>
      <c r="Q97" s="188">
        <v>9</v>
      </c>
      <c r="R97" s="188">
        <v>0</v>
      </c>
      <c r="S97" s="188">
        <v>0</v>
      </c>
      <c r="T97" s="188">
        <v>0</v>
      </c>
      <c r="U97" s="188">
        <v>0</v>
      </c>
      <c r="V97" s="188">
        <v>0</v>
      </c>
    </row>
    <row r="98" spans="1:22">
      <c r="A98" s="1190"/>
      <c r="B98" s="333" t="s">
        <v>125</v>
      </c>
      <c r="C98" s="195">
        <v>120</v>
      </c>
      <c r="D98" s="195">
        <v>0</v>
      </c>
      <c r="E98" s="195">
        <v>0</v>
      </c>
      <c r="F98" s="195">
        <v>0</v>
      </c>
      <c r="G98" s="195">
        <v>0</v>
      </c>
      <c r="H98" s="195">
        <v>0</v>
      </c>
      <c r="I98" s="195">
        <v>30</v>
      </c>
      <c r="J98" s="195">
        <v>40</v>
      </c>
      <c r="K98" s="195">
        <v>0</v>
      </c>
      <c r="L98" s="195">
        <v>0</v>
      </c>
      <c r="M98" s="195">
        <v>0</v>
      </c>
      <c r="N98" s="195">
        <v>0</v>
      </c>
      <c r="O98" s="188">
        <v>0</v>
      </c>
      <c r="P98" s="188">
        <v>0</v>
      </c>
      <c r="Q98" s="188">
        <v>8</v>
      </c>
      <c r="R98" s="188">
        <v>0</v>
      </c>
      <c r="S98" s="188">
        <v>0</v>
      </c>
      <c r="T98" s="188">
        <v>0</v>
      </c>
      <c r="U98" s="188">
        <v>23</v>
      </c>
      <c r="V98" s="188">
        <v>0</v>
      </c>
    </row>
    <row r="99" spans="1:22">
      <c r="A99" s="1190"/>
      <c r="B99" s="333" t="s">
        <v>126</v>
      </c>
      <c r="C99" s="195">
        <v>120</v>
      </c>
      <c r="D99" s="195">
        <v>0</v>
      </c>
      <c r="E99" s="195">
        <v>0</v>
      </c>
      <c r="F99" s="195">
        <v>0</v>
      </c>
      <c r="G99" s="195">
        <v>0</v>
      </c>
      <c r="H99" s="195">
        <v>0</v>
      </c>
      <c r="I99" s="195">
        <v>35</v>
      </c>
      <c r="J99" s="195">
        <v>43</v>
      </c>
      <c r="K99" s="195">
        <v>0</v>
      </c>
      <c r="L99" s="195">
        <v>0</v>
      </c>
      <c r="M99" s="195">
        <v>0</v>
      </c>
      <c r="N99" s="195">
        <v>0</v>
      </c>
      <c r="O99" s="188">
        <v>0</v>
      </c>
      <c r="P99" s="188">
        <v>0</v>
      </c>
      <c r="Q99" s="188">
        <v>8</v>
      </c>
      <c r="R99" s="188">
        <v>0</v>
      </c>
      <c r="S99" s="188">
        <v>0</v>
      </c>
      <c r="T99" s="188">
        <v>0</v>
      </c>
      <c r="U99" s="188">
        <v>19</v>
      </c>
      <c r="V99" s="188">
        <v>0</v>
      </c>
    </row>
    <row r="100" spans="1:22" ht="16.3" thickBot="1">
      <c r="A100" s="1198"/>
      <c r="B100" s="337" t="s">
        <v>127</v>
      </c>
      <c r="C100" s="195">
        <v>130</v>
      </c>
      <c r="D100" s="195">
        <v>0</v>
      </c>
      <c r="E100" s="195">
        <v>0</v>
      </c>
      <c r="F100" s="195">
        <v>0</v>
      </c>
      <c r="G100" s="195">
        <v>0</v>
      </c>
      <c r="H100" s="195">
        <v>0</v>
      </c>
      <c r="I100" s="195">
        <v>35</v>
      </c>
      <c r="J100" s="195">
        <v>43</v>
      </c>
      <c r="K100" s="195">
        <v>0</v>
      </c>
      <c r="L100" s="195">
        <v>0</v>
      </c>
      <c r="M100" s="195">
        <v>0</v>
      </c>
      <c r="N100" s="195">
        <v>0</v>
      </c>
      <c r="O100" s="188">
        <v>0</v>
      </c>
      <c r="P100" s="188">
        <v>0</v>
      </c>
      <c r="Q100" s="188">
        <v>8</v>
      </c>
      <c r="R100" s="188">
        <v>0</v>
      </c>
      <c r="S100" s="188">
        <v>0</v>
      </c>
      <c r="T100" s="188">
        <v>0</v>
      </c>
      <c r="U100" s="188">
        <v>24</v>
      </c>
      <c r="V100" s="188">
        <v>0</v>
      </c>
    </row>
    <row r="101" spans="1:22">
      <c r="A101" s="227"/>
      <c r="B101" s="338"/>
      <c r="O101" s="212"/>
      <c r="P101" s="212"/>
      <c r="Q101" s="212"/>
      <c r="R101" s="212"/>
      <c r="S101" s="212"/>
      <c r="T101" s="212"/>
      <c r="U101" s="212"/>
      <c r="V101" s="212"/>
    </row>
    <row r="102" spans="1:22" ht="55.5" customHeight="1">
      <c r="A102" s="212"/>
      <c r="B102" s="1197" t="s">
        <v>168</v>
      </c>
      <c r="C102" s="1197"/>
      <c r="D102" s="1197"/>
      <c r="E102" s="1197"/>
      <c r="F102" s="1197"/>
      <c r="G102" s="1197"/>
      <c r="H102" s="1197"/>
      <c r="I102" s="1197"/>
      <c r="J102" s="1197"/>
      <c r="K102" s="1197"/>
      <c r="L102" s="1197"/>
      <c r="M102" s="1197"/>
      <c r="N102" s="1197"/>
      <c r="O102" s="1197"/>
      <c r="P102" s="1197"/>
      <c r="Q102" s="1197"/>
      <c r="R102" s="1197"/>
      <c r="S102" s="1197"/>
      <c r="T102" s="1197"/>
      <c r="U102" s="1197"/>
      <c r="V102" s="1197"/>
    </row>
    <row r="104" spans="1:22" hidden="1">
      <c r="B104" s="334" t="s">
        <v>184</v>
      </c>
      <c r="C104" s="191">
        <f t="shared" ref="C104:V104" si="0">AVERAGE(C4:C55)</f>
        <v>262.30769230769232</v>
      </c>
      <c r="D104" s="191">
        <f t="shared" si="0"/>
        <v>3.5576923076923075</v>
      </c>
      <c r="E104" s="191">
        <f t="shared" si="0"/>
        <v>0.38461538461538464</v>
      </c>
      <c r="F104" s="191">
        <f t="shared" si="0"/>
        <v>0.10576923076923077</v>
      </c>
      <c r="G104" s="191">
        <f t="shared" si="0"/>
        <v>0</v>
      </c>
      <c r="H104" s="191">
        <f t="shared" si="0"/>
        <v>0</v>
      </c>
      <c r="I104" s="191">
        <f t="shared" si="0"/>
        <v>45.192307692307693</v>
      </c>
      <c r="J104" s="191">
        <f t="shared" si="0"/>
        <v>66.42307692307692</v>
      </c>
      <c r="K104" s="191">
        <f t="shared" si="0"/>
        <v>3.8461538461538464E-2</v>
      </c>
      <c r="L104" s="191">
        <f t="shared" si="0"/>
        <v>63.480769230769234</v>
      </c>
      <c r="M104" s="191">
        <f t="shared" si="0"/>
        <v>55.96153846153846</v>
      </c>
      <c r="N104" s="191">
        <f t="shared" si="0"/>
        <v>0.15384615384615385</v>
      </c>
      <c r="O104" s="191">
        <f t="shared" si="0"/>
        <v>7.6923076923076927E-2</v>
      </c>
      <c r="P104" s="191">
        <f t="shared" si="0"/>
        <v>0.46153846153846156</v>
      </c>
      <c r="Q104" s="191">
        <f t="shared" si="0"/>
        <v>9.5808294230769242</v>
      </c>
      <c r="R104" s="191">
        <f t="shared" si="0"/>
        <v>0.26923076923076922</v>
      </c>
      <c r="S104" s="191">
        <f t="shared" si="0"/>
        <v>0.11234017307692307</v>
      </c>
      <c r="T104" s="191">
        <f t="shared" si="0"/>
        <v>0.61538461538461542</v>
      </c>
      <c r="U104" s="191">
        <f t="shared" si="0"/>
        <v>17.26923076923077</v>
      </c>
      <c r="V104" s="191">
        <f t="shared" si="0"/>
        <v>0.26923076923076922</v>
      </c>
    </row>
    <row r="105" spans="1:22" hidden="1">
      <c r="A105" s="212"/>
      <c r="B105" s="334" t="s">
        <v>185</v>
      </c>
      <c r="C105" s="191" t="str">
        <f t="shared" ref="C105:V105" si="1" xml:space="preserve"> ROUND(MIN(C4:C55),0) &amp; " - " &amp; ROUND(MAX(C4:C55),0)</f>
        <v>180 - 380</v>
      </c>
      <c r="D105" s="191" t="str">
        <f t="shared" si="1"/>
        <v>0 - 80</v>
      </c>
      <c r="E105" s="191" t="str">
        <f t="shared" si="1"/>
        <v>0 - 9</v>
      </c>
      <c r="F105" s="191" t="str">
        <f t="shared" si="1"/>
        <v>0 - 2</v>
      </c>
      <c r="G105" s="191" t="str">
        <f t="shared" si="1"/>
        <v>0 - 0</v>
      </c>
      <c r="H105" s="191" t="str">
        <f t="shared" si="1"/>
        <v>0 - 0</v>
      </c>
      <c r="I105" s="191" t="str">
        <f t="shared" si="1"/>
        <v>15 - 150</v>
      </c>
      <c r="J105" s="191" t="str">
        <f t="shared" si="1"/>
        <v>45 - 91</v>
      </c>
      <c r="K105" s="191" t="str">
        <f t="shared" si="1"/>
        <v>0 - 1</v>
      </c>
      <c r="L105" s="191" t="str">
        <f t="shared" si="1"/>
        <v>43 - 88</v>
      </c>
      <c r="M105" s="191" t="str">
        <f t="shared" si="1"/>
        <v>23 - 85</v>
      </c>
      <c r="N105" s="191" t="str">
        <f t="shared" si="1"/>
        <v>0 - 3</v>
      </c>
      <c r="O105" s="191" t="str">
        <f t="shared" si="1"/>
        <v>0 - 1</v>
      </c>
      <c r="P105" s="191" t="str">
        <f t="shared" si="1"/>
        <v>0 - 6</v>
      </c>
      <c r="Q105" s="191" t="str">
        <f t="shared" si="1"/>
        <v>6 - 21</v>
      </c>
      <c r="R105" s="191" t="str">
        <f t="shared" si="1"/>
        <v>0 - 2</v>
      </c>
      <c r="S105" s="191" t="str">
        <f t="shared" si="1"/>
        <v>0 - 1</v>
      </c>
      <c r="T105" s="191" t="str">
        <f t="shared" si="1"/>
        <v>0 - 8</v>
      </c>
      <c r="U105" s="191" t="str">
        <f t="shared" si="1"/>
        <v>0 - 115</v>
      </c>
      <c r="V105" s="191" t="str">
        <f t="shared" si="1"/>
        <v>0 - 3</v>
      </c>
    </row>
    <row r="106" spans="1:22" hidden="1">
      <c r="B106" s="334" t="s">
        <v>186</v>
      </c>
      <c r="C106" s="191">
        <f t="shared" ref="C106:V106" si="2">AVERAGE(C56:C65)</f>
        <v>245</v>
      </c>
      <c r="D106" s="191">
        <f t="shared" si="2"/>
        <v>0</v>
      </c>
      <c r="E106" s="191">
        <f t="shared" si="2"/>
        <v>0</v>
      </c>
      <c r="F106" s="191">
        <f t="shared" si="2"/>
        <v>0</v>
      </c>
      <c r="G106" s="191">
        <f t="shared" si="2"/>
        <v>0</v>
      </c>
      <c r="H106" s="191">
        <f t="shared" si="2"/>
        <v>0</v>
      </c>
      <c r="I106" s="191">
        <f t="shared" si="2"/>
        <v>11</v>
      </c>
      <c r="J106" s="191">
        <f t="shared" si="2"/>
        <v>52.4</v>
      </c>
      <c r="K106" s="191">
        <f t="shared" si="2"/>
        <v>1.1000000000000001</v>
      </c>
      <c r="L106" s="191">
        <f t="shared" si="2"/>
        <v>50.2</v>
      </c>
      <c r="M106" s="191">
        <f t="shared" si="2"/>
        <v>47.5</v>
      </c>
      <c r="N106" s="191">
        <f t="shared" si="2"/>
        <v>0.5</v>
      </c>
      <c r="O106" s="191">
        <f t="shared" si="2"/>
        <v>0</v>
      </c>
      <c r="P106" s="191">
        <f t="shared" si="2"/>
        <v>0</v>
      </c>
      <c r="Q106" s="191">
        <f t="shared" si="2"/>
        <v>20.8</v>
      </c>
      <c r="R106" s="191">
        <f t="shared" si="2"/>
        <v>1.8</v>
      </c>
      <c r="S106" s="191">
        <f t="shared" si="2"/>
        <v>0</v>
      </c>
      <c r="T106" s="191">
        <f t="shared" si="2"/>
        <v>0</v>
      </c>
      <c r="U106" s="191">
        <f t="shared" si="2"/>
        <v>122.6</v>
      </c>
      <c r="V106" s="191">
        <f t="shared" si="2"/>
        <v>2.8</v>
      </c>
    </row>
    <row r="107" spans="1:22" hidden="1">
      <c r="B107" s="334" t="s">
        <v>187</v>
      </c>
      <c r="C107" s="191" t="str">
        <f t="shared" ref="C107:V107" si="3">ROUND( MIN(C56:C65),0) &amp; " - " &amp; ROUND(MAX(C56:C65),0)</f>
        <v>210 - 300</v>
      </c>
      <c r="D107" s="191" t="str">
        <f t="shared" si="3"/>
        <v>0 - 0</v>
      </c>
      <c r="E107" s="191" t="str">
        <f t="shared" si="3"/>
        <v>0 - 0</v>
      </c>
      <c r="F107" s="191" t="str">
        <f t="shared" si="3"/>
        <v>0 - 0</v>
      </c>
      <c r="G107" s="191" t="str">
        <f t="shared" si="3"/>
        <v>0 - 0</v>
      </c>
      <c r="H107" s="191" t="str">
        <f t="shared" si="3"/>
        <v>0 - 0</v>
      </c>
      <c r="I107" s="191" t="str">
        <f t="shared" si="3"/>
        <v>10 - 15</v>
      </c>
      <c r="J107" s="191" t="str">
        <f t="shared" si="3"/>
        <v>44 - 58</v>
      </c>
      <c r="K107" s="191" t="str">
        <f t="shared" si="3"/>
        <v>0 - 3</v>
      </c>
      <c r="L107" s="191" t="str">
        <f t="shared" si="3"/>
        <v>42 - 57</v>
      </c>
      <c r="M107" s="191" t="str">
        <f t="shared" si="3"/>
        <v>40 - 51</v>
      </c>
      <c r="N107" s="191" t="str">
        <f t="shared" si="3"/>
        <v>0 - 1</v>
      </c>
      <c r="O107" s="191" t="str">
        <f t="shared" si="3"/>
        <v>0 - 0</v>
      </c>
      <c r="P107" s="191" t="str">
        <f t="shared" si="3"/>
        <v>0 - 0</v>
      </c>
      <c r="Q107" s="191" t="str">
        <f t="shared" si="3"/>
        <v>12 - 35</v>
      </c>
      <c r="R107" s="191" t="str">
        <f t="shared" si="3"/>
        <v>0 - 2</v>
      </c>
      <c r="S107" s="191" t="str">
        <f t="shared" si="3"/>
        <v>0 - 0</v>
      </c>
      <c r="T107" s="191" t="str">
        <f t="shared" si="3"/>
        <v>0 - 0</v>
      </c>
      <c r="U107" s="191" t="str">
        <f t="shared" si="3"/>
        <v>9 - 272</v>
      </c>
      <c r="V107" s="191" t="str">
        <f t="shared" si="3"/>
        <v>0 - 6</v>
      </c>
    </row>
    <row r="108" spans="1:22" hidden="1">
      <c r="B108" s="334" t="s">
        <v>188</v>
      </c>
      <c r="C108" s="191">
        <f t="shared" ref="C108:V108" si="4">AVERAGE(C66:C94)</f>
        <v>321.72413793103448</v>
      </c>
      <c r="D108" s="191">
        <f t="shared" si="4"/>
        <v>38.620689655172413</v>
      </c>
      <c r="E108" s="191">
        <f t="shared" si="4"/>
        <v>4.3103448275862073</v>
      </c>
      <c r="F108" s="191">
        <f t="shared" si="4"/>
        <v>3.4137931034482758</v>
      </c>
      <c r="G108" s="191">
        <f t="shared" si="4"/>
        <v>0</v>
      </c>
      <c r="H108" s="191">
        <f t="shared" si="4"/>
        <v>0.34482758620689657</v>
      </c>
      <c r="I108" s="191">
        <f t="shared" si="4"/>
        <v>91.379310344827587</v>
      </c>
      <c r="J108" s="191">
        <f t="shared" si="4"/>
        <v>71.65517241379311</v>
      </c>
      <c r="K108" s="191">
        <f t="shared" si="4"/>
        <v>7.407407407407407E-2</v>
      </c>
      <c r="L108" s="191">
        <f t="shared" si="4"/>
        <v>66.41379310344827</v>
      </c>
      <c r="M108" s="191">
        <f t="shared" si="4"/>
        <v>52.310344827586206</v>
      </c>
      <c r="N108" s="191">
        <f t="shared" si="4"/>
        <v>0.82758620689655171</v>
      </c>
      <c r="O108" s="191">
        <f t="shared" si="4"/>
        <v>0</v>
      </c>
      <c r="P108" s="191">
        <f t="shared" si="4"/>
        <v>0</v>
      </c>
      <c r="Q108" s="191">
        <f t="shared" si="4"/>
        <v>13.073881034482758</v>
      </c>
      <c r="R108" s="191">
        <f t="shared" si="4"/>
        <v>1.0344827586206897</v>
      </c>
      <c r="S108" s="191">
        <f t="shared" si="4"/>
        <v>0.39325658620689657</v>
      </c>
      <c r="T108" s="191">
        <f t="shared" si="4"/>
        <v>2.2068965517241379</v>
      </c>
      <c r="U108" s="191">
        <f t="shared" si="4"/>
        <v>35.241379310344826</v>
      </c>
      <c r="V108" s="191">
        <f t="shared" si="4"/>
        <v>0.62068965517241381</v>
      </c>
    </row>
    <row r="109" spans="1:22" hidden="1">
      <c r="B109" s="334" t="s">
        <v>189</v>
      </c>
      <c r="C109" s="191" t="str">
        <f t="shared" ref="C109:V109" si="5">ROUND( MIN(C66:C94),0) &amp; " - " &amp; ROUND(MAX(C66:C94),0)</f>
        <v>250 - 420</v>
      </c>
      <c r="D109" s="191" t="str">
        <f t="shared" si="5"/>
        <v>10 - 80</v>
      </c>
      <c r="E109" s="191" t="str">
        <f t="shared" si="5"/>
        <v>2 - 9</v>
      </c>
      <c r="F109" s="191" t="str">
        <f t="shared" si="5"/>
        <v>2 - 5</v>
      </c>
      <c r="G109" s="191" t="str">
        <f t="shared" si="5"/>
        <v>0 - 0</v>
      </c>
      <c r="H109" s="191" t="str">
        <f t="shared" si="5"/>
        <v>0 - 5</v>
      </c>
      <c r="I109" s="191" t="str">
        <f t="shared" si="5"/>
        <v>40 - 180</v>
      </c>
      <c r="J109" s="191" t="str">
        <f t="shared" si="5"/>
        <v>57 - 90</v>
      </c>
      <c r="K109" s="191" t="str">
        <f t="shared" si="5"/>
        <v>0 - 1</v>
      </c>
      <c r="L109" s="191" t="str">
        <f t="shared" si="5"/>
        <v>52 - 80</v>
      </c>
      <c r="M109" s="191" t="str">
        <f t="shared" si="5"/>
        <v>26 - 78</v>
      </c>
      <c r="N109" s="191" t="str">
        <f t="shared" si="5"/>
        <v>0 - 2</v>
      </c>
      <c r="O109" s="191" t="str">
        <f t="shared" si="5"/>
        <v>0 - 0</v>
      </c>
      <c r="P109" s="191" t="str">
        <f t="shared" si="5"/>
        <v>0 - 0</v>
      </c>
      <c r="Q109" s="191" t="str">
        <f t="shared" si="5"/>
        <v>8 - 36</v>
      </c>
      <c r="R109" s="191" t="str">
        <f t="shared" si="5"/>
        <v>0 - 2</v>
      </c>
      <c r="S109" s="191" t="str">
        <f t="shared" si="5"/>
        <v>0 - 3</v>
      </c>
      <c r="T109" s="191" t="str">
        <f t="shared" si="5"/>
        <v>0 - 20</v>
      </c>
      <c r="U109" s="191" t="str">
        <f t="shared" si="5"/>
        <v>7 - 118</v>
      </c>
      <c r="V109" s="191" t="str">
        <f t="shared" si="5"/>
        <v>0 - 2</v>
      </c>
    </row>
    <row r="110" spans="1:22" hidden="1">
      <c r="B110" s="334" t="s">
        <v>190</v>
      </c>
      <c r="C110" s="191">
        <f t="shared" ref="C110:V110" si="6">AVERAGE(C95:C100)</f>
        <v>136.66666666666666</v>
      </c>
      <c r="D110" s="191">
        <f t="shared" si="6"/>
        <v>0</v>
      </c>
      <c r="E110" s="191">
        <f t="shared" si="6"/>
        <v>0</v>
      </c>
      <c r="F110" s="191">
        <f t="shared" si="6"/>
        <v>0</v>
      </c>
      <c r="G110" s="191">
        <f t="shared" si="6"/>
        <v>0</v>
      </c>
      <c r="H110" s="191">
        <f t="shared" si="6"/>
        <v>0</v>
      </c>
      <c r="I110" s="191">
        <f t="shared" si="6"/>
        <v>30</v>
      </c>
      <c r="J110" s="191">
        <f t="shared" si="6"/>
        <v>44.833333333333336</v>
      </c>
      <c r="K110" s="191">
        <f t="shared" si="6"/>
        <v>0</v>
      </c>
      <c r="L110" s="191">
        <f t="shared" si="6"/>
        <v>0.16666666666666666</v>
      </c>
      <c r="M110" s="191">
        <f t="shared" si="6"/>
        <v>0</v>
      </c>
      <c r="N110" s="191">
        <f t="shared" si="6"/>
        <v>0</v>
      </c>
      <c r="O110" s="191">
        <f t="shared" si="6"/>
        <v>0</v>
      </c>
      <c r="P110" s="191">
        <f t="shared" si="6"/>
        <v>0</v>
      </c>
      <c r="Q110" s="191">
        <f t="shared" si="6"/>
        <v>10</v>
      </c>
      <c r="R110" s="191">
        <f t="shared" si="6"/>
        <v>0.66666666666666663</v>
      </c>
      <c r="S110" s="191">
        <f t="shared" si="6"/>
        <v>0</v>
      </c>
      <c r="T110" s="191">
        <f t="shared" si="6"/>
        <v>0</v>
      </c>
      <c r="U110" s="191">
        <f t="shared" si="6"/>
        <v>19.5</v>
      </c>
      <c r="V110" s="191">
        <f t="shared" si="6"/>
        <v>0</v>
      </c>
    </row>
    <row r="111" spans="1:22" hidden="1">
      <c r="B111" s="334" t="s">
        <v>191</v>
      </c>
      <c r="C111" s="191" t="str">
        <f t="shared" ref="C111:V111" si="7">ROUND( MIN(C95:C100),0) &amp; " - " &amp;ROUND( MAX(C95:C100),0)</f>
        <v>120 - 170</v>
      </c>
      <c r="D111" s="191" t="str">
        <f t="shared" si="7"/>
        <v>0 - 0</v>
      </c>
      <c r="E111" s="191" t="str">
        <f t="shared" si="7"/>
        <v>0 - 0</v>
      </c>
      <c r="F111" s="191" t="str">
        <f t="shared" si="7"/>
        <v>0 - 0</v>
      </c>
      <c r="G111" s="191" t="str">
        <f t="shared" si="7"/>
        <v>0 - 0</v>
      </c>
      <c r="H111" s="191" t="str">
        <f t="shared" si="7"/>
        <v>0 - 0</v>
      </c>
      <c r="I111" s="191" t="str">
        <f t="shared" si="7"/>
        <v>25 - 35</v>
      </c>
      <c r="J111" s="191" t="str">
        <f t="shared" si="7"/>
        <v>40 - 57</v>
      </c>
      <c r="K111" s="191" t="str">
        <f t="shared" si="7"/>
        <v>0 - 0</v>
      </c>
      <c r="L111" s="191" t="str">
        <f t="shared" si="7"/>
        <v>0 - 1</v>
      </c>
      <c r="M111" s="191" t="str">
        <f t="shared" si="7"/>
        <v>0 - 0</v>
      </c>
      <c r="N111" s="191" t="str">
        <f t="shared" si="7"/>
        <v>0 - 0</v>
      </c>
      <c r="O111" s="191" t="str">
        <f t="shared" si="7"/>
        <v>0 - 0</v>
      </c>
      <c r="P111" s="191" t="str">
        <f t="shared" si="7"/>
        <v>0 - 0</v>
      </c>
      <c r="Q111" s="191" t="str">
        <f t="shared" si="7"/>
        <v>8 - 14</v>
      </c>
      <c r="R111" s="191" t="str">
        <f t="shared" si="7"/>
        <v>0 - 2</v>
      </c>
      <c r="S111" s="191" t="str">
        <f t="shared" si="7"/>
        <v>0 - 0</v>
      </c>
      <c r="T111" s="191" t="str">
        <f t="shared" si="7"/>
        <v>0 - 0</v>
      </c>
      <c r="U111" s="191" t="str">
        <f t="shared" si="7"/>
        <v>0 - 33</v>
      </c>
      <c r="V111" s="191" t="str">
        <f t="shared" si="7"/>
        <v>0 - 0</v>
      </c>
    </row>
    <row r="114" ht="15" customHeight="1"/>
  </sheetData>
  <sortState xmlns:xlrd2="http://schemas.microsoft.com/office/spreadsheetml/2017/richdata2" ref="B96:B97">
    <sortCondition ref="B96"/>
  </sortState>
  <mergeCells count="7">
    <mergeCell ref="A1:V1"/>
    <mergeCell ref="A2:V2"/>
    <mergeCell ref="B102:V102"/>
    <mergeCell ref="A95:A100"/>
    <mergeCell ref="A56:A65"/>
    <mergeCell ref="A66:A94"/>
    <mergeCell ref="A4:A55"/>
  </mergeCells>
  <pageMargins left="0.7" right="0.7" top="0.75" bottom="0.75" header="0.3" footer="0.3"/>
  <pageSetup scale="43" fitToHeight="0" orientation="landscape" r:id="rId1"/>
  <headerFooter>
    <oddHeader xml:space="preserve">&amp;R&amp;14 2020 Nutrition Information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AP105"/>
  <sheetViews>
    <sheetView zoomScale="80" zoomScaleNormal="80" zoomScalePageLayoutView="83" workbookViewId="0">
      <pane xSplit="1" ySplit="3" topLeftCell="B15" activePane="bottomRight" state="frozen"/>
      <selection pane="topRight"/>
      <selection pane="bottomLeft"/>
      <selection pane="bottomRight" activeCell="C46" sqref="C46"/>
    </sheetView>
    <sheetView workbookViewId="1">
      <pane xSplit="2" ySplit="3" topLeftCell="C11" activePane="bottomRight" state="frozen"/>
      <selection pane="topRight" activeCell="C1" sqref="C1"/>
      <selection pane="bottomLeft" activeCell="A4" sqref="A4"/>
      <selection pane="bottomRight" activeCell="H11" sqref="H11"/>
    </sheetView>
    <sheetView workbookViewId="2">
      <selection activeCell="H15" sqref="H15"/>
    </sheetView>
  </sheetViews>
  <sheetFormatPr defaultColWidth="8.84375" defaultRowHeight="15.9"/>
  <cols>
    <col min="1" max="1" width="6.53515625" style="179" customWidth="1"/>
    <col min="2" max="2" width="42.84375" style="179" customWidth="1"/>
    <col min="3" max="3" width="10.53515625" style="868" customWidth="1"/>
    <col min="4" max="4" width="13.69140625" style="179" customWidth="1"/>
    <col min="5" max="5" width="10.53515625" style="868" customWidth="1"/>
    <col min="6" max="6" width="10.53515625" style="179" customWidth="1"/>
    <col min="7" max="7" width="8.53515625" style="868" customWidth="1"/>
    <col min="8" max="8" width="8.53515625" style="179" customWidth="1"/>
    <col min="9" max="9" width="11.53515625" style="868" customWidth="1"/>
    <col min="10" max="10" width="11.53515625" style="179" customWidth="1"/>
    <col min="11" max="11" width="8.53515625" style="868" customWidth="1"/>
    <col min="12" max="12" width="8.53515625" style="179" customWidth="1"/>
    <col min="13" max="13" width="13" style="868" customWidth="1"/>
    <col min="14" max="14" width="17.3046875" style="179" bestFit="1" customWidth="1"/>
    <col min="15" max="15" width="9" style="868" customWidth="1"/>
    <col min="16" max="16" width="9" style="179" customWidth="1"/>
    <col min="17" max="17" width="16.84375" style="868" customWidth="1"/>
    <col min="18" max="18" width="16.84375" style="179" customWidth="1"/>
    <col min="19" max="19" width="10.3046875" style="868" customWidth="1"/>
    <col min="20" max="20" width="10.3046875" style="179" customWidth="1"/>
    <col min="21" max="21" width="9.15234375" style="868" customWidth="1"/>
    <col min="22" max="22" width="9.15234375" style="179" customWidth="1"/>
    <col min="23" max="23" width="9" style="868" customWidth="1"/>
    <col min="24" max="24" width="9" style="179" customWidth="1"/>
    <col min="25" max="25" width="11.53515625" style="868" customWidth="1"/>
    <col min="26" max="28" width="11.53515625" style="179" customWidth="1"/>
    <col min="29" max="29" width="9" style="179" customWidth="1"/>
    <col min="30" max="32" width="9.15234375" style="179" bestFit="1" customWidth="1"/>
    <col min="33" max="33" width="9.53515625" style="179" bestFit="1" customWidth="1"/>
    <col min="34" max="34" width="9.15234375" style="179" bestFit="1" customWidth="1"/>
    <col min="35" max="35" width="28.53515625" style="179" customWidth="1"/>
    <col min="36" max="16384" width="8.84375" style="179"/>
  </cols>
  <sheetData>
    <row r="1" spans="1:42" ht="22.5" customHeight="1">
      <c r="A1" s="1208"/>
      <c r="B1" s="1208"/>
      <c r="C1" s="1208"/>
      <c r="D1" s="1208"/>
      <c r="E1" s="1208"/>
      <c r="F1" s="1208"/>
      <c r="G1" s="1208"/>
      <c r="H1" s="1208"/>
      <c r="I1" s="1208"/>
      <c r="J1" s="1208"/>
      <c r="K1" s="1208"/>
      <c r="L1" s="1208"/>
      <c r="M1" s="1208"/>
      <c r="N1" s="1208"/>
      <c r="O1" s="1208"/>
      <c r="P1" s="1208"/>
      <c r="Q1" s="1208"/>
      <c r="R1" s="1208"/>
      <c r="S1" s="1208"/>
      <c r="T1" s="1208"/>
      <c r="U1" s="1208"/>
      <c r="V1" s="1208"/>
      <c r="W1" s="1208"/>
      <c r="X1" s="1208"/>
      <c r="Y1" s="1208"/>
      <c r="Z1" s="1208"/>
      <c r="AA1" s="1208"/>
      <c r="AB1" s="1208"/>
      <c r="AC1" s="1208"/>
      <c r="AD1" s="1208"/>
      <c r="AE1" s="1208"/>
      <c r="AF1" s="1208"/>
      <c r="AG1" s="1208"/>
      <c r="AH1" s="1208"/>
    </row>
    <row r="2" spans="1:42" ht="18" customHeight="1" thickBot="1">
      <c r="A2" s="1210"/>
      <c r="B2" s="1210"/>
      <c r="C2" s="1210"/>
      <c r="D2" s="1210"/>
      <c r="E2" s="1210"/>
      <c r="F2" s="1210"/>
      <c r="G2" s="1210"/>
      <c r="H2" s="1210"/>
      <c r="I2" s="1210"/>
      <c r="J2" s="1210"/>
      <c r="K2" s="1210"/>
      <c r="L2" s="1210"/>
      <c r="M2" s="1210"/>
      <c r="N2" s="1210"/>
      <c r="O2" s="1210"/>
      <c r="P2" s="1210"/>
      <c r="Q2" s="1210"/>
      <c r="R2" s="1210"/>
      <c r="S2" s="1210"/>
      <c r="T2" s="1210"/>
      <c r="U2" s="1210"/>
      <c r="V2" s="1210"/>
      <c r="W2" s="1210"/>
      <c r="X2" s="1210"/>
      <c r="Y2" s="1210"/>
      <c r="Z2" s="1210"/>
      <c r="AA2" s="1210"/>
      <c r="AB2" s="1210"/>
      <c r="AC2" s="1210"/>
      <c r="AD2" s="1210"/>
      <c r="AE2" s="1210"/>
      <c r="AF2" s="1210"/>
      <c r="AG2" s="1210"/>
      <c r="AH2" s="1210"/>
    </row>
    <row r="3" spans="1:42" s="223" customFormat="1" ht="37.5" customHeight="1">
      <c r="A3" s="872"/>
      <c r="B3" s="666" t="s">
        <v>3</v>
      </c>
      <c r="C3" s="864" t="s">
        <v>4</v>
      </c>
      <c r="D3" s="214" t="s">
        <v>4</v>
      </c>
      <c r="E3" s="864" t="s">
        <v>5</v>
      </c>
      <c r="F3" s="214" t="s">
        <v>5</v>
      </c>
      <c r="G3" s="864" t="s">
        <v>6</v>
      </c>
      <c r="H3" s="214" t="s">
        <v>6</v>
      </c>
      <c r="I3" s="864" t="s">
        <v>7</v>
      </c>
      <c r="J3" s="214" t="s">
        <v>7</v>
      </c>
      <c r="K3" s="864" t="s">
        <v>8</v>
      </c>
      <c r="L3" s="214" t="s">
        <v>8</v>
      </c>
      <c r="M3" s="864" t="s">
        <v>9</v>
      </c>
      <c r="N3" s="214" t="s">
        <v>9</v>
      </c>
      <c r="O3" s="864" t="s">
        <v>10</v>
      </c>
      <c r="P3" s="214" t="s">
        <v>10</v>
      </c>
      <c r="Q3" s="864" t="s">
        <v>11</v>
      </c>
      <c r="R3" s="214" t="s">
        <v>11</v>
      </c>
      <c r="S3" s="864" t="s">
        <v>12</v>
      </c>
      <c r="T3" s="214" t="s">
        <v>12</v>
      </c>
      <c r="U3" s="864" t="s">
        <v>13</v>
      </c>
      <c r="V3" s="214" t="s">
        <v>13</v>
      </c>
      <c r="W3" s="864" t="s">
        <v>14</v>
      </c>
      <c r="X3" s="214" t="s">
        <v>14</v>
      </c>
      <c r="Y3" s="864" t="s">
        <v>15</v>
      </c>
      <c r="Z3" s="214" t="s">
        <v>15</v>
      </c>
      <c r="AA3" s="215" t="s">
        <v>16</v>
      </c>
      <c r="AB3" s="215" t="s">
        <v>17</v>
      </c>
      <c r="AC3" s="215" t="s">
        <v>18</v>
      </c>
      <c r="AD3" s="215" t="s">
        <v>19</v>
      </c>
      <c r="AE3" s="267" t="s">
        <v>20</v>
      </c>
      <c r="AF3" s="267" t="s">
        <v>21</v>
      </c>
      <c r="AG3" s="215" t="s">
        <v>22</v>
      </c>
      <c r="AH3" s="215" t="s">
        <v>23</v>
      </c>
    </row>
    <row r="4" spans="1:42" s="223" customFormat="1" ht="15.75" hidden="1" customHeight="1">
      <c r="A4" s="307" t="s">
        <v>296</v>
      </c>
      <c r="B4" s="307" t="s">
        <v>310</v>
      </c>
      <c r="C4" s="861">
        <v>453.55599999999998</v>
      </c>
      <c r="D4" s="672">
        <f t="shared" ref="D4:D17" si="0">MROUND(C4,10)</f>
        <v>450</v>
      </c>
      <c r="E4" s="861">
        <v>0</v>
      </c>
      <c r="F4" s="745">
        <v>0</v>
      </c>
      <c r="G4" s="861">
        <v>0</v>
      </c>
      <c r="H4" s="745">
        <v>0</v>
      </c>
      <c r="I4" s="861">
        <v>0</v>
      </c>
      <c r="J4" s="745">
        <v>0</v>
      </c>
      <c r="K4" s="861">
        <v>0</v>
      </c>
      <c r="L4" s="745">
        <v>0</v>
      </c>
      <c r="M4" s="861">
        <v>0</v>
      </c>
      <c r="N4" s="871">
        <f>MROUND(M4,5)</f>
        <v>0</v>
      </c>
      <c r="O4" s="861">
        <v>50.573</v>
      </c>
      <c r="P4" s="540">
        <f t="shared" ref="P4:P19" si="1">MROUND(O4,5)</f>
        <v>50</v>
      </c>
      <c r="Q4" s="861">
        <v>114.974</v>
      </c>
      <c r="R4" s="540">
        <f t="shared" ref="R4:R35" si="2">MROUND(Q4,1)</f>
        <v>115</v>
      </c>
      <c r="S4" s="861">
        <v>0</v>
      </c>
      <c r="T4" s="540">
        <v>0</v>
      </c>
      <c r="U4" s="861">
        <v>110.34699999999999</v>
      </c>
      <c r="V4" s="540">
        <f t="shared" ref="V4:V22" si="3">MROUND(U4,1)</f>
        <v>110</v>
      </c>
      <c r="W4" s="861">
        <v>110.34699999999999</v>
      </c>
      <c r="X4" s="540">
        <f t="shared" ref="X4:X22" si="4">MROUND(W4,1)</f>
        <v>110</v>
      </c>
      <c r="Y4" s="861">
        <v>0</v>
      </c>
      <c r="Z4" s="540">
        <v>0</v>
      </c>
      <c r="AA4" s="1131">
        <v>0</v>
      </c>
      <c r="AB4" s="1131">
        <v>0</v>
      </c>
      <c r="AC4" s="1131">
        <v>11.478999999999999</v>
      </c>
      <c r="AD4" s="1131">
        <v>0.88300000000000001</v>
      </c>
      <c r="AE4" s="1131">
        <v>2.5999999999999999E-2</v>
      </c>
      <c r="AF4" s="1131">
        <v>0.14499999999999999</v>
      </c>
      <c r="AG4" s="1131">
        <v>1.0960000000000001</v>
      </c>
      <c r="AH4" s="1131">
        <v>2.3E-2</v>
      </c>
      <c r="AI4" s="683"/>
      <c r="AJ4" s="683"/>
      <c r="AK4" s="683"/>
      <c r="AL4" s="683"/>
      <c r="AM4" s="683"/>
      <c r="AN4" s="683"/>
      <c r="AO4" s="683"/>
      <c r="AP4" s="683"/>
    </row>
    <row r="5" spans="1:42" s="223" customFormat="1" ht="15" hidden="1" customHeight="1">
      <c r="A5" s="307" t="s">
        <v>296</v>
      </c>
      <c r="B5" s="186" t="s">
        <v>37</v>
      </c>
      <c r="C5" s="873">
        <v>219.31700000000001</v>
      </c>
      <c r="D5" s="672">
        <f t="shared" si="0"/>
        <v>220</v>
      </c>
      <c r="E5" s="873">
        <v>0</v>
      </c>
      <c r="F5" s="745">
        <v>0</v>
      </c>
      <c r="G5" s="873">
        <v>0</v>
      </c>
      <c r="H5" s="745">
        <v>0</v>
      </c>
      <c r="I5" s="873">
        <v>0</v>
      </c>
      <c r="J5" s="745">
        <v>0</v>
      </c>
      <c r="K5" s="873">
        <v>0</v>
      </c>
      <c r="L5" s="745">
        <v>0</v>
      </c>
      <c r="M5" s="873">
        <v>0</v>
      </c>
      <c r="N5" s="745">
        <v>0</v>
      </c>
      <c r="O5" s="873">
        <v>57.744</v>
      </c>
      <c r="P5" s="540">
        <f t="shared" si="1"/>
        <v>60</v>
      </c>
      <c r="Q5" s="873">
        <v>57.23</v>
      </c>
      <c r="R5" s="540">
        <f t="shared" si="2"/>
        <v>57</v>
      </c>
      <c r="S5" s="873">
        <v>0</v>
      </c>
      <c r="T5" s="540">
        <v>0</v>
      </c>
      <c r="U5" s="873">
        <v>55.533000000000001</v>
      </c>
      <c r="V5" s="540">
        <f t="shared" si="3"/>
        <v>56</v>
      </c>
      <c r="W5" s="873">
        <v>42.033000000000001</v>
      </c>
      <c r="X5" s="540">
        <f t="shared" si="4"/>
        <v>42</v>
      </c>
      <c r="Y5" s="873">
        <v>0</v>
      </c>
      <c r="Z5" s="540">
        <v>0</v>
      </c>
      <c r="AA5" s="761">
        <v>0</v>
      </c>
      <c r="AB5" s="761">
        <v>0</v>
      </c>
      <c r="AC5" s="761">
        <v>10.978999999999999</v>
      </c>
      <c r="AD5" s="761">
        <v>0.84499999999999997</v>
      </c>
      <c r="AE5" s="761">
        <v>0.02</v>
      </c>
      <c r="AF5" s="761">
        <v>0.111</v>
      </c>
      <c r="AG5" s="761">
        <v>0.84199999999999997</v>
      </c>
      <c r="AH5" s="761">
        <v>1.7999999999999999E-2</v>
      </c>
      <c r="AI5" s="179"/>
      <c r="AJ5" s="179"/>
      <c r="AK5" s="179"/>
      <c r="AL5" s="179"/>
      <c r="AM5" s="179"/>
      <c r="AN5" s="179"/>
      <c r="AO5" s="179"/>
      <c r="AP5" s="179"/>
    </row>
    <row r="6" spans="1:42" ht="31.75" hidden="1">
      <c r="A6" s="307" t="s">
        <v>296</v>
      </c>
      <c r="B6" s="186" t="s">
        <v>313</v>
      </c>
      <c r="C6" s="861">
        <v>351.56799999999998</v>
      </c>
      <c r="D6" s="672">
        <f t="shared" si="0"/>
        <v>350</v>
      </c>
      <c r="E6" s="861">
        <v>0</v>
      </c>
      <c r="F6" s="745">
        <v>0</v>
      </c>
      <c r="G6" s="861">
        <v>0</v>
      </c>
      <c r="H6" s="745">
        <v>0</v>
      </c>
      <c r="I6" s="861">
        <v>0</v>
      </c>
      <c r="J6" s="745">
        <v>0</v>
      </c>
      <c r="K6" s="861">
        <v>0</v>
      </c>
      <c r="L6" s="745">
        <v>0</v>
      </c>
      <c r="M6" s="861">
        <v>0</v>
      </c>
      <c r="N6" s="745">
        <v>0</v>
      </c>
      <c r="O6" s="861">
        <v>51.317999999999998</v>
      </c>
      <c r="P6" s="540">
        <f t="shared" si="1"/>
        <v>50</v>
      </c>
      <c r="Q6" s="861">
        <v>88.748000000000005</v>
      </c>
      <c r="R6" s="540">
        <f t="shared" si="2"/>
        <v>89</v>
      </c>
      <c r="S6" s="861">
        <v>0</v>
      </c>
      <c r="T6" s="540">
        <v>0</v>
      </c>
      <c r="U6" s="861">
        <v>85.251999999999995</v>
      </c>
      <c r="V6" s="540">
        <f t="shared" si="3"/>
        <v>85</v>
      </c>
      <c r="W6" s="861">
        <v>85.251999999999995</v>
      </c>
      <c r="X6" s="540">
        <f t="shared" si="4"/>
        <v>85</v>
      </c>
      <c r="Y6" s="861">
        <v>0</v>
      </c>
      <c r="Z6" s="540">
        <v>0</v>
      </c>
      <c r="AA6" s="1131">
        <v>0</v>
      </c>
      <c r="AB6" s="1131">
        <v>0</v>
      </c>
      <c r="AC6" s="1131">
        <v>12.115</v>
      </c>
      <c r="AD6" s="1131">
        <v>0.93200000000000005</v>
      </c>
      <c r="AE6" s="1131">
        <v>1.4999999999999999E-2</v>
      </c>
      <c r="AF6" s="1131">
        <v>8.5000000000000006E-2</v>
      </c>
      <c r="AG6" s="1131">
        <v>0.64500000000000002</v>
      </c>
      <c r="AH6" s="1131">
        <v>1.4E-2</v>
      </c>
      <c r="AI6" s="683"/>
      <c r="AJ6" s="683"/>
      <c r="AK6" s="683"/>
      <c r="AL6" s="683"/>
      <c r="AM6" s="683"/>
      <c r="AN6" s="683"/>
      <c r="AO6" s="683"/>
      <c r="AP6" s="683"/>
    </row>
    <row r="7" spans="1:42" ht="31.75" hidden="1">
      <c r="A7" s="307" t="s">
        <v>296</v>
      </c>
      <c r="B7" s="186" t="s">
        <v>299</v>
      </c>
      <c r="C7" s="862">
        <v>402.98500000000001</v>
      </c>
      <c r="D7" s="672">
        <f t="shared" si="0"/>
        <v>400</v>
      </c>
      <c r="E7" s="862">
        <v>0</v>
      </c>
      <c r="F7" s="745">
        <v>0</v>
      </c>
      <c r="G7" s="862">
        <v>0</v>
      </c>
      <c r="H7" s="745">
        <v>0</v>
      </c>
      <c r="I7" s="862">
        <v>0</v>
      </c>
      <c r="J7" s="745">
        <v>0</v>
      </c>
      <c r="K7" s="862">
        <v>0</v>
      </c>
      <c r="L7" s="745">
        <v>0</v>
      </c>
      <c r="M7" s="862">
        <v>0</v>
      </c>
      <c r="N7" s="745">
        <v>0</v>
      </c>
      <c r="O7" s="862">
        <v>64.91</v>
      </c>
      <c r="P7" s="540">
        <f t="shared" si="1"/>
        <v>65</v>
      </c>
      <c r="Q7" s="862">
        <v>102.01300000000001</v>
      </c>
      <c r="R7" s="540">
        <f t="shared" si="2"/>
        <v>102</v>
      </c>
      <c r="S7" s="862">
        <v>3.4000000000000002E-2</v>
      </c>
      <c r="T7" s="540">
        <v>0</v>
      </c>
      <c r="U7" s="862">
        <v>98.875</v>
      </c>
      <c r="V7" s="540">
        <f t="shared" si="3"/>
        <v>99</v>
      </c>
      <c r="W7" s="862">
        <v>95.635000000000005</v>
      </c>
      <c r="X7" s="540">
        <f t="shared" si="4"/>
        <v>96</v>
      </c>
      <c r="Y7" s="862">
        <v>0</v>
      </c>
      <c r="Z7" s="540">
        <v>0</v>
      </c>
      <c r="AA7" s="670">
        <v>0</v>
      </c>
      <c r="AB7" s="670">
        <v>0</v>
      </c>
      <c r="AC7" s="670">
        <v>13.243</v>
      </c>
      <c r="AD7" s="670">
        <v>1.0189999999999999</v>
      </c>
      <c r="AE7" s="670">
        <v>5.5E-2</v>
      </c>
      <c r="AF7" s="670">
        <v>0.30399999999999999</v>
      </c>
      <c r="AG7" s="670">
        <v>1.125</v>
      </c>
      <c r="AH7" s="670">
        <v>2.4E-2</v>
      </c>
      <c r="AI7" s="223"/>
      <c r="AJ7" s="223"/>
      <c r="AK7" s="223"/>
      <c r="AL7" s="223"/>
      <c r="AM7" s="223"/>
      <c r="AN7" s="223"/>
      <c r="AO7" s="223"/>
      <c r="AP7" s="223"/>
    </row>
    <row r="8" spans="1:42" ht="31.75" hidden="1">
      <c r="A8" s="307" t="s">
        <v>296</v>
      </c>
      <c r="B8" s="186" t="s">
        <v>75</v>
      </c>
      <c r="C8" s="866">
        <v>401.14499999999998</v>
      </c>
      <c r="D8" s="672">
        <f t="shared" si="0"/>
        <v>400</v>
      </c>
      <c r="E8" s="866">
        <v>0</v>
      </c>
      <c r="F8" s="745">
        <v>0</v>
      </c>
      <c r="G8" s="866">
        <v>0</v>
      </c>
      <c r="H8" s="745">
        <v>0</v>
      </c>
      <c r="I8" s="866">
        <v>0</v>
      </c>
      <c r="J8" s="745">
        <v>0</v>
      </c>
      <c r="K8" s="866">
        <v>0</v>
      </c>
      <c r="L8" s="745">
        <v>0</v>
      </c>
      <c r="M8" s="866">
        <v>0</v>
      </c>
      <c r="N8" s="745">
        <v>0</v>
      </c>
      <c r="O8" s="866">
        <v>66.587999999999994</v>
      </c>
      <c r="P8" s="540">
        <f t="shared" si="1"/>
        <v>65</v>
      </c>
      <c r="Q8" s="866">
        <v>101.09699999999999</v>
      </c>
      <c r="R8" s="540">
        <f t="shared" si="2"/>
        <v>101</v>
      </c>
      <c r="S8" s="866">
        <v>6.4000000000000001E-2</v>
      </c>
      <c r="T8" s="540">
        <v>0</v>
      </c>
      <c r="U8" s="866">
        <v>97.995999999999995</v>
      </c>
      <c r="V8" s="540">
        <f t="shared" si="3"/>
        <v>98</v>
      </c>
      <c r="W8" s="866">
        <v>97.876000000000005</v>
      </c>
      <c r="X8" s="540">
        <f t="shared" si="4"/>
        <v>98</v>
      </c>
      <c r="Y8" s="866">
        <v>0</v>
      </c>
      <c r="Z8" s="540">
        <v>0</v>
      </c>
      <c r="AA8" s="561">
        <v>0</v>
      </c>
      <c r="AB8" s="561">
        <v>0</v>
      </c>
      <c r="AC8" s="561">
        <v>13.507</v>
      </c>
      <c r="AD8" s="561">
        <v>1.0389999999999999</v>
      </c>
      <c r="AE8" s="561">
        <v>0.91</v>
      </c>
      <c r="AF8" s="561">
        <v>0.50800000000000001</v>
      </c>
      <c r="AG8" s="561">
        <v>30.597000000000001</v>
      </c>
      <c r="AH8" s="561">
        <v>0.65100000000000002</v>
      </c>
      <c r="AI8" s="683"/>
      <c r="AJ8" s="683"/>
      <c r="AK8" s="683"/>
      <c r="AL8" s="683"/>
      <c r="AM8" s="683"/>
      <c r="AN8" s="683"/>
      <c r="AO8" s="683"/>
      <c r="AP8" s="683"/>
    </row>
    <row r="9" spans="1:42" ht="31.75" hidden="1">
      <c r="A9" s="307" t="s">
        <v>296</v>
      </c>
      <c r="B9" s="186" t="s">
        <v>40</v>
      </c>
      <c r="C9" s="873">
        <v>427.71100000000001</v>
      </c>
      <c r="D9" s="672">
        <f t="shared" si="0"/>
        <v>430</v>
      </c>
      <c r="E9" s="873">
        <v>0</v>
      </c>
      <c r="F9" s="745">
        <v>0</v>
      </c>
      <c r="G9" s="873">
        <v>0</v>
      </c>
      <c r="H9" s="745">
        <v>0</v>
      </c>
      <c r="I9" s="873">
        <v>0</v>
      </c>
      <c r="J9" s="745">
        <v>0</v>
      </c>
      <c r="K9" s="873">
        <v>0</v>
      </c>
      <c r="L9" s="745">
        <v>0</v>
      </c>
      <c r="M9" s="873">
        <v>0</v>
      </c>
      <c r="N9" s="745">
        <v>0</v>
      </c>
      <c r="O9" s="873">
        <v>64.775000000000006</v>
      </c>
      <c r="P9" s="540">
        <f t="shared" si="1"/>
        <v>65</v>
      </c>
      <c r="Q9" s="873">
        <v>108.453</v>
      </c>
      <c r="R9" s="540">
        <f t="shared" si="2"/>
        <v>108</v>
      </c>
      <c r="S9" s="873">
        <v>2.4E-2</v>
      </c>
      <c r="T9" s="540">
        <v>0</v>
      </c>
      <c r="U9" s="873">
        <v>105.18</v>
      </c>
      <c r="V9" s="540">
        <f t="shared" si="3"/>
        <v>105</v>
      </c>
      <c r="W9" s="873">
        <v>99.019000000000005</v>
      </c>
      <c r="X9" s="540">
        <f t="shared" si="4"/>
        <v>99</v>
      </c>
      <c r="Y9" s="873">
        <v>0</v>
      </c>
      <c r="Z9" s="540">
        <v>0</v>
      </c>
      <c r="AA9" s="761">
        <v>0</v>
      </c>
      <c r="AB9" s="761">
        <v>0</v>
      </c>
      <c r="AC9" s="761">
        <v>11.557</v>
      </c>
      <c r="AD9" s="761">
        <v>0.88900000000000001</v>
      </c>
      <c r="AE9" s="761">
        <v>2.5999999999999999E-2</v>
      </c>
      <c r="AF9" s="761">
        <v>0.14599999999999999</v>
      </c>
      <c r="AG9" s="761">
        <v>1.103</v>
      </c>
      <c r="AH9" s="761">
        <v>2.3E-2</v>
      </c>
      <c r="AI9" s="212"/>
      <c r="AJ9" s="212"/>
      <c r="AK9" s="212"/>
      <c r="AL9" s="212"/>
      <c r="AM9" s="212"/>
      <c r="AN9" s="212"/>
      <c r="AO9" s="212"/>
      <c r="AP9" s="212"/>
    </row>
    <row r="10" spans="1:42" ht="31.75" hidden="1">
      <c r="A10" s="307" t="s">
        <v>296</v>
      </c>
      <c r="B10" s="186" t="s">
        <v>309</v>
      </c>
      <c r="C10" s="870">
        <v>418.37799999999999</v>
      </c>
      <c r="D10" s="672">
        <f t="shared" si="0"/>
        <v>420</v>
      </c>
      <c r="E10" s="870">
        <v>0</v>
      </c>
      <c r="F10" s="745">
        <v>0</v>
      </c>
      <c r="G10" s="870">
        <v>0</v>
      </c>
      <c r="H10" s="745">
        <v>0</v>
      </c>
      <c r="I10" s="870">
        <v>0</v>
      </c>
      <c r="J10" s="745">
        <v>0</v>
      </c>
      <c r="K10" s="870">
        <v>0</v>
      </c>
      <c r="L10" s="745">
        <v>0</v>
      </c>
      <c r="M10" s="870">
        <v>0</v>
      </c>
      <c r="N10" s="745">
        <v>0</v>
      </c>
      <c r="O10" s="870">
        <v>51.1</v>
      </c>
      <c r="P10" s="540">
        <f t="shared" si="1"/>
        <v>50</v>
      </c>
      <c r="Q10" s="870">
        <v>103.934</v>
      </c>
      <c r="R10" s="540">
        <f t="shared" si="2"/>
        <v>104</v>
      </c>
      <c r="S10" s="870">
        <v>0</v>
      </c>
      <c r="T10" s="540">
        <v>0</v>
      </c>
      <c r="U10" s="870">
        <v>101.26300000000001</v>
      </c>
      <c r="V10" s="540">
        <f t="shared" si="3"/>
        <v>101</v>
      </c>
      <c r="W10" s="870">
        <v>101.26300000000001</v>
      </c>
      <c r="X10" s="540">
        <f t="shared" si="4"/>
        <v>101</v>
      </c>
      <c r="Y10" s="870">
        <v>0</v>
      </c>
      <c r="Z10" s="540">
        <v>0</v>
      </c>
      <c r="AA10" s="1131">
        <v>0</v>
      </c>
      <c r="AB10" s="1131">
        <v>0</v>
      </c>
      <c r="AC10" s="1131">
        <v>11.662000000000001</v>
      </c>
      <c r="AD10" s="1131">
        <v>0.89700000000000002</v>
      </c>
      <c r="AE10" s="1131">
        <v>2.1999999999999999E-2</v>
      </c>
      <c r="AF10" s="1131">
        <v>0.121</v>
      </c>
      <c r="AG10" s="1131">
        <v>0.91400000000000003</v>
      </c>
      <c r="AH10" s="1131">
        <v>1.9E-2</v>
      </c>
    </row>
    <row r="11" spans="1:42" ht="31.75">
      <c r="A11" s="307" t="s">
        <v>92</v>
      </c>
      <c r="B11" s="186" t="s">
        <v>115</v>
      </c>
      <c r="C11" s="881">
        <v>412.90699999999998</v>
      </c>
      <c r="D11" s="745">
        <f t="shared" si="0"/>
        <v>410</v>
      </c>
      <c r="E11" s="881">
        <v>0</v>
      </c>
      <c r="F11" s="745">
        <v>0</v>
      </c>
      <c r="G11" s="881">
        <v>2.262</v>
      </c>
      <c r="H11" s="884">
        <f>MROUND(G11,0.5)</f>
        <v>2.5</v>
      </c>
      <c r="I11" s="881">
        <v>0</v>
      </c>
      <c r="J11" s="745">
        <v>0</v>
      </c>
      <c r="K11" s="881">
        <v>0</v>
      </c>
      <c r="L11" s="672">
        <v>0</v>
      </c>
      <c r="M11" s="881">
        <v>0</v>
      </c>
      <c r="N11" s="745">
        <v>0</v>
      </c>
      <c r="O11" s="881">
        <v>64.23</v>
      </c>
      <c r="P11" s="540">
        <f t="shared" si="1"/>
        <v>65</v>
      </c>
      <c r="Q11" s="881">
        <v>104.32599999999999</v>
      </c>
      <c r="R11" s="540">
        <f t="shared" si="2"/>
        <v>104</v>
      </c>
      <c r="S11" s="881">
        <v>3.3000000000000002E-2</v>
      </c>
      <c r="T11" s="540">
        <v>0</v>
      </c>
      <c r="U11" s="881">
        <v>101.34</v>
      </c>
      <c r="V11" s="540">
        <f t="shared" si="3"/>
        <v>101</v>
      </c>
      <c r="W11" s="881">
        <v>101.34</v>
      </c>
      <c r="X11" s="540">
        <f t="shared" si="4"/>
        <v>101</v>
      </c>
      <c r="Y11" s="881">
        <v>0</v>
      </c>
      <c r="Z11" s="540">
        <v>0</v>
      </c>
      <c r="AA11" s="752">
        <v>0</v>
      </c>
      <c r="AB11" s="752">
        <v>0</v>
      </c>
      <c r="AC11" s="752">
        <v>14.896000000000001</v>
      </c>
      <c r="AD11" s="752">
        <v>1.1459999999999999</v>
      </c>
      <c r="AE11" s="752">
        <v>9.4E-2</v>
      </c>
      <c r="AF11" s="752">
        <v>0.52400000000000002</v>
      </c>
      <c r="AG11" s="752">
        <v>32.359000000000002</v>
      </c>
      <c r="AH11" s="752">
        <v>0.68799999999999994</v>
      </c>
      <c r="AI11" s="248"/>
      <c r="AJ11" s="248"/>
      <c r="AK11" s="248"/>
      <c r="AL11" s="248"/>
      <c r="AM11" s="248"/>
      <c r="AN11" s="248"/>
      <c r="AO11" s="248"/>
      <c r="AP11" s="248"/>
    </row>
    <row r="12" spans="1:42" s="538" customFormat="1" ht="31.75" hidden="1">
      <c r="A12" s="307" t="s">
        <v>296</v>
      </c>
      <c r="B12" s="186" t="s">
        <v>64</v>
      </c>
      <c r="C12" s="861">
        <v>412.90699999999998</v>
      </c>
      <c r="D12" s="672">
        <f t="shared" si="0"/>
        <v>410</v>
      </c>
      <c r="E12" s="861">
        <v>0</v>
      </c>
      <c r="F12" s="745">
        <v>0</v>
      </c>
      <c r="G12" s="861">
        <v>0</v>
      </c>
      <c r="H12" s="745">
        <v>0</v>
      </c>
      <c r="I12" s="861">
        <v>0</v>
      </c>
      <c r="J12" s="745">
        <v>0</v>
      </c>
      <c r="K12" s="861">
        <v>0</v>
      </c>
      <c r="L12" s="745">
        <v>0</v>
      </c>
      <c r="M12" s="861">
        <v>0</v>
      </c>
      <c r="N12" s="745">
        <v>0</v>
      </c>
      <c r="O12" s="861">
        <v>64.23</v>
      </c>
      <c r="P12" s="540">
        <f t="shared" si="1"/>
        <v>65</v>
      </c>
      <c r="Q12" s="861">
        <v>104.32599999999999</v>
      </c>
      <c r="R12" s="540">
        <f t="shared" si="2"/>
        <v>104</v>
      </c>
      <c r="S12" s="861">
        <v>3.3000000000000002E-2</v>
      </c>
      <c r="T12" s="540">
        <v>0</v>
      </c>
      <c r="U12" s="861">
        <v>101.34</v>
      </c>
      <c r="V12" s="540">
        <f t="shared" si="3"/>
        <v>101</v>
      </c>
      <c r="W12" s="861">
        <v>101.34</v>
      </c>
      <c r="X12" s="540">
        <f t="shared" si="4"/>
        <v>101</v>
      </c>
      <c r="Y12" s="861">
        <v>0</v>
      </c>
      <c r="Z12" s="540">
        <v>0</v>
      </c>
      <c r="AA12" s="1131">
        <v>0</v>
      </c>
      <c r="AB12" s="1131">
        <v>0</v>
      </c>
      <c r="AC12" s="1131">
        <v>14.896000000000001</v>
      </c>
      <c r="AD12" s="1131">
        <v>1.1459999999999999</v>
      </c>
      <c r="AE12" s="1131">
        <v>9.4E-2</v>
      </c>
      <c r="AF12" s="1131">
        <v>0.52400000000000002</v>
      </c>
      <c r="AG12" s="1131">
        <v>32.359000000000002</v>
      </c>
      <c r="AH12" s="1131">
        <v>0.68799999999999994</v>
      </c>
      <c r="AI12" s="683"/>
      <c r="AJ12" s="683"/>
      <c r="AK12" s="683"/>
      <c r="AL12" s="683"/>
      <c r="AM12" s="683"/>
      <c r="AN12" s="683"/>
      <c r="AO12" s="683"/>
      <c r="AP12" s="683"/>
    </row>
    <row r="13" spans="1:42" ht="31.75" hidden="1">
      <c r="A13" s="307" t="s">
        <v>296</v>
      </c>
      <c r="B13" s="186" t="s">
        <v>308</v>
      </c>
      <c r="C13" s="877">
        <v>411.99599999999998</v>
      </c>
      <c r="D13" s="672">
        <f t="shared" si="0"/>
        <v>410</v>
      </c>
      <c r="E13" s="877">
        <v>0</v>
      </c>
      <c r="F13" s="745">
        <v>0</v>
      </c>
      <c r="G13" s="877">
        <v>0</v>
      </c>
      <c r="H13" s="745">
        <v>0</v>
      </c>
      <c r="I13" s="877">
        <v>0</v>
      </c>
      <c r="J13" s="745">
        <v>0</v>
      </c>
      <c r="K13" s="877">
        <v>0</v>
      </c>
      <c r="L13" s="745">
        <v>0</v>
      </c>
      <c r="M13" s="877">
        <v>0</v>
      </c>
      <c r="N13" s="745">
        <v>0</v>
      </c>
      <c r="O13" s="1132">
        <v>50.634</v>
      </c>
      <c r="P13" s="540">
        <f t="shared" si="1"/>
        <v>50</v>
      </c>
      <c r="Q13" s="1132">
        <v>102.348</v>
      </c>
      <c r="R13" s="540">
        <f t="shared" si="2"/>
        <v>102</v>
      </c>
      <c r="S13" s="1132">
        <v>0</v>
      </c>
      <c r="T13" s="540">
        <v>0</v>
      </c>
      <c r="U13" s="877">
        <v>101.64</v>
      </c>
      <c r="V13" s="540">
        <f t="shared" si="3"/>
        <v>102</v>
      </c>
      <c r="W13" s="877">
        <v>101.64</v>
      </c>
      <c r="X13" s="540">
        <f t="shared" si="4"/>
        <v>102</v>
      </c>
      <c r="Y13" s="877">
        <v>0</v>
      </c>
      <c r="Z13" s="540">
        <v>0</v>
      </c>
      <c r="AA13" s="1131">
        <v>0</v>
      </c>
      <c r="AB13" s="1131">
        <v>0</v>
      </c>
      <c r="AC13" s="1131">
        <v>11.721</v>
      </c>
      <c r="AD13" s="1131">
        <v>0.90200000000000002</v>
      </c>
      <c r="AE13" s="1131">
        <v>2.1000000000000001E-2</v>
      </c>
      <c r="AF13" s="1131">
        <v>0.11899999999999999</v>
      </c>
      <c r="AG13" s="1131">
        <v>7.6280000000000001</v>
      </c>
      <c r="AH13" s="1131">
        <v>0.16200000000000001</v>
      </c>
      <c r="AI13" s="541"/>
      <c r="AJ13" s="541"/>
      <c r="AK13" s="541"/>
      <c r="AL13" s="541"/>
      <c r="AM13" s="541"/>
      <c r="AN13" s="541"/>
      <c r="AO13" s="541"/>
      <c r="AP13" s="541"/>
    </row>
    <row r="14" spans="1:42" ht="31.75" hidden="1">
      <c r="A14" s="307" t="s">
        <v>296</v>
      </c>
      <c r="B14" s="186" t="s">
        <v>302</v>
      </c>
      <c r="C14" s="862">
        <v>417.58</v>
      </c>
      <c r="D14" s="672">
        <f t="shared" si="0"/>
        <v>420</v>
      </c>
      <c r="E14" s="862">
        <v>0</v>
      </c>
      <c r="F14" s="745">
        <v>0</v>
      </c>
      <c r="G14" s="862">
        <v>0</v>
      </c>
      <c r="H14" s="745">
        <v>0</v>
      </c>
      <c r="I14" s="862">
        <v>0</v>
      </c>
      <c r="J14" s="745">
        <v>0</v>
      </c>
      <c r="K14" s="862">
        <v>0</v>
      </c>
      <c r="L14" s="745">
        <v>0</v>
      </c>
      <c r="M14" s="862">
        <v>0</v>
      </c>
      <c r="N14" s="745">
        <v>0</v>
      </c>
      <c r="O14" s="862">
        <v>47.39</v>
      </c>
      <c r="P14" s="540">
        <f t="shared" si="1"/>
        <v>45</v>
      </c>
      <c r="Q14" s="862">
        <v>105.559</v>
      </c>
      <c r="R14" s="540">
        <f t="shared" si="2"/>
        <v>106</v>
      </c>
      <c r="S14" s="862">
        <v>0</v>
      </c>
      <c r="T14" s="540">
        <v>0</v>
      </c>
      <c r="U14" s="862">
        <v>102.18300000000001</v>
      </c>
      <c r="V14" s="540">
        <f t="shared" si="3"/>
        <v>102</v>
      </c>
      <c r="W14" s="862">
        <v>102.18300000000001</v>
      </c>
      <c r="X14" s="540">
        <f t="shared" si="4"/>
        <v>102</v>
      </c>
      <c r="Y14" s="862">
        <v>0</v>
      </c>
      <c r="Z14" s="540">
        <v>0</v>
      </c>
      <c r="AA14" s="670">
        <v>0</v>
      </c>
      <c r="AB14" s="670">
        <v>0</v>
      </c>
      <c r="AC14" s="670">
        <v>12.006</v>
      </c>
      <c r="AD14" s="670">
        <v>0.92400000000000004</v>
      </c>
      <c r="AE14" s="670">
        <v>0.02</v>
      </c>
      <c r="AF14" s="670">
        <v>0.111</v>
      </c>
      <c r="AG14" s="670">
        <v>1.6919999999999999</v>
      </c>
      <c r="AH14" s="670">
        <v>3.5999999999999997E-2</v>
      </c>
    </row>
    <row r="15" spans="1:42" ht="31.75" hidden="1">
      <c r="A15" s="307" t="s">
        <v>296</v>
      </c>
      <c r="B15" s="186" t="s">
        <v>307</v>
      </c>
      <c r="C15" s="873">
        <v>518.78700000000003</v>
      </c>
      <c r="D15" s="672">
        <f t="shared" si="0"/>
        <v>520</v>
      </c>
      <c r="E15" s="873">
        <v>0</v>
      </c>
      <c r="F15" s="745">
        <v>0</v>
      </c>
      <c r="G15" s="873">
        <v>0</v>
      </c>
      <c r="H15" s="745">
        <v>0</v>
      </c>
      <c r="I15" s="873">
        <v>0</v>
      </c>
      <c r="J15" s="745">
        <v>0</v>
      </c>
      <c r="K15" s="873">
        <v>0</v>
      </c>
      <c r="L15" s="745">
        <v>0</v>
      </c>
      <c r="M15" s="873">
        <v>0</v>
      </c>
      <c r="N15" s="745">
        <v>0</v>
      </c>
      <c r="O15" s="873">
        <v>49.515999999999998</v>
      </c>
      <c r="P15" s="540">
        <f t="shared" si="1"/>
        <v>50</v>
      </c>
      <c r="Q15" s="873">
        <v>111.133</v>
      </c>
      <c r="R15" s="540">
        <f t="shared" si="2"/>
        <v>111</v>
      </c>
      <c r="S15" s="873">
        <v>0</v>
      </c>
      <c r="T15" s="540">
        <v>0</v>
      </c>
      <c r="U15" s="873">
        <v>106.65900000000001</v>
      </c>
      <c r="V15" s="540">
        <f t="shared" si="3"/>
        <v>107</v>
      </c>
      <c r="W15" s="873">
        <v>106.65900000000001</v>
      </c>
      <c r="X15" s="540">
        <f t="shared" si="4"/>
        <v>107</v>
      </c>
      <c r="Y15" s="873">
        <v>0</v>
      </c>
      <c r="Z15" s="540">
        <v>0</v>
      </c>
      <c r="AA15" s="1131">
        <v>0</v>
      </c>
      <c r="AB15" s="1131">
        <v>0</v>
      </c>
      <c r="AC15" s="1131">
        <v>11.612</v>
      </c>
      <c r="AD15" s="1131">
        <v>0.89300000000000002</v>
      </c>
      <c r="AE15" s="1131">
        <v>2.5000000000000001E-2</v>
      </c>
      <c r="AF15" s="1131">
        <v>0.14000000000000001</v>
      </c>
      <c r="AG15" s="1131">
        <v>10.516999999999999</v>
      </c>
      <c r="AH15" s="1131">
        <v>0.224</v>
      </c>
      <c r="AI15" s="683"/>
      <c r="AJ15" s="683"/>
      <c r="AK15" s="683"/>
      <c r="AL15" s="683"/>
      <c r="AM15" s="683"/>
      <c r="AN15" s="683"/>
      <c r="AO15" s="683"/>
      <c r="AP15" s="683"/>
    </row>
    <row r="16" spans="1:42" ht="31.75" hidden="1">
      <c r="A16" s="307" t="s">
        <v>296</v>
      </c>
      <c r="B16" s="186" t="s">
        <v>36</v>
      </c>
      <c r="C16" s="873">
        <v>436.67700000000002</v>
      </c>
      <c r="D16" s="672">
        <f t="shared" si="0"/>
        <v>440</v>
      </c>
      <c r="E16" s="873">
        <v>0</v>
      </c>
      <c r="F16" s="745">
        <v>0</v>
      </c>
      <c r="G16" s="873">
        <v>0</v>
      </c>
      <c r="H16" s="745">
        <v>0</v>
      </c>
      <c r="I16" s="873">
        <v>0</v>
      </c>
      <c r="J16" s="745">
        <v>0</v>
      </c>
      <c r="K16" s="873">
        <v>0</v>
      </c>
      <c r="L16" s="745">
        <v>0</v>
      </c>
      <c r="M16" s="873">
        <v>0</v>
      </c>
      <c r="N16" s="745">
        <v>0</v>
      </c>
      <c r="O16" s="873">
        <v>47.298999999999999</v>
      </c>
      <c r="P16" s="540">
        <f t="shared" si="1"/>
        <v>45</v>
      </c>
      <c r="Q16" s="873">
        <v>110.348</v>
      </c>
      <c r="R16" s="540">
        <f t="shared" si="2"/>
        <v>110</v>
      </c>
      <c r="S16" s="873">
        <v>0</v>
      </c>
      <c r="T16" s="540">
        <v>0</v>
      </c>
      <c r="U16" s="873">
        <v>106.893</v>
      </c>
      <c r="V16" s="540">
        <f t="shared" si="3"/>
        <v>107</v>
      </c>
      <c r="W16" s="873">
        <v>106.893</v>
      </c>
      <c r="X16" s="540">
        <f t="shared" si="4"/>
        <v>107</v>
      </c>
      <c r="Y16" s="873">
        <v>0</v>
      </c>
      <c r="Z16" s="540">
        <v>0</v>
      </c>
      <c r="AA16" s="761">
        <v>0</v>
      </c>
      <c r="AB16" s="761">
        <v>0</v>
      </c>
      <c r="AC16" s="761">
        <v>12.087999999999999</v>
      </c>
      <c r="AD16" s="761">
        <v>0.93</v>
      </c>
      <c r="AE16" s="761">
        <v>0.02</v>
      </c>
      <c r="AF16" s="761">
        <v>0.112</v>
      </c>
      <c r="AG16" s="761">
        <v>2.3420000000000001</v>
      </c>
      <c r="AH16" s="761">
        <v>0.05</v>
      </c>
    </row>
    <row r="17" spans="1:42" s="683" customFormat="1" ht="31.75" hidden="1">
      <c r="A17" s="307" t="s">
        <v>296</v>
      </c>
      <c r="B17" s="186" t="s">
        <v>65</v>
      </c>
      <c r="C17" s="861">
        <v>452.75</v>
      </c>
      <c r="D17" s="672">
        <f t="shared" si="0"/>
        <v>450</v>
      </c>
      <c r="E17" s="861">
        <v>0</v>
      </c>
      <c r="F17" s="745">
        <v>0</v>
      </c>
      <c r="G17" s="861">
        <v>0</v>
      </c>
      <c r="H17" s="745">
        <v>0</v>
      </c>
      <c r="I17" s="861">
        <v>0</v>
      </c>
      <c r="J17" s="745">
        <v>0</v>
      </c>
      <c r="K17" s="861">
        <v>0</v>
      </c>
      <c r="L17" s="745">
        <v>0</v>
      </c>
      <c r="M17" s="861">
        <v>0</v>
      </c>
      <c r="N17" s="745">
        <v>0</v>
      </c>
      <c r="O17" s="861">
        <v>64.772999999999996</v>
      </c>
      <c r="P17" s="540">
        <f t="shared" si="1"/>
        <v>65</v>
      </c>
      <c r="Q17" s="861">
        <v>114.41500000000001</v>
      </c>
      <c r="R17" s="540">
        <f t="shared" si="2"/>
        <v>114</v>
      </c>
      <c r="S17" s="861">
        <v>0</v>
      </c>
      <c r="T17" s="540">
        <v>0</v>
      </c>
      <c r="U17" s="861">
        <v>107.699</v>
      </c>
      <c r="V17" s="540">
        <f t="shared" si="3"/>
        <v>108</v>
      </c>
      <c r="W17" s="861">
        <v>107.669</v>
      </c>
      <c r="X17" s="540">
        <f t="shared" si="4"/>
        <v>108</v>
      </c>
      <c r="Y17" s="861">
        <v>0</v>
      </c>
      <c r="Z17" s="540">
        <v>0</v>
      </c>
      <c r="AA17" s="761">
        <v>0</v>
      </c>
      <c r="AB17" s="761">
        <v>0</v>
      </c>
      <c r="AC17" s="761">
        <v>11.680999999999999</v>
      </c>
      <c r="AD17" s="761">
        <v>0.89900000000000002</v>
      </c>
      <c r="AE17" s="761">
        <v>3.5999999999999997E-2</v>
      </c>
      <c r="AF17" s="761">
        <v>0.19900000000000001</v>
      </c>
      <c r="AG17" s="761">
        <v>1.4750000000000001</v>
      </c>
      <c r="AH17" s="761">
        <v>3.1E-2</v>
      </c>
      <c r="AI17" s="179"/>
      <c r="AJ17" s="179"/>
      <c r="AK17" s="179"/>
      <c r="AL17" s="179"/>
      <c r="AM17" s="179"/>
      <c r="AN17" s="179"/>
      <c r="AO17" s="179"/>
      <c r="AP17" s="179"/>
    </row>
    <row r="18" spans="1:42" ht="31.75" hidden="1">
      <c r="A18" s="307" t="s">
        <v>296</v>
      </c>
      <c r="B18" s="186" t="s">
        <v>26</v>
      </c>
      <c r="C18" s="873">
        <v>479.86799999999999</v>
      </c>
      <c r="D18" s="790">
        <v>480</v>
      </c>
      <c r="E18" s="873">
        <v>0</v>
      </c>
      <c r="F18" s="745">
        <v>0</v>
      </c>
      <c r="G18" s="873">
        <v>0</v>
      </c>
      <c r="H18" s="745">
        <v>0</v>
      </c>
      <c r="I18" s="873">
        <v>0</v>
      </c>
      <c r="J18" s="745">
        <v>0</v>
      </c>
      <c r="K18" s="873">
        <v>0</v>
      </c>
      <c r="L18" s="745">
        <v>0</v>
      </c>
      <c r="M18" s="873">
        <v>0</v>
      </c>
      <c r="N18" s="745">
        <v>0</v>
      </c>
      <c r="O18" s="873">
        <v>55</v>
      </c>
      <c r="P18" s="540">
        <f t="shared" si="1"/>
        <v>55</v>
      </c>
      <c r="Q18" s="873">
        <v>120</v>
      </c>
      <c r="R18" s="540">
        <f t="shared" si="2"/>
        <v>120</v>
      </c>
      <c r="S18" s="873">
        <v>0</v>
      </c>
      <c r="T18" s="540">
        <v>0</v>
      </c>
      <c r="U18" s="873">
        <v>120</v>
      </c>
      <c r="V18" s="540">
        <f t="shared" si="3"/>
        <v>120</v>
      </c>
      <c r="W18" s="873">
        <v>110</v>
      </c>
      <c r="X18" s="540">
        <f t="shared" si="4"/>
        <v>110</v>
      </c>
      <c r="Y18" s="873">
        <v>0</v>
      </c>
      <c r="Z18" s="540">
        <v>0</v>
      </c>
      <c r="AA18" s="692">
        <v>0</v>
      </c>
      <c r="AB18" s="692">
        <v>0</v>
      </c>
      <c r="AC18" s="692">
        <v>10</v>
      </c>
      <c r="AD18" s="692">
        <v>0</v>
      </c>
      <c r="AE18" s="692">
        <v>0</v>
      </c>
      <c r="AF18" s="692">
        <v>0</v>
      </c>
      <c r="AG18" s="692">
        <v>90</v>
      </c>
      <c r="AH18" s="692">
        <v>0</v>
      </c>
      <c r="AI18" s="223"/>
      <c r="AJ18" s="223"/>
      <c r="AK18" s="223"/>
      <c r="AL18" s="223"/>
      <c r="AM18" s="223"/>
      <c r="AN18" s="223"/>
      <c r="AO18" s="223"/>
      <c r="AP18" s="223"/>
    </row>
    <row r="19" spans="1:42" ht="31.75" hidden="1">
      <c r="A19" s="307" t="s">
        <v>296</v>
      </c>
      <c r="B19" s="186" t="s">
        <v>29</v>
      </c>
      <c r="C19" s="873">
        <v>455.18400000000003</v>
      </c>
      <c r="D19" s="672">
        <f t="shared" ref="D19:D50" si="5">MROUND(C19,10)</f>
        <v>460</v>
      </c>
      <c r="E19" s="873">
        <v>0</v>
      </c>
      <c r="F19" s="745">
        <v>0</v>
      </c>
      <c r="G19" s="873">
        <v>0</v>
      </c>
      <c r="H19" s="745">
        <v>0</v>
      </c>
      <c r="I19" s="873">
        <v>0</v>
      </c>
      <c r="J19" s="745">
        <v>0</v>
      </c>
      <c r="K19" s="873">
        <v>0</v>
      </c>
      <c r="L19" s="745">
        <v>0</v>
      </c>
      <c r="M19" s="873">
        <v>0</v>
      </c>
      <c r="N19" s="745">
        <v>0</v>
      </c>
      <c r="O19" s="873">
        <v>62.779000000000003</v>
      </c>
      <c r="P19" s="540">
        <f t="shared" si="1"/>
        <v>65</v>
      </c>
      <c r="Q19" s="873">
        <v>115.444</v>
      </c>
      <c r="R19" s="540">
        <f t="shared" si="2"/>
        <v>115</v>
      </c>
      <c r="S19" s="873">
        <v>4.5999999999999999E-2</v>
      </c>
      <c r="T19" s="540">
        <v>0</v>
      </c>
      <c r="U19" s="873">
        <v>112.506</v>
      </c>
      <c r="V19" s="540">
        <f t="shared" si="3"/>
        <v>113</v>
      </c>
      <c r="W19" s="873">
        <v>112.506</v>
      </c>
      <c r="X19" s="540">
        <f t="shared" si="4"/>
        <v>113</v>
      </c>
      <c r="Y19" s="873">
        <v>0</v>
      </c>
      <c r="Z19" s="540">
        <v>0</v>
      </c>
      <c r="AA19" s="670">
        <v>0</v>
      </c>
      <c r="AB19" s="670">
        <v>0</v>
      </c>
      <c r="AC19" s="670">
        <v>14.71</v>
      </c>
      <c r="AD19" s="670">
        <v>1.1319999999999999</v>
      </c>
      <c r="AE19" s="670">
        <v>9.6000000000000002E-2</v>
      </c>
      <c r="AF19" s="670">
        <v>0.53500000000000003</v>
      </c>
      <c r="AG19" s="670">
        <v>1.5589999999999999</v>
      </c>
      <c r="AH19" s="670">
        <v>3.3000000000000002E-2</v>
      </c>
    </row>
    <row r="20" spans="1:42" ht="31.75" hidden="1">
      <c r="A20" s="307" t="s">
        <v>296</v>
      </c>
      <c r="B20" s="186" t="s">
        <v>180</v>
      </c>
      <c r="C20" s="879">
        <v>417.61599999999999</v>
      </c>
      <c r="D20" s="672">
        <f t="shared" si="5"/>
        <v>420</v>
      </c>
      <c r="E20" s="879">
        <v>0</v>
      </c>
      <c r="F20" s="745">
        <v>0</v>
      </c>
      <c r="G20" s="879">
        <v>0</v>
      </c>
      <c r="H20" s="745">
        <v>0</v>
      </c>
      <c r="I20" s="879">
        <v>0</v>
      </c>
      <c r="J20" s="745">
        <v>0</v>
      </c>
      <c r="K20" s="879">
        <v>0</v>
      </c>
      <c r="L20" s="745">
        <v>0</v>
      </c>
      <c r="M20" s="879">
        <v>0</v>
      </c>
      <c r="N20" s="745">
        <v>0</v>
      </c>
      <c r="O20" s="879">
        <v>188.42099999999999</v>
      </c>
      <c r="P20" s="540">
        <f>MROUND(O20,10)</f>
        <v>190</v>
      </c>
      <c r="Q20" s="879">
        <v>106.84699999999999</v>
      </c>
      <c r="R20" s="540">
        <f t="shared" si="2"/>
        <v>107</v>
      </c>
      <c r="S20" s="879">
        <v>3.7999999999999999E-2</v>
      </c>
      <c r="T20" s="540">
        <v>0</v>
      </c>
      <c r="U20" s="879">
        <v>97.222999999999999</v>
      </c>
      <c r="V20" s="540">
        <f t="shared" si="3"/>
        <v>97</v>
      </c>
      <c r="W20" s="879">
        <v>97.222999999999999</v>
      </c>
      <c r="X20" s="540">
        <f t="shared" si="4"/>
        <v>97</v>
      </c>
      <c r="Y20" s="879">
        <v>6.0000000000000001E-3</v>
      </c>
      <c r="Z20" s="540">
        <v>0</v>
      </c>
      <c r="AA20" s="561">
        <v>0</v>
      </c>
      <c r="AB20" s="561">
        <v>0</v>
      </c>
      <c r="AC20" s="561">
        <v>14.494999999999999</v>
      </c>
      <c r="AD20" s="561">
        <v>1.115</v>
      </c>
      <c r="AE20" s="561">
        <v>0.98</v>
      </c>
      <c r="AF20" s="561">
        <v>5.4459999999999997</v>
      </c>
      <c r="AG20" s="561">
        <v>37.348999999999997</v>
      </c>
      <c r="AH20" s="561">
        <v>0.79500000000000004</v>
      </c>
      <c r="AI20" s="248"/>
      <c r="AJ20" s="248"/>
      <c r="AK20" s="248"/>
      <c r="AL20" s="248"/>
      <c r="AM20" s="248"/>
      <c r="AN20" s="248"/>
      <c r="AO20" s="248"/>
      <c r="AP20" s="248"/>
    </row>
    <row r="21" spans="1:42" s="212" customFormat="1" ht="31.75" hidden="1">
      <c r="A21" s="307" t="s">
        <v>296</v>
      </c>
      <c r="B21" s="186" t="s">
        <v>314</v>
      </c>
      <c r="C21" s="870">
        <v>444.346</v>
      </c>
      <c r="D21" s="672">
        <f t="shared" si="5"/>
        <v>440</v>
      </c>
      <c r="E21" s="870">
        <v>0</v>
      </c>
      <c r="F21" s="745">
        <v>0</v>
      </c>
      <c r="G21" s="870">
        <v>0</v>
      </c>
      <c r="H21" s="745">
        <v>0</v>
      </c>
      <c r="I21" s="870">
        <v>0</v>
      </c>
      <c r="J21" s="745">
        <v>0</v>
      </c>
      <c r="K21" s="870">
        <v>0</v>
      </c>
      <c r="L21" s="745">
        <v>0</v>
      </c>
      <c r="M21" s="870">
        <v>0</v>
      </c>
      <c r="N21" s="745">
        <v>0</v>
      </c>
      <c r="O21" s="870">
        <v>49.646999999999998</v>
      </c>
      <c r="P21" s="540">
        <f t="shared" ref="P21:P42" si="6">MROUND(O21,5)</f>
        <v>50</v>
      </c>
      <c r="Q21" s="870">
        <v>110.901</v>
      </c>
      <c r="R21" s="540">
        <f t="shared" si="2"/>
        <v>111</v>
      </c>
      <c r="S21" s="870">
        <v>7.2999999999999995E-2</v>
      </c>
      <c r="T21" s="540">
        <v>0</v>
      </c>
      <c r="U21" s="870">
        <v>104.559</v>
      </c>
      <c r="V21" s="540">
        <f t="shared" si="3"/>
        <v>105</v>
      </c>
      <c r="W21" s="870">
        <v>107.676</v>
      </c>
      <c r="X21" s="540">
        <f t="shared" si="4"/>
        <v>108</v>
      </c>
      <c r="Y21" s="870">
        <v>8.9999999999999993E-3</v>
      </c>
      <c r="Z21" s="540">
        <v>0</v>
      </c>
      <c r="AA21" s="761">
        <v>0</v>
      </c>
      <c r="AB21" s="761">
        <v>0</v>
      </c>
      <c r="AC21" s="761">
        <v>11.773999999999999</v>
      </c>
      <c r="AD21" s="761">
        <v>0.90600000000000003</v>
      </c>
      <c r="AE21" s="761">
        <v>2.5999999999999999E-2</v>
      </c>
      <c r="AF21" s="761">
        <v>0.14599999999999999</v>
      </c>
      <c r="AG21" s="761">
        <v>1.8260000000000001</v>
      </c>
      <c r="AH21" s="761">
        <v>3.9E-2</v>
      </c>
      <c r="AI21" s="179"/>
      <c r="AJ21" s="179"/>
      <c r="AK21" s="179"/>
      <c r="AL21" s="179"/>
      <c r="AM21" s="179"/>
      <c r="AN21" s="179"/>
      <c r="AO21" s="179"/>
      <c r="AP21" s="179"/>
    </row>
    <row r="22" spans="1:42" s="594" customFormat="1" ht="13.95" hidden="1" customHeight="1">
      <c r="A22" s="307" t="s">
        <v>296</v>
      </c>
      <c r="B22" s="186" t="s">
        <v>45</v>
      </c>
      <c r="C22" s="876">
        <v>399.654</v>
      </c>
      <c r="D22" s="672">
        <f t="shared" si="5"/>
        <v>400</v>
      </c>
      <c r="E22" s="876">
        <v>0</v>
      </c>
      <c r="F22" s="745">
        <v>0</v>
      </c>
      <c r="G22" s="876">
        <v>0</v>
      </c>
      <c r="H22" s="745">
        <v>0</v>
      </c>
      <c r="I22" s="876">
        <v>0</v>
      </c>
      <c r="J22" s="745">
        <v>0</v>
      </c>
      <c r="K22" s="873">
        <v>0</v>
      </c>
      <c r="L22" s="745">
        <v>0</v>
      </c>
      <c r="M22" s="876">
        <v>0</v>
      </c>
      <c r="N22" s="745">
        <v>0</v>
      </c>
      <c r="O22" s="876">
        <v>48.555999999999997</v>
      </c>
      <c r="P22" s="540">
        <f t="shared" si="6"/>
        <v>50</v>
      </c>
      <c r="Q22" s="876">
        <v>100.726</v>
      </c>
      <c r="R22" s="540">
        <f t="shared" si="2"/>
        <v>101</v>
      </c>
      <c r="S22" s="876">
        <v>0</v>
      </c>
      <c r="T22" s="540">
        <v>0</v>
      </c>
      <c r="U22" s="876">
        <v>96.66</v>
      </c>
      <c r="V22" s="540">
        <f t="shared" si="3"/>
        <v>97</v>
      </c>
      <c r="W22" s="876">
        <v>96.28</v>
      </c>
      <c r="X22" s="540">
        <f t="shared" si="4"/>
        <v>96</v>
      </c>
      <c r="Y22" s="876">
        <v>0.01</v>
      </c>
      <c r="Z22" s="540">
        <v>0</v>
      </c>
      <c r="AA22" s="761">
        <v>0</v>
      </c>
      <c r="AB22" s="761">
        <v>0</v>
      </c>
      <c r="AC22" s="761">
        <v>12.364000000000001</v>
      </c>
      <c r="AD22" s="761">
        <v>0.95099999999999996</v>
      </c>
      <c r="AE22" s="761">
        <v>0.04</v>
      </c>
      <c r="AF22" s="761">
        <v>0.22</v>
      </c>
      <c r="AG22" s="761">
        <v>14.323</v>
      </c>
      <c r="AH22" s="761">
        <v>0.30499999999999999</v>
      </c>
      <c r="AI22" s="179"/>
      <c r="AJ22" s="179"/>
      <c r="AK22" s="179"/>
      <c r="AL22" s="179"/>
      <c r="AM22" s="179"/>
      <c r="AN22" s="179"/>
      <c r="AO22" s="179"/>
      <c r="AP22" s="179"/>
    </row>
    <row r="23" spans="1:42" ht="47.6" hidden="1">
      <c r="A23" s="307" t="s">
        <v>325</v>
      </c>
      <c r="B23" s="186" t="s">
        <v>127</v>
      </c>
      <c r="C23" s="860">
        <v>199.37799999999999</v>
      </c>
      <c r="D23" s="672">
        <f t="shared" si="5"/>
        <v>200</v>
      </c>
      <c r="E23" s="860">
        <v>0.11700000000000001</v>
      </c>
      <c r="F23" s="745">
        <v>0</v>
      </c>
      <c r="G23" s="860">
        <v>1.2999999999999999E-2</v>
      </c>
      <c r="H23" s="745">
        <v>0</v>
      </c>
      <c r="I23" s="860">
        <v>0</v>
      </c>
      <c r="J23" s="745">
        <v>0</v>
      </c>
      <c r="K23" s="860">
        <v>0</v>
      </c>
      <c r="L23" s="672">
        <v>0</v>
      </c>
      <c r="M23" s="860">
        <v>0</v>
      </c>
      <c r="N23" s="745">
        <v>0</v>
      </c>
      <c r="O23" s="860">
        <v>59.792000000000002</v>
      </c>
      <c r="P23" s="540">
        <f t="shared" si="6"/>
        <v>60</v>
      </c>
      <c r="Q23" s="860">
        <v>68.858000000000004</v>
      </c>
      <c r="R23" s="540">
        <f t="shared" si="2"/>
        <v>69</v>
      </c>
      <c r="S23" s="860">
        <v>0</v>
      </c>
      <c r="T23" s="540">
        <v>0</v>
      </c>
      <c r="U23" s="860">
        <v>0.13700000000000001</v>
      </c>
      <c r="V23" s="871">
        <v>0</v>
      </c>
      <c r="W23" s="860">
        <v>0</v>
      </c>
      <c r="X23" s="871">
        <v>0</v>
      </c>
      <c r="Y23" s="860">
        <v>2.1999999999999999E-2</v>
      </c>
      <c r="Z23" s="540">
        <v>0</v>
      </c>
      <c r="AA23" s="555">
        <v>0</v>
      </c>
      <c r="AB23" s="555">
        <v>0</v>
      </c>
      <c r="AC23" s="555">
        <v>13.361000000000001</v>
      </c>
      <c r="AD23" s="555">
        <v>1.028</v>
      </c>
      <c r="AE23" s="555">
        <v>8.7999999999999995E-2</v>
      </c>
      <c r="AF23" s="555">
        <v>0.48799999999999999</v>
      </c>
      <c r="AG23" s="555">
        <v>38.362000000000002</v>
      </c>
      <c r="AH23" s="555">
        <v>0.81599999999999995</v>
      </c>
    </row>
    <row r="24" spans="1:42" ht="47.6" hidden="1">
      <c r="A24" s="307" t="s">
        <v>325</v>
      </c>
      <c r="B24" s="186" t="s">
        <v>124</v>
      </c>
      <c r="C24" s="861">
        <v>191.01599999999999</v>
      </c>
      <c r="D24" s="672">
        <f t="shared" si="5"/>
        <v>190</v>
      </c>
      <c r="E24" s="861">
        <v>0</v>
      </c>
      <c r="F24" s="745">
        <v>0</v>
      </c>
      <c r="G24" s="861">
        <v>1.7999999999999999E-2</v>
      </c>
      <c r="H24" s="745">
        <v>0</v>
      </c>
      <c r="I24" s="861">
        <v>1.2999999999999999E-2</v>
      </c>
      <c r="J24" s="745">
        <v>0</v>
      </c>
      <c r="K24" s="861">
        <v>0</v>
      </c>
      <c r="L24" s="672">
        <v>0</v>
      </c>
      <c r="M24" s="861">
        <v>0</v>
      </c>
      <c r="N24" s="745">
        <v>0</v>
      </c>
      <c r="O24" s="861">
        <v>47.527999999999999</v>
      </c>
      <c r="P24" s="540">
        <f t="shared" si="6"/>
        <v>50</v>
      </c>
      <c r="Q24" s="861">
        <v>66.519000000000005</v>
      </c>
      <c r="R24" s="540">
        <f t="shared" si="2"/>
        <v>67</v>
      </c>
      <c r="S24" s="861">
        <v>1.2999999999999999E-2</v>
      </c>
      <c r="T24" s="540">
        <v>0</v>
      </c>
      <c r="U24" s="861">
        <v>0.19800000000000001</v>
      </c>
      <c r="V24" s="871">
        <v>0</v>
      </c>
      <c r="W24" s="861">
        <v>0</v>
      </c>
      <c r="X24" s="871">
        <v>0</v>
      </c>
      <c r="Y24" s="861">
        <v>2.4E-2</v>
      </c>
      <c r="Z24" s="540">
        <v>0</v>
      </c>
      <c r="AA24" s="759">
        <v>0</v>
      </c>
      <c r="AB24" s="759">
        <v>0</v>
      </c>
      <c r="AC24" s="759">
        <v>12.939</v>
      </c>
      <c r="AD24" s="759">
        <v>0.995</v>
      </c>
      <c r="AE24" s="759">
        <v>0.11600000000000001</v>
      </c>
      <c r="AF24" s="759">
        <v>0.64300000000000002</v>
      </c>
      <c r="AG24" s="759">
        <v>31.042000000000002</v>
      </c>
      <c r="AH24" s="759">
        <v>0.66</v>
      </c>
    </row>
    <row r="25" spans="1:42" ht="31.75" hidden="1">
      <c r="A25" s="307" t="s">
        <v>296</v>
      </c>
      <c r="B25" s="186" t="s">
        <v>304</v>
      </c>
      <c r="C25" s="873">
        <v>359.18200000000002</v>
      </c>
      <c r="D25" s="672">
        <f t="shared" si="5"/>
        <v>360</v>
      </c>
      <c r="E25" s="873">
        <v>6.3E-2</v>
      </c>
      <c r="F25" s="745">
        <v>0</v>
      </c>
      <c r="G25" s="873">
        <v>7.0000000000000001E-3</v>
      </c>
      <c r="H25" s="745">
        <v>0</v>
      </c>
      <c r="I25" s="873">
        <v>1E-3</v>
      </c>
      <c r="J25" s="745">
        <v>0</v>
      </c>
      <c r="K25" s="873">
        <v>0</v>
      </c>
      <c r="L25" s="745">
        <v>0</v>
      </c>
      <c r="M25" s="873">
        <v>0</v>
      </c>
      <c r="N25" s="745">
        <v>0</v>
      </c>
      <c r="O25" s="873">
        <v>50.28</v>
      </c>
      <c r="P25" s="540">
        <f t="shared" si="6"/>
        <v>50</v>
      </c>
      <c r="Q25" s="873">
        <v>90.802999999999997</v>
      </c>
      <c r="R25" s="540">
        <f t="shared" si="2"/>
        <v>91</v>
      </c>
      <c r="S25" s="873">
        <v>0.106</v>
      </c>
      <c r="T25" s="540">
        <v>0</v>
      </c>
      <c r="U25" s="873">
        <v>86.427999999999997</v>
      </c>
      <c r="V25" s="540">
        <f>MROUND(U25,1)</f>
        <v>86</v>
      </c>
      <c r="W25" s="873">
        <v>86.210999999999999</v>
      </c>
      <c r="X25" s="540">
        <f>MROUND(W25,1)</f>
        <v>86</v>
      </c>
      <c r="Y25" s="873">
        <v>3.1E-2</v>
      </c>
      <c r="Z25" s="540">
        <v>0</v>
      </c>
      <c r="AA25" s="692">
        <v>0</v>
      </c>
      <c r="AB25" s="692">
        <v>0</v>
      </c>
      <c r="AC25" s="692">
        <v>13.744</v>
      </c>
      <c r="AD25" s="692">
        <v>1.0569999999999999</v>
      </c>
      <c r="AE25" s="692">
        <v>3.5999999999999997E-2</v>
      </c>
      <c r="AF25" s="692">
        <v>0.20200000000000001</v>
      </c>
      <c r="AG25" s="692">
        <v>5.3440000000000003</v>
      </c>
      <c r="AH25" s="692">
        <v>0.114</v>
      </c>
      <c r="AI25" s="683"/>
      <c r="AJ25" s="683"/>
      <c r="AK25" s="683"/>
      <c r="AL25" s="683"/>
      <c r="AM25" s="683"/>
      <c r="AN25" s="683"/>
      <c r="AO25" s="683"/>
      <c r="AP25" s="683"/>
    </row>
    <row r="26" spans="1:42" s="683" customFormat="1" ht="31.75" hidden="1">
      <c r="A26" s="307" t="s">
        <v>296</v>
      </c>
      <c r="B26" s="186" t="s">
        <v>51</v>
      </c>
      <c r="C26" s="873">
        <v>439.27499999999998</v>
      </c>
      <c r="D26" s="672">
        <f t="shared" si="5"/>
        <v>440</v>
      </c>
      <c r="E26" s="873">
        <v>0.13700000000000001</v>
      </c>
      <c r="F26" s="745">
        <v>0</v>
      </c>
      <c r="G26" s="873">
        <v>1.4999999999999999E-2</v>
      </c>
      <c r="H26" s="745">
        <v>0</v>
      </c>
      <c r="I26" s="873">
        <v>4.0000000000000001E-3</v>
      </c>
      <c r="J26" s="745">
        <v>0</v>
      </c>
      <c r="K26" s="873">
        <v>1.4999999999999999E-2</v>
      </c>
      <c r="L26" s="745">
        <v>0</v>
      </c>
      <c r="M26" s="873">
        <v>0</v>
      </c>
      <c r="N26" s="745">
        <v>0</v>
      </c>
      <c r="O26" s="873">
        <v>66.277000000000001</v>
      </c>
      <c r="P26" s="540">
        <f t="shared" si="6"/>
        <v>65</v>
      </c>
      <c r="Q26" s="873">
        <v>11.57</v>
      </c>
      <c r="R26" s="540">
        <f t="shared" si="2"/>
        <v>12</v>
      </c>
      <c r="S26" s="873">
        <v>0.10299999999999999</v>
      </c>
      <c r="T26" s="540">
        <v>0</v>
      </c>
      <c r="U26" s="873">
        <v>104.33199999999999</v>
      </c>
      <c r="V26" s="540">
        <f>MROUND(U26,1)</f>
        <v>104</v>
      </c>
      <c r="W26" s="873">
        <v>101.898</v>
      </c>
      <c r="X26" s="540">
        <f>MROUND(W26,1)</f>
        <v>102</v>
      </c>
      <c r="Y26" s="873">
        <v>3.4000000000000002E-2</v>
      </c>
      <c r="Z26" s="540">
        <v>0</v>
      </c>
      <c r="AA26" s="761">
        <v>0</v>
      </c>
      <c r="AB26" s="761">
        <v>0</v>
      </c>
      <c r="AC26" s="761">
        <v>13.169</v>
      </c>
      <c r="AD26" s="761">
        <v>1.0129999999999999</v>
      </c>
      <c r="AE26" s="761">
        <v>8.2000000000000003E-2</v>
      </c>
      <c r="AF26" s="761">
        <v>0.45600000000000002</v>
      </c>
      <c r="AG26" s="761">
        <v>16.664999999999999</v>
      </c>
      <c r="AH26" s="761">
        <v>0.35499999999999998</v>
      </c>
      <c r="AI26" s="179"/>
      <c r="AJ26" s="179"/>
      <c r="AK26" s="179"/>
      <c r="AL26" s="179"/>
      <c r="AM26" s="179"/>
      <c r="AN26" s="179"/>
      <c r="AO26" s="179"/>
      <c r="AP26" s="179"/>
    </row>
    <row r="27" spans="1:42" s="541" customFormat="1" ht="31.75" hidden="1">
      <c r="A27" s="307" t="s">
        <v>296</v>
      </c>
      <c r="B27" s="186" t="s">
        <v>30</v>
      </c>
      <c r="C27" s="873">
        <v>456.89499999999998</v>
      </c>
      <c r="D27" s="672">
        <f t="shared" si="5"/>
        <v>460</v>
      </c>
      <c r="E27" s="873">
        <v>0.53900000000000003</v>
      </c>
      <c r="F27" s="745">
        <v>0</v>
      </c>
      <c r="G27" s="873">
        <v>0.06</v>
      </c>
      <c r="H27" s="745">
        <v>0</v>
      </c>
      <c r="I27" s="873">
        <v>5.0000000000000001E-3</v>
      </c>
      <c r="J27" s="745">
        <v>0</v>
      </c>
      <c r="K27" s="873">
        <v>0</v>
      </c>
      <c r="L27" s="745">
        <v>0</v>
      </c>
      <c r="M27" s="873">
        <v>0</v>
      </c>
      <c r="N27" s="745">
        <v>0</v>
      </c>
      <c r="O27" s="873">
        <v>63.398000000000003</v>
      </c>
      <c r="P27" s="540">
        <f t="shared" si="6"/>
        <v>65</v>
      </c>
      <c r="Q27" s="873">
        <v>115.75</v>
      </c>
      <c r="R27" s="540">
        <f t="shared" si="2"/>
        <v>116</v>
      </c>
      <c r="S27" s="873">
        <v>0.3</v>
      </c>
      <c r="T27" s="540">
        <v>0</v>
      </c>
      <c r="U27" s="873">
        <v>112.413</v>
      </c>
      <c r="V27" s="540">
        <f>MROUND(U27,1)</f>
        <v>112</v>
      </c>
      <c r="W27" s="873">
        <v>11.622</v>
      </c>
      <c r="X27" s="540">
        <f>MROUND(W27,1)</f>
        <v>12</v>
      </c>
      <c r="Y27" s="873">
        <v>3.9E-2</v>
      </c>
      <c r="Z27" s="540">
        <v>0</v>
      </c>
      <c r="AA27" s="670">
        <v>0</v>
      </c>
      <c r="AB27" s="670">
        <v>0</v>
      </c>
      <c r="AC27" s="670">
        <v>15.223000000000001</v>
      </c>
      <c r="AD27" s="670">
        <v>1.171</v>
      </c>
      <c r="AE27" s="670">
        <v>0.114</v>
      </c>
      <c r="AF27" s="670">
        <v>0.63100000000000001</v>
      </c>
      <c r="AG27" s="670">
        <v>6.5839999999999996</v>
      </c>
      <c r="AH27" s="670">
        <v>0.14000000000000001</v>
      </c>
      <c r="AI27" s="179"/>
      <c r="AJ27" s="179"/>
      <c r="AK27" s="179"/>
      <c r="AL27" s="179"/>
      <c r="AM27" s="179"/>
      <c r="AN27" s="179"/>
      <c r="AO27" s="179"/>
      <c r="AP27" s="179"/>
    </row>
    <row r="28" spans="1:42" ht="47.6" hidden="1">
      <c r="A28" s="307" t="s">
        <v>325</v>
      </c>
      <c r="B28" s="186" t="s">
        <v>123</v>
      </c>
      <c r="C28" s="861">
        <v>197.07499999999999</v>
      </c>
      <c r="D28" s="672">
        <f t="shared" si="5"/>
        <v>200</v>
      </c>
      <c r="E28" s="861">
        <v>0</v>
      </c>
      <c r="F28" s="745">
        <v>0</v>
      </c>
      <c r="G28" s="861">
        <v>1.2999999999999999E-2</v>
      </c>
      <c r="H28" s="745">
        <v>0</v>
      </c>
      <c r="I28" s="861">
        <v>1.2999999999999999E-2</v>
      </c>
      <c r="J28" s="745">
        <v>0</v>
      </c>
      <c r="K28" s="861">
        <v>0</v>
      </c>
      <c r="L28" s="672">
        <v>0</v>
      </c>
      <c r="M28" s="861">
        <v>0</v>
      </c>
      <c r="N28" s="745">
        <v>0</v>
      </c>
      <c r="O28" s="861">
        <v>42.215000000000003</v>
      </c>
      <c r="P28" s="540">
        <f t="shared" si="6"/>
        <v>40</v>
      </c>
      <c r="Q28" s="861">
        <v>68.978999999999999</v>
      </c>
      <c r="R28" s="540">
        <f t="shared" si="2"/>
        <v>69</v>
      </c>
      <c r="S28" s="861">
        <v>1.2999999999999999E-2</v>
      </c>
      <c r="T28" s="540">
        <v>0</v>
      </c>
      <c r="U28" s="861">
        <v>0.13900000000000001</v>
      </c>
      <c r="V28" s="871">
        <v>0</v>
      </c>
      <c r="W28" s="861">
        <v>0</v>
      </c>
      <c r="X28" s="871">
        <v>0</v>
      </c>
      <c r="Y28" s="861">
        <v>4.1000000000000002E-2</v>
      </c>
      <c r="Z28" s="540">
        <v>0</v>
      </c>
      <c r="AA28" s="759">
        <v>0</v>
      </c>
      <c r="AB28" s="759">
        <v>0</v>
      </c>
      <c r="AC28" s="759">
        <v>20.957000000000001</v>
      </c>
      <c r="AD28" s="759">
        <v>1.6120000000000001</v>
      </c>
      <c r="AE28" s="759">
        <v>8.7999999999999995E-2</v>
      </c>
      <c r="AF28" s="759">
        <v>0.48899999999999999</v>
      </c>
      <c r="AG28" s="759">
        <v>39.250999999999998</v>
      </c>
      <c r="AH28" s="759">
        <v>0.83499999999999996</v>
      </c>
    </row>
    <row r="29" spans="1:42" ht="47.6" hidden="1">
      <c r="A29" s="307" t="s">
        <v>325</v>
      </c>
      <c r="B29" s="186" t="s">
        <v>327</v>
      </c>
      <c r="C29" s="861">
        <v>259.40699999999998</v>
      </c>
      <c r="D29" s="672">
        <f t="shared" si="5"/>
        <v>260</v>
      </c>
      <c r="E29" s="861">
        <v>0</v>
      </c>
      <c r="F29" s="745">
        <v>0</v>
      </c>
      <c r="G29" s="861">
        <v>0</v>
      </c>
      <c r="H29" s="745">
        <v>0</v>
      </c>
      <c r="I29" s="861">
        <v>0</v>
      </c>
      <c r="J29" s="745">
        <v>0</v>
      </c>
      <c r="K29" s="861">
        <v>0</v>
      </c>
      <c r="L29" s="672">
        <v>0</v>
      </c>
      <c r="M29" s="861">
        <v>0</v>
      </c>
      <c r="N29" s="745">
        <v>0</v>
      </c>
      <c r="O29" s="861">
        <v>40.301000000000002</v>
      </c>
      <c r="P29" s="540">
        <f t="shared" si="6"/>
        <v>40</v>
      </c>
      <c r="Q29" s="861">
        <v>67.864999999999995</v>
      </c>
      <c r="R29" s="540">
        <f t="shared" si="2"/>
        <v>68</v>
      </c>
      <c r="S29" s="861">
        <v>0.46</v>
      </c>
      <c r="T29" s="540">
        <v>0</v>
      </c>
      <c r="U29" s="861">
        <v>0</v>
      </c>
      <c r="V29" s="871">
        <v>0</v>
      </c>
      <c r="W29" s="861">
        <v>0</v>
      </c>
      <c r="X29" s="871">
        <v>0</v>
      </c>
      <c r="Y29" s="861">
        <v>4.4999999999999998E-2</v>
      </c>
      <c r="Z29" s="540">
        <v>0</v>
      </c>
      <c r="AA29" s="759">
        <v>0</v>
      </c>
      <c r="AB29" s="759">
        <v>0</v>
      </c>
      <c r="AC29" s="759">
        <v>14.288</v>
      </c>
      <c r="AD29" s="759">
        <v>1.099</v>
      </c>
      <c r="AE29" s="759">
        <v>5.8999999999999997E-2</v>
      </c>
      <c r="AF29" s="759">
        <v>0.33</v>
      </c>
      <c r="AG29" s="759">
        <v>8.6240000000000006</v>
      </c>
      <c r="AH29" s="759">
        <v>0.183</v>
      </c>
      <c r="AI29" s="683"/>
      <c r="AJ29" s="683"/>
      <c r="AK29" s="683"/>
      <c r="AL29" s="683"/>
      <c r="AM29" s="683"/>
      <c r="AN29" s="683"/>
      <c r="AO29" s="683"/>
      <c r="AP29" s="683"/>
    </row>
    <row r="30" spans="1:42" ht="31.75" hidden="1">
      <c r="A30" s="307" t="s">
        <v>296</v>
      </c>
      <c r="B30" s="186" t="s">
        <v>31</v>
      </c>
      <c r="C30" s="861">
        <v>351.66300000000001</v>
      </c>
      <c r="D30" s="672">
        <f t="shared" si="5"/>
        <v>350</v>
      </c>
      <c r="E30" s="865">
        <v>0</v>
      </c>
      <c r="F30" s="745">
        <v>0</v>
      </c>
      <c r="G30" s="865">
        <v>3.1E-2</v>
      </c>
      <c r="H30" s="745">
        <v>0</v>
      </c>
      <c r="I30" s="865">
        <v>0</v>
      </c>
      <c r="J30" s="745">
        <v>0</v>
      </c>
      <c r="K30" s="865">
        <v>0</v>
      </c>
      <c r="L30" s="745">
        <v>0</v>
      </c>
      <c r="M30" s="865">
        <v>0</v>
      </c>
      <c r="N30" s="745">
        <v>0</v>
      </c>
      <c r="O30" s="865">
        <v>60.268999999999998</v>
      </c>
      <c r="P30" s="540">
        <f t="shared" si="6"/>
        <v>60</v>
      </c>
      <c r="Q30" s="865">
        <v>90.456999999999994</v>
      </c>
      <c r="R30" s="540">
        <f t="shared" si="2"/>
        <v>90</v>
      </c>
      <c r="S30" s="865">
        <v>0.18</v>
      </c>
      <c r="T30" s="540">
        <v>0</v>
      </c>
      <c r="U30" s="865">
        <v>85.055000000000007</v>
      </c>
      <c r="V30" s="540">
        <f>MROUND(U30,1)</f>
        <v>85</v>
      </c>
      <c r="W30" s="865">
        <v>82.22</v>
      </c>
      <c r="X30" s="540">
        <f>MROUND(W30,1)</f>
        <v>82</v>
      </c>
      <c r="Y30" s="865">
        <v>4.5999999999999999E-2</v>
      </c>
      <c r="Z30" s="540">
        <v>0</v>
      </c>
      <c r="AA30" s="749">
        <v>0</v>
      </c>
      <c r="AB30" s="749">
        <v>0</v>
      </c>
      <c r="AC30" s="671">
        <v>21.323</v>
      </c>
      <c r="AD30" s="671">
        <v>1.64</v>
      </c>
      <c r="AE30" s="671">
        <v>4.7E-2</v>
      </c>
      <c r="AF30" s="671">
        <v>0.25900000000000001</v>
      </c>
      <c r="AG30" s="671">
        <v>1.8540000000000001</v>
      </c>
      <c r="AH30" s="671">
        <v>3.9E-2</v>
      </c>
    </row>
    <row r="31" spans="1:42" ht="31.75" hidden="1">
      <c r="A31" s="307" t="s">
        <v>296</v>
      </c>
      <c r="B31" s="186" t="s">
        <v>33</v>
      </c>
      <c r="C31" s="865">
        <v>426.40100000000001</v>
      </c>
      <c r="D31" s="672">
        <f t="shared" si="5"/>
        <v>430</v>
      </c>
      <c r="E31" s="865">
        <v>7.9000000000000001E-2</v>
      </c>
      <c r="F31" s="745">
        <v>0</v>
      </c>
      <c r="G31" s="865">
        <v>8.9999999999999993E-3</v>
      </c>
      <c r="H31" s="745">
        <v>0</v>
      </c>
      <c r="I31" s="865">
        <v>1E-3</v>
      </c>
      <c r="J31" s="745">
        <v>0</v>
      </c>
      <c r="K31" s="865">
        <v>0</v>
      </c>
      <c r="L31" s="745">
        <v>0</v>
      </c>
      <c r="M31" s="865">
        <v>0</v>
      </c>
      <c r="N31" s="745">
        <v>0</v>
      </c>
      <c r="O31" s="865">
        <v>87.143000000000001</v>
      </c>
      <c r="P31" s="540">
        <f t="shared" si="6"/>
        <v>85</v>
      </c>
      <c r="Q31" s="865">
        <v>108.965</v>
      </c>
      <c r="R31" s="540">
        <f t="shared" si="2"/>
        <v>109</v>
      </c>
      <c r="S31" s="865">
        <v>0.19600000000000001</v>
      </c>
      <c r="T31" s="540">
        <v>0</v>
      </c>
      <c r="U31" s="865">
        <v>103.633</v>
      </c>
      <c r="V31" s="540">
        <f>MROUND(U31,1)</f>
        <v>104</v>
      </c>
      <c r="W31" s="865">
        <v>103.559</v>
      </c>
      <c r="X31" s="540">
        <f>MROUND(W31,1)</f>
        <v>104</v>
      </c>
      <c r="Y31" s="865">
        <v>5.1999999999999998E-2</v>
      </c>
      <c r="Z31" s="540">
        <v>0</v>
      </c>
      <c r="AA31" s="670">
        <v>0</v>
      </c>
      <c r="AB31" s="670">
        <v>0</v>
      </c>
      <c r="AC31" s="670">
        <v>13.835000000000001</v>
      </c>
      <c r="AD31" s="670">
        <v>1.0640000000000001</v>
      </c>
      <c r="AE31" s="670">
        <v>5.8999999999999997E-2</v>
      </c>
      <c r="AF31" s="670">
        <v>0.33</v>
      </c>
      <c r="AG31" s="670">
        <v>5.8090000000000002</v>
      </c>
      <c r="AH31" s="670">
        <v>0.124</v>
      </c>
    </row>
    <row r="32" spans="1:42" ht="47.6" hidden="1">
      <c r="A32" s="307" t="s">
        <v>325</v>
      </c>
      <c r="B32" s="186" t="s">
        <v>331</v>
      </c>
      <c r="C32" s="861">
        <v>136.28800000000001</v>
      </c>
      <c r="D32" s="672">
        <f t="shared" si="5"/>
        <v>140</v>
      </c>
      <c r="E32" s="861">
        <v>0</v>
      </c>
      <c r="F32" s="745">
        <v>0</v>
      </c>
      <c r="G32" s="861">
        <v>8.9999999999999993E-3</v>
      </c>
      <c r="H32" s="745">
        <v>0</v>
      </c>
      <c r="I32" s="861">
        <v>6.0000000000000001E-3</v>
      </c>
      <c r="J32" s="745">
        <v>0</v>
      </c>
      <c r="K32" s="861">
        <v>0</v>
      </c>
      <c r="L32" s="672">
        <v>0</v>
      </c>
      <c r="M32" s="861">
        <v>0</v>
      </c>
      <c r="N32" s="745">
        <v>0</v>
      </c>
      <c r="O32" s="861">
        <v>34.712000000000003</v>
      </c>
      <c r="P32" s="540">
        <f t="shared" si="6"/>
        <v>35</v>
      </c>
      <c r="Q32" s="861">
        <v>44.017000000000003</v>
      </c>
      <c r="R32" s="540">
        <f t="shared" si="2"/>
        <v>44</v>
      </c>
      <c r="S32" s="861">
        <v>0.105</v>
      </c>
      <c r="T32" s="540">
        <v>0</v>
      </c>
      <c r="U32" s="861">
        <v>0.23100000000000001</v>
      </c>
      <c r="V32" s="871">
        <v>0</v>
      </c>
      <c r="W32" s="861">
        <v>0</v>
      </c>
      <c r="X32" s="871">
        <v>0</v>
      </c>
      <c r="Y32" s="861">
        <v>0.06</v>
      </c>
      <c r="Z32" s="540">
        <v>0</v>
      </c>
      <c r="AA32" s="759">
        <v>0</v>
      </c>
      <c r="AB32" s="759">
        <v>0</v>
      </c>
      <c r="AC32" s="759">
        <v>18.161000000000001</v>
      </c>
      <c r="AD32" s="759">
        <v>1.397</v>
      </c>
      <c r="AE32" s="759">
        <v>4.7E-2</v>
      </c>
      <c r="AF32" s="759">
        <v>0.25900000000000001</v>
      </c>
      <c r="AG32" s="759">
        <v>19.661000000000001</v>
      </c>
      <c r="AH32" s="759">
        <v>0.41799999999999998</v>
      </c>
      <c r="AJ32" s="683"/>
      <c r="AK32" s="683"/>
      <c r="AL32" s="683"/>
      <c r="AM32" s="683"/>
      <c r="AN32" s="683"/>
      <c r="AO32" s="683"/>
      <c r="AP32" s="683"/>
    </row>
    <row r="33" spans="1:42" ht="31.75" hidden="1">
      <c r="A33" s="307" t="s">
        <v>296</v>
      </c>
      <c r="B33" s="186" t="s">
        <v>50</v>
      </c>
      <c r="C33" s="873">
        <v>440.56099999999998</v>
      </c>
      <c r="D33" s="672">
        <f t="shared" si="5"/>
        <v>440</v>
      </c>
      <c r="E33" s="873">
        <v>0.27300000000000002</v>
      </c>
      <c r="F33" s="745">
        <v>0</v>
      </c>
      <c r="G33" s="873">
        <v>0.03</v>
      </c>
      <c r="H33" s="745">
        <v>0</v>
      </c>
      <c r="I33" s="873">
        <v>8.0000000000000002E-3</v>
      </c>
      <c r="J33" s="745">
        <v>0</v>
      </c>
      <c r="K33" s="873">
        <v>0.03</v>
      </c>
      <c r="L33" s="745">
        <v>0</v>
      </c>
      <c r="M33" s="873">
        <v>0</v>
      </c>
      <c r="N33" s="745">
        <v>0</v>
      </c>
      <c r="O33" s="873">
        <v>66.328999999999994</v>
      </c>
      <c r="P33" s="540">
        <f t="shared" si="6"/>
        <v>65</v>
      </c>
      <c r="Q33" s="873">
        <v>112.033</v>
      </c>
      <c r="R33" s="540">
        <f t="shared" si="2"/>
        <v>112</v>
      </c>
      <c r="S33" s="873">
        <v>0.20399999999999999</v>
      </c>
      <c r="T33" s="540">
        <v>0</v>
      </c>
      <c r="U33" s="873">
        <v>106.90900000000001</v>
      </c>
      <c r="V33" s="540">
        <f t="shared" ref="V33:V64" si="7">MROUND(U33,1)</f>
        <v>107</v>
      </c>
      <c r="W33" s="873">
        <v>105.268</v>
      </c>
      <c r="X33" s="540">
        <f t="shared" ref="X33:X64" si="8">MROUND(W33,1)</f>
        <v>105</v>
      </c>
      <c r="Y33" s="873">
        <v>6.2E-2</v>
      </c>
      <c r="Z33" s="540">
        <v>0</v>
      </c>
      <c r="AA33" s="761">
        <v>0</v>
      </c>
      <c r="AB33" s="761">
        <v>0</v>
      </c>
      <c r="AC33" s="761">
        <v>14.755000000000001</v>
      </c>
      <c r="AD33" s="761">
        <v>1.135</v>
      </c>
      <c r="AE33" s="761">
        <v>0.13700000000000001</v>
      </c>
      <c r="AF33" s="761">
        <v>0.76300000000000001</v>
      </c>
      <c r="AG33" s="761">
        <v>32.109000000000002</v>
      </c>
      <c r="AH33" s="761">
        <v>0.68300000000000005</v>
      </c>
    </row>
    <row r="34" spans="1:42" ht="31.75" hidden="1">
      <c r="A34" s="307" t="s">
        <v>296</v>
      </c>
      <c r="B34" s="186" t="s">
        <v>312</v>
      </c>
      <c r="C34" s="861">
        <v>370.49200000000002</v>
      </c>
      <c r="D34" s="672">
        <f t="shared" si="5"/>
        <v>370</v>
      </c>
      <c r="E34" s="861">
        <v>0.221</v>
      </c>
      <c r="F34" s="745">
        <v>0</v>
      </c>
      <c r="G34" s="861">
        <v>2.5000000000000001E-2</v>
      </c>
      <c r="H34" s="745">
        <v>0</v>
      </c>
      <c r="I34" s="861">
        <v>0</v>
      </c>
      <c r="J34" s="745">
        <v>0</v>
      </c>
      <c r="K34" s="861">
        <v>0</v>
      </c>
      <c r="L34" s="745">
        <v>0</v>
      </c>
      <c r="M34" s="861">
        <v>0</v>
      </c>
      <c r="N34" s="745">
        <v>0</v>
      </c>
      <c r="O34" s="861">
        <v>58.084000000000003</v>
      </c>
      <c r="P34" s="540">
        <f t="shared" si="6"/>
        <v>60</v>
      </c>
      <c r="Q34" s="861">
        <v>94.623999999999995</v>
      </c>
      <c r="R34" s="540">
        <f t="shared" si="2"/>
        <v>95</v>
      </c>
      <c r="S34" s="861">
        <v>4.8000000000000001E-2</v>
      </c>
      <c r="T34" s="540">
        <v>0</v>
      </c>
      <c r="U34" s="861">
        <v>90.828999999999994</v>
      </c>
      <c r="V34" s="540">
        <f t="shared" si="7"/>
        <v>91</v>
      </c>
      <c r="W34" s="861">
        <v>90.575000000000003</v>
      </c>
      <c r="X34" s="540">
        <f t="shared" si="8"/>
        <v>91</v>
      </c>
      <c r="Y34" s="861">
        <v>6.4000000000000001E-2</v>
      </c>
      <c r="Z34" s="540">
        <v>0</v>
      </c>
      <c r="AA34" s="1131">
        <v>0</v>
      </c>
      <c r="AB34" s="1131">
        <v>0</v>
      </c>
      <c r="AC34" s="1131">
        <v>15.4</v>
      </c>
      <c r="AD34" s="1131">
        <v>1.1850000000000001</v>
      </c>
      <c r="AE34" s="1131">
        <v>6.8000000000000005E-2</v>
      </c>
      <c r="AF34" s="1131">
        <v>0.376</v>
      </c>
      <c r="AG34" s="1131">
        <v>18.318999999999999</v>
      </c>
      <c r="AH34" s="1131">
        <v>0.39</v>
      </c>
      <c r="AI34" s="683"/>
      <c r="AJ34" s="683"/>
      <c r="AK34" s="683"/>
      <c r="AL34" s="683"/>
      <c r="AM34" s="683"/>
      <c r="AN34" s="683"/>
      <c r="AO34" s="683"/>
      <c r="AP34" s="683"/>
    </row>
    <row r="35" spans="1:42" ht="31.75" hidden="1">
      <c r="A35" s="307" t="s">
        <v>296</v>
      </c>
      <c r="B35" s="186" t="s">
        <v>53</v>
      </c>
      <c r="C35" s="873">
        <v>442.80200000000002</v>
      </c>
      <c r="D35" s="672">
        <f t="shared" si="5"/>
        <v>440</v>
      </c>
      <c r="E35" s="873">
        <v>1.2999999999999999E-2</v>
      </c>
      <c r="F35" s="745">
        <v>0</v>
      </c>
      <c r="G35" s="873">
        <v>1.2999999999999999E-2</v>
      </c>
      <c r="H35" s="745">
        <v>0</v>
      </c>
      <c r="I35" s="873">
        <v>3.0000000000000001E-3</v>
      </c>
      <c r="J35" s="745">
        <v>0</v>
      </c>
      <c r="K35" s="873">
        <v>1.2999999999999999E-2</v>
      </c>
      <c r="L35" s="745">
        <v>0</v>
      </c>
      <c r="M35" s="873">
        <v>0</v>
      </c>
      <c r="N35" s="745">
        <v>0</v>
      </c>
      <c r="O35" s="873">
        <v>63.435000000000002</v>
      </c>
      <c r="P35" s="540">
        <f t="shared" si="6"/>
        <v>65</v>
      </c>
      <c r="Q35" s="873">
        <v>111.68300000000001</v>
      </c>
      <c r="R35" s="540">
        <f t="shared" si="2"/>
        <v>112</v>
      </c>
      <c r="S35" s="873">
        <v>0.14299999999999999</v>
      </c>
      <c r="T35" s="540">
        <v>0</v>
      </c>
      <c r="U35" s="873">
        <v>107.56100000000001</v>
      </c>
      <c r="V35" s="540">
        <f t="shared" si="7"/>
        <v>108</v>
      </c>
      <c r="W35" s="873">
        <v>105.929</v>
      </c>
      <c r="X35" s="540">
        <f t="shared" si="8"/>
        <v>106</v>
      </c>
      <c r="Y35" s="873">
        <v>6.5000000000000002E-2</v>
      </c>
      <c r="Z35" s="540">
        <v>0</v>
      </c>
      <c r="AA35" s="761">
        <v>0</v>
      </c>
      <c r="AB35" s="761">
        <v>0</v>
      </c>
      <c r="AC35" s="761">
        <v>14.451000000000001</v>
      </c>
      <c r="AD35" s="761">
        <v>1.1120000000000001</v>
      </c>
      <c r="AE35" s="761">
        <v>0.34100000000000003</v>
      </c>
      <c r="AF35" s="761">
        <v>1.8959999999999999</v>
      </c>
      <c r="AG35" s="761">
        <v>26.285</v>
      </c>
      <c r="AH35" s="761">
        <v>0.55900000000000005</v>
      </c>
    </row>
    <row r="36" spans="1:42" s="683" customFormat="1" ht="31.75" hidden="1">
      <c r="A36" s="307" t="s">
        <v>296</v>
      </c>
      <c r="B36" s="186" t="s">
        <v>58</v>
      </c>
      <c r="C36" s="861">
        <v>432.65300000000002</v>
      </c>
      <c r="D36" s="672">
        <f t="shared" si="5"/>
        <v>430</v>
      </c>
      <c r="E36" s="861">
        <v>9.6110000000000007</v>
      </c>
      <c r="F36" s="540">
        <f>MROUND(E36,5)</f>
        <v>10</v>
      </c>
      <c r="G36" s="861">
        <v>1.0680000000000001</v>
      </c>
      <c r="H36" s="884">
        <f>MROUND(G36,0.5)</f>
        <v>1</v>
      </c>
      <c r="I36" s="861">
        <v>0</v>
      </c>
      <c r="J36" s="745">
        <v>0</v>
      </c>
      <c r="K36" s="861">
        <v>0</v>
      </c>
      <c r="L36" s="745">
        <v>0</v>
      </c>
      <c r="M36" s="861">
        <v>0</v>
      </c>
      <c r="N36" s="745">
        <v>0</v>
      </c>
      <c r="O36" s="861">
        <v>63.774000000000001</v>
      </c>
      <c r="P36" s="540">
        <f t="shared" si="6"/>
        <v>65</v>
      </c>
      <c r="Q36" s="861">
        <v>109.68600000000001</v>
      </c>
      <c r="R36" s="540">
        <f t="shared" ref="R36:R67" si="9">MROUND(Q36,1)</f>
        <v>110</v>
      </c>
      <c r="S36" s="861">
        <v>0.20499999999999999</v>
      </c>
      <c r="T36" s="540">
        <v>0</v>
      </c>
      <c r="U36" s="861">
        <v>105.224</v>
      </c>
      <c r="V36" s="540">
        <f t="shared" si="7"/>
        <v>105</v>
      </c>
      <c r="W36" s="861">
        <v>104.33499999999999</v>
      </c>
      <c r="X36" s="540">
        <f t="shared" si="8"/>
        <v>104</v>
      </c>
      <c r="Y36" s="861">
        <v>6.8000000000000005E-2</v>
      </c>
      <c r="Z36" s="540">
        <v>0</v>
      </c>
      <c r="AA36" s="761">
        <v>0</v>
      </c>
      <c r="AB36" s="761">
        <v>0</v>
      </c>
      <c r="AC36" s="761">
        <v>17.018999999999998</v>
      </c>
      <c r="AD36" s="761">
        <v>1.3089999999999999</v>
      </c>
      <c r="AE36" s="761">
        <v>9.5000000000000001E-2</v>
      </c>
      <c r="AF36" s="761">
        <v>0.52900000000000003</v>
      </c>
      <c r="AG36" s="761">
        <v>1.79</v>
      </c>
      <c r="AH36" s="761">
        <v>3.7999999999999999E-2</v>
      </c>
      <c r="AI36" s="179"/>
      <c r="AJ36" s="179"/>
      <c r="AK36" s="179"/>
      <c r="AL36" s="179"/>
      <c r="AM36" s="179"/>
      <c r="AN36" s="179"/>
      <c r="AO36" s="179"/>
      <c r="AP36" s="179"/>
    </row>
    <row r="37" spans="1:42" ht="17.5" hidden="1" customHeight="1">
      <c r="A37" s="307" t="s">
        <v>296</v>
      </c>
      <c r="B37" s="186" t="s">
        <v>59</v>
      </c>
      <c r="C37" s="861">
        <v>397.553</v>
      </c>
      <c r="D37" s="672">
        <f t="shared" si="5"/>
        <v>400</v>
      </c>
      <c r="E37" s="861">
        <v>0</v>
      </c>
      <c r="F37" s="745">
        <v>0</v>
      </c>
      <c r="G37" s="861">
        <v>0</v>
      </c>
      <c r="H37" s="745">
        <v>0</v>
      </c>
      <c r="I37" s="861">
        <v>0</v>
      </c>
      <c r="J37" s="745">
        <v>0</v>
      </c>
      <c r="K37" s="861">
        <v>0</v>
      </c>
      <c r="L37" s="745">
        <v>0</v>
      </c>
      <c r="M37" s="861">
        <v>0</v>
      </c>
      <c r="N37" s="745">
        <v>0</v>
      </c>
      <c r="O37" s="861">
        <v>62.26</v>
      </c>
      <c r="P37" s="540">
        <f t="shared" si="6"/>
        <v>60</v>
      </c>
      <c r="Q37" s="861">
        <v>99.241</v>
      </c>
      <c r="R37" s="540">
        <f t="shared" si="9"/>
        <v>99</v>
      </c>
      <c r="S37" s="861">
        <v>9.7000000000000003E-2</v>
      </c>
      <c r="T37" s="540">
        <v>0</v>
      </c>
      <c r="U37" s="861">
        <v>95.85</v>
      </c>
      <c r="V37" s="540">
        <f t="shared" si="7"/>
        <v>96</v>
      </c>
      <c r="W37" s="861">
        <v>94.200999999999993</v>
      </c>
      <c r="X37" s="540">
        <f t="shared" si="8"/>
        <v>94</v>
      </c>
      <c r="Y37" s="861">
        <v>6.9000000000000006E-2</v>
      </c>
      <c r="Z37" s="540">
        <v>0</v>
      </c>
      <c r="AA37" s="761">
        <v>0</v>
      </c>
      <c r="AB37" s="761">
        <v>0</v>
      </c>
      <c r="AC37" s="761">
        <v>14.478999999999999</v>
      </c>
      <c r="AD37" s="761">
        <v>1.1140000000000001</v>
      </c>
      <c r="AE37" s="761">
        <v>0.497</v>
      </c>
      <c r="AF37" s="761">
        <v>2.758</v>
      </c>
      <c r="AG37" s="761">
        <v>21.925000000000001</v>
      </c>
      <c r="AH37" s="761">
        <v>0.46600000000000003</v>
      </c>
    </row>
    <row r="38" spans="1:42" ht="31.75" hidden="1">
      <c r="A38" s="307" t="s">
        <v>296</v>
      </c>
      <c r="B38" s="186" t="s">
        <v>301</v>
      </c>
      <c r="C38" s="874">
        <v>388.75099999999998</v>
      </c>
      <c r="D38" s="672">
        <f t="shared" si="5"/>
        <v>390</v>
      </c>
      <c r="E38" s="874">
        <v>0.16800000000000001</v>
      </c>
      <c r="F38" s="745">
        <v>0</v>
      </c>
      <c r="G38" s="874">
        <v>1.9E-2</v>
      </c>
      <c r="H38" s="745">
        <v>0</v>
      </c>
      <c r="I38" s="874">
        <v>5.0000000000000001E-3</v>
      </c>
      <c r="J38" s="745">
        <v>0</v>
      </c>
      <c r="K38" s="874">
        <v>0</v>
      </c>
      <c r="L38" s="745">
        <v>0</v>
      </c>
      <c r="M38" s="874">
        <v>0</v>
      </c>
      <c r="N38" s="745">
        <v>0</v>
      </c>
      <c r="O38" s="874">
        <v>64.072999999999993</v>
      </c>
      <c r="P38" s="540">
        <f t="shared" si="6"/>
        <v>65</v>
      </c>
      <c r="Q38" s="874">
        <v>98.747</v>
      </c>
      <c r="R38" s="540">
        <f t="shared" si="9"/>
        <v>99</v>
      </c>
      <c r="S38" s="874">
        <v>8.7999999999999995E-2</v>
      </c>
      <c r="T38" s="540">
        <v>0</v>
      </c>
      <c r="U38" s="874">
        <v>94.323999999999998</v>
      </c>
      <c r="V38" s="540">
        <f t="shared" si="7"/>
        <v>94</v>
      </c>
      <c r="W38" s="874">
        <v>93.552000000000007</v>
      </c>
      <c r="X38" s="540">
        <f t="shared" si="8"/>
        <v>94</v>
      </c>
      <c r="Y38" s="874">
        <v>9.4E-2</v>
      </c>
      <c r="Z38" s="540">
        <v>0</v>
      </c>
      <c r="AA38" s="670">
        <v>0</v>
      </c>
      <c r="AB38" s="670">
        <v>0</v>
      </c>
      <c r="AC38" s="670">
        <v>13.526</v>
      </c>
      <c r="AD38" s="670">
        <v>1.04</v>
      </c>
      <c r="AE38" s="670">
        <v>5.3999999999999999E-2</v>
      </c>
      <c r="AF38" s="670">
        <v>0.29799999999999999</v>
      </c>
      <c r="AG38" s="670">
        <v>27.994</v>
      </c>
      <c r="AH38" s="670">
        <v>0.59599999999999997</v>
      </c>
    </row>
    <row r="39" spans="1:42" ht="31.75" hidden="1">
      <c r="A39" s="307" t="s">
        <v>296</v>
      </c>
      <c r="B39" s="186" t="s">
        <v>76</v>
      </c>
      <c r="C39" s="866">
        <v>448.32900000000001</v>
      </c>
      <c r="D39" s="672">
        <f t="shared" si="5"/>
        <v>450</v>
      </c>
      <c r="E39" s="866">
        <v>0.13300000000000001</v>
      </c>
      <c r="F39" s="745">
        <v>0</v>
      </c>
      <c r="G39" s="866">
        <v>1.4999999999999999E-2</v>
      </c>
      <c r="H39" s="745">
        <v>0</v>
      </c>
      <c r="I39" s="866">
        <v>2E-3</v>
      </c>
      <c r="J39" s="745">
        <v>0</v>
      </c>
      <c r="K39" s="866">
        <v>0</v>
      </c>
      <c r="L39" s="745">
        <v>0</v>
      </c>
      <c r="M39" s="866">
        <v>0</v>
      </c>
      <c r="N39" s="745">
        <v>0</v>
      </c>
      <c r="O39" s="866">
        <v>62.404000000000003</v>
      </c>
      <c r="P39" s="540">
        <f t="shared" si="6"/>
        <v>60</v>
      </c>
      <c r="Q39" s="866">
        <v>113.896</v>
      </c>
      <c r="R39" s="540">
        <f t="shared" si="9"/>
        <v>114</v>
      </c>
      <c r="S39" s="866">
        <v>7.9000000000000001E-2</v>
      </c>
      <c r="T39" s="540">
        <v>0</v>
      </c>
      <c r="U39" s="866">
        <v>110.123</v>
      </c>
      <c r="V39" s="540">
        <f t="shared" si="7"/>
        <v>110</v>
      </c>
      <c r="W39" s="866">
        <v>109.51</v>
      </c>
      <c r="X39" s="540">
        <f t="shared" si="8"/>
        <v>110</v>
      </c>
      <c r="Y39" s="866">
        <v>9.4E-2</v>
      </c>
      <c r="Z39" s="540">
        <v>0</v>
      </c>
      <c r="AA39" s="561">
        <v>0</v>
      </c>
      <c r="AB39" s="561">
        <v>0</v>
      </c>
      <c r="AC39" s="758">
        <v>13.698</v>
      </c>
      <c r="AD39" s="758">
        <v>1.054</v>
      </c>
      <c r="AE39" s="758">
        <v>0.11799999999999999</v>
      </c>
      <c r="AF39" s="758">
        <v>0.65300000000000002</v>
      </c>
      <c r="AG39" s="758">
        <v>12.634</v>
      </c>
      <c r="AH39" s="758">
        <v>0.26900000000000002</v>
      </c>
      <c r="AI39" s="541"/>
      <c r="AJ39" s="541"/>
      <c r="AK39" s="541"/>
      <c r="AL39" s="541"/>
      <c r="AM39" s="541"/>
      <c r="AN39" s="541"/>
      <c r="AO39" s="541"/>
      <c r="AP39" s="541"/>
    </row>
    <row r="40" spans="1:42" ht="14.25" hidden="1" customHeight="1">
      <c r="A40" s="307" t="s">
        <v>296</v>
      </c>
      <c r="B40" s="186" t="s">
        <v>46</v>
      </c>
      <c r="C40" s="873">
        <v>391.75400000000002</v>
      </c>
      <c r="D40" s="672">
        <f t="shared" si="5"/>
        <v>390</v>
      </c>
      <c r="E40" s="873">
        <v>0</v>
      </c>
      <c r="F40" s="745">
        <v>0</v>
      </c>
      <c r="G40" s="873">
        <v>3.2000000000000001E-2</v>
      </c>
      <c r="H40" s="745">
        <v>0</v>
      </c>
      <c r="I40" s="873">
        <v>0</v>
      </c>
      <c r="J40" s="745">
        <v>0</v>
      </c>
      <c r="K40" s="873">
        <v>0</v>
      </c>
      <c r="L40" s="745">
        <v>0</v>
      </c>
      <c r="M40" s="873">
        <v>0</v>
      </c>
      <c r="N40" s="745">
        <v>0</v>
      </c>
      <c r="O40" s="873">
        <v>97.941999999999993</v>
      </c>
      <c r="P40" s="540">
        <f t="shared" si="6"/>
        <v>100</v>
      </c>
      <c r="Q40" s="873">
        <v>99.427999999999997</v>
      </c>
      <c r="R40" s="540">
        <f t="shared" si="9"/>
        <v>99</v>
      </c>
      <c r="S40" s="873">
        <v>0.09</v>
      </c>
      <c r="T40" s="540">
        <v>0</v>
      </c>
      <c r="U40" s="873">
        <v>93.480999999999995</v>
      </c>
      <c r="V40" s="540">
        <f t="shared" si="7"/>
        <v>93</v>
      </c>
      <c r="W40" s="873">
        <v>93.215999999999994</v>
      </c>
      <c r="X40" s="540">
        <f t="shared" si="8"/>
        <v>93</v>
      </c>
      <c r="Y40" s="873">
        <v>0.105</v>
      </c>
      <c r="Z40" s="540">
        <v>0</v>
      </c>
      <c r="AA40" s="761">
        <v>0</v>
      </c>
      <c r="AB40" s="761">
        <v>0</v>
      </c>
      <c r="AC40" s="761">
        <v>12.587999999999999</v>
      </c>
      <c r="AD40" s="761">
        <v>0.96799999999999997</v>
      </c>
      <c r="AE40" s="761">
        <v>3.6999999999999998E-2</v>
      </c>
      <c r="AF40" s="761">
        <v>0.20599999999999999</v>
      </c>
      <c r="AG40" s="761">
        <v>16.538</v>
      </c>
      <c r="AH40" s="761">
        <v>0.35199999999999998</v>
      </c>
    </row>
    <row r="41" spans="1:42" ht="14.25" hidden="1" customHeight="1">
      <c r="A41" s="307" t="s">
        <v>296</v>
      </c>
      <c r="B41" s="186" t="s">
        <v>73</v>
      </c>
      <c r="C41" s="866">
        <v>383.88099999999997</v>
      </c>
      <c r="D41" s="672">
        <f t="shared" si="5"/>
        <v>380</v>
      </c>
      <c r="E41" s="866">
        <v>23.369</v>
      </c>
      <c r="F41" s="540">
        <f>MROUND(E41,5)</f>
        <v>25</v>
      </c>
      <c r="G41" s="866">
        <v>2.597</v>
      </c>
      <c r="H41" s="884">
        <f>MROUND(G41,0.5)</f>
        <v>2.5</v>
      </c>
      <c r="I41" s="866">
        <v>2.3290000000000002</v>
      </c>
      <c r="J41" s="745">
        <f>MROUND(I41,0.5)</f>
        <v>2.5</v>
      </c>
      <c r="K41" s="866">
        <v>0</v>
      </c>
      <c r="L41" s="745">
        <v>0</v>
      </c>
      <c r="M41" s="866">
        <v>0</v>
      </c>
      <c r="N41" s="745">
        <v>0</v>
      </c>
      <c r="O41" s="866">
        <v>62.351999999999997</v>
      </c>
      <c r="P41" s="540">
        <f t="shared" si="6"/>
        <v>60</v>
      </c>
      <c r="Q41" s="866">
        <v>90.411000000000001</v>
      </c>
      <c r="R41" s="540">
        <f t="shared" si="9"/>
        <v>90</v>
      </c>
      <c r="S41" s="866">
        <v>0.59</v>
      </c>
      <c r="T41" s="886" t="s">
        <v>303</v>
      </c>
      <c r="U41" s="866">
        <v>87.001999999999995</v>
      </c>
      <c r="V41" s="540">
        <f t="shared" si="7"/>
        <v>87</v>
      </c>
      <c r="W41" s="866">
        <v>75.86</v>
      </c>
      <c r="X41" s="540">
        <f t="shared" si="8"/>
        <v>76</v>
      </c>
      <c r="Y41" s="866">
        <v>0.13800000000000001</v>
      </c>
      <c r="Z41" s="540">
        <v>0</v>
      </c>
      <c r="AA41" s="758">
        <v>0</v>
      </c>
      <c r="AB41" s="758">
        <v>0</v>
      </c>
      <c r="AC41" s="758">
        <v>13.24</v>
      </c>
      <c r="AD41" s="758">
        <v>1.018</v>
      </c>
      <c r="AE41" s="758">
        <v>6.9000000000000006E-2</v>
      </c>
      <c r="AF41" s="758">
        <v>0.38100000000000001</v>
      </c>
      <c r="AG41" s="758">
        <v>8.2910000000000004</v>
      </c>
      <c r="AH41" s="758">
        <v>0.17599999999999999</v>
      </c>
      <c r="AI41" s="688"/>
      <c r="AJ41" s="688"/>
      <c r="AK41" s="688"/>
      <c r="AL41" s="688"/>
      <c r="AM41" s="688"/>
      <c r="AN41" s="688"/>
      <c r="AO41" s="688"/>
      <c r="AP41" s="688"/>
    </row>
    <row r="42" spans="1:42" s="683" customFormat="1" ht="31.75" hidden="1">
      <c r="A42" s="307" t="s">
        <v>296</v>
      </c>
      <c r="B42" s="186" t="s">
        <v>67</v>
      </c>
      <c r="C42" s="861">
        <v>455.45</v>
      </c>
      <c r="D42" s="672">
        <f t="shared" si="5"/>
        <v>460</v>
      </c>
      <c r="E42" s="861">
        <v>0.03</v>
      </c>
      <c r="F42" s="745">
        <v>0</v>
      </c>
      <c r="G42" s="861">
        <v>3.0000000000000001E-3</v>
      </c>
      <c r="H42" s="745">
        <v>0</v>
      </c>
      <c r="I42" s="861">
        <v>0</v>
      </c>
      <c r="J42" s="745">
        <v>0</v>
      </c>
      <c r="K42" s="861">
        <v>0</v>
      </c>
      <c r="L42" s="745">
        <v>0</v>
      </c>
      <c r="M42" s="861">
        <v>0</v>
      </c>
      <c r="N42" s="745">
        <v>0</v>
      </c>
      <c r="O42" s="861">
        <v>64.430999999999997</v>
      </c>
      <c r="P42" s="540">
        <f t="shared" si="6"/>
        <v>65</v>
      </c>
      <c r="Q42" s="861">
        <v>115.176</v>
      </c>
      <c r="R42" s="540">
        <f t="shared" si="9"/>
        <v>115</v>
      </c>
      <c r="S42" s="861">
        <v>0.124</v>
      </c>
      <c r="T42" s="540">
        <v>0</v>
      </c>
      <c r="U42" s="861">
        <v>111.68600000000001</v>
      </c>
      <c r="V42" s="540">
        <f t="shared" si="7"/>
        <v>112</v>
      </c>
      <c r="W42" s="861">
        <v>111.06</v>
      </c>
      <c r="X42" s="540">
        <f t="shared" si="8"/>
        <v>111</v>
      </c>
      <c r="Y42" s="861">
        <v>0.13800000000000001</v>
      </c>
      <c r="Z42" s="540">
        <v>0</v>
      </c>
      <c r="AA42" s="761">
        <v>0</v>
      </c>
      <c r="AB42" s="761">
        <v>0</v>
      </c>
      <c r="AC42" s="761">
        <v>14.478999999999999</v>
      </c>
      <c r="AD42" s="761">
        <v>1.1140000000000001</v>
      </c>
      <c r="AE42" s="761">
        <v>0.114</v>
      </c>
      <c r="AF42" s="761">
        <v>0.63100000000000001</v>
      </c>
      <c r="AG42" s="761">
        <v>4.2519999999999998</v>
      </c>
      <c r="AH42" s="761">
        <v>0.09</v>
      </c>
      <c r="AI42" s="179"/>
      <c r="AJ42" s="179"/>
      <c r="AK42" s="179"/>
      <c r="AL42" s="179"/>
      <c r="AM42" s="179"/>
      <c r="AN42" s="179"/>
      <c r="AO42" s="179"/>
      <c r="AP42" s="179"/>
    </row>
    <row r="43" spans="1:42" s="683" customFormat="1" ht="31.75" hidden="1">
      <c r="A43" s="307" t="s">
        <v>296</v>
      </c>
      <c r="B43" s="186" t="s">
        <v>55</v>
      </c>
      <c r="C43" s="861">
        <v>575.19899999999996</v>
      </c>
      <c r="D43" s="672">
        <f t="shared" si="5"/>
        <v>580</v>
      </c>
      <c r="E43" s="861">
        <v>0.39200000000000002</v>
      </c>
      <c r="F43" s="745">
        <v>0</v>
      </c>
      <c r="G43" s="861">
        <v>4.3999999999999997E-2</v>
      </c>
      <c r="H43" s="745">
        <v>0</v>
      </c>
      <c r="I43" s="861">
        <v>3.0000000000000001E-3</v>
      </c>
      <c r="J43" s="745">
        <v>0</v>
      </c>
      <c r="K43" s="861">
        <v>0</v>
      </c>
      <c r="L43" s="745">
        <v>0</v>
      </c>
      <c r="M43" s="861">
        <v>0</v>
      </c>
      <c r="N43" s="745">
        <v>0</v>
      </c>
      <c r="O43" s="861">
        <v>44.375999999999998</v>
      </c>
      <c r="P43" s="540">
        <f>MROUND(O43,10)</f>
        <v>40</v>
      </c>
      <c r="Q43" s="861">
        <v>137.744</v>
      </c>
      <c r="R43" s="540">
        <f t="shared" si="9"/>
        <v>138</v>
      </c>
      <c r="S43" s="861">
        <v>0.38600000000000001</v>
      </c>
      <c r="T43" s="540">
        <v>0</v>
      </c>
      <c r="U43" s="861">
        <v>64.528000000000006</v>
      </c>
      <c r="V43" s="540">
        <f t="shared" si="7"/>
        <v>65</v>
      </c>
      <c r="W43" s="861">
        <v>63.887</v>
      </c>
      <c r="X43" s="540">
        <f t="shared" si="8"/>
        <v>64</v>
      </c>
      <c r="Y43" s="861">
        <v>0.14799999999999999</v>
      </c>
      <c r="Z43" s="540">
        <v>0</v>
      </c>
      <c r="AA43" s="761">
        <v>0</v>
      </c>
      <c r="AB43" s="761">
        <v>0</v>
      </c>
      <c r="AC43" s="761">
        <v>16.048999999999999</v>
      </c>
      <c r="AD43" s="761">
        <v>1.2350000000000001</v>
      </c>
      <c r="AE43" s="761">
        <v>7.1999999999999995E-2</v>
      </c>
      <c r="AF43" s="761">
        <v>0.39800000000000002</v>
      </c>
      <c r="AG43" s="761">
        <v>27.866</v>
      </c>
      <c r="AH43" s="761">
        <v>0.59299999999999997</v>
      </c>
      <c r="AI43" s="179"/>
      <c r="AJ43" s="179"/>
      <c r="AK43" s="179"/>
      <c r="AL43" s="179"/>
      <c r="AM43" s="179"/>
      <c r="AN43" s="179"/>
      <c r="AO43" s="179"/>
      <c r="AP43" s="179"/>
    </row>
    <row r="44" spans="1:42" s="683" customFormat="1" ht="31.75" hidden="1">
      <c r="A44" s="307" t="s">
        <v>296</v>
      </c>
      <c r="B44" s="186" t="s">
        <v>52</v>
      </c>
      <c r="C44" s="873">
        <v>401.96800000000002</v>
      </c>
      <c r="D44" s="672">
        <f t="shared" si="5"/>
        <v>400</v>
      </c>
      <c r="E44" s="873">
        <v>0.127</v>
      </c>
      <c r="F44" s="745">
        <v>0</v>
      </c>
      <c r="G44" s="873">
        <v>1.4E-2</v>
      </c>
      <c r="H44" s="745">
        <v>0</v>
      </c>
      <c r="I44" s="873">
        <v>4.0000000000000001E-3</v>
      </c>
      <c r="J44" s="745">
        <v>0</v>
      </c>
      <c r="K44" s="873">
        <v>1.4E-2</v>
      </c>
      <c r="L44" s="745">
        <v>0</v>
      </c>
      <c r="M44" s="873">
        <v>0</v>
      </c>
      <c r="N44" s="745">
        <v>0</v>
      </c>
      <c r="O44" s="873">
        <v>56.762999999999998</v>
      </c>
      <c r="P44" s="540">
        <f t="shared" ref="P44:P77" si="10">MROUND(O44,5)</f>
        <v>55</v>
      </c>
      <c r="Q44" s="873">
        <v>101.596</v>
      </c>
      <c r="R44" s="540">
        <f t="shared" si="9"/>
        <v>102</v>
      </c>
      <c r="S44" s="873">
        <v>0.312</v>
      </c>
      <c r="T44" s="540">
        <v>0</v>
      </c>
      <c r="U44" s="873">
        <v>97.5</v>
      </c>
      <c r="V44" s="540">
        <f t="shared" si="7"/>
        <v>98</v>
      </c>
      <c r="W44" s="873">
        <v>95.53</v>
      </c>
      <c r="X44" s="540">
        <f t="shared" si="8"/>
        <v>96</v>
      </c>
      <c r="Y44" s="873">
        <v>0.16300000000000001</v>
      </c>
      <c r="Z44" s="540">
        <v>0</v>
      </c>
      <c r="AA44" s="750">
        <v>0</v>
      </c>
      <c r="AB44" s="750">
        <v>0</v>
      </c>
      <c r="AC44" s="751">
        <v>14.375999999999999</v>
      </c>
      <c r="AD44" s="751">
        <v>1.1060000000000001</v>
      </c>
      <c r="AE44" s="751">
        <v>0.108</v>
      </c>
      <c r="AF44" s="751">
        <v>0.60099999999999998</v>
      </c>
      <c r="AG44" s="751">
        <v>15.728999999999999</v>
      </c>
      <c r="AH44" s="751">
        <v>0.33500000000000002</v>
      </c>
      <c r="AI44" s="179"/>
      <c r="AJ44" s="179"/>
      <c r="AK44" s="179"/>
      <c r="AL44" s="179"/>
      <c r="AM44" s="179"/>
      <c r="AN44" s="179"/>
      <c r="AO44" s="179"/>
      <c r="AP44" s="179"/>
    </row>
    <row r="45" spans="1:42" ht="31.75" hidden="1">
      <c r="A45" s="307" t="s">
        <v>296</v>
      </c>
      <c r="B45" s="186" t="s">
        <v>32</v>
      </c>
      <c r="C45" s="865">
        <v>379.84100000000001</v>
      </c>
      <c r="D45" s="672">
        <f t="shared" si="5"/>
        <v>380</v>
      </c>
      <c r="E45" s="865">
        <v>0.54100000000000004</v>
      </c>
      <c r="F45" s="745">
        <v>0</v>
      </c>
      <c r="G45" s="865">
        <v>0.06</v>
      </c>
      <c r="H45" s="745">
        <v>0</v>
      </c>
      <c r="I45" s="865">
        <v>0</v>
      </c>
      <c r="J45" s="745">
        <v>0</v>
      </c>
      <c r="K45" s="865">
        <v>0</v>
      </c>
      <c r="L45" s="745">
        <v>0</v>
      </c>
      <c r="M45" s="865">
        <v>0</v>
      </c>
      <c r="N45" s="745">
        <v>0</v>
      </c>
      <c r="O45" s="865">
        <v>51.231000000000002</v>
      </c>
      <c r="P45" s="540">
        <f t="shared" si="10"/>
        <v>50</v>
      </c>
      <c r="Q45" s="865">
        <v>98.587000000000003</v>
      </c>
      <c r="R45" s="540">
        <f t="shared" si="9"/>
        <v>99</v>
      </c>
      <c r="S45" s="865">
        <v>9.2999999999999999E-2</v>
      </c>
      <c r="T45" s="540">
        <v>0</v>
      </c>
      <c r="U45" s="865">
        <v>91.728999999999999</v>
      </c>
      <c r="V45" s="540">
        <f t="shared" si="7"/>
        <v>92</v>
      </c>
      <c r="W45" s="865">
        <v>91.105999999999995</v>
      </c>
      <c r="X45" s="540">
        <f t="shared" si="8"/>
        <v>91</v>
      </c>
      <c r="Y45" s="865">
        <v>0.16600000000000001</v>
      </c>
      <c r="Z45" s="540">
        <v>0</v>
      </c>
      <c r="AA45" s="670">
        <v>0</v>
      </c>
      <c r="AB45" s="670">
        <v>0</v>
      </c>
      <c r="AC45" s="670">
        <v>15.863</v>
      </c>
      <c r="AD45" s="670">
        <v>1.22</v>
      </c>
      <c r="AE45" s="670">
        <v>4.2999999999999997E-2</v>
      </c>
      <c r="AF45" s="670">
        <v>0.24</v>
      </c>
      <c r="AG45" s="670">
        <v>43.174999999999997</v>
      </c>
      <c r="AH45" s="670">
        <v>0.91900000000000004</v>
      </c>
      <c r="AI45" s="538"/>
      <c r="AJ45" s="538"/>
      <c r="AK45" s="538"/>
      <c r="AL45" s="538"/>
      <c r="AM45" s="538"/>
      <c r="AN45" s="538"/>
      <c r="AO45" s="538"/>
      <c r="AP45" s="538"/>
    </row>
    <row r="46" spans="1:42" ht="31.75" hidden="1">
      <c r="A46" s="307" t="s">
        <v>296</v>
      </c>
      <c r="B46" s="186" t="s">
        <v>54</v>
      </c>
      <c r="C46" s="873">
        <v>446.81</v>
      </c>
      <c r="D46" s="672">
        <f t="shared" si="5"/>
        <v>450</v>
      </c>
      <c r="E46" s="873">
        <v>0.20799999999999999</v>
      </c>
      <c r="F46" s="745">
        <v>0</v>
      </c>
      <c r="G46" s="873">
        <v>2.3E-2</v>
      </c>
      <c r="H46" s="745">
        <v>0</v>
      </c>
      <c r="I46" s="873">
        <v>4.0000000000000001E-3</v>
      </c>
      <c r="J46" s="745">
        <v>0</v>
      </c>
      <c r="K46" s="873">
        <v>1.4999999999999999E-2</v>
      </c>
      <c r="L46" s="745">
        <v>0</v>
      </c>
      <c r="M46" s="873">
        <v>0</v>
      </c>
      <c r="N46" s="745">
        <v>0</v>
      </c>
      <c r="O46" s="873">
        <v>65.866</v>
      </c>
      <c r="P46" s="540">
        <f t="shared" si="10"/>
        <v>65</v>
      </c>
      <c r="Q46" s="873">
        <v>113.146</v>
      </c>
      <c r="R46" s="540">
        <f t="shared" si="9"/>
        <v>113</v>
      </c>
      <c r="S46" s="873">
        <v>0.25600000000000001</v>
      </c>
      <c r="T46" s="540">
        <v>0</v>
      </c>
      <c r="U46" s="873">
        <v>108.908</v>
      </c>
      <c r="V46" s="540">
        <f t="shared" si="7"/>
        <v>109</v>
      </c>
      <c r="W46" s="873">
        <v>107.34</v>
      </c>
      <c r="X46" s="540">
        <f t="shared" si="8"/>
        <v>107</v>
      </c>
      <c r="Y46" s="873">
        <v>0.16700000000000001</v>
      </c>
      <c r="Z46" s="540">
        <v>0</v>
      </c>
      <c r="AA46" s="761">
        <v>0</v>
      </c>
      <c r="AB46" s="761">
        <v>0</v>
      </c>
      <c r="AC46" s="761">
        <v>14.805</v>
      </c>
      <c r="AD46" s="761">
        <v>1.139</v>
      </c>
      <c r="AE46" s="761">
        <v>0.16400000000000001</v>
      </c>
      <c r="AF46" s="761">
        <v>0.91100000000000003</v>
      </c>
      <c r="AG46" s="761">
        <v>0</v>
      </c>
      <c r="AH46" s="761">
        <v>0</v>
      </c>
    </row>
    <row r="47" spans="1:42" ht="31.75" hidden="1">
      <c r="A47" s="307" t="s">
        <v>296</v>
      </c>
      <c r="B47" s="186" t="s">
        <v>311</v>
      </c>
      <c r="C47" s="861">
        <v>377.17599999999999</v>
      </c>
      <c r="D47" s="672">
        <f t="shared" si="5"/>
        <v>380</v>
      </c>
      <c r="E47" s="861">
        <v>0</v>
      </c>
      <c r="F47" s="745">
        <v>0</v>
      </c>
      <c r="G47" s="861">
        <v>1E-3</v>
      </c>
      <c r="H47" s="745">
        <v>0</v>
      </c>
      <c r="I47" s="861">
        <v>1E-3</v>
      </c>
      <c r="J47" s="745">
        <v>0</v>
      </c>
      <c r="K47" s="861">
        <v>0</v>
      </c>
      <c r="L47" s="745">
        <v>0</v>
      </c>
      <c r="M47" s="861">
        <v>0</v>
      </c>
      <c r="N47" s="745">
        <v>0</v>
      </c>
      <c r="O47" s="861">
        <v>58.561</v>
      </c>
      <c r="P47" s="540">
        <f t="shared" si="10"/>
        <v>60</v>
      </c>
      <c r="Q47" s="861">
        <v>96.344999999999999</v>
      </c>
      <c r="R47" s="540">
        <f t="shared" si="9"/>
        <v>96</v>
      </c>
      <c r="S47" s="861">
        <v>0.247</v>
      </c>
      <c r="T47" s="540">
        <v>0</v>
      </c>
      <c r="U47" s="861">
        <v>93.596999999999994</v>
      </c>
      <c r="V47" s="540">
        <f t="shared" si="7"/>
        <v>94</v>
      </c>
      <c r="W47" s="861">
        <v>92.721000000000004</v>
      </c>
      <c r="X47" s="540">
        <f t="shared" si="8"/>
        <v>93</v>
      </c>
      <c r="Y47" s="861">
        <v>0.17399999999999999</v>
      </c>
      <c r="Z47" s="540">
        <v>0</v>
      </c>
      <c r="AA47" s="761">
        <v>0</v>
      </c>
      <c r="AB47" s="761">
        <v>0</v>
      </c>
      <c r="AC47" s="761">
        <v>12.512</v>
      </c>
      <c r="AD47" s="761">
        <v>0.96199999999999997</v>
      </c>
      <c r="AE47" s="761">
        <v>9.4E-2</v>
      </c>
      <c r="AF47" s="761">
        <v>0.52500000000000002</v>
      </c>
      <c r="AG47" s="761">
        <v>1.5740000000000001</v>
      </c>
      <c r="AH47" s="761">
        <v>3.3000000000000002E-2</v>
      </c>
    </row>
    <row r="48" spans="1:42" ht="31.75" hidden="1">
      <c r="A48" s="307" t="s">
        <v>296</v>
      </c>
      <c r="B48" s="186" t="s">
        <v>48</v>
      </c>
      <c r="C48" s="873">
        <v>338.43900000000002</v>
      </c>
      <c r="D48" s="672">
        <f t="shared" si="5"/>
        <v>340</v>
      </c>
      <c r="E48" s="873">
        <v>0.67900000000000005</v>
      </c>
      <c r="F48" s="745">
        <v>0</v>
      </c>
      <c r="G48" s="873">
        <v>7.4999999999999997E-2</v>
      </c>
      <c r="H48" s="745">
        <v>0</v>
      </c>
      <c r="I48" s="873">
        <v>2E-3</v>
      </c>
      <c r="J48" s="745">
        <v>0</v>
      </c>
      <c r="K48" s="873">
        <v>0</v>
      </c>
      <c r="L48" s="745">
        <v>0</v>
      </c>
      <c r="M48" s="873">
        <v>0</v>
      </c>
      <c r="N48" s="745">
        <v>0</v>
      </c>
      <c r="O48" s="873">
        <v>17.811</v>
      </c>
      <c r="P48" s="540">
        <f t="shared" si="10"/>
        <v>20</v>
      </c>
      <c r="Q48" s="873">
        <v>88.257999999999996</v>
      </c>
      <c r="R48" s="540">
        <f t="shared" si="9"/>
        <v>88</v>
      </c>
      <c r="S48" s="873">
        <v>0.23400000000000001</v>
      </c>
      <c r="T48" s="540">
        <v>0</v>
      </c>
      <c r="U48" s="873">
        <v>84.308999999999997</v>
      </c>
      <c r="V48" s="540">
        <f t="shared" si="7"/>
        <v>84</v>
      </c>
      <c r="W48" s="873">
        <v>83.552999999999997</v>
      </c>
      <c r="X48" s="540">
        <f t="shared" si="8"/>
        <v>84</v>
      </c>
      <c r="Y48" s="873">
        <v>0.19900000000000001</v>
      </c>
      <c r="Z48" s="540">
        <v>0</v>
      </c>
      <c r="AA48" s="761">
        <v>0</v>
      </c>
      <c r="AB48" s="761">
        <v>0</v>
      </c>
      <c r="AC48" s="761">
        <v>17.998000000000001</v>
      </c>
      <c r="AD48" s="761">
        <v>1.3839999999999999</v>
      </c>
      <c r="AE48" s="761">
        <v>6.4000000000000001E-2</v>
      </c>
      <c r="AF48" s="761">
        <v>0.05</v>
      </c>
      <c r="AG48" s="761">
        <v>50.863</v>
      </c>
      <c r="AH48" s="761">
        <v>1.0820000000000001</v>
      </c>
    </row>
    <row r="49" spans="1:42" ht="14.25" hidden="1" customHeight="1">
      <c r="A49" s="307" t="s">
        <v>296</v>
      </c>
      <c r="B49" s="186" t="s">
        <v>71</v>
      </c>
      <c r="C49" s="878">
        <v>518.78700000000003</v>
      </c>
      <c r="D49" s="672">
        <f t="shared" si="5"/>
        <v>520</v>
      </c>
      <c r="E49" s="878">
        <v>0.16700000000000001</v>
      </c>
      <c r="F49" s="745">
        <v>0</v>
      </c>
      <c r="G49" s="878">
        <v>1.9E-2</v>
      </c>
      <c r="H49" s="745">
        <v>0</v>
      </c>
      <c r="I49" s="878">
        <v>2E-3</v>
      </c>
      <c r="J49" s="745">
        <v>0</v>
      </c>
      <c r="K49" s="878">
        <v>0</v>
      </c>
      <c r="L49" s="745">
        <v>0</v>
      </c>
      <c r="M49" s="878">
        <v>0</v>
      </c>
      <c r="N49" s="745">
        <v>0</v>
      </c>
      <c r="O49" s="878">
        <v>65.876999999999995</v>
      </c>
      <c r="P49" s="540">
        <f t="shared" si="10"/>
        <v>65</v>
      </c>
      <c r="Q49" s="878">
        <v>109.1</v>
      </c>
      <c r="R49" s="540">
        <f t="shared" si="9"/>
        <v>109</v>
      </c>
      <c r="S49" s="878">
        <v>0.124</v>
      </c>
      <c r="T49" s="540">
        <v>0</v>
      </c>
      <c r="U49" s="878">
        <v>105.56</v>
      </c>
      <c r="V49" s="540">
        <f t="shared" si="7"/>
        <v>106</v>
      </c>
      <c r="W49" s="878">
        <v>104.346</v>
      </c>
      <c r="X49" s="540">
        <f t="shared" si="8"/>
        <v>104</v>
      </c>
      <c r="Y49" s="878">
        <v>0.20599999999999999</v>
      </c>
      <c r="Z49" s="540">
        <v>0</v>
      </c>
      <c r="AA49" s="1131">
        <v>0</v>
      </c>
      <c r="AB49" s="1131">
        <v>0</v>
      </c>
      <c r="AC49" s="1131">
        <v>14.007999999999999</v>
      </c>
      <c r="AD49" s="1131">
        <v>1.0780000000000001</v>
      </c>
      <c r="AE49" s="1131">
        <v>0.13400000000000001</v>
      </c>
      <c r="AF49" s="1131">
        <v>0.74299999999999999</v>
      </c>
      <c r="AG49" s="1131">
        <v>15.327</v>
      </c>
      <c r="AH49" s="1131">
        <v>0.32600000000000001</v>
      </c>
      <c r="AI49" s="541"/>
      <c r="AJ49" s="541"/>
      <c r="AK49" s="541"/>
      <c r="AL49" s="541"/>
      <c r="AM49" s="541"/>
      <c r="AN49" s="541"/>
      <c r="AO49" s="541"/>
      <c r="AP49" s="541"/>
    </row>
    <row r="50" spans="1:42" ht="31.75" hidden="1">
      <c r="A50" s="307" t="s">
        <v>296</v>
      </c>
      <c r="B50" s="186" t="s">
        <v>61</v>
      </c>
      <c r="C50" s="861">
        <v>293.15899999999999</v>
      </c>
      <c r="D50" s="672">
        <f t="shared" si="5"/>
        <v>290</v>
      </c>
      <c r="E50" s="861">
        <v>0.83499999999999996</v>
      </c>
      <c r="F50" s="745">
        <v>0</v>
      </c>
      <c r="G50" s="861">
        <v>9.2999999999999999E-2</v>
      </c>
      <c r="H50" s="745">
        <v>0</v>
      </c>
      <c r="I50" s="861">
        <v>4.0000000000000001E-3</v>
      </c>
      <c r="J50" s="745">
        <v>0</v>
      </c>
      <c r="K50" s="861">
        <v>0</v>
      </c>
      <c r="L50" s="745">
        <v>0</v>
      </c>
      <c r="M50" s="861">
        <v>0</v>
      </c>
      <c r="N50" s="745">
        <v>0</v>
      </c>
      <c r="O50" s="861">
        <v>52.744999999999997</v>
      </c>
      <c r="P50" s="540">
        <f t="shared" si="10"/>
        <v>55</v>
      </c>
      <c r="Q50" s="861">
        <v>75.619</v>
      </c>
      <c r="R50" s="540">
        <f t="shared" si="9"/>
        <v>76</v>
      </c>
      <c r="S50" s="861">
        <v>0.35699999999999998</v>
      </c>
      <c r="T50" s="540">
        <v>0</v>
      </c>
      <c r="U50" s="861">
        <v>71.650000000000006</v>
      </c>
      <c r="V50" s="540">
        <f t="shared" si="7"/>
        <v>72</v>
      </c>
      <c r="W50" s="861">
        <v>70.707999999999998</v>
      </c>
      <c r="X50" s="540">
        <f t="shared" si="8"/>
        <v>71</v>
      </c>
      <c r="Y50" s="861">
        <v>0.221</v>
      </c>
      <c r="Z50" s="540">
        <v>0</v>
      </c>
      <c r="AA50" s="761">
        <v>0</v>
      </c>
      <c r="AB50" s="761">
        <v>0</v>
      </c>
      <c r="AC50" s="761">
        <v>17.216999999999999</v>
      </c>
      <c r="AD50" s="761">
        <v>1.3240000000000001</v>
      </c>
      <c r="AE50" s="761">
        <v>8.5000000000000006E-2</v>
      </c>
      <c r="AF50" s="761">
        <v>0.47099999999999997</v>
      </c>
      <c r="AG50" s="761">
        <v>48.944000000000003</v>
      </c>
      <c r="AH50" s="761">
        <v>1.0409999999999999</v>
      </c>
    </row>
    <row r="51" spans="1:42" s="541" customFormat="1" ht="31.75" hidden="1">
      <c r="A51" s="307" t="s">
        <v>296</v>
      </c>
      <c r="B51" s="186" t="s">
        <v>324</v>
      </c>
      <c r="C51" s="879">
        <v>442.392</v>
      </c>
      <c r="D51" s="672">
        <f t="shared" ref="D51:D82" si="11">MROUND(C51,10)</f>
        <v>440</v>
      </c>
      <c r="E51" s="879">
        <v>0</v>
      </c>
      <c r="F51" s="745">
        <v>0</v>
      </c>
      <c r="G51" s="879">
        <v>0</v>
      </c>
      <c r="H51" s="745">
        <v>0</v>
      </c>
      <c r="I51" s="879">
        <v>0</v>
      </c>
      <c r="J51" s="745">
        <v>0</v>
      </c>
      <c r="K51" s="879">
        <v>0</v>
      </c>
      <c r="L51" s="745">
        <v>0</v>
      </c>
      <c r="M51" s="879">
        <v>0</v>
      </c>
      <c r="N51" s="745">
        <v>0</v>
      </c>
      <c r="O51" s="879">
        <v>87.631</v>
      </c>
      <c r="P51" s="540">
        <f t="shared" si="10"/>
        <v>90</v>
      </c>
      <c r="Q51" s="879">
        <v>112.297</v>
      </c>
      <c r="R51" s="540">
        <f t="shared" si="9"/>
        <v>112</v>
      </c>
      <c r="S51" s="879">
        <v>4.2999999999999997E-2</v>
      </c>
      <c r="T51" s="540">
        <v>0</v>
      </c>
      <c r="U51" s="879">
        <v>109.127</v>
      </c>
      <c r="V51" s="540">
        <f t="shared" si="7"/>
        <v>109</v>
      </c>
      <c r="W51" s="879">
        <v>109.127</v>
      </c>
      <c r="X51" s="540">
        <f t="shared" si="8"/>
        <v>109</v>
      </c>
      <c r="Y51" s="879">
        <v>0.23599999999999999</v>
      </c>
      <c r="Z51" s="540">
        <v>0</v>
      </c>
      <c r="AA51" s="561">
        <v>0</v>
      </c>
      <c r="AB51" s="561">
        <v>0</v>
      </c>
      <c r="AC51" s="561">
        <v>14.218999999999999</v>
      </c>
      <c r="AD51" s="561">
        <v>1.0940000000000001</v>
      </c>
      <c r="AE51" s="561">
        <v>0.105</v>
      </c>
      <c r="AF51" s="561">
        <v>0.58599999999999997</v>
      </c>
      <c r="AG51" s="561">
        <v>1.504</v>
      </c>
      <c r="AH51" s="561">
        <v>3.2000000000000001E-2</v>
      </c>
      <c r="AI51" s="691"/>
      <c r="AJ51" s="691"/>
      <c r="AK51" s="691"/>
      <c r="AL51" s="691"/>
      <c r="AM51" s="691"/>
      <c r="AN51" s="691"/>
      <c r="AO51" s="691"/>
      <c r="AP51" s="691"/>
    </row>
    <row r="52" spans="1:42" ht="31.75" hidden="1">
      <c r="A52" s="307" t="s">
        <v>296</v>
      </c>
      <c r="B52" s="186" t="s">
        <v>68</v>
      </c>
      <c r="C52" s="861">
        <v>390.363</v>
      </c>
      <c r="D52" s="672">
        <f t="shared" si="11"/>
        <v>390</v>
      </c>
      <c r="E52" s="861">
        <v>0.35399999999999998</v>
      </c>
      <c r="F52" s="745">
        <v>0</v>
      </c>
      <c r="G52" s="861">
        <v>3.9E-2</v>
      </c>
      <c r="H52" s="745">
        <v>0</v>
      </c>
      <c r="I52" s="861">
        <v>1E-3</v>
      </c>
      <c r="J52" s="745">
        <v>0</v>
      </c>
      <c r="K52" s="861">
        <v>0</v>
      </c>
      <c r="L52" s="745">
        <v>0</v>
      </c>
      <c r="M52" s="861">
        <v>0</v>
      </c>
      <c r="N52" s="745">
        <v>0</v>
      </c>
      <c r="O52" s="861">
        <v>58.841999999999999</v>
      </c>
      <c r="P52" s="540">
        <f t="shared" si="10"/>
        <v>60</v>
      </c>
      <c r="Q52" s="861">
        <v>99.444999999999993</v>
      </c>
      <c r="R52" s="540">
        <f t="shared" si="9"/>
        <v>99</v>
      </c>
      <c r="S52" s="861">
        <v>0.28199999999999997</v>
      </c>
      <c r="T52" s="540">
        <v>0</v>
      </c>
      <c r="U52" s="861">
        <v>94.980999999999995</v>
      </c>
      <c r="V52" s="540">
        <f t="shared" si="7"/>
        <v>95</v>
      </c>
      <c r="W52" s="861">
        <v>93.822000000000003</v>
      </c>
      <c r="X52" s="540">
        <f t="shared" si="8"/>
        <v>94</v>
      </c>
      <c r="Y52" s="861">
        <v>0.24299999999999999</v>
      </c>
      <c r="Z52" s="540">
        <v>0</v>
      </c>
      <c r="AA52" s="761">
        <v>0</v>
      </c>
      <c r="AB52" s="761">
        <v>0</v>
      </c>
      <c r="AC52" s="761">
        <v>16.216000000000001</v>
      </c>
      <c r="AD52" s="761">
        <v>1.2470000000000001</v>
      </c>
      <c r="AE52" s="761">
        <v>0.13200000000000001</v>
      </c>
      <c r="AF52" s="761">
        <v>0.73499999999999999</v>
      </c>
      <c r="AG52" s="761">
        <v>30.751999999999999</v>
      </c>
      <c r="AH52" s="761">
        <v>0.65400000000000003</v>
      </c>
    </row>
    <row r="53" spans="1:42" s="688" customFormat="1" ht="31.75" hidden="1">
      <c r="A53" s="307" t="s">
        <v>296</v>
      </c>
      <c r="B53" s="186" t="s">
        <v>300</v>
      </c>
      <c r="C53" s="874">
        <v>326.06700000000001</v>
      </c>
      <c r="D53" s="672">
        <f t="shared" si="11"/>
        <v>330</v>
      </c>
      <c r="E53" s="874">
        <v>1.0960000000000001</v>
      </c>
      <c r="F53" s="745">
        <v>0</v>
      </c>
      <c r="G53" s="874">
        <v>1.2200000000000001E-2</v>
      </c>
      <c r="H53" s="745">
        <v>0</v>
      </c>
      <c r="I53" s="874">
        <v>5.0000000000000001E-3</v>
      </c>
      <c r="J53" s="745">
        <v>0</v>
      </c>
      <c r="K53" s="874">
        <v>0</v>
      </c>
      <c r="L53" s="745">
        <v>0</v>
      </c>
      <c r="M53" s="874">
        <v>0</v>
      </c>
      <c r="N53" s="745">
        <v>0</v>
      </c>
      <c r="O53" s="874">
        <v>53.34</v>
      </c>
      <c r="P53" s="540">
        <f t="shared" si="10"/>
        <v>55</v>
      </c>
      <c r="Q53" s="874">
        <v>84.748000000000005</v>
      </c>
      <c r="R53" s="540">
        <f t="shared" si="9"/>
        <v>85</v>
      </c>
      <c r="S53" s="874">
        <v>0.42199999999999999</v>
      </c>
      <c r="T53" s="540">
        <v>0</v>
      </c>
      <c r="U53" s="874">
        <v>78.296999999999997</v>
      </c>
      <c r="V53" s="540">
        <f t="shared" si="7"/>
        <v>78</v>
      </c>
      <c r="W53" s="874">
        <v>76.954999999999998</v>
      </c>
      <c r="X53" s="540">
        <f t="shared" si="8"/>
        <v>77</v>
      </c>
      <c r="Y53" s="874">
        <v>0.245</v>
      </c>
      <c r="Z53" s="540">
        <v>0</v>
      </c>
      <c r="AA53" s="670">
        <v>0</v>
      </c>
      <c r="AB53" s="670">
        <v>0</v>
      </c>
      <c r="AC53" s="670">
        <v>18.847000000000001</v>
      </c>
      <c r="AD53" s="670">
        <v>1.45</v>
      </c>
      <c r="AE53" s="670">
        <v>7.4999999999999997E-2</v>
      </c>
      <c r="AF53" s="670">
        <v>0.41799999999999998</v>
      </c>
      <c r="AG53" s="670">
        <v>59.195999999999998</v>
      </c>
      <c r="AH53" s="670">
        <v>1.2589999999999999</v>
      </c>
      <c r="AI53" s="179"/>
      <c r="AJ53" s="179"/>
      <c r="AK53" s="179"/>
      <c r="AL53" s="179"/>
      <c r="AM53" s="179"/>
      <c r="AN53" s="179"/>
      <c r="AO53" s="179"/>
      <c r="AP53" s="179"/>
    </row>
    <row r="54" spans="1:42" s="683" customFormat="1" ht="31.75" hidden="1">
      <c r="A54" s="307" t="s">
        <v>296</v>
      </c>
      <c r="B54" s="186" t="s">
        <v>39</v>
      </c>
      <c r="C54" s="873">
        <v>407.048</v>
      </c>
      <c r="D54" s="672">
        <f t="shared" si="11"/>
        <v>410</v>
      </c>
      <c r="E54" s="873">
        <v>0</v>
      </c>
      <c r="F54" s="745">
        <v>0</v>
      </c>
      <c r="G54" s="873">
        <v>0</v>
      </c>
      <c r="H54" s="745">
        <v>0</v>
      </c>
      <c r="I54" s="873">
        <v>0</v>
      </c>
      <c r="J54" s="745">
        <v>0</v>
      </c>
      <c r="K54" s="873">
        <v>0</v>
      </c>
      <c r="L54" s="745">
        <v>0</v>
      </c>
      <c r="M54" s="873">
        <v>0</v>
      </c>
      <c r="N54" s="745">
        <v>0</v>
      </c>
      <c r="O54" s="873">
        <v>47.784999999999997</v>
      </c>
      <c r="P54" s="540">
        <f t="shared" si="10"/>
        <v>50</v>
      </c>
      <c r="Q54" s="873">
        <v>102.532</v>
      </c>
      <c r="R54" s="540">
        <f t="shared" si="9"/>
        <v>103</v>
      </c>
      <c r="S54" s="873">
        <v>0.40100000000000002</v>
      </c>
      <c r="T54" s="540">
        <v>0</v>
      </c>
      <c r="U54" s="873">
        <v>99.35</v>
      </c>
      <c r="V54" s="540">
        <f t="shared" si="7"/>
        <v>99</v>
      </c>
      <c r="W54" s="873">
        <v>97.119</v>
      </c>
      <c r="X54" s="540">
        <f t="shared" si="8"/>
        <v>97</v>
      </c>
      <c r="Y54" s="873">
        <v>0.248</v>
      </c>
      <c r="Z54" s="540">
        <v>0</v>
      </c>
      <c r="AA54" s="761">
        <v>0</v>
      </c>
      <c r="AB54" s="761">
        <v>0</v>
      </c>
      <c r="AC54" s="761">
        <v>13.842000000000001</v>
      </c>
      <c r="AD54" s="761">
        <v>1.0649999999999999</v>
      </c>
      <c r="AE54" s="761">
        <v>8.6999999999999994E-2</v>
      </c>
      <c r="AF54" s="761">
        <v>0.48299999999999998</v>
      </c>
      <c r="AG54" s="761">
        <v>1.671</v>
      </c>
      <c r="AH54" s="761">
        <v>3.5999999999999997E-2</v>
      </c>
      <c r="AI54" s="179"/>
      <c r="AJ54" s="179"/>
      <c r="AK54" s="179"/>
      <c r="AL54" s="179"/>
      <c r="AM54" s="179"/>
      <c r="AN54" s="179"/>
      <c r="AO54" s="179"/>
      <c r="AP54" s="179"/>
    </row>
    <row r="55" spans="1:42" s="541" customFormat="1" ht="31.75" hidden="1">
      <c r="A55" s="307" t="s">
        <v>296</v>
      </c>
      <c r="B55" s="186" t="s">
        <v>69</v>
      </c>
      <c r="C55" s="861">
        <v>448.64100000000002</v>
      </c>
      <c r="D55" s="672">
        <f t="shared" si="11"/>
        <v>450</v>
      </c>
      <c r="E55" s="861">
        <v>0.371</v>
      </c>
      <c r="F55" s="745">
        <v>0</v>
      </c>
      <c r="G55" s="861">
        <v>4.1000000000000002E-2</v>
      </c>
      <c r="H55" s="745">
        <v>0</v>
      </c>
      <c r="I55" s="861">
        <v>2E-3</v>
      </c>
      <c r="J55" s="745">
        <v>0</v>
      </c>
      <c r="K55" s="861">
        <v>0</v>
      </c>
      <c r="L55" s="745">
        <v>0</v>
      </c>
      <c r="M55" s="861">
        <v>0</v>
      </c>
      <c r="N55" s="745">
        <v>0</v>
      </c>
      <c r="O55" s="861">
        <v>73.103999999999999</v>
      </c>
      <c r="P55" s="540">
        <f t="shared" si="10"/>
        <v>75</v>
      </c>
      <c r="Q55" s="861">
        <v>113.989</v>
      </c>
      <c r="R55" s="540">
        <f t="shared" si="9"/>
        <v>114</v>
      </c>
      <c r="S55" s="861">
        <v>0.31</v>
      </c>
      <c r="T55" s="540">
        <v>0</v>
      </c>
      <c r="U55" s="861">
        <v>109.10299999999999</v>
      </c>
      <c r="V55" s="540">
        <f t="shared" si="7"/>
        <v>109</v>
      </c>
      <c r="W55" s="861">
        <v>107.95699999999999</v>
      </c>
      <c r="X55" s="540">
        <f t="shared" si="8"/>
        <v>108</v>
      </c>
      <c r="Y55" s="861">
        <v>0.254</v>
      </c>
      <c r="Z55" s="540">
        <v>0</v>
      </c>
      <c r="AA55" s="761">
        <v>0</v>
      </c>
      <c r="AB55" s="761">
        <v>0</v>
      </c>
      <c r="AC55" s="761">
        <v>16.506</v>
      </c>
      <c r="AD55" s="761">
        <v>1.27</v>
      </c>
      <c r="AE55" s="761">
        <v>0.11600000000000001</v>
      </c>
      <c r="AF55" s="761">
        <v>0.64500000000000002</v>
      </c>
      <c r="AG55" s="761">
        <v>28.324999999999999</v>
      </c>
      <c r="AH55" s="761">
        <v>0.60299999999999998</v>
      </c>
      <c r="AI55" s="179"/>
      <c r="AJ55" s="179"/>
      <c r="AK55" s="179"/>
      <c r="AL55" s="179"/>
      <c r="AM55" s="179"/>
      <c r="AN55" s="179"/>
      <c r="AO55" s="179"/>
      <c r="AP55" s="179"/>
    </row>
    <row r="56" spans="1:42" s="691" customFormat="1" ht="31.75" hidden="1">
      <c r="A56" s="307" t="s">
        <v>296</v>
      </c>
      <c r="B56" s="186" t="s">
        <v>42</v>
      </c>
      <c r="C56" s="873">
        <v>467.23500000000001</v>
      </c>
      <c r="D56" s="672">
        <f t="shared" si="11"/>
        <v>470</v>
      </c>
      <c r="E56" s="873">
        <v>0.18099999999999999</v>
      </c>
      <c r="F56" s="745">
        <v>0</v>
      </c>
      <c r="G56" s="873">
        <v>0.02</v>
      </c>
      <c r="H56" s="745">
        <v>0</v>
      </c>
      <c r="I56" s="873">
        <v>0.01</v>
      </c>
      <c r="J56" s="745">
        <v>0</v>
      </c>
      <c r="K56" s="873">
        <v>0.1</v>
      </c>
      <c r="L56" s="745">
        <v>0</v>
      </c>
      <c r="M56" s="873">
        <v>0</v>
      </c>
      <c r="N56" s="745">
        <v>0</v>
      </c>
      <c r="O56" s="873">
        <v>48.970999999999997</v>
      </c>
      <c r="P56" s="540">
        <f t="shared" si="10"/>
        <v>50</v>
      </c>
      <c r="Q56" s="873">
        <v>118.039</v>
      </c>
      <c r="R56" s="540">
        <f t="shared" si="9"/>
        <v>118</v>
      </c>
      <c r="S56" s="873">
        <v>0.311</v>
      </c>
      <c r="T56" s="540">
        <v>0</v>
      </c>
      <c r="U56" s="873">
        <v>113.13800000000001</v>
      </c>
      <c r="V56" s="540">
        <f t="shared" si="7"/>
        <v>113</v>
      </c>
      <c r="W56" s="873">
        <v>111.068</v>
      </c>
      <c r="X56" s="540">
        <f t="shared" si="8"/>
        <v>111</v>
      </c>
      <c r="Y56" s="873">
        <v>0.27100000000000002</v>
      </c>
      <c r="Z56" s="540">
        <v>0</v>
      </c>
      <c r="AA56" s="750">
        <v>1.226</v>
      </c>
      <c r="AB56" s="750">
        <v>6.1289999999999996</v>
      </c>
      <c r="AC56" s="751">
        <v>13.782999999999999</v>
      </c>
      <c r="AD56" s="751">
        <v>1.06</v>
      </c>
      <c r="AE56" s="751">
        <v>9.6000000000000002E-2</v>
      </c>
      <c r="AF56" s="751">
        <v>0.53500000000000003</v>
      </c>
      <c r="AG56" s="751">
        <v>69.433999999999997</v>
      </c>
      <c r="AH56" s="751">
        <v>1.4770000000000001</v>
      </c>
      <c r="AI56" s="179"/>
      <c r="AJ56" s="179"/>
      <c r="AK56" s="179"/>
      <c r="AL56" s="179"/>
      <c r="AM56" s="179"/>
      <c r="AN56" s="179"/>
      <c r="AO56" s="179"/>
      <c r="AP56" s="179"/>
    </row>
    <row r="57" spans="1:42" s="691" customFormat="1" ht="31.75" hidden="1">
      <c r="A57" s="307" t="s">
        <v>296</v>
      </c>
      <c r="B57" s="186" t="s">
        <v>66</v>
      </c>
      <c r="C57" s="861">
        <v>458.67099999999999</v>
      </c>
      <c r="D57" s="672">
        <f t="shared" si="11"/>
        <v>460</v>
      </c>
      <c r="E57" s="861">
        <v>0.14399999999999999</v>
      </c>
      <c r="F57" s="745">
        <v>0</v>
      </c>
      <c r="G57" s="861">
        <v>1.6E-2</v>
      </c>
      <c r="H57" s="745">
        <v>0</v>
      </c>
      <c r="I57" s="861">
        <v>1E-3</v>
      </c>
      <c r="J57" s="745">
        <v>0</v>
      </c>
      <c r="K57" s="861">
        <v>0</v>
      </c>
      <c r="L57" s="745">
        <v>0</v>
      </c>
      <c r="M57" s="861">
        <v>0</v>
      </c>
      <c r="N57" s="745">
        <v>0</v>
      </c>
      <c r="O57" s="861">
        <v>65.77</v>
      </c>
      <c r="P57" s="540">
        <f t="shared" si="10"/>
        <v>65</v>
      </c>
      <c r="Q57" s="861">
        <v>115.601</v>
      </c>
      <c r="R57" s="540">
        <f t="shared" si="9"/>
        <v>116</v>
      </c>
      <c r="S57" s="861">
        <v>0.313</v>
      </c>
      <c r="T57" s="540">
        <v>0</v>
      </c>
      <c r="U57" s="861">
        <v>122.241</v>
      </c>
      <c r="V57" s="540">
        <f t="shared" si="7"/>
        <v>122</v>
      </c>
      <c r="W57" s="861">
        <v>110.709</v>
      </c>
      <c r="X57" s="540">
        <f t="shared" si="8"/>
        <v>111</v>
      </c>
      <c r="Y57" s="861">
        <v>0.28299999999999997</v>
      </c>
      <c r="Z57" s="540">
        <v>0</v>
      </c>
      <c r="AA57" s="761">
        <v>0</v>
      </c>
      <c r="AB57" s="761">
        <v>0</v>
      </c>
      <c r="AC57" s="761">
        <v>14.836</v>
      </c>
      <c r="AD57" s="761">
        <v>1.141</v>
      </c>
      <c r="AE57" s="761">
        <v>0.19400000000000001</v>
      </c>
      <c r="AF57" s="761">
        <v>1.0780000000000001</v>
      </c>
      <c r="AG57" s="761">
        <v>19.533000000000001</v>
      </c>
      <c r="AH57" s="761">
        <v>0.41599999999999998</v>
      </c>
      <c r="AI57" s="179"/>
      <c r="AJ57" s="179"/>
      <c r="AK57" s="179"/>
      <c r="AL57" s="179"/>
      <c r="AM57" s="179"/>
      <c r="AN57" s="179"/>
      <c r="AO57" s="179"/>
      <c r="AP57" s="179"/>
    </row>
    <row r="58" spans="1:42" s="248" customFormat="1" ht="31.75" hidden="1">
      <c r="A58" s="307" t="s">
        <v>296</v>
      </c>
      <c r="B58" s="186" t="s">
        <v>315</v>
      </c>
      <c r="C58" s="878">
        <v>354.73200000000003</v>
      </c>
      <c r="D58" s="672">
        <f t="shared" si="11"/>
        <v>350</v>
      </c>
      <c r="E58" s="878">
        <v>0.01</v>
      </c>
      <c r="F58" s="745">
        <v>0</v>
      </c>
      <c r="G58" s="878">
        <v>1E-3</v>
      </c>
      <c r="H58" s="745">
        <v>0</v>
      </c>
      <c r="I58" s="878">
        <v>0</v>
      </c>
      <c r="J58" s="745">
        <v>0</v>
      </c>
      <c r="K58" s="878">
        <v>0</v>
      </c>
      <c r="L58" s="745">
        <v>0</v>
      </c>
      <c r="M58" s="878">
        <v>0</v>
      </c>
      <c r="N58" s="745">
        <v>0</v>
      </c>
      <c r="O58" s="878">
        <v>63.435000000000002</v>
      </c>
      <c r="P58" s="540">
        <f t="shared" si="10"/>
        <v>65</v>
      </c>
      <c r="Q58" s="878">
        <v>87.561999999999998</v>
      </c>
      <c r="R58" s="540">
        <f t="shared" si="9"/>
        <v>88</v>
      </c>
      <c r="S58" s="878">
        <v>0.106</v>
      </c>
      <c r="T58" s="540">
        <v>0</v>
      </c>
      <c r="U58" s="878">
        <v>82.882999999999996</v>
      </c>
      <c r="V58" s="540">
        <f t="shared" si="7"/>
        <v>83</v>
      </c>
      <c r="W58" s="878">
        <v>82.882999999999996</v>
      </c>
      <c r="X58" s="540">
        <f t="shared" si="8"/>
        <v>83</v>
      </c>
      <c r="Y58" s="878">
        <v>0.41799999999999998</v>
      </c>
      <c r="Z58" s="540">
        <v>0</v>
      </c>
      <c r="AA58" s="761">
        <v>0</v>
      </c>
      <c r="AB58" s="761">
        <v>0</v>
      </c>
      <c r="AC58" s="761">
        <v>16.146000000000001</v>
      </c>
      <c r="AD58" s="761">
        <v>1.242</v>
      </c>
      <c r="AE58" s="761">
        <v>6.7000000000000004E-2</v>
      </c>
      <c r="AF58" s="761">
        <v>0.373</v>
      </c>
      <c r="AG58" s="761">
        <v>20.134</v>
      </c>
      <c r="AH58" s="761">
        <v>0.42799999999999999</v>
      </c>
      <c r="AI58" s="539"/>
      <c r="AJ58" s="539"/>
      <c r="AK58" s="539"/>
      <c r="AL58" s="539"/>
      <c r="AM58" s="539"/>
      <c r="AN58" s="539"/>
      <c r="AO58" s="539"/>
      <c r="AP58" s="539"/>
    </row>
    <row r="59" spans="1:42" s="539" customFormat="1" ht="31.75">
      <c r="A59" s="307" t="s">
        <v>92</v>
      </c>
      <c r="B59" s="186" t="s">
        <v>322</v>
      </c>
      <c r="C59" s="877">
        <v>515.98299999999995</v>
      </c>
      <c r="D59" s="745">
        <f t="shared" si="11"/>
        <v>520</v>
      </c>
      <c r="E59" s="877">
        <v>0</v>
      </c>
      <c r="F59" s="745">
        <v>0</v>
      </c>
      <c r="G59" s="877">
        <v>4.6669999999999998</v>
      </c>
      <c r="H59" s="884">
        <f>MROUND(G59,0.5)</f>
        <v>4.5</v>
      </c>
      <c r="I59" s="877">
        <v>0</v>
      </c>
      <c r="J59" s="745">
        <v>0</v>
      </c>
      <c r="K59" s="877">
        <v>0</v>
      </c>
      <c r="L59" s="672">
        <v>0</v>
      </c>
      <c r="M59" s="877">
        <v>0</v>
      </c>
      <c r="N59" s="745">
        <v>0</v>
      </c>
      <c r="O59" s="877">
        <v>91.712000000000003</v>
      </c>
      <c r="P59" s="540">
        <f t="shared" si="10"/>
        <v>90</v>
      </c>
      <c r="Q59" s="877">
        <v>119.44799999999999</v>
      </c>
      <c r="R59" s="540">
        <f t="shared" si="9"/>
        <v>119</v>
      </c>
      <c r="S59" s="877">
        <v>1.4999999999999999E-2</v>
      </c>
      <c r="T59" s="540">
        <v>0</v>
      </c>
      <c r="U59" s="877">
        <v>114.116</v>
      </c>
      <c r="V59" s="540">
        <f t="shared" si="7"/>
        <v>114</v>
      </c>
      <c r="W59" s="877">
        <v>113.83</v>
      </c>
      <c r="X59" s="540">
        <f t="shared" si="8"/>
        <v>114</v>
      </c>
      <c r="Y59" s="877">
        <v>0.42399999999999999</v>
      </c>
      <c r="Z59" s="540">
        <v>0</v>
      </c>
      <c r="AA59" s="756">
        <v>0</v>
      </c>
      <c r="AB59" s="756">
        <v>0</v>
      </c>
      <c r="AC59" s="756">
        <v>12.06</v>
      </c>
      <c r="AD59" s="756">
        <v>0.92800000000000005</v>
      </c>
      <c r="AE59" s="756">
        <v>0.114</v>
      </c>
      <c r="AF59" s="756">
        <v>0.63100000000000001</v>
      </c>
      <c r="AG59" s="756">
        <v>12.105</v>
      </c>
      <c r="AH59" s="756">
        <v>0.25800000000000001</v>
      </c>
      <c r="AI59" s="753"/>
      <c r="AJ59" s="541"/>
      <c r="AK59" s="541"/>
      <c r="AL59" s="541"/>
      <c r="AM59" s="541"/>
      <c r="AN59" s="541"/>
      <c r="AO59" s="541"/>
      <c r="AP59" s="541"/>
    </row>
    <row r="60" spans="1:42" s="541" customFormat="1" ht="15.75" customHeight="1">
      <c r="A60" s="307" t="s">
        <v>92</v>
      </c>
      <c r="B60" s="186" t="s">
        <v>320</v>
      </c>
      <c r="C60" s="860">
        <v>437.53399999999999</v>
      </c>
      <c r="D60" s="745">
        <f t="shared" si="11"/>
        <v>440</v>
      </c>
      <c r="E60" s="860">
        <v>0</v>
      </c>
      <c r="F60" s="745">
        <v>0</v>
      </c>
      <c r="G60" s="860">
        <v>4.7220000000000004</v>
      </c>
      <c r="H60" s="884">
        <f>MROUND(G60,0.5)</f>
        <v>4.5</v>
      </c>
      <c r="I60" s="860">
        <v>4.3789999999999996</v>
      </c>
      <c r="J60" s="745">
        <f>MROUND(I60,0.5)</f>
        <v>4.5</v>
      </c>
      <c r="K60" s="860">
        <v>0</v>
      </c>
      <c r="L60" s="672">
        <v>0</v>
      </c>
      <c r="M60" s="860">
        <v>0</v>
      </c>
      <c r="N60" s="745">
        <v>0</v>
      </c>
      <c r="O60" s="860">
        <v>94.831000000000003</v>
      </c>
      <c r="P60" s="540">
        <f t="shared" si="10"/>
        <v>95</v>
      </c>
      <c r="Q60" s="860">
        <v>99.248999999999995</v>
      </c>
      <c r="R60" s="540">
        <f t="shared" si="9"/>
        <v>99</v>
      </c>
      <c r="S60" s="860">
        <v>8.0000000000000002E-3</v>
      </c>
      <c r="T60" s="540">
        <v>0</v>
      </c>
      <c r="U60" s="860">
        <v>93.108000000000004</v>
      </c>
      <c r="V60" s="540">
        <f t="shared" si="7"/>
        <v>93</v>
      </c>
      <c r="W60" s="860">
        <v>92.834000000000003</v>
      </c>
      <c r="X60" s="540">
        <f t="shared" si="8"/>
        <v>93</v>
      </c>
      <c r="Y60" s="860">
        <v>0.42899999999999999</v>
      </c>
      <c r="Z60" s="540">
        <v>0</v>
      </c>
      <c r="AA60" s="697">
        <v>0</v>
      </c>
      <c r="AB60" s="697">
        <v>0</v>
      </c>
      <c r="AC60" s="696">
        <v>12.398999999999999</v>
      </c>
      <c r="AD60" s="696">
        <v>0.95399999999999996</v>
      </c>
      <c r="AE60" s="696">
        <v>0.106</v>
      </c>
      <c r="AF60" s="696">
        <v>0.58799999999999997</v>
      </c>
      <c r="AG60" s="696">
        <v>11.342000000000001</v>
      </c>
      <c r="AH60" s="696">
        <v>0.24099999999999999</v>
      </c>
      <c r="AI60" s="179"/>
      <c r="AJ60" s="179"/>
      <c r="AK60" s="179"/>
      <c r="AL60" s="179"/>
      <c r="AM60" s="179"/>
      <c r="AN60" s="179"/>
      <c r="AO60" s="179"/>
      <c r="AP60" s="179"/>
    </row>
    <row r="61" spans="1:42" ht="31.75">
      <c r="A61" s="307" t="s">
        <v>92</v>
      </c>
      <c r="B61" s="186" t="s">
        <v>102</v>
      </c>
      <c r="C61" s="861">
        <v>540.49199999999996</v>
      </c>
      <c r="D61" s="745">
        <f t="shared" si="11"/>
        <v>540</v>
      </c>
      <c r="E61" s="861">
        <v>29.367999999999999</v>
      </c>
      <c r="F61" s="540">
        <f>MROUND(E61,5)</f>
        <v>30</v>
      </c>
      <c r="G61" s="861">
        <v>8.0890000000000004</v>
      </c>
      <c r="H61" s="884">
        <f>MROUND(G61,1)</f>
        <v>8</v>
      </c>
      <c r="I61" s="861">
        <v>7.0730000000000004</v>
      </c>
      <c r="J61" s="247">
        <f>MROUND(I61,1)</f>
        <v>7</v>
      </c>
      <c r="K61" s="861">
        <v>9.4E-2</v>
      </c>
      <c r="L61" s="672">
        <v>0</v>
      </c>
      <c r="M61" s="861">
        <v>0</v>
      </c>
      <c r="N61" s="745">
        <v>0</v>
      </c>
      <c r="O61" s="861">
        <v>119.4</v>
      </c>
      <c r="P61" s="540">
        <f t="shared" si="10"/>
        <v>120</v>
      </c>
      <c r="Q61" s="861">
        <v>117.41800000000001</v>
      </c>
      <c r="R61" s="540">
        <f t="shared" si="9"/>
        <v>117</v>
      </c>
      <c r="S61" s="861">
        <v>0.78900000000000003</v>
      </c>
      <c r="T61" s="886" t="s">
        <v>303</v>
      </c>
      <c r="U61" s="861">
        <v>109.881</v>
      </c>
      <c r="V61" s="540">
        <f t="shared" si="7"/>
        <v>110</v>
      </c>
      <c r="W61" s="861">
        <v>98.554000000000002</v>
      </c>
      <c r="X61" s="540">
        <f t="shared" si="8"/>
        <v>99</v>
      </c>
      <c r="Y61" s="861">
        <v>0.443</v>
      </c>
      <c r="Z61" s="540">
        <v>0</v>
      </c>
      <c r="AA61" s="1131">
        <v>0</v>
      </c>
      <c r="AB61" s="1131">
        <v>0</v>
      </c>
      <c r="AC61" s="1131">
        <v>16.282</v>
      </c>
      <c r="AD61" s="1131">
        <v>1.252</v>
      </c>
      <c r="AE61" s="1131">
        <v>0.22900000000000001</v>
      </c>
      <c r="AF61" s="1131">
        <v>1.2709999999999999</v>
      </c>
      <c r="AG61" s="1131">
        <v>16.228999999999999</v>
      </c>
      <c r="AH61" s="1131">
        <v>0.34499999999999997</v>
      </c>
      <c r="AI61" s="789"/>
      <c r="AJ61" s="789"/>
      <c r="AK61" s="789"/>
      <c r="AL61" s="789"/>
      <c r="AM61" s="789"/>
      <c r="AN61" s="789"/>
      <c r="AO61" s="789"/>
      <c r="AP61" s="789"/>
    </row>
    <row r="62" spans="1:42" ht="31.75" hidden="1">
      <c r="A62" s="307" t="s">
        <v>296</v>
      </c>
      <c r="B62" s="186" t="s">
        <v>72</v>
      </c>
      <c r="C62" s="878">
        <v>496.43099999999998</v>
      </c>
      <c r="D62" s="672">
        <f t="shared" si="11"/>
        <v>500</v>
      </c>
      <c r="E62" s="878">
        <v>0</v>
      </c>
      <c r="F62" s="745">
        <v>0</v>
      </c>
      <c r="G62" s="878">
        <v>0</v>
      </c>
      <c r="H62" s="745">
        <v>0</v>
      </c>
      <c r="I62" s="878">
        <v>0</v>
      </c>
      <c r="J62" s="745">
        <v>0</v>
      </c>
      <c r="K62" s="878">
        <v>0</v>
      </c>
      <c r="L62" s="745">
        <v>0</v>
      </c>
      <c r="M62" s="878">
        <v>0</v>
      </c>
      <c r="N62" s="745">
        <v>0</v>
      </c>
      <c r="O62" s="878">
        <v>111.581</v>
      </c>
      <c r="P62" s="540">
        <f t="shared" si="10"/>
        <v>110</v>
      </c>
      <c r="Q62" s="878">
        <v>126.432</v>
      </c>
      <c r="R62" s="540">
        <f t="shared" si="9"/>
        <v>126</v>
      </c>
      <c r="S62" s="878">
        <v>0.04</v>
      </c>
      <c r="T62" s="540">
        <v>0</v>
      </c>
      <c r="U62" s="878">
        <v>123.024</v>
      </c>
      <c r="V62" s="540">
        <f t="shared" si="7"/>
        <v>123</v>
      </c>
      <c r="W62" s="878">
        <v>123.024</v>
      </c>
      <c r="X62" s="540">
        <f t="shared" si="8"/>
        <v>123</v>
      </c>
      <c r="Y62" s="878">
        <v>0.47099999999999997</v>
      </c>
      <c r="Z62" s="540">
        <v>0</v>
      </c>
      <c r="AA62" s="561">
        <v>0</v>
      </c>
      <c r="AB62" s="561">
        <v>0</v>
      </c>
      <c r="AC62" s="561">
        <v>13.372</v>
      </c>
      <c r="AD62" s="561">
        <v>1.0289999999999999</v>
      </c>
      <c r="AE62" s="561">
        <v>0.122</v>
      </c>
      <c r="AF62" s="561">
        <v>0.68</v>
      </c>
      <c r="AG62" s="561">
        <v>0</v>
      </c>
      <c r="AH62" s="561">
        <v>0</v>
      </c>
    </row>
    <row r="63" spans="1:42" s="683" customFormat="1" ht="31.75">
      <c r="A63" s="307" t="s">
        <v>92</v>
      </c>
      <c r="B63" s="186" t="s">
        <v>323</v>
      </c>
      <c r="C63" s="882">
        <v>502.63</v>
      </c>
      <c r="D63" s="745">
        <f t="shared" si="11"/>
        <v>500</v>
      </c>
      <c r="E63" s="882">
        <v>7.8E-2</v>
      </c>
      <c r="F63" s="745">
        <v>0</v>
      </c>
      <c r="G63" s="882">
        <v>4.8150000000000004</v>
      </c>
      <c r="H63" s="884">
        <f>MROUND(G63,0.5)</f>
        <v>5</v>
      </c>
      <c r="I63" s="882">
        <v>4.4569999999999999</v>
      </c>
      <c r="J63" s="745">
        <f>MROUND(I63,0.5)</f>
        <v>4.5</v>
      </c>
      <c r="K63" s="882">
        <v>1E-3</v>
      </c>
      <c r="L63" s="672">
        <v>0</v>
      </c>
      <c r="M63" s="882">
        <v>0</v>
      </c>
      <c r="N63" s="745">
        <v>0</v>
      </c>
      <c r="O63" s="882">
        <v>98.54</v>
      </c>
      <c r="P63" s="540">
        <f t="shared" si="10"/>
        <v>100</v>
      </c>
      <c r="Q63" s="882">
        <v>115.749</v>
      </c>
      <c r="R63" s="540">
        <f t="shared" si="9"/>
        <v>116</v>
      </c>
      <c r="S63" s="882">
        <v>0.183</v>
      </c>
      <c r="T63" s="540">
        <v>0</v>
      </c>
      <c r="U63" s="882">
        <v>109.568</v>
      </c>
      <c r="V63" s="540">
        <f t="shared" si="7"/>
        <v>110</v>
      </c>
      <c r="W63" s="882">
        <v>107.64</v>
      </c>
      <c r="X63" s="540">
        <f t="shared" si="8"/>
        <v>108</v>
      </c>
      <c r="Y63" s="882">
        <v>0.51200000000000001</v>
      </c>
      <c r="Z63" s="887" t="s">
        <v>303</v>
      </c>
      <c r="AA63" s="757">
        <v>0</v>
      </c>
      <c r="AB63" s="757">
        <v>0</v>
      </c>
      <c r="AC63" s="757">
        <v>13.36</v>
      </c>
      <c r="AD63" s="757">
        <v>1.028</v>
      </c>
      <c r="AE63" s="757">
        <v>0.17899999999999999</v>
      </c>
      <c r="AF63" s="757">
        <v>0.996</v>
      </c>
      <c r="AG63" s="757">
        <v>24.689</v>
      </c>
      <c r="AH63" s="757">
        <v>0.52500000000000002</v>
      </c>
      <c r="AI63" s="753"/>
      <c r="AJ63" s="541"/>
      <c r="AK63" s="541"/>
      <c r="AL63" s="541"/>
      <c r="AM63" s="541"/>
      <c r="AN63" s="541"/>
      <c r="AO63" s="541"/>
      <c r="AP63" s="541"/>
    </row>
    <row r="64" spans="1:42" s="212" customFormat="1" ht="14.25" hidden="1" customHeight="1">
      <c r="A64" s="307" t="s">
        <v>296</v>
      </c>
      <c r="B64" s="186" t="s">
        <v>60</v>
      </c>
      <c r="C64" s="861">
        <v>425.697</v>
      </c>
      <c r="D64" s="672">
        <f t="shared" si="11"/>
        <v>430</v>
      </c>
      <c r="E64" s="861">
        <v>4.2000000000000003E-2</v>
      </c>
      <c r="F64" s="745">
        <v>0</v>
      </c>
      <c r="G64" s="861">
        <v>5.0000000000000001E-3</v>
      </c>
      <c r="H64" s="745">
        <v>0</v>
      </c>
      <c r="I64" s="861">
        <v>5.0000000000000001E-3</v>
      </c>
      <c r="J64" s="745">
        <v>0</v>
      </c>
      <c r="K64" s="861">
        <v>5.0000000000000001E-3</v>
      </c>
      <c r="L64" s="745">
        <v>0</v>
      </c>
      <c r="M64" s="861">
        <v>0</v>
      </c>
      <c r="N64" s="745">
        <v>0</v>
      </c>
      <c r="O64" s="861">
        <v>62.779000000000003</v>
      </c>
      <c r="P64" s="540">
        <f t="shared" si="10"/>
        <v>65</v>
      </c>
      <c r="Q64" s="861">
        <v>108.08199999999999</v>
      </c>
      <c r="R64" s="540">
        <f t="shared" si="9"/>
        <v>108</v>
      </c>
      <c r="S64" s="861">
        <v>1.492</v>
      </c>
      <c r="T64" s="247">
        <f>MROUND(S64,1)</f>
        <v>1</v>
      </c>
      <c r="U64" s="861">
        <v>102.47</v>
      </c>
      <c r="V64" s="540">
        <f t="shared" si="7"/>
        <v>102</v>
      </c>
      <c r="W64" s="861">
        <v>101.455</v>
      </c>
      <c r="X64" s="540">
        <f t="shared" si="8"/>
        <v>101</v>
      </c>
      <c r="Y64" s="861">
        <v>0.52100000000000002</v>
      </c>
      <c r="Z64" s="887" t="s">
        <v>303</v>
      </c>
      <c r="AA64" s="750">
        <v>0</v>
      </c>
      <c r="AB64" s="750">
        <v>0</v>
      </c>
      <c r="AC64" s="751">
        <v>17.626000000000001</v>
      </c>
      <c r="AD64" s="751">
        <v>1.3560000000000001</v>
      </c>
      <c r="AE64" s="751">
        <v>0.187</v>
      </c>
      <c r="AF64" s="751">
        <v>1.038</v>
      </c>
      <c r="AG64" s="751">
        <v>43.076000000000001</v>
      </c>
      <c r="AH64" s="751">
        <v>0.91700000000000004</v>
      </c>
      <c r="AI64" s="179"/>
      <c r="AJ64" s="179"/>
      <c r="AK64" s="179"/>
      <c r="AL64" s="179"/>
      <c r="AM64" s="179"/>
      <c r="AN64" s="179"/>
      <c r="AO64" s="179"/>
      <c r="AP64" s="179"/>
    </row>
    <row r="65" spans="1:42" s="212" customFormat="1" ht="15" hidden="1" customHeight="1">
      <c r="A65" s="307" t="s">
        <v>325</v>
      </c>
      <c r="B65" s="186" t="s">
        <v>122</v>
      </c>
      <c r="C65" s="861">
        <v>197.15299999999999</v>
      </c>
      <c r="D65" s="672">
        <f t="shared" si="11"/>
        <v>200</v>
      </c>
      <c r="E65" s="861">
        <v>0.11700000000000001</v>
      </c>
      <c r="F65" s="745">
        <v>0</v>
      </c>
      <c r="G65" s="861">
        <v>1.2999999999999999E-2</v>
      </c>
      <c r="H65" s="745">
        <v>0</v>
      </c>
      <c r="I65" s="861">
        <v>1.2999999999999999E-2</v>
      </c>
      <c r="J65" s="745">
        <v>0</v>
      </c>
      <c r="K65" s="861">
        <v>0</v>
      </c>
      <c r="L65" s="672">
        <v>0</v>
      </c>
      <c r="M65" s="861">
        <v>0</v>
      </c>
      <c r="N65" s="745">
        <v>0</v>
      </c>
      <c r="O65" s="861">
        <v>39.976999999999997</v>
      </c>
      <c r="P65" s="540">
        <f t="shared" si="10"/>
        <v>40</v>
      </c>
      <c r="Q65" s="861">
        <v>69.201999999999998</v>
      </c>
      <c r="R65" s="540">
        <f t="shared" si="9"/>
        <v>69</v>
      </c>
      <c r="S65" s="861">
        <v>0.05</v>
      </c>
      <c r="T65" s="540">
        <v>0</v>
      </c>
      <c r="U65" s="861">
        <v>0.13700000000000001</v>
      </c>
      <c r="V65" s="871">
        <v>0</v>
      </c>
      <c r="W65" s="861">
        <v>0</v>
      </c>
      <c r="X65" s="871">
        <v>0</v>
      </c>
      <c r="Y65" s="861">
        <v>0.55800000000000005</v>
      </c>
      <c r="Z65" s="887" t="s">
        <v>303</v>
      </c>
      <c r="AA65" s="759">
        <v>0</v>
      </c>
      <c r="AB65" s="759">
        <v>0</v>
      </c>
      <c r="AC65" s="759">
        <v>20.957999999999998</v>
      </c>
      <c r="AD65" s="759">
        <v>1.6120000000000001</v>
      </c>
      <c r="AE65" s="759">
        <v>8.7999999999999995E-2</v>
      </c>
      <c r="AF65" s="759">
        <v>0.48799999999999999</v>
      </c>
      <c r="AG65" s="759">
        <v>28.335999999999999</v>
      </c>
      <c r="AH65" s="759">
        <v>0.60299999999999998</v>
      </c>
      <c r="AI65" s="179"/>
      <c r="AJ65" s="179"/>
      <c r="AK65" s="179"/>
      <c r="AL65" s="179"/>
      <c r="AM65" s="179"/>
      <c r="AN65" s="179"/>
      <c r="AO65" s="179"/>
      <c r="AP65" s="179"/>
    </row>
    <row r="66" spans="1:42" s="212" customFormat="1" ht="15" hidden="1" customHeight="1">
      <c r="A66" s="307" t="s">
        <v>296</v>
      </c>
      <c r="B66" s="186" t="s">
        <v>78</v>
      </c>
      <c r="C66" s="879">
        <v>416.37900000000002</v>
      </c>
      <c r="D66" s="672">
        <f t="shared" si="11"/>
        <v>420</v>
      </c>
      <c r="E66" s="879">
        <v>1.7000000000000001E-2</v>
      </c>
      <c r="F66" s="745">
        <v>0</v>
      </c>
      <c r="G66" s="879">
        <v>1.7000000000000001E-2</v>
      </c>
      <c r="H66" s="745">
        <v>0</v>
      </c>
      <c r="I66" s="879">
        <v>0</v>
      </c>
      <c r="J66" s="745">
        <v>0</v>
      </c>
      <c r="K66" s="879">
        <v>0</v>
      </c>
      <c r="L66" s="745">
        <v>0</v>
      </c>
      <c r="M66" s="879">
        <v>0</v>
      </c>
      <c r="N66" s="745">
        <v>0</v>
      </c>
      <c r="O66" s="879">
        <v>70.945999999999998</v>
      </c>
      <c r="P66" s="540">
        <f t="shared" si="10"/>
        <v>70</v>
      </c>
      <c r="Q66" s="879">
        <v>100.496</v>
      </c>
      <c r="R66" s="540">
        <f t="shared" si="9"/>
        <v>100</v>
      </c>
      <c r="S66" s="879">
        <v>0.38400000000000001</v>
      </c>
      <c r="T66" s="540">
        <v>0</v>
      </c>
      <c r="U66" s="879">
        <v>93.599000000000004</v>
      </c>
      <c r="V66" s="540">
        <f t="shared" ref="V66:V94" si="12">MROUND(U66,1)</f>
        <v>94</v>
      </c>
      <c r="W66" s="879">
        <v>90.897000000000006</v>
      </c>
      <c r="X66" s="540">
        <f t="shared" ref="X66:X94" si="13">MROUND(W66,1)</f>
        <v>91</v>
      </c>
      <c r="Y66" s="879">
        <v>0.71399999999999997</v>
      </c>
      <c r="Z66" s="887" t="s">
        <v>303</v>
      </c>
      <c r="AA66" s="561">
        <v>0</v>
      </c>
      <c r="AB66" s="561">
        <v>0</v>
      </c>
      <c r="AC66" s="561">
        <v>22.655999999999999</v>
      </c>
      <c r="AD66" s="561">
        <v>1.7430000000000001</v>
      </c>
      <c r="AE66" s="561">
        <v>0.30299999999999999</v>
      </c>
      <c r="AF66" s="561">
        <v>1.681</v>
      </c>
      <c r="AG66" s="561">
        <v>33.284999999999997</v>
      </c>
      <c r="AH66" s="561">
        <v>0.70799999999999996</v>
      </c>
      <c r="AI66" s="691"/>
      <c r="AJ66" s="691"/>
      <c r="AK66" s="691"/>
      <c r="AL66" s="691"/>
      <c r="AM66" s="691"/>
      <c r="AN66" s="691"/>
      <c r="AO66" s="691"/>
      <c r="AP66" s="691"/>
    </row>
    <row r="67" spans="1:42" s="212" customFormat="1" ht="15" customHeight="1">
      <c r="A67" s="307" t="s">
        <v>92</v>
      </c>
      <c r="B67" s="186" t="s">
        <v>103</v>
      </c>
      <c r="C67" s="866">
        <v>606.5</v>
      </c>
      <c r="D67" s="745">
        <f t="shared" si="11"/>
        <v>610</v>
      </c>
      <c r="E67" s="866">
        <v>12.752000000000001</v>
      </c>
      <c r="F67" s="540">
        <f>MROUND(E67,5)</f>
        <v>15</v>
      </c>
      <c r="G67" s="866">
        <v>6.125</v>
      </c>
      <c r="H67" s="884">
        <f>MROUND(G67,1)</f>
        <v>6</v>
      </c>
      <c r="I67" s="866">
        <v>4.8029999999999999</v>
      </c>
      <c r="J67" s="745">
        <f>MROUND(I67,0.5)</f>
        <v>5</v>
      </c>
      <c r="K67" s="866">
        <v>0</v>
      </c>
      <c r="L67" s="672">
        <v>0</v>
      </c>
      <c r="M67" s="866">
        <v>4.8000000000000001E-2</v>
      </c>
      <c r="N67" s="745">
        <v>0</v>
      </c>
      <c r="O67" s="866">
        <v>116.47</v>
      </c>
      <c r="P67" s="540">
        <f t="shared" si="10"/>
        <v>115</v>
      </c>
      <c r="Q67" s="866">
        <v>138.798</v>
      </c>
      <c r="R67" s="540">
        <f t="shared" si="9"/>
        <v>139</v>
      </c>
      <c r="S67" s="866">
        <v>0.16600000000000001</v>
      </c>
      <c r="T67" s="540">
        <v>0</v>
      </c>
      <c r="U67" s="866">
        <v>130.923</v>
      </c>
      <c r="V67" s="540">
        <f t="shared" si="12"/>
        <v>131</v>
      </c>
      <c r="W67" s="866">
        <v>130.602</v>
      </c>
      <c r="X67" s="540">
        <f t="shared" si="13"/>
        <v>131</v>
      </c>
      <c r="Y67" s="866">
        <v>0.73599999999999999</v>
      </c>
      <c r="Z67" s="887" t="s">
        <v>303</v>
      </c>
      <c r="AA67" s="561">
        <v>0</v>
      </c>
      <c r="AB67" s="561">
        <v>0</v>
      </c>
      <c r="AC67" s="561">
        <v>14.648999999999999</v>
      </c>
      <c r="AD67" s="561">
        <v>1.127</v>
      </c>
      <c r="AE67" s="561">
        <v>0.42499999999999999</v>
      </c>
      <c r="AF67" s="561">
        <v>2.359</v>
      </c>
      <c r="AG67" s="561">
        <v>22.713000000000001</v>
      </c>
      <c r="AH67" s="561">
        <v>0.48299999999999998</v>
      </c>
      <c r="AI67" s="753"/>
      <c r="AJ67" s="689"/>
      <c r="AK67" s="689"/>
      <c r="AL67" s="689"/>
      <c r="AM67" s="689"/>
      <c r="AN67" s="689"/>
      <c r="AO67" s="689"/>
      <c r="AP67" s="689"/>
    </row>
    <row r="68" spans="1:42" s="212" customFormat="1" ht="15" customHeight="1">
      <c r="A68" s="307" t="s">
        <v>92</v>
      </c>
      <c r="B68" s="186" t="s">
        <v>321</v>
      </c>
      <c r="C68" s="881">
        <v>422.971</v>
      </c>
      <c r="D68" s="745">
        <f t="shared" si="11"/>
        <v>420</v>
      </c>
      <c r="E68" s="881">
        <v>1.016</v>
      </c>
      <c r="F68" s="745">
        <v>0</v>
      </c>
      <c r="G68" s="881">
        <v>4.7729999999999997</v>
      </c>
      <c r="H68" s="884">
        <f>MROUND(G68,0.5)</f>
        <v>5</v>
      </c>
      <c r="I68" s="881">
        <v>4.3310000000000004</v>
      </c>
      <c r="J68" s="745">
        <f>MROUND(I68,0.5)</f>
        <v>4.5</v>
      </c>
      <c r="K68" s="881">
        <v>8.0000000000000002E-3</v>
      </c>
      <c r="L68" s="672">
        <v>0</v>
      </c>
      <c r="M68" s="881">
        <v>0</v>
      </c>
      <c r="N68" s="745">
        <v>0</v>
      </c>
      <c r="O68" s="881">
        <v>96.682000000000002</v>
      </c>
      <c r="P68" s="540">
        <f t="shared" si="10"/>
        <v>95</v>
      </c>
      <c r="Q68" s="881">
        <v>95.144999999999996</v>
      </c>
      <c r="R68" s="540">
        <f t="shared" ref="R68:R99" si="14">MROUND(Q68,1)</f>
        <v>95</v>
      </c>
      <c r="S68" s="881">
        <v>1.0509999999999999</v>
      </c>
      <c r="T68" s="247">
        <f>MROUND(S68,1)</f>
        <v>1</v>
      </c>
      <c r="U68" s="881">
        <v>88.15</v>
      </c>
      <c r="V68" s="540">
        <f t="shared" si="12"/>
        <v>88</v>
      </c>
      <c r="W68" s="881">
        <v>86.665000000000006</v>
      </c>
      <c r="X68" s="540">
        <f t="shared" si="13"/>
        <v>87</v>
      </c>
      <c r="Y68" s="881">
        <v>0.73799999999999999</v>
      </c>
      <c r="Z68" s="887" t="s">
        <v>303</v>
      </c>
      <c r="AA68" s="752">
        <v>0</v>
      </c>
      <c r="AB68" s="752">
        <v>0</v>
      </c>
      <c r="AC68" s="752">
        <v>17.088999999999999</v>
      </c>
      <c r="AD68" s="752">
        <v>1.3149999999999999</v>
      </c>
      <c r="AE68" s="752">
        <v>0.252</v>
      </c>
      <c r="AF68" s="752">
        <v>1.403</v>
      </c>
      <c r="AG68" s="752">
        <v>49.152000000000001</v>
      </c>
      <c r="AH68" s="752">
        <v>1.046</v>
      </c>
      <c r="AI68" s="683"/>
      <c r="AJ68" s="683"/>
      <c r="AK68" s="683"/>
      <c r="AL68" s="683"/>
      <c r="AM68" s="683"/>
      <c r="AN68" s="683"/>
      <c r="AO68" s="683"/>
      <c r="AP68" s="683"/>
    </row>
    <row r="69" spans="1:42" ht="15" customHeight="1">
      <c r="A69" s="307" t="s">
        <v>92</v>
      </c>
      <c r="B69" s="186" t="s">
        <v>117</v>
      </c>
      <c r="C69" s="881">
        <v>378.12200000000001</v>
      </c>
      <c r="D69" s="745">
        <f t="shared" si="11"/>
        <v>380</v>
      </c>
      <c r="E69" s="881">
        <v>0.73199999999999998</v>
      </c>
      <c r="F69" s="745">
        <v>0</v>
      </c>
      <c r="G69" s="881">
        <v>5.4009999999999998</v>
      </c>
      <c r="H69" s="884">
        <f>MROUND(G69,1)</f>
        <v>5</v>
      </c>
      <c r="I69" s="881">
        <v>4.9939999999999998</v>
      </c>
      <c r="J69" s="745">
        <f>MROUND(I69,0.5)</f>
        <v>5</v>
      </c>
      <c r="K69" s="881">
        <v>2E-3</v>
      </c>
      <c r="L69" s="672">
        <v>0</v>
      </c>
      <c r="M69" s="881">
        <v>0</v>
      </c>
      <c r="N69" s="745">
        <v>0</v>
      </c>
      <c r="O69" s="881">
        <v>117.30800000000001</v>
      </c>
      <c r="P69" s="540">
        <f t="shared" si="10"/>
        <v>115</v>
      </c>
      <c r="Q69" s="881">
        <v>81.617999999999995</v>
      </c>
      <c r="R69" s="540">
        <f t="shared" si="14"/>
        <v>82</v>
      </c>
      <c r="S69" s="881">
        <v>0.46400000000000002</v>
      </c>
      <c r="T69" s="540">
        <v>0</v>
      </c>
      <c r="U69" s="881">
        <v>73.983000000000004</v>
      </c>
      <c r="V69" s="540">
        <f t="shared" si="12"/>
        <v>74</v>
      </c>
      <c r="W69" s="881">
        <v>70.933000000000007</v>
      </c>
      <c r="X69" s="540">
        <f t="shared" si="13"/>
        <v>71</v>
      </c>
      <c r="Y69" s="881">
        <v>0.73899999999999999</v>
      </c>
      <c r="Z69" s="887" t="s">
        <v>303</v>
      </c>
      <c r="AA69" s="752">
        <v>0</v>
      </c>
      <c r="AB69" s="752">
        <v>0</v>
      </c>
      <c r="AC69" s="754">
        <v>14.721</v>
      </c>
      <c r="AD69" s="754">
        <v>1.1319999999999999</v>
      </c>
      <c r="AE69" s="754">
        <v>0.23</v>
      </c>
      <c r="AF69" s="754">
        <v>1.276</v>
      </c>
      <c r="AG69" s="754">
        <v>74.001000000000005</v>
      </c>
      <c r="AH69" s="754">
        <v>1.5740000000000001</v>
      </c>
      <c r="AI69" s="212"/>
      <c r="AJ69" s="212"/>
      <c r="AK69" s="212"/>
      <c r="AL69" s="212"/>
      <c r="AM69" s="212"/>
      <c r="AN69" s="212"/>
      <c r="AO69" s="212"/>
      <c r="AP69" s="212"/>
    </row>
    <row r="70" spans="1:42" s="689" customFormat="1" ht="31.75">
      <c r="A70" s="307" t="s">
        <v>92</v>
      </c>
      <c r="B70" s="186" t="s">
        <v>109</v>
      </c>
      <c r="C70" s="860">
        <v>502.19299999999998</v>
      </c>
      <c r="D70" s="745">
        <f t="shared" si="11"/>
        <v>500</v>
      </c>
      <c r="E70" s="860">
        <v>13.079000000000001</v>
      </c>
      <c r="F70" s="540">
        <f>MROUND(E70,5)</f>
        <v>15</v>
      </c>
      <c r="G70" s="860">
        <v>6.282</v>
      </c>
      <c r="H70" s="884">
        <f>MROUND(G70,1)</f>
        <v>6</v>
      </c>
      <c r="I70" s="860">
        <v>4.9260000000000002</v>
      </c>
      <c r="J70" s="745">
        <f>MROUND(I70,0.5)</f>
        <v>5</v>
      </c>
      <c r="K70" s="860">
        <v>0</v>
      </c>
      <c r="L70" s="672">
        <v>0</v>
      </c>
      <c r="M70" s="860">
        <v>0.05</v>
      </c>
      <c r="N70" s="745">
        <v>0</v>
      </c>
      <c r="O70" s="860">
        <v>121.05500000000001</v>
      </c>
      <c r="P70" s="540">
        <f t="shared" si="10"/>
        <v>120</v>
      </c>
      <c r="Q70" s="860">
        <v>112.75</v>
      </c>
      <c r="R70" s="540">
        <f t="shared" si="14"/>
        <v>113</v>
      </c>
      <c r="S70" s="860">
        <v>0.15</v>
      </c>
      <c r="T70" s="540">
        <v>0</v>
      </c>
      <c r="U70" s="860">
        <v>105.31699999999999</v>
      </c>
      <c r="V70" s="540">
        <f t="shared" si="12"/>
        <v>105</v>
      </c>
      <c r="W70" s="860">
        <v>105.02800000000001</v>
      </c>
      <c r="X70" s="540">
        <f t="shared" si="13"/>
        <v>105</v>
      </c>
      <c r="Y70" s="860">
        <v>0.755</v>
      </c>
      <c r="Z70" s="887" t="s">
        <v>303</v>
      </c>
      <c r="AA70" s="555">
        <v>1E-3</v>
      </c>
      <c r="AB70" s="555">
        <v>0</v>
      </c>
      <c r="AC70" s="555">
        <v>15.894</v>
      </c>
      <c r="AD70" s="555">
        <v>1.2230000000000001</v>
      </c>
      <c r="AE70" s="555">
        <v>0.436</v>
      </c>
      <c r="AF70" s="555">
        <v>2.419</v>
      </c>
      <c r="AG70" s="555">
        <v>22.923999999999999</v>
      </c>
      <c r="AH70" s="555">
        <v>0.48799999999999999</v>
      </c>
      <c r="AI70" s="179"/>
      <c r="AJ70" s="179"/>
      <c r="AK70" s="179"/>
      <c r="AL70" s="179"/>
      <c r="AM70" s="179"/>
      <c r="AN70" s="179"/>
      <c r="AO70" s="179"/>
      <c r="AP70" s="179"/>
    </row>
    <row r="71" spans="1:42" s="541" customFormat="1" ht="31.75">
      <c r="A71" s="307" t="s">
        <v>92</v>
      </c>
      <c r="B71" s="186" t="s">
        <v>112</v>
      </c>
      <c r="C71" s="881">
        <v>417.75200000000001</v>
      </c>
      <c r="D71" s="745">
        <f t="shared" si="11"/>
        <v>420</v>
      </c>
      <c r="E71" s="881">
        <v>8.5000000000000006E-2</v>
      </c>
      <c r="F71" s="745">
        <v>0</v>
      </c>
      <c r="G71" s="881">
        <v>4.8179999999999996</v>
      </c>
      <c r="H71" s="884">
        <f>MROUND(G71,0.5)</f>
        <v>5</v>
      </c>
      <c r="I71" s="881">
        <v>4.4690000000000003</v>
      </c>
      <c r="J71" s="745">
        <f>MROUND(I71,0.5)</f>
        <v>4.5</v>
      </c>
      <c r="K71" s="881">
        <v>0</v>
      </c>
      <c r="L71" s="672">
        <v>0</v>
      </c>
      <c r="M71" s="881">
        <v>0</v>
      </c>
      <c r="N71" s="745">
        <v>0</v>
      </c>
      <c r="O71" s="881">
        <v>99.32</v>
      </c>
      <c r="P71" s="540">
        <f t="shared" si="10"/>
        <v>100</v>
      </c>
      <c r="Q71" s="881">
        <v>93.962999999999994</v>
      </c>
      <c r="R71" s="540">
        <f t="shared" si="14"/>
        <v>94</v>
      </c>
      <c r="S71" s="881">
        <v>1.4239999999999999</v>
      </c>
      <c r="T71" s="247">
        <f>MROUND(S71,1)</f>
        <v>1</v>
      </c>
      <c r="U71" s="881">
        <v>86.486999999999995</v>
      </c>
      <c r="V71" s="540">
        <f t="shared" si="12"/>
        <v>86</v>
      </c>
      <c r="W71" s="881">
        <v>84.971000000000004</v>
      </c>
      <c r="X71" s="540">
        <f t="shared" si="13"/>
        <v>85</v>
      </c>
      <c r="Y71" s="881">
        <v>0.875</v>
      </c>
      <c r="Z71" s="887" t="s">
        <v>303</v>
      </c>
      <c r="AA71" s="752">
        <v>0</v>
      </c>
      <c r="AB71" s="752">
        <v>0</v>
      </c>
      <c r="AC71" s="755">
        <v>24.861999999999998</v>
      </c>
      <c r="AD71" s="755">
        <v>1.9119999999999999</v>
      </c>
      <c r="AE71" s="755">
        <v>0.56399999999999995</v>
      </c>
      <c r="AF71" s="755">
        <v>3.1309999999999998</v>
      </c>
      <c r="AG71" s="755">
        <v>97.668000000000006</v>
      </c>
      <c r="AH71" s="755">
        <v>2.0779999999999998</v>
      </c>
      <c r="AI71" s="179"/>
      <c r="AJ71" s="179"/>
      <c r="AK71" s="179"/>
      <c r="AL71" s="179"/>
      <c r="AM71" s="179"/>
      <c r="AN71" s="179"/>
      <c r="AO71" s="179"/>
      <c r="AP71" s="179"/>
    </row>
    <row r="72" spans="1:42" ht="22.95" customHeight="1">
      <c r="A72" s="307" t="s">
        <v>92</v>
      </c>
      <c r="B72" s="186" t="s">
        <v>116</v>
      </c>
      <c r="C72" s="881">
        <v>579.85299999999995</v>
      </c>
      <c r="D72" s="745">
        <f t="shared" si="11"/>
        <v>580</v>
      </c>
      <c r="E72" s="881">
        <v>0</v>
      </c>
      <c r="F72" s="745">
        <v>0</v>
      </c>
      <c r="G72" s="881">
        <v>7.03</v>
      </c>
      <c r="H72" s="884">
        <f>MROUND(G72,1)</f>
        <v>7</v>
      </c>
      <c r="I72" s="881">
        <v>5.7350000000000003</v>
      </c>
      <c r="J72" s="247">
        <f>MROUND(I72,1)</f>
        <v>6</v>
      </c>
      <c r="K72" s="881">
        <v>0</v>
      </c>
      <c r="L72" s="672">
        <v>0</v>
      </c>
      <c r="M72" s="881">
        <v>0</v>
      </c>
      <c r="N72" s="745">
        <v>0</v>
      </c>
      <c r="O72" s="881">
        <v>109.685</v>
      </c>
      <c r="P72" s="540">
        <f t="shared" si="10"/>
        <v>110</v>
      </c>
      <c r="Q72" s="881">
        <v>131.166</v>
      </c>
      <c r="R72" s="540">
        <f t="shared" si="14"/>
        <v>131</v>
      </c>
      <c r="S72" s="881">
        <v>0.8</v>
      </c>
      <c r="T72" s="886" t="s">
        <v>303</v>
      </c>
      <c r="U72" s="881">
        <v>125.002</v>
      </c>
      <c r="V72" s="540">
        <f t="shared" si="12"/>
        <v>125</v>
      </c>
      <c r="W72" s="881">
        <v>124.747</v>
      </c>
      <c r="X72" s="540">
        <f t="shared" si="13"/>
        <v>125</v>
      </c>
      <c r="Y72" s="881">
        <v>0.879</v>
      </c>
      <c r="Z72" s="887" t="s">
        <v>303</v>
      </c>
      <c r="AA72" s="752">
        <v>0.54600000000000004</v>
      </c>
      <c r="AB72" s="752">
        <v>0</v>
      </c>
      <c r="AC72" s="752">
        <v>18.032</v>
      </c>
      <c r="AD72" s="752">
        <v>18.032</v>
      </c>
      <c r="AE72" s="752">
        <v>1.387</v>
      </c>
      <c r="AF72" s="752">
        <v>7.415</v>
      </c>
      <c r="AG72" s="752">
        <v>73.894000000000005</v>
      </c>
      <c r="AH72" s="752">
        <v>1.5720000000000001</v>
      </c>
    </row>
    <row r="73" spans="1:42" ht="15" customHeight="1">
      <c r="A73" s="307" t="s">
        <v>92</v>
      </c>
      <c r="B73" s="186" t="s">
        <v>106</v>
      </c>
      <c r="C73" s="860">
        <v>440</v>
      </c>
      <c r="D73" s="745">
        <f t="shared" si="11"/>
        <v>440</v>
      </c>
      <c r="E73" s="860">
        <v>45</v>
      </c>
      <c r="F73" s="540">
        <f>MROUND(E73,5)</f>
        <v>45</v>
      </c>
      <c r="G73" s="860">
        <v>5</v>
      </c>
      <c r="H73" s="884">
        <f>MROUND(G73,0.5)</f>
        <v>5</v>
      </c>
      <c r="I73" s="860">
        <v>4.5</v>
      </c>
      <c r="J73" s="745">
        <f>MROUND(I73,0.5)</f>
        <v>4.5</v>
      </c>
      <c r="K73" s="860">
        <v>0</v>
      </c>
      <c r="L73" s="672">
        <v>0</v>
      </c>
      <c r="M73" s="860">
        <v>0</v>
      </c>
      <c r="N73" s="745">
        <v>0</v>
      </c>
      <c r="O73" s="860">
        <v>110</v>
      </c>
      <c r="P73" s="540">
        <f t="shared" si="10"/>
        <v>110</v>
      </c>
      <c r="Q73" s="860">
        <v>100</v>
      </c>
      <c r="R73" s="540">
        <f t="shared" si="14"/>
        <v>100</v>
      </c>
      <c r="S73" s="860">
        <v>0</v>
      </c>
      <c r="T73" s="886" t="s">
        <v>303</v>
      </c>
      <c r="U73" s="860">
        <v>94</v>
      </c>
      <c r="V73" s="540">
        <f t="shared" si="12"/>
        <v>94</v>
      </c>
      <c r="W73" s="860">
        <v>94</v>
      </c>
      <c r="X73" s="540">
        <f t="shared" si="13"/>
        <v>94</v>
      </c>
      <c r="Y73" s="860">
        <v>1</v>
      </c>
      <c r="Z73" s="887" t="s">
        <v>303</v>
      </c>
      <c r="AA73" s="555">
        <v>0</v>
      </c>
      <c r="AB73" s="555">
        <v>0</v>
      </c>
      <c r="AC73" s="536">
        <v>14</v>
      </c>
      <c r="AD73" s="536">
        <v>2</v>
      </c>
      <c r="AE73" s="536">
        <v>0</v>
      </c>
      <c r="AF73" s="536">
        <v>0</v>
      </c>
      <c r="AG73" s="536">
        <v>23</v>
      </c>
      <c r="AH73" s="536">
        <v>0</v>
      </c>
    </row>
    <row r="74" spans="1:42" ht="18.649999999999999" customHeight="1">
      <c r="A74" s="307" t="s">
        <v>92</v>
      </c>
      <c r="B74" s="186" t="s">
        <v>107</v>
      </c>
      <c r="C74" s="860">
        <v>450</v>
      </c>
      <c r="D74" s="745">
        <f t="shared" si="11"/>
        <v>450</v>
      </c>
      <c r="E74" s="860">
        <v>45</v>
      </c>
      <c r="F74" s="540">
        <f>MROUND(E74,5)</f>
        <v>45</v>
      </c>
      <c r="G74" s="860">
        <v>5</v>
      </c>
      <c r="H74" s="884">
        <f>MROUND(G74,0.5)</f>
        <v>5</v>
      </c>
      <c r="I74" s="860">
        <v>4.5</v>
      </c>
      <c r="J74" s="745">
        <f>MROUND(I74,0.5)</f>
        <v>4.5</v>
      </c>
      <c r="K74" s="860">
        <v>0</v>
      </c>
      <c r="L74" s="672">
        <v>0</v>
      </c>
      <c r="M74" s="860">
        <v>0</v>
      </c>
      <c r="N74" s="745">
        <v>0</v>
      </c>
      <c r="O74" s="860">
        <v>280</v>
      </c>
      <c r="P74" s="540">
        <f t="shared" si="10"/>
        <v>280</v>
      </c>
      <c r="Q74" s="860">
        <v>108</v>
      </c>
      <c r="R74" s="540">
        <f t="shared" si="14"/>
        <v>108</v>
      </c>
      <c r="S74" s="860">
        <v>0</v>
      </c>
      <c r="T74" s="886" t="s">
        <v>303</v>
      </c>
      <c r="U74" s="860">
        <v>101</v>
      </c>
      <c r="V74" s="540">
        <f t="shared" si="12"/>
        <v>101</v>
      </c>
      <c r="W74" s="860">
        <v>101</v>
      </c>
      <c r="X74" s="540">
        <f t="shared" si="13"/>
        <v>101</v>
      </c>
      <c r="Y74" s="860">
        <v>1</v>
      </c>
      <c r="Z74" s="887" t="s">
        <v>303</v>
      </c>
      <c r="AA74" s="555">
        <v>0</v>
      </c>
      <c r="AB74" s="555">
        <v>0</v>
      </c>
      <c r="AC74" s="555">
        <v>19</v>
      </c>
      <c r="AD74" s="555">
        <v>2</v>
      </c>
      <c r="AE74" s="555">
        <v>0</v>
      </c>
      <c r="AF74" s="555">
        <v>0</v>
      </c>
      <c r="AG74" s="555">
        <v>191</v>
      </c>
      <c r="AH74" s="555">
        <v>4</v>
      </c>
    </row>
    <row r="75" spans="1:42" ht="31.75">
      <c r="A75" s="307" t="s">
        <v>92</v>
      </c>
      <c r="B75" s="186" t="s">
        <v>111</v>
      </c>
      <c r="C75" s="881">
        <v>448.13299999999998</v>
      </c>
      <c r="D75" s="745">
        <f t="shared" si="11"/>
        <v>450</v>
      </c>
      <c r="E75" s="881">
        <v>0</v>
      </c>
      <c r="F75" s="745">
        <v>0</v>
      </c>
      <c r="G75" s="881">
        <v>4.92</v>
      </c>
      <c r="H75" s="884">
        <f>MROUND(G75,0.5)</f>
        <v>5</v>
      </c>
      <c r="I75" s="881">
        <v>4.5250000000000004</v>
      </c>
      <c r="J75" s="745">
        <f>MROUND(I75,0.5)</f>
        <v>4.5</v>
      </c>
      <c r="K75" s="881">
        <v>0</v>
      </c>
      <c r="L75" s="672">
        <v>0</v>
      </c>
      <c r="M75" s="881">
        <v>1.8440000000000001</v>
      </c>
      <c r="N75" s="745">
        <v>0</v>
      </c>
      <c r="O75" s="881">
        <v>67.667000000000002</v>
      </c>
      <c r="P75" s="540">
        <f t="shared" si="10"/>
        <v>70</v>
      </c>
      <c r="Q75" s="881">
        <v>101.673</v>
      </c>
      <c r="R75" s="540">
        <f t="shared" si="14"/>
        <v>102</v>
      </c>
      <c r="S75" s="881">
        <v>0.56499999999999995</v>
      </c>
      <c r="T75" s="886" t="s">
        <v>303</v>
      </c>
      <c r="U75" s="881">
        <v>94.771000000000001</v>
      </c>
      <c r="V75" s="540">
        <f t="shared" si="12"/>
        <v>95</v>
      </c>
      <c r="W75" s="881">
        <v>42.487000000000002</v>
      </c>
      <c r="X75" s="540">
        <f t="shared" si="13"/>
        <v>42</v>
      </c>
      <c r="Y75" s="881">
        <v>0.92200000000000004</v>
      </c>
      <c r="Z75" s="887" t="s">
        <v>303</v>
      </c>
      <c r="AA75" s="752">
        <v>0</v>
      </c>
      <c r="AB75" s="752">
        <v>0</v>
      </c>
      <c r="AC75" s="752">
        <v>19.120999999999999</v>
      </c>
      <c r="AD75" s="752">
        <v>1.4710000000000001</v>
      </c>
      <c r="AE75" s="752">
        <v>2.1000000000000001E-2</v>
      </c>
      <c r="AF75" s="752">
        <v>0.11799999999999999</v>
      </c>
      <c r="AG75" s="752">
        <v>17.405000000000001</v>
      </c>
      <c r="AH75" s="752">
        <v>0.37</v>
      </c>
    </row>
    <row r="76" spans="1:42" ht="31.75">
      <c r="A76" s="307" t="s">
        <v>92</v>
      </c>
      <c r="B76" s="186" t="s">
        <v>93</v>
      </c>
      <c r="C76" s="866">
        <v>503.05900000000003</v>
      </c>
      <c r="D76" s="745">
        <f t="shared" si="11"/>
        <v>500</v>
      </c>
      <c r="E76" s="866">
        <v>24.34</v>
      </c>
      <c r="F76" s="540">
        <f>MROUND(E76,5)</f>
        <v>25</v>
      </c>
      <c r="G76" s="866">
        <v>7.4530000000000003</v>
      </c>
      <c r="H76" s="884">
        <f>MROUND(G76,1)</f>
        <v>7</v>
      </c>
      <c r="I76" s="866">
        <v>5.7759999999999998</v>
      </c>
      <c r="J76" s="247">
        <f>MROUND(I76,1)</f>
        <v>6</v>
      </c>
      <c r="K76" s="866">
        <v>4.0000000000000001E-3</v>
      </c>
      <c r="L76" s="672">
        <v>0</v>
      </c>
      <c r="M76" s="866">
        <v>0</v>
      </c>
      <c r="N76" s="745">
        <v>0</v>
      </c>
      <c r="O76" s="866">
        <v>106.947</v>
      </c>
      <c r="P76" s="540">
        <f t="shared" si="10"/>
        <v>105</v>
      </c>
      <c r="Q76" s="866">
        <v>118.271</v>
      </c>
      <c r="R76" s="540">
        <f t="shared" si="14"/>
        <v>118</v>
      </c>
      <c r="S76" s="866">
        <v>1.008</v>
      </c>
      <c r="T76" s="247">
        <f>MROUND(S76,1)</f>
        <v>1</v>
      </c>
      <c r="U76" s="866">
        <v>111.16500000000001</v>
      </c>
      <c r="V76" s="540">
        <f t="shared" si="12"/>
        <v>111</v>
      </c>
      <c r="W76" s="866">
        <v>100.84399999999999</v>
      </c>
      <c r="X76" s="540">
        <f t="shared" si="13"/>
        <v>101</v>
      </c>
      <c r="Y76" s="866">
        <v>0.92400000000000004</v>
      </c>
      <c r="Z76" s="887" t="s">
        <v>303</v>
      </c>
      <c r="AA76" s="561">
        <v>1.7999999999999999E-2</v>
      </c>
      <c r="AB76" s="561">
        <v>0.09</v>
      </c>
      <c r="AC76" s="758">
        <v>22.402000000000001</v>
      </c>
      <c r="AD76" s="758">
        <v>1.7230000000000001</v>
      </c>
      <c r="AE76" s="758">
        <v>0.80400000000000005</v>
      </c>
      <c r="AF76" s="758">
        <v>4.4649999999999999</v>
      </c>
      <c r="AG76" s="758">
        <v>106.604</v>
      </c>
      <c r="AH76" s="758">
        <v>2.2679999999999998</v>
      </c>
    </row>
    <row r="77" spans="1:42" ht="31.75" hidden="1">
      <c r="A77" s="307" t="s">
        <v>296</v>
      </c>
      <c r="B77" s="186" t="s">
        <v>306</v>
      </c>
      <c r="C77" s="875">
        <v>523.76400000000001</v>
      </c>
      <c r="D77" s="672">
        <f t="shared" si="11"/>
        <v>520</v>
      </c>
      <c r="E77" s="875">
        <v>1.056</v>
      </c>
      <c r="F77" s="745">
        <v>0</v>
      </c>
      <c r="G77" s="875">
        <v>0.11700000000000001</v>
      </c>
      <c r="H77" s="745">
        <v>0</v>
      </c>
      <c r="I77" s="875">
        <v>0</v>
      </c>
      <c r="J77" s="745">
        <v>0</v>
      </c>
      <c r="K77" s="875">
        <v>0</v>
      </c>
      <c r="L77" s="745">
        <v>0</v>
      </c>
      <c r="M77" s="875">
        <v>0</v>
      </c>
      <c r="N77" s="745">
        <v>0</v>
      </c>
      <c r="O77" s="875">
        <v>53.45</v>
      </c>
      <c r="P77" s="540">
        <f t="shared" si="10"/>
        <v>55</v>
      </c>
      <c r="Q77" s="875">
        <v>130.83699999999999</v>
      </c>
      <c r="R77" s="540">
        <f t="shared" si="14"/>
        <v>131</v>
      </c>
      <c r="S77" s="875">
        <v>0</v>
      </c>
      <c r="T77" s="540">
        <v>0</v>
      </c>
      <c r="U77" s="875">
        <v>120.48</v>
      </c>
      <c r="V77" s="540">
        <f t="shared" si="12"/>
        <v>120</v>
      </c>
      <c r="W77" s="875">
        <v>120.48</v>
      </c>
      <c r="X77" s="540">
        <f t="shared" si="13"/>
        <v>120</v>
      </c>
      <c r="Y77" s="875">
        <v>0.93899999999999995</v>
      </c>
      <c r="Z77" s="887" t="s">
        <v>303</v>
      </c>
      <c r="AA77" s="1131">
        <v>0</v>
      </c>
      <c r="AB77" s="1131">
        <v>0</v>
      </c>
      <c r="AC77" s="1131">
        <v>11.333</v>
      </c>
      <c r="AD77" s="1131">
        <v>0.872</v>
      </c>
      <c r="AE77" s="1131">
        <v>2.4E-2</v>
      </c>
      <c r="AF77" s="1131">
        <v>0.13100000000000001</v>
      </c>
      <c r="AG77" s="1131">
        <v>2.0979999999999999</v>
      </c>
      <c r="AH77" s="1131">
        <v>4.4999999999999998E-2</v>
      </c>
      <c r="AI77" s="594"/>
      <c r="AJ77" s="594"/>
      <c r="AK77" s="594"/>
      <c r="AL77" s="594"/>
      <c r="AM77" s="594"/>
      <c r="AN77" s="594"/>
      <c r="AO77" s="594"/>
      <c r="AP77" s="594"/>
    </row>
    <row r="78" spans="1:42" ht="31.75">
      <c r="A78" s="307" t="s">
        <v>92</v>
      </c>
      <c r="B78" s="186" t="s">
        <v>94</v>
      </c>
      <c r="C78" s="866">
        <v>533.35699999999997</v>
      </c>
      <c r="D78" s="745">
        <f t="shared" si="11"/>
        <v>530</v>
      </c>
      <c r="E78" s="866">
        <v>16.033000000000001</v>
      </c>
      <c r="F78" s="540">
        <f t="shared" ref="F78:F84" si="15">MROUND(E78,5)</f>
        <v>15</v>
      </c>
      <c r="G78" s="866">
        <v>6.5789999999999997</v>
      </c>
      <c r="H78" s="884">
        <f>MROUND(G78,1)</f>
        <v>7</v>
      </c>
      <c r="I78" s="866">
        <v>5.3339999999999996</v>
      </c>
      <c r="J78" s="247">
        <f>MROUND(I78,1)</f>
        <v>5</v>
      </c>
      <c r="K78" s="866">
        <v>0</v>
      </c>
      <c r="L78" s="672">
        <v>0</v>
      </c>
      <c r="M78" s="866">
        <v>0</v>
      </c>
      <c r="N78" s="745">
        <v>0</v>
      </c>
      <c r="O78" s="866">
        <v>276.63600000000002</v>
      </c>
      <c r="P78" s="540">
        <f>MROUND(O78,10)</f>
        <v>280</v>
      </c>
      <c r="Q78" s="866">
        <v>118.599</v>
      </c>
      <c r="R78" s="540">
        <f t="shared" si="14"/>
        <v>119</v>
      </c>
      <c r="S78" s="866">
        <v>0.19</v>
      </c>
      <c r="T78" s="540">
        <v>0</v>
      </c>
      <c r="U78" s="866">
        <v>106.28700000000001</v>
      </c>
      <c r="V78" s="540">
        <f t="shared" si="12"/>
        <v>106</v>
      </c>
      <c r="W78" s="866">
        <v>91.914000000000001</v>
      </c>
      <c r="X78" s="540">
        <f t="shared" si="13"/>
        <v>92</v>
      </c>
      <c r="Y78" s="866">
        <v>1.0069999999999999</v>
      </c>
      <c r="Z78" s="247">
        <f t="shared" ref="Z78:Z93" si="16">MROUND(Y78,1)</f>
        <v>1</v>
      </c>
      <c r="AA78" s="561">
        <v>0</v>
      </c>
      <c r="AB78" s="561">
        <v>0</v>
      </c>
      <c r="AC78" s="561">
        <v>58.9</v>
      </c>
      <c r="AD78" s="561">
        <v>4.5309999999999997</v>
      </c>
      <c r="AE78" s="561">
        <v>0.44</v>
      </c>
      <c r="AF78" s="561">
        <v>2.444</v>
      </c>
      <c r="AG78" s="561">
        <v>11.238</v>
      </c>
      <c r="AH78" s="561">
        <v>0.23899999999999999</v>
      </c>
      <c r="AI78" s="541"/>
      <c r="AJ78" s="541"/>
      <c r="AK78" s="541"/>
      <c r="AL78" s="541"/>
      <c r="AM78" s="541"/>
      <c r="AN78" s="541"/>
      <c r="AO78" s="541"/>
      <c r="AP78" s="541"/>
    </row>
    <row r="79" spans="1:42" ht="25.5" customHeight="1">
      <c r="A79" s="307" t="s">
        <v>92</v>
      </c>
      <c r="B79" s="186" t="s">
        <v>95</v>
      </c>
      <c r="C79" s="866">
        <v>571.76800000000003</v>
      </c>
      <c r="D79" s="745">
        <f t="shared" si="11"/>
        <v>570</v>
      </c>
      <c r="E79" s="866">
        <v>33.225999999999999</v>
      </c>
      <c r="F79" s="540">
        <f t="shared" si="15"/>
        <v>35</v>
      </c>
      <c r="G79" s="866">
        <v>8.4320000000000004</v>
      </c>
      <c r="H79" s="884">
        <f>MROUND(G79,1)</f>
        <v>8</v>
      </c>
      <c r="I79" s="866">
        <v>6.7759999999999998</v>
      </c>
      <c r="J79" s="247">
        <f>MROUND(I79,1)</f>
        <v>7</v>
      </c>
      <c r="K79" s="866">
        <v>7.8E-2</v>
      </c>
      <c r="L79" s="672">
        <v>0</v>
      </c>
      <c r="M79" s="866">
        <v>9.1709999999999994</v>
      </c>
      <c r="N79" s="871">
        <f>MROUND(M79,5)</f>
        <v>10</v>
      </c>
      <c r="O79" s="866">
        <v>121.724</v>
      </c>
      <c r="P79" s="540">
        <f t="shared" ref="P79:P86" si="17">MROUND(O79,5)</f>
        <v>120</v>
      </c>
      <c r="Q79" s="866">
        <v>122.539</v>
      </c>
      <c r="R79" s="540">
        <f t="shared" si="14"/>
        <v>123</v>
      </c>
      <c r="S79" s="866">
        <v>3.9E-2</v>
      </c>
      <c r="T79" s="540">
        <v>0</v>
      </c>
      <c r="U79" s="866">
        <v>112.08</v>
      </c>
      <c r="V79" s="540">
        <f t="shared" si="12"/>
        <v>112</v>
      </c>
      <c r="W79" s="866">
        <v>111.39400000000001</v>
      </c>
      <c r="X79" s="540">
        <f t="shared" si="13"/>
        <v>111</v>
      </c>
      <c r="Y79" s="866">
        <v>1.0529999999999999</v>
      </c>
      <c r="Z79" s="247">
        <f t="shared" si="16"/>
        <v>1</v>
      </c>
      <c r="AA79" s="561">
        <v>0</v>
      </c>
      <c r="AB79" s="561">
        <v>0</v>
      </c>
      <c r="AC79" s="561">
        <v>35.719000000000001</v>
      </c>
      <c r="AD79" s="561">
        <v>2.7480000000000002</v>
      </c>
      <c r="AE79" s="561">
        <v>0.157</v>
      </c>
      <c r="AF79" s="561">
        <v>0.87</v>
      </c>
      <c r="AG79" s="561">
        <v>31.99</v>
      </c>
      <c r="AH79" s="561">
        <v>0.68100000000000005</v>
      </c>
    </row>
    <row r="80" spans="1:42" ht="31.75">
      <c r="A80" s="307" t="s">
        <v>92</v>
      </c>
      <c r="B80" s="186" t="s">
        <v>98</v>
      </c>
      <c r="C80" s="866">
        <v>550.91200000000003</v>
      </c>
      <c r="D80" s="745">
        <f t="shared" si="11"/>
        <v>550</v>
      </c>
      <c r="E80" s="866">
        <v>33.423000000000002</v>
      </c>
      <c r="F80" s="540">
        <f t="shared" si="15"/>
        <v>35</v>
      </c>
      <c r="G80" s="866">
        <v>8.4819999999999993</v>
      </c>
      <c r="H80" s="884">
        <f>MROUND(G80,1)</f>
        <v>8</v>
      </c>
      <c r="I80" s="866">
        <v>6.8159999999999998</v>
      </c>
      <c r="J80" s="247">
        <f>MROUND(I80,1)</f>
        <v>7</v>
      </c>
      <c r="K80" s="866">
        <v>7.8E-2</v>
      </c>
      <c r="L80" s="672">
        <v>0</v>
      </c>
      <c r="M80" s="866">
        <v>9.2260000000000009</v>
      </c>
      <c r="N80" s="871">
        <f>MROUND(M80,5)</f>
        <v>10</v>
      </c>
      <c r="O80" s="866">
        <v>123.1</v>
      </c>
      <c r="P80" s="540">
        <f t="shared" si="17"/>
        <v>125</v>
      </c>
      <c r="Q80" s="866">
        <v>118.416</v>
      </c>
      <c r="R80" s="540">
        <f t="shared" si="14"/>
        <v>118</v>
      </c>
      <c r="S80" s="866">
        <v>3.9E-2</v>
      </c>
      <c r="T80" s="540">
        <v>0</v>
      </c>
      <c r="U80" s="866">
        <v>107.895</v>
      </c>
      <c r="V80" s="540">
        <f t="shared" si="12"/>
        <v>108</v>
      </c>
      <c r="W80" s="866">
        <v>107.205</v>
      </c>
      <c r="X80" s="540">
        <f t="shared" si="13"/>
        <v>107</v>
      </c>
      <c r="Y80" s="866">
        <v>1.0589999999999999</v>
      </c>
      <c r="Z80" s="247">
        <f t="shared" si="16"/>
        <v>1</v>
      </c>
      <c r="AA80" s="561">
        <v>0</v>
      </c>
      <c r="AB80" s="561">
        <v>0</v>
      </c>
      <c r="AC80" s="561">
        <v>31.57</v>
      </c>
      <c r="AD80" s="561">
        <v>2.4279999999999999</v>
      </c>
      <c r="AE80" s="561">
        <v>0.158</v>
      </c>
      <c r="AF80" s="561">
        <v>0.875</v>
      </c>
      <c r="AG80" s="561">
        <v>27.329000000000001</v>
      </c>
      <c r="AH80" s="561">
        <v>0.58099999999999996</v>
      </c>
      <c r="AI80" s="212"/>
      <c r="AJ80" s="212"/>
      <c r="AK80" s="212"/>
      <c r="AL80" s="212"/>
      <c r="AM80" s="212"/>
      <c r="AN80" s="212"/>
      <c r="AO80" s="212"/>
      <c r="AP80" s="212"/>
    </row>
    <row r="81" spans="1:42" s="683" customFormat="1" ht="31.75">
      <c r="A81" s="307" t="s">
        <v>92</v>
      </c>
      <c r="B81" s="186" t="s">
        <v>118</v>
      </c>
      <c r="C81" s="861">
        <v>573.65800000000002</v>
      </c>
      <c r="D81" s="745">
        <f t="shared" si="11"/>
        <v>570</v>
      </c>
      <c r="E81" s="861">
        <v>33.274000000000001</v>
      </c>
      <c r="F81" s="540">
        <f t="shared" si="15"/>
        <v>35</v>
      </c>
      <c r="G81" s="861">
        <v>8.4280000000000008</v>
      </c>
      <c r="H81" s="884">
        <f>MROUND(G81,1)</f>
        <v>8</v>
      </c>
      <c r="I81" s="861">
        <v>6.7640000000000002</v>
      </c>
      <c r="J81" s="247">
        <f>MROUND(I81,1)</f>
        <v>7</v>
      </c>
      <c r="K81" s="861">
        <v>7.8E-2</v>
      </c>
      <c r="L81" s="672">
        <v>0</v>
      </c>
      <c r="M81" s="861">
        <v>9.1539999999999999</v>
      </c>
      <c r="N81" s="871">
        <f>MROUND(M81,5)</f>
        <v>10</v>
      </c>
      <c r="O81" s="861">
        <v>125.25700000000001</v>
      </c>
      <c r="P81" s="540">
        <f t="shared" si="17"/>
        <v>125</v>
      </c>
      <c r="Q81" s="861">
        <v>124.884</v>
      </c>
      <c r="R81" s="540">
        <f t="shared" si="14"/>
        <v>125</v>
      </c>
      <c r="S81" s="861">
        <v>0.27400000000000002</v>
      </c>
      <c r="T81" s="540">
        <v>0</v>
      </c>
      <c r="U81" s="861">
        <v>113.319</v>
      </c>
      <c r="V81" s="540">
        <f t="shared" si="12"/>
        <v>113</v>
      </c>
      <c r="W81" s="861">
        <v>110.315</v>
      </c>
      <c r="X81" s="540">
        <f t="shared" si="13"/>
        <v>110</v>
      </c>
      <c r="Y81" s="861">
        <v>1.113</v>
      </c>
      <c r="Z81" s="247">
        <f t="shared" si="16"/>
        <v>1</v>
      </c>
      <c r="AA81" s="730">
        <v>0</v>
      </c>
      <c r="AB81" s="761">
        <v>0</v>
      </c>
      <c r="AC81" s="761">
        <v>32.81</v>
      </c>
      <c r="AD81" s="761">
        <v>2.524</v>
      </c>
      <c r="AE81" s="761">
        <v>0.24099999999999999</v>
      </c>
      <c r="AF81" s="761">
        <v>1.337</v>
      </c>
      <c r="AG81" s="761">
        <v>45.872999999999998</v>
      </c>
      <c r="AH81" s="761">
        <v>0.97599999999999998</v>
      </c>
      <c r="AI81" s="1133"/>
      <c r="AJ81" s="541"/>
      <c r="AK81" s="541"/>
      <c r="AL81" s="541"/>
      <c r="AM81" s="541"/>
      <c r="AN81" s="541"/>
      <c r="AO81" s="541"/>
      <c r="AP81" s="541"/>
    </row>
    <row r="82" spans="1:42" s="248" customFormat="1" ht="31.75" hidden="1">
      <c r="A82" s="307" t="s">
        <v>296</v>
      </c>
      <c r="B82" s="186" t="s">
        <v>34</v>
      </c>
      <c r="C82" s="873">
        <v>514.745</v>
      </c>
      <c r="D82" s="672">
        <f t="shared" si="11"/>
        <v>510</v>
      </c>
      <c r="E82" s="873">
        <v>5.6509999999999998</v>
      </c>
      <c r="F82" s="540">
        <f t="shared" si="15"/>
        <v>5</v>
      </c>
      <c r="G82" s="873">
        <v>0.626</v>
      </c>
      <c r="H82" s="884">
        <f>MROUND(G82,0.5)</f>
        <v>0.5</v>
      </c>
      <c r="I82" s="873">
        <v>0.37</v>
      </c>
      <c r="J82" s="745">
        <v>0</v>
      </c>
      <c r="K82" s="873">
        <v>0</v>
      </c>
      <c r="L82" s="745">
        <v>0</v>
      </c>
      <c r="M82" s="873">
        <v>0</v>
      </c>
      <c r="N82" s="745">
        <v>0</v>
      </c>
      <c r="O82" s="873">
        <v>97.177000000000007</v>
      </c>
      <c r="P82" s="540">
        <f t="shared" si="17"/>
        <v>95</v>
      </c>
      <c r="Q82" s="873">
        <v>131.22399999999999</v>
      </c>
      <c r="R82" s="540">
        <f t="shared" si="14"/>
        <v>131</v>
      </c>
      <c r="S82" s="873">
        <v>1.8320000000000001</v>
      </c>
      <c r="T82" s="247">
        <f>MROUND(S82,1)</f>
        <v>2</v>
      </c>
      <c r="U82" s="873">
        <v>124.657</v>
      </c>
      <c r="V82" s="540">
        <f t="shared" si="12"/>
        <v>125</v>
      </c>
      <c r="W82" s="873">
        <v>132.45500000000001</v>
      </c>
      <c r="X82" s="540">
        <f t="shared" si="13"/>
        <v>132</v>
      </c>
      <c r="Y82" s="873">
        <v>1.1160000000000001</v>
      </c>
      <c r="Z82" s="247">
        <f t="shared" si="16"/>
        <v>1</v>
      </c>
      <c r="AA82" s="670">
        <v>8.0000000000000002E-3</v>
      </c>
      <c r="AB82" s="670">
        <v>0</v>
      </c>
      <c r="AC82" s="670">
        <v>28.138000000000002</v>
      </c>
      <c r="AD82" s="670">
        <v>2.1640000000000001</v>
      </c>
      <c r="AE82" s="670">
        <v>2.2309999999999999</v>
      </c>
      <c r="AF82" s="670">
        <v>12.395</v>
      </c>
      <c r="AG82" s="670">
        <v>196.446</v>
      </c>
      <c r="AH82" s="670">
        <v>4.18</v>
      </c>
      <c r="AI82" s="179"/>
      <c r="AJ82" s="179"/>
      <c r="AK82" s="179"/>
      <c r="AL82" s="179"/>
      <c r="AM82" s="179"/>
      <c r="AN82" s="179"/>
      <c r="AO82" s="179"/>
      <c r="AP82" s="179"/>
    </row>
    <row r="83" spans="1:42" ht="15" customHeight="1">
      <c r="A83" s="307" t="s">
        <v>92</v>
      </c>
      <c r="B83" s="186" t="s">
        <v>108</v>
      </c>
      <c r="C83" s="860">
        <v>463.25599999999997</v>
      </c>
      <c r="D83" s="745">
        <f t="shared" ref="D83:D114" si="18">MROUND(C83,10)</f>
        <v>460</v>
      </c>
      <c r="E83" s="860">
        <v>34.381</v>
      </c>
      <c r="F83" s="540">
        <f t="shared" si="15"/>
        <v>35</v>
      </c>
      <c r="G83" s="860">
        <v>8.6170000000000009</v>
      </c>
      <c r="H83" s="884">
        <f>MROUND(G83,1)</f>
        <v>9</v>
      </c>
      <c r="I83" s="860">
        <v>6.74</v>
      </c>
      <c r="J83" s="247">
        <f>MROUND(I83,1)</f>
        <v>7</v>
      </c>
      <c r="K83" s="860">
        <v>0</v>
      </c>
      <c r="L83" s="672">
        <v>0</v>
      </c>
      <c r="M83" s="860">
        <v>0</v>
      </c>
      <c r="N83" s="745">
        <v>0</v>
      </c>
      <c r="O83" s="860">
        <v>94.563000000000002</v>
      </c>
      <c r="P83" s="540">
        <f t="shared" si="17"/>
        <v>95</v>
      </c>
      <c r="Q83" s="860">
        <v>116.79900000000001</v>
      </c>
      <c r="R83" s="540">
        <f t="shared" si="14"/>
        <v>117</v>
      </c>
      <c r="S83" s="860">
        <v>1.079</v>
      </c>
      <c r="T83" s="247">
        <f>MROUND(S83,1)</f>
        <v>1</v>
      </c>
      <c r="U83" s="860">
        <v>110.09399999999999</v>
      </c>
      <c r="V83" s="540">
        <f t="shared" si="12"/>
        <v>110</v>
      </c>
      <c r="W83" s="860">
        <v>101.398</v>
      </c>
      <c r="X83" s="540">
        <f t="shared" si="13"/>
        <v>101</v>
      </c>
      <c r="Y83" s="860">
        <v>1.125</v>
      </c>
      <c r="Z83" s="247">
        <f t="shared" si="16"/>
        <v>1</v>
      </c>
      <c r="AA83" s="555">
        <v>1.288</v>
      </c>
      <c r="AB83" s="555">
        <v>0</v>
      </c>
      <c r="AC83" s="536">
        <v>17.683</v>
      </c>
      <c r="AD83" s="536">
        <v>1.36</v>
      </c>
      <c r="AE83" s="536">
        <v>1.2989999999999999</v>
      </c>
      <c r="AF83" s="536">
        <v>7.2160000000000002</v>
      </c>
      <c r="AG83" s="536">
        <v>72.459000000000003</v>
      </c>
      <c r="AH83" s="536">
        <v>1.542</v>
      </c>
    </row>
    <row r="84" spans="1:42" s="541" customFormat="1" ht="15" customHeight="1">
      <c r="A84" s="307" t="s">
        <v>92</v>
      </c>
      <c r="B84" s="186" t="s">
        <v>120</v>
      </c>
      <c r="C84" s="866">
        <v>519.88599999999997</v>
      </c>
      <c r="D84" s="745">
        <f t="shared" si="18"/>
        <v>520</v>
      </c>
      <c r="E84" s="866">
        <v>34.383000000000003</v>
      </c>
      <c r="F84" s="540">
        <f t="shared" si="15"/>
        <v>35</v>
      </c>
      <c r="G84" s="866">
        <v>8.5869999999999997</v>
      </c>
      <c r="H84" s="884">
        <f>MROUND(G84,1)</f>
        <v>9</v>
      </c>
      <c r="I84" s="866">
        <v>6.6970000000000001</v>
      </c>
      <c r="J84" s="247">
        <f>MROUND(I84,1)</f>
        <v>7</v>
      </c>
      <c r="K84" s="866">
        <v>0</v>
      </c>
      <c r="L84" s="672">
        <v>0</v>
      </c>
      <c r="M84" s="866">
        <v>0</v>
      </c>
      <c r="N84" s="745">
        <v>0</v>
      </c>
      <c r="O84" s="866">
        <v>109.099</v>
      </c>
      <c r="P84" s="540">
        <f t="shared" si="17"/>
        <v>110</v>
      </c>
      <c r="Q84" s="866">
        <v>130.916</v>
      </c>
      <c r="R84" s="540">
        <f t="shared" si="14"/>
        <v>131</v>
      </c>
      <c r="S84" s="866">
        <v>1.117</v>
      </c>
      <c r="T84" s="247">
        <f>MROUND(S84,1)</f>
        <v>1</v>
      </c>
      <c r="U84" s="866">
        <v>122.179</v>
      </c>
      <c r="V84" s="540">
        <f t="shared" si="12"/>
        <v>122</v>
      </c>
      <c r="W84" s="866">
        <v>113.283</v>
      </c>
      <c r="X84" s="540">
        <f t="shared" si="13"/>
        <v>113</v>
      </c>
      <c r="Y84" s="866">
        <v>1.212</v>
      </c>
      <c r="Z84" s="247">
        <f t="shared" si="16"/>
        <v>1</v>
      </c>
      <c r="AA84" s="561">
        <v>3.2000000000000001E-2</v>
      </c>
      <c r="AB84" s="561">
        <v>0.16</v>
      </c>
      <c r="AC84" s="758">
        <v>19.07</v>
      </c>
      <c r="AD84" s="758">
        <v>1.4670000000000001</v>
      </c>
      <c r="AE84" s="758">
        <v>1.3540000000000001</v>
      </c>
      <c r="AF84" s="758">
        <v>7.52</v>
      </c>
      <c r="AG84" s="758">
        <v>88.635000000000005</v>
      </c>
      <c r="AH84" s="758">
        <v>1.8859999999999999</v>
      </c>
      <c r="AI84" s="753"/>
    </row>
    <row r="85" spans="1:42" s="212" customFormat="1" ht="31.75">
      <c r="A85" s="307" t="s">
        <v>92</v>
      </c>
      <c r="B85" s="186" t="s">
        <v>318</v>
      </c>
      <c r="C85" s="880">
        <v>534.29399999999998</v>
      </c>
      <c r="D85" s="745">
        <f t="shared" si="18"/>
        <v>530</v>
      </c>
      <c r="E85" s="880">
        <v>4.2759999999999998</v>
      </c>
      <c r="F85" s="745">
        <v>0</v>
      </c>
      <c r="G85" s="880">
        <v>5.0119999999999996</v>
      </c>
      <c r="H85" s="884">
        <f>MROUND(G85,0.5)</f>
        <v>5</v>
      </c>
      <c r="I85" s="880">
        <v>4.4880000000000004</v>
      </c>
      <c r="J85" s="745">
        <f>MROUND(I85,0.5)</f>
        <v>4.5</v>
      </c>
      <c r="K85" s="880">
        <v>0.155</v>
      </c>
      <c r="L85" s="672">
        <v>0</v>
      </c>
      <c r="M85" s="880">
        <v>0</v>
      </c>
      <c r="N85" s="745">
        <v>0</v>
      </c>
      <c r="O85" s="880">
        <v>130.35400000000001</v>
      </c>
      <c r="P85" s="540">
        <f t="shared" si="17"/>
        <v>130</v>
      </c>
      <c r="Q85" s="880">
        <v>125.127</v>
      </c>
      <c r="R85" s="540">
        <f t="shared" si="14"/>
        <v>125</v>
      </c>
      <c r="S85" s="880">
        <v>1.389</v>
      </c>
      <c r="T85" s="247">
        <f>MROUND(S85,1)</f>
        <v>1</v>
      </c>
      <c r="U85" s="880">
        <v>117.355</v>
      </c>
      <c r="V85" s="540">
        <f t="shared" si="12"/>
        <v>117</v>
      </c>
      <c r="W85" s="880">
        <v>116.724</v>
      </c>
      <c r="X85" s="540">
        <f t="shared" si="13"/>
        <v>117</v>
      </c>
      <c r="Y85" s="880">
        <v>1.2589999999999999</v>
      </c>
      <c r="Z85" s="247">
        <f t="shared" si="16"/>
        <v>1</v>
      </c>
      <c r="AA85" s="760">
        <v>6.0000000000000001E-3</v>
      </c>
      <c r="AB85" s="760">
        <v>3.1E-2</v>
      </c>
      <c r="AC85" s="760">
        <v>21.25</v>
      </c>
      <c r="AD85" s="760">
        <v>1.635</v>
      </c>
      <c r="AE85" s="760">
        <v>0.92900000000000005</v>
      </c>
      <c r="AF85" s="760">
        <v>5.1630000000000003</v>
      </c>
      <c r="AG85" s="760">
        <v>113.167</v>
      </c>
      <c r="AH85" s="760">
        <v>2.4079999999999999</v>
      </c>
      <c r="AI85" s="541"/>
      <c r="AJ85" s="541"/>
      <c r="AK85" s="541"/>
      <c r="AL85" s="541"/>
      <c r="AM85" s="541"/>
      <c r="AN85" s="541"/>
      <c r="AO85" s="541"/>
      <c r="AP85" s="541"/>
    </row>
    <row r="86" spans="1:42" s="541" customFormat="1" ht="15" customHeight="1">
      <c r="A86" s="307" t="s">
        <v>92</v>
      </c>
      <c r="B86" s="186" t="s">
        <v>100</v>
      </c>
      <c r="C86" s="860">
        <v>522.09900000000005</v>
      </c>
      <c r="D86" s="745">
        <f t="shared" si="18"/>
        <v>520</v>
      </c>
      <c r="E86" s="860">
        <v>29.806000000000001</v>
      </c>
      <c r="F86" s="540">
        <f t="shared" ref="F86:F91" si="19">MROUND(E86,5)</f>
        <v>30</v>
      </c>
      <c r="G86" s="860">
        <v>8.0920000000000005</v>
      </c>
      <c r="H86" s="884">
        <f>MROUND(G86,1)</f>
        <v>8</v>
      </c>
      <c r="I86" s="860">
        <v>6.9219999999999997</v>
      </c>
      <c r="J86" s="247">
        <f>MROUND(I86,1)</f>
        <v>7</v>
      </c>
      <c r="K86" s="860">
        <v>4.0000000000000001E-3</v>
      </c>
      <c r="L86" s="672">
        <v>0</v>
      </c>
      <c r="M86" s="860">
        <v>1E-3</v>
      </c>
      <c r="N86" s="745">
        <v>0</v>
      </c>
      <c r="O86" s="860">
        <v>134.374</v>
      </c>
      <c r="P86" s="540">
        <f t="shared" si="17"/>
        <v>135</v>
      </c>
      <c r="Q86" s="860">
        <v>122.393</v>
      </c>
      <c r="R86" s="540">
        <f t="shared" si="14"/>
        <v>122</v>
      </c>
      <c r="S86" s="860">
        <v>1.161</v>
      </c>
      <c r="T86" s="247">
        <f>MROUND(S86,1)</f>
        <v>1</v>
      </c>
      <c r="U86" s="860">
        <v>112.923</v>
      </c>
      <c r="V86" s="540">
        <f t="shared" si="12"/>
        <v>113</v>
      </c>
      <c r="W86" s="860">
        <v>105.55800000000001</v>
      </c>
      <c r="X86" s="540">
        <f t="shared" si="13"/>
        <v>106</v>
      </c>
      <c r="Y86" s="860">
        <v>1.274</v>
      </c>
      <c r="Z86" s="247">
        <f t="shared" si="16"/>
        <v>1</v>
      </c>
      <c r="AA86" s="536">
        <v>0.64500000000000002</v>
      </c>
      <c r="AB86" s="536">
        <v>0</v>
      </c>
      <c r="AC86" s="536">
        <v>22.381</v>
      </c>
      <c r="AD86" s="536">
        <v>1.722</v>
      </c>
      <c r="AE86" s="536">
        <v>1.0620000000000001</v>
      </c>
      <c r="AF86" s="536">
        <v>5.9009999999999998</v>
      </c>
      <c r="AG86" s="536">
        <v>160.98400000000001</v>
      </c>
      <c r="AH86" s="536">
        <v>3.4249999999999998</v>
      </c>
      <c r="AI86" s="195"/>
      <c r="AJ86" s="212"/>
      <c r="AK86" s="212"/>
      <c r="AL86" s="212"/>
      <c r="AM86" s="212"/>
      <c r="AN86" s="212"/>
      <c r="AO86" s="212"/>
      <c r="AP86" s="212"/>
    </row>
    <row r="87" spans="1:42" s="541" customFormat="1" ht="15" customHeight="1">
      <c r="A87" s="307" t="s">
        <v>92</v>
      </c>
      <c r="B87" s="186" t="s">
        <v>182</v>
      </c>
      <c r="C87" s="866">
        <v>590.30600000000004</v>
      </c>
      <c r="D87" s="745">
        <f t="shared" si="18"/>
        <v>590</v>
      </c>
      <c r="E87" s="866">
        <v>39.588000000000001</v>
      </c>
      <c r="F87" s="540">
        <f t="shared" si="19"/>
        <v>40</v>
      </c>
      <c r="G87" s="866">
        <v>9.2070000000000007</v>
      </c>
      <c r="H87" s="884">
        <f>MROUND(G87,1)</f>
        <v>9</v>
      </c>
      <c r="I87" s="866">
        <v>6.98</v>
      </c>
      <c r="J87" s="247">
        <f>MROUND(I87,1)</f>
        <v>7</v>
      </c>
      <c r="K87" s="866">
        <v>0</v>
      </c>
      <c r="L87" s="672">
        <v>0</v>
      </c>
      <c r="M87" s="866">
        <v>3.77</v>
      </c>
      <c r="N87" s="195" t="s">
        <v>332</v>
      </c>
      <c r="O87" s="866">
        <v>177.59200000000001</v>
      </c>
      <c r="P87" s="540">
        <f>MROUND(O87,10)</f>
        <v>180</v>
      </c>
      <c r="Q87" s="866">
        <v>126.485</v>
      </c>
      <c r="R87" s="540">
        <f t="shared" si="14"/>
        <v>126</v>
      </c>
      <c r="S87" s="866">
        <v>0.80500000000000005</v>
      </c>
      <c r="T87" s="886" t="s">
        <v>303</v>
      </c>
      <c r="U87" s="866">
        <v>112.744</v>
      </c>
      <c r="V87" s="540">
        <f t="shared" si="12"/>
        <v>113</v>
      </c>
      <c r="W87" s="866">
        <v>112.309</v>
      </c>
      <c r="X87" s="540">
        <f t="shared" si="13"/>
        <v>112</v>
      </c>
      <c r="Y87" s="866">
        <v>1.6579999999999999</v>
      </c>
      <c r="Z87" s="247">
        <f t="shared" si="16"/>
        <v>2</v>
      </c>
      <c r="AA87" s="700">
        <v>1E-3</v>
      </c>
      <c r="AB87" s="700">
        <v>6.0000000000000001E-3</v>
      </c>
      <c r="AC87" s="700">
        <v>24.472999999999999</v>
      </c>
      <c r="AD87" s="700">
        <v>1.883</v>
      </c>
      <c r="AE87" s="700">
        <v>0.86499999999999999</v>
      </c>
      <c r="AF87" s="700">
        <v>4.8079999999999998</v>
      </c>
      <c r="AG87" s="700">
        <v>129.41</v>
      </c>
      <c r="AH87" s="700">
        <v>2.7530000000000001</v>
      </c>
      <c r="AI87" s="683"/>
      <c r="AJ87" s="683"/>
      <c r="AK87" s="683"/>
      <c r="AL87" s="683"/>
      <c r="AM87" s="683"/>
      <c r="AN87" s="683"/>
      <c r="AO87" s="683"/>
      <c r="AP87" s="683"/>
    </row>
    <row r="88" spans="1:42" s="541" customFormat="1" ht="31.75">
      <c r="A88" s="307" t="s">
        <v>92</v>
      </c>
      <c r="B88" s="186" t="s">
        <v>104</v>
      </c>
      <c r="C88" s="861">
        <v>590.30600000000004</v>
      </c>
      <c r="D88" s="745">
        <f t="shared" si="18"/>
        <v>590</v>
      </c>
      <c r="E88" s="861">
        <v>39.588000000000001</v>
      </c>
      <c r="F88" s="540">
        <f t="shared" si="19"/>
        <v>40</v>
      </c>
      <c r="G88" s="861">
        <v>9.2070000000000007</v>
      </c>
      <c r="H88" s="884">
        <f>MROUND(G88,1)</f>
        <v>9</v>
      </c>
      <c r="I88" s="861">
        <v>6.98</v>
      </c>
      <c r="J88" s="247">
        <f>MROUND(I88,1)</f>
        <v>7</v>
      </c>
      <c r="K88" s="861">
        <v>0</v>
      </c>
      <c r="L88" s="672">
        <v>0</v>
      </c>
      <c r="M88" s="861">
        <v>3.77</v>
      </c>
      <c r="N88" s="195" t="s">
        <v>332</v>
      </c>
      <c r="O88" s="861">
        <v>177.59200000000001</v>
      </c>
      <c r="P88" s="540">
        <f>MROUND(O88,10)</f>
        <v>180</v>
      </c>
      <c r="Q88" s="861">
        <v>126.485</v>
      </c>
      <c r="R88" s="540">
        <f t="shared" si="14"/>
        <v>126</v>
      </c>
      <c r="S88" s="861">
        <v>0.80500000000000005</v>
      </c>
      <c r="T88" s="886" t="s">
        <v>303</v>
      </c>
      <c r="U88" s="861">
        <v>112.744</v>
      </c>
      <c r="V88" s="540">
        <f t="shared" si="12"/>
        <v>113</v>
      </c>
      <c r="W88" s="861">
        <v>112.309</v>
      </c>
      <c r="X88" s="540">
        <f t="shared" si="13"/>
        <v>112</v>
      </c>
      <c r="Y88" s="861">
        <v>1.6579999999999999</v>
      </c>
      <c r="Z88" s="247">
        <f t="shared" si="16"/>
        <v>2</v>
      </c>
      <c r="AA88" s="1131">
        <v>1E-3</v>
      </c>
      <c r="AB88" s="1131">
        <v>6.0000000000000001E-3</v>
      </c>
      <c r="AC88" s="1131">
        <v>24.472999999999999</v>
      </c>
      <c r="AD88" s="1131">
        <v>1.883</v>
      </c>
      <c r="AE88" s="1131">
        <v>0.86499999999999999</v>
      </c>
      <c r="AF88" s="1131">
        <v>4.8079999999999998</v>
      </c>
      <c r="AG88" s="1131">
        <v>129.41</v>
      </c>
      <c r="AH88" s="1131">
        <v>2.7530000000000001</v>
      </c>
      <c r="AI88" s="683"/>
      <c r="AJ88" s="683"/>
      <c r="AK88" s="683"/>
      <c r="AL88" s="683"/>
      <c r="AM88" s="683"/>
      <c r="AN88" s="683"/>
      <c r="AO88" s="683"/>
      <c r="AP88" s="683"/>
    </row>
    <row r="89" spans="1:42" ht="14.25" customHeight="1">
      <c r="A89" s="307" t="s">
        <v>92</v>
      </c>
      <c r="B89" s="186" t="s">
        <v>101</v>
      </c>
      <c r="C89" s="860">
        <v>497.71899999999999</v>
      </c>
      <c r="D89" s="745">
        <f t="shared" si="18"/>
        <v>500</v>
      </c>
      <c r="E89" s="860">
        <v>46.822000000000003</v>
      </c>
      <c r="F89" s="540">
        <f t="shared" si="19"/>
        <v>45</v>
      </c>
      <c r="G89" s="860">
        <v>10.061999999999999</v>
      </c>
      <c r="H89" s="884">
        <f>MROUND(G89,1)</f>
        <v>10</v>
      </c>
      <c r="I89" s="860">
        <v>8.0939999999999994</v>
      </c>
      <c r="J89" s="247">
        <f>MROUND(I89,1)</f>
        <v>8</v>
      </c>
      <c r="K89" s="860">
        <v>0</v>
      </c>
      <c r="L89" s="672">
        <v>0</v>
      </c>
      <c r="M89" s="860">
        <v>1E-3</v>
      </c>
      <c r="N89" s="745">
        <v>0</v>
      </c>
      <c r="O89" s="860">
        <v>146.76499999999999</v>
      </c>
      <c r="P89" s="540">
        <f>MROUND(O89,10)</f>
        <v>150</v>
      </c>
      <c r="Q89" s="860">
        <v>120.675</v>
      </c>
      <c r="R89" s="540">
        <f t="shared" si="14"/>
        <v>121</v>
      </c>
      <c r="S89" s="860">
        <v>1.643</v>
      </c>
      <c r="T89" s="247">
        <f t="shared" ref="T89:T94" si="20">MROUND(S89,1)</f>
        <v>2</v>
      </c>
      <c r="U89" s="860">
        <v>111.791</v>
      </c>
      <c r="V89" s="540">
        <f t="shared" si="12"/>
        <v>112</v>
      </c>
      <c r="W89" s="860">
        <v>101.38</v>
      </c>
      <c r="X89" s="540">
        <f t="shared" si="13"/>
        <v>101</v>
      </c>
      <c r="Y89" s="860">
        <v>1.7949999999999999</v>
      </c>
      <c r="Z89" s="247">
        <f t="shared" si="16"/>
        <v>2</v>
      </c>
      <c r="AA89" s="555">
        <v>1.3089999999999999</v>
      </c>
      <c r="AB89" s="555">
        <v>0</v>
      </c>
      <c r="AC89" s="536">
        <v>27.661000000000001</v>
      </c>
      <c r="AD89" s="536">
        <v>2.1280000000000001</v>
      </c>
      <c r="AE89" s="536">
        <v>1.79</v>
      </c>
      <c r="AF89" s="536">
        <v>9.9459999999999997</v>
      </c>
      <c r="AG89" s="536">
        <v>135.58199999999999</v>
      </c>
      <c r="AH89" s="536">
        <v>2.8849999999999998</v>
      </c>
      <c r="AI89" s="212"/>
      <c r="AJ89" s="212"/>
      <c r="AK89" s="212"/>
      <c r="AL89" s="212"/>
      <c r="AM89" s="212"/>
      <c r="AN89" s="212"/>
      <c r="AO89" s="212"/>
      <c r="AP89" s="212"/>
    </row>
    <row r="90" spans="1:42" ht="31.75" hidden="1">
      <c r="A90" s="307" t="s">
        <v>296</v>
      </c>
      <c r="B90" s="186" t="s">
        <v>35</v>
      </c>
      <c r="C90" s="873">
        <v>583.23699999999997</v>
      </c>
      <c r="D90" s="672">
        <f t="shared" si="18"/>
        <v>580</v>
      </c>
      <c r="E90" s="873">
        <v>5.6509999999999998</v>
      </c>
      <c r="F90" s="540">
        <f t="shared" si="19"/>
        <v>5</v>
      </c>
      <c r="G90" s="873">
        <v>4.4530000000000003</v>
      </c>
      <c r="H90" s="884">
        <f>MROUND(G90,0.5)</f>
        <v>4.5</v>
      </c>
      <c r="I90" s="873">
        <v>2.6520000000000001</v>
      </c>
      <c r="J90" s="745">
        <f>MROUND(I90,0.5)</f>
        <v>2.5</v>
      </c>
      <c r="K90" s="873">
        <v>0</v>
      </c>
      <c r="L90" s="745">
        <v>0</v>
      </c>
      <c r="M90" s="873">
        <v>0</v>
      </c>
      <c r="N90" s="745">
        <v>0</v>
      </c>
      <c r="O90" s="873">
        <v>96.825000000000003</v>
      </c>
      <c r="P90" s="540">
        <f>MROUND(O90,5)</f>
        <v>95</v>
      </c>
      <c r="Q90" s="873">
        <v>141.453</v>
      </c>
      <c r="R90" s="540">
        <f t="shared" si="14"/>
        <v>141</v>
      </c>
      <c r="S90" s="873">
        <v>2.9990000000000001</v>
      </c>
      <c r="T90" s="247">
        <f t="shared" si="20"/>
        <v>3</v>
      </c>
      <c r="U90" s="873">
        <v>132.971</v>
      </c>
      <c r="V90" s="540">
        <f t="shared" si="12"/>
        <v>133</v>
      </c>
      <c r="W90" s="873">
        <v>132.45500000000001</v>
      </c>
      <c r="X90" s="540">
        <f t="shared" si="13"/>
        <v>132</v>
      </c>
      <c r="Y90" s="873">
        <v>1.855</v>
      </c>
      <c r="Z90" s="247">
        <f t="shared" si="16"/>
        <v>2</v>
      </c>
      <c r="AA90" s="670">
        <v>1.2110000000000001</v>
      </c>
      <c r="AB90" s="670">
        <v>0</v>
      </c>
      <c r="AC90" s="670">
        <v>28.138000000000002</v>
      </c>
      <c r="AD90" s="670">
        <v>2.1640000000000001</v>
      </c>
      <c r="AE90" s="670">
        <v>2.2309999999999999</v>
      </c>
      <c r="AF90" s="670">
        <v>12.395</v>
      </c>
      <c r="AG90" s="670">
        <v>196.446</v>
      </c>
      <c r="AH90" s="670">
        <v>4.18</v>
      </c>
    </row>
    <row r="91" spans="1:42" s="683" customFormat="1" ht="31.75">
      <c r="A91" s="307" t="s">
        <v>92</v>
      </c>
      <c r="B91" s="186" t="s">
        <v>105</v>
      </c>
      <c r="C91" s="860">
        <v>643.31500000000005</v>
      </c>
      <c r="D91" s="745">
        <f t="shared" si="18"/>
        <v>640</v>
      </c>
      <c r="E91" s="860">
        <v>41.88</v>
      </c>
      <c r="F91" s="540">
        <f t="shared" si="19"/>
        <v>40</v>
      </c>
      <c r="G91" s="860">
        <v>9.2360000000000007</v>
      </c>
      <c r="H91" s="884">
        <f>MROUND(G91,1)</f>
        <v>9</v>
      </c>
      <c r="I91" s="860">
        <v>6.3010000000000002</v>
      </c>
      <c r="J91" s="247">
        <f>MROUND(I91,1)</f>
        <v>6</v>
      </c>
      <c r="K91" s="860">
        <v>6.0999999999999999E-2</v>
      </c>
      <c r="L91" s="672">
        <v>0</v>
      </c>
      <c r="M91" s="860">
        <v>3.677</v>
      </c>
      <c r="N91" s="195" t="s">
        <v>332</v>
      </c>
      <c r="O91" s="860">
        <v>166.28200000000001</v>
      </c>
      <c r="P91" s="540">
        <f>MROUND(O91,10)</f>
        <v>170</v>
      </c>
      <c r="Q91" s="860">
        <v>148.21899999999999</v>
      </c>
      <c r="R91" s="540">
        <f t="shared" si="14"/>
        <v>148</v>
      </c>
      <c r="S91" s="860">
        <v>2.577</v>
      </c>
      <c r="T91" s="247">
        <f t="shared" si="20"/>
        <v>3</v>
      </c>
      <c r="U91" s="860">
        <v>131.93100000000001</v>
      </c>
      <c r="V91" s="540">
        <f t="shared" si="12"/>
        <v>132</v>
      </c>
      <c r="W91" s="860">
        <v>121.31399999999999</v>
      </c>
      <c r="X91" s="540">
        <f t="shared" si="13"/>
        <v>121</v>
      </c>
      <c r="Y91" s="860">
        <v>2.7949999999999999</v>
      </c>
      <c r="Z91" s="247">
        <f t="shared" si="16"/>
        <v>3</v>
      </c>
      <c r="AA91" s="555">
        <v>0.66600000000000004</v>
      </c>
      <c r="AB91" s="555">
        <v>0</v>
      </c>
      <c r="AC91" s="536">
        <v>28.140999999999998</v>
      </c>
      <c r="AD91" s="536">
        <v>2.165</v>
      </c>
      <c r="AE91" s="536">
        <v>1.4319999999999999</v>
      </c>
      <c r="AF91" s="536">
        <v>7.9740000000000002</v>
      </c>
      <c r="AG91" s="536">
        <v>224.29400000000001</v>
      </c>
      <c r="AH91" s="536">
        <v>4.7720000000000002</v>
      </c>
      <c r="AI91" s="179"/>
      <c r="AJ91" s="179"/>
      <c r="AK91" s="179"/>
      <c r="AL91" s="179"/>
      <c r="AM91" s="179"/>
      <c r="AN91" s="179"/>
      <c r="AO91" s="179"/>
      <c r="AP91" s="179"/>
    </row>
    <row r="92" spans="1:42" ht="15" customHeight="1">
      <c r="A92" s="307" t="s">
        <v>92</v>
      </c>
      <c r="B92" s="186" t="s">
        <v>319</v>
      </c>
      <c r="C92" s="860">
        <v>654.62400000000002</v>
      </c>
      <c r="D92" s="745">
        <f t="shared" si="18"/>
        <v>650</v>
      </c>
      <c r="E92" s="860">
        <v>92.736000000000004</v>
      </c>
      <c r="F92" s="195">
        <f>MROUND(E92,10)</f>
        <v>90</v>
      </c>
      <c r="G92" s="860">
        <v>14.997999999999999</v>
      </c>
      <c r="H92" s="884">
        <f>MROUND(G92,1)</f>
        <v>15</v>
      </c>
      <c r="I92" s="860">
        <v>6.0629999999999997</v>
      </c>
      <c r="J92" s="247">
        <f>MROUND(I92,1)</f>
        <v>6</v>
      </c>
      <c r="K92" s="860">
        <v>0</v>
      </c>
      <c r="L92" s="672">
        <v>0</v>
      </c>
      <c r="M92" s="860">
        <v>0</v>
      </c>
      <c r="N92" s="745">
        <v>0</v>
      </c>
      <c r="O92" s="860">
        <v>186.48400000000001</v>
      </c>
      <c r="P92" s="540">
        <f>MROUND(O92,10)</f>
        <v>190</v>
      </c>
      <c r="Q92" s="860">
        <v>129.10900000000001</v>
      </c>
      <c r="R92" s="540">
        <f t="shared" si="14"/>
        <v>129</v>
      </c>
      <c r="S92" s="860">
        <v>1.1990000000000001</v>
      </c>
      <c r="T92" s="247">
        <f t="shared" si="20"/>
        <v>1</v>
      </c>
      <c r="U92" s="860">
        <v>122.485</v>
      </c>
      <c r="V92" s="540">
        <f t="shared" si="12"/>
        <v>122</v>
      </c>
      <c r="W92" s="860">
        <v>121.70699999999999</v>
      </c>
      <c r="X92" s="540">
        <f t="shared" si="13"/>
        <v>122</v>
      </c>
      <c r="Y92" s="860">
        <v>3.8210000000000002</v>
      </c>
      <c r="Z92" s="247">
        <f t="shared" si="16"/>
        <v>4</v>
      </c>
      <c r="AA92" s="555">
        <v>0</v>
      </c>
      <c r="AB92" s="555">
        <v>0</v>
      </c>
      <c r="AC92" s="561">
        <v>26.696999999999999</v>
      </c>
      <c r="AD92" s="561">
        <v>2.0539999999999998</v>
      </c>
      <c r="AE92" s="561">
        <v>1.1639999999999999</v>
      </c>
      <c r="AF92" s="561">
        <v>6.4649999999999999</v>
      </c>
      <c r="AG92" s="561">
        <v>127.089</v>
      </c>
      <c r="AH92" s="561">
        <v>2.7040000000000002</v>
      </c>
    </row>
    <row r="93" spans="1:42" s="683" customFormat="1" ht="14.25" hidden="1" customHeight="1">
      <c r="A93" s="307" t="s">
        <v>296</v>
      </c>
      <c r="B93" s="521" t="s">
        <v>333</v>
      </c>
      <c r="C93" s="873">
        <v>621.70699999999999</v>
      </c>
      <c r="D93" s="672">
        <f t="shared" si="18"/>
        <v>620</v>
      </c>
      <c r="E93" s="873">
        <v>5.6420000000000003</v>
      </c>
      <c r="F93" s="540">
        <f>MROUND(E93,5)</f>
        <v>5</v>
      </c>
      <c r="G93" s="873">
        <v>10.952999999999999</v>
      </c>
      <c r="H93" s="884">
        <f>MROUND(G93,1)</f>
        <v>11</v>
      </c>
      <c r="I93" s="873">
        <v>2.085</v>
      </c>
      <c r="J93" s="745">
        <f>MROUND(I93,0.5)</f>
        <v>2</v>
      </c>
      <c r="K93" s="873">
        <v>0</v>
      </c>
      <c r="L93" s="745">
        <v>0</v>
      </c>
      <c r="M93" s="873">
        <v>0</v>
      </c>
      <c r="N93" s="745">
        <v>0</v>
      </c>
      <c r="O93" s="873">
        <v>142.417</v>
      </c>
      <c r="P93" s="540">
        <f>MROUND(O93,10)</f>
        <v>140</v>
      </c>
      <c r="Q93" s="873">
        <v>132.98699999999999</v>
      </c>
      <c r="R93" s="540">
        <f t="shared" si="14"/>
        <v>133</v>
      </c>
      <c r="S93" s="873">
        <v>2.9550000000000001</v>
      </c>
      <c r="T93" s="247">
        <f t="shared" si="20"/>
        <v>3</v>
      </c>
      <c r="U93" s="873">
        <v>126.423</v>
      </c>
      <c r="V93" s="540">
        <f t="shared" si="12"/>
        <v>126</v>
      </c>
      <c r="W93" s="873">
        <v>125.38500000000001</v>
      </c>
      <c r="X93" s="540">
        <f t="shared" si="13"/>
        <v>125</v>
      </c>
      <c r="Y93" s="873">
        <v>4.5190000000000001</v>
      </c>
      <c r="Z93" s="247">
        <f t="shared" si="16"/>
        <v>5</v>
      </c>
      <c r="AA93" s="670">
        <v>0.32800000000000001</v>
      </c>
      <c r="AB93" s="670">
        <v>0</v>
      </c>
      <c r="AC93" s="670">
        <v>34.741</v>
      </c>
      <c r="AD93" s="670">
        <v>2.6720000000000002</v>
      </c>
      <c r="AE93" s="670">
        <v>1.577</v>
      </c>
      <c r="AF93" s="670">
        <v>8.7609999999999992</v>
      </c>
      <c r="AG93" s="670">
        <v>224.87799999999999</v>
      </c>
      <c r="AH93" s="670">
        <v>4.7850000000000001</v>
      </c>
      <c r="AI93" s="179"/>
      <c r="AJ93" s="179"/>
      <c r="AK93" s="179"/>
      <c r="AL93" s="179"/>
      <c r="AM93" s="179"/>
      <c r="AN93" s="179"/>
      <c r="AO93" s="179"/>
      <c r="AP93" s="179"/>
    </row>
    <row r="94" spans="1:42" ht="32.15" thickBot="1">
      <c r="A94" s="307" t="s">
        <v>92</v>
      </c>
      <c r="B94" s="263" t="s">
        <v>99</v>
      </c>
      <c r="C94" s="860">
        <v>552.43299999999999</v>
      </c>
      <c r="D94" s="745">
        <f t="shared" si="18"/>
        <v>550</v>
      </c>
      <c r="E94" s="860">
        <v>67.787000000000006</v>
      </c>
      <c r="F94" s="195">
        <f>MROUND(E94,10)</f>
        <v>70</v>
      </c>
      <c r="G94" s="860">
        <v>12.314</v>
      </c>
      <c r="H94" s="884">
        <f>MROUND(G94,1)</f>
        <v>12</v>
      </c>
      <c r="I94" s="860">
        <v>9.1199999999999992</v>
      </c>
      <c r="J94" s="247">
        <f>MROUND(I94,1)</f>
        <v>9</v>
      </c>
      <c r="K94" s="860">
        <v>7.8E-2</v>
      </c>
      <c r="L94" s="672">
        <v>0</v>
      </c>
      <c r="M94" s="860">
        <v>9.2509999999999994</v>
      </c>
      <c r="N94" s="871">
        <f>MROUND(M94,5)</f>
        <v>10</v>
      </c>
      <c r="O94" s="860">
        <v>122.815</v>
      </c>
      <c r="P94" s="540">
        <f>MROUND(O94,5)</f>
        <v>125</v>
      </c>
      <c r="Q94" s="860">
        <v>128.91200000000001</v>
      </c>
      <c r="R94" s="540">
        <f t="shared" si="14"/>
        <v>129</v>
      </c>
      <c r="S94" s="860">
        <v>1.1140000000000001</v>
      </c>
      <c r="T94" s="247">
        <f t="shared" si="20"/>
        <v>1</v>
      </c>
      <c r="U94" s="860">
        <v>116.6</v>
      </c>
      <c r="V94" s="540">
        <f t="shared" si="12"/>
        <v>117</v>
      </c>
      <c r="W94" s="860">
        <v>107.501</v>
      </c>
      <c r="X94" s="540">
        <f t="shared" si="13"/>
        <v>108</v>
      </c>
      <c r="Y94" s="860">
        <v>1.7490000000000001</v>
      </c>
      <c r="Z94" s="247">
        <f t="shared" ref="Z94" si="21">MROUND(Y94,1)</f>
        <v>2</v>
      </c>
      <c r="AA94" s="555">
        <v>3.2000000000000001E-2</v>
      </c>
      <c r="AB94" s="555">
        <v>0.161</v>
      </c>
      <c r="AC94" s="536">
        <v>36.393000000000001</v>
      </c>
      <c r="AD94" s="536">
        <v>2.7989999999999999</v>
      </c>
      <c r="AE94" s="536">
        <v>1.3320000000000001</v>
      </c>
      <c r="AF94" s="536">
        <v>7.399</v>
      </c>
      <c r="AG94" s="536">
        <v>87.376000000000005</v>
      </c>
      <c r="AH94" s="536">
        <v>1.859</v>
      </c>
      <c r="AI94" s="212"/>
      <c r="AJ94" s="212"/>
      <c r="AK94" s="212"/>
      <c r="AL94" s="212"/>
      <c r="AM94" s="212"/>
      <c r="AN94" s="212"/>
      <c r="AO94" s="212"/>
      <c r="AP94" s="212"/>
    </row>
    <row r="95" spans="1:42" s="248" customFormat="1">
      <c r="A95" s="227"/>
      <c r="B95" s="280"/>
      <c r="C95" s="883"/>
      <c r="D95" s="179"/>
      <c r="E95" s="883"/>
      <c r="F95" s="179"/>
      <c r="G95" s="883"/>
      <c r="H95" s="179"/>
      <c r="I95" s="883"/>
      <c r="J95" s="179"/>
      <c r="K95" s="883"/>
      <c r="L95" s="179"/>
      <c r="M95" s="883"/>
      <c r="N95" s="179"/>
      <c r="O95" s="883"/>
      <c r="P95" s="179"/>
      <c r="Q95" s="883"/>
      <c r="R95" s="179"/>
      <c r="S95" s="883"/>
      <c r="T95" s="179"/>
      <c r="U95" s="883"/>
      <c r="V95" s="179"/>
      <c r="W95" s="883"/>
      <c r="X95" s="179"/>
      <c r="Y95" s="883"/>
      <c r="Z95" s="179"/>
      <c r="AA95" s="570"/>
      <c r="AB95" s="570"/>
      <c r="AC95" s="570"/>
      <c r="AD95" s="570"/>
      <c r="AE95" s="570"/>
      <c r="AF95" s="570"/>
      <c r="AG95" s="570"/>
      <c r="AH95" s="570"/>
    </row>
    <row r="96" spans="1:42" s="212" customFormat="1" ht="51.75" customHeight="1">
      <c r="B96" s="1197" t="s">
        <v>168</v>
      </c>
      <c r="C96" s="1197"/>
      <c r="D96" s="1197"/>
      <c r="E96" s="1197"/>
      <c r="F96" s="1197"/>
      <c r="G96" s="1197"/>
      <c r="H96" s="1197"/>
      <c r="I96" s="1197"/>
      <c r="J96" s="1197"/>
      <c r="K96" s="1197"/>
      <c r="L96" s="1197"/>
      <c r="M96" s="1197"/>
      <c r="N96" s="1197"/>
      <c r="O96" s="1197"/>
      <c r="P96" s="1197"/>
      <c r="Q96" s="1197"/>
      <c r="R96" s="1197"/>
      <c r="S96" s="1197"/>
      <c r="T96" s="1197"/>
      <c r="U96" s="1197"/>
      <c r="V96" s="1197"/>
      <c r="W96" s="1197"/>
      <c r="X96" s="1197"/>
      <c r="Y96" s="1197"/>
      <c r="Z96" s="1197"/>
      <c r="AA96" s="1197"/>
      <c r="AB96" s="1197"/>
      <c r="AC96" s="1197"/>
      <c r="AD96" s="1197"/>
      <c r="AE96" s="1197"/>
      <c r="AF96" s="1197"/>
      <c r="AG96" s="1197"/>
      <c r="AH96" s="1197"/>
    </row>
    <row r="98" spans="1:34" hidden="1">
      <c r="B98" s="191" t="s">
        <v>184</v>
      </c>
      <c r="C98" s="867">
        <f>AVERAGE(C4:C59)</f>
        <v>397.2544464285715</v>
      </c>
      <c r="D98" s="191"/>
      <c r="E98" s="867">
        <f>AVERAGE(E4:E59)</f>
        <v>0.71174999999999999</v>
      </c>
      <c r="F98" s="191"/>
      <c r="G98" s="867">
        <f>AVERAGE(G4:G59)</f>
        <v>0.20293214285714287</v>
      </c>
      <c r="H98" s="191"/>
      <c r="I98" s="867">
        <f>AVERAGE(I4:I59)</f>
        <v>4.3374999999999983E-2</v>
      </c>
      <c r="J98" s="191"/>
      <c r="K98" s="867">
        <f>AVERAGE(K4:K59)</f>
        <v>3.3392857142857143E-3</v>
      </c>
      <c r="L98" s="191"/>
      <c r="M98" s="867">
        <f>AVERAGE(M4:M59)</f>
        <v>0</v>
      </c>
      <c r="N98" s="191"/>
      <c r="O98" s="867">
        <f>AVERAGE(O4:O59)</f>
        <v>61.076821428571421</v>
      </c>
      <c r="P98" s="191"/>
      <c r="Q98" s="867">
        <f>AVERAGE(Q4:Q59)</f>
        <v>98.849749999999972</v>
      </c>
      <c r="R98" s="191"/>
      <c r="S98" s="867">
        <f>AVERAGE(S4:S59)</f>
        <v>0.13751785714285711</v>
      </c>
      <c r="T98" s="191"/>
      <c r="U98" s="867">
        <f>AVERAGE(U4:U59)</f>
        <v>90.173571428571449</v>
      </c>
      <c r="V98" s="191"/>
      <c r="W98" s="867">
        <f>AVERAGE(W4:W59)</f>
        <v>86.866267857142859</v>
      </c>
      <c r="X98" s="191"/>
      <c r="Y98" s="867">
        <f>AVERAGE(Y4:Y59)</f>
        <v>9.6107142857142863E-2</v>
      </c>
      <c r="Z98" s="191"/>
      <c r="AA98" s="191">
        <f t="shared" ref="AA98:AH98" si="22">AVERAGE(AA4:AA59)</f>
        <v>2.1892857142857141E-2</v>
      </c>
      <c r="AB98" s="191">
        <f t="shared" si="22"/>
        <v>0.10944642857142857</v>
      </c>
      <c r="AC98" s="191">
        <f t="shared" si="22"/>
        <v>14.226839285714288</v>
      </c>
      <c r="AD98" s="191">
        <f t="shared" si="22"/>
        <v>1.0806785714285714</v>
      </c>
      <c r="AE98" s="191">
        <f t="shared" si="22"/>
        <v>0.1168214285714286</v>
      </c>
      <c r="AF98" s="191">
        <f t="shared" si="22"/>
        <v>0.56244642857142846</v>
      </c>
      <c r="AG98" s="191">
        <f t="shared" si="22"/>
        <v>18.914571428571428</v>
      </c>
      <c r="AH98" s="191">
        <f t="shared" si="22"/>
        <v>0.36817857142857152</v>
      </c>
    </row>
    <row r="99" spans="1:34" hidden="1">
      <c r="A99" s="212"/>
      <c r="B99" s="191" t="s">
        <v>185</v>
      </c>
      <c r="C99" s="867" t="str">
        <f xml:space="preserve"> ROUND(MIN(C4:C59),0) &amp; " - " &amp; ROUND(MAX(C4:C59),0)</f>
        <v>136 - 575</v>
      </c>
      <c r="D99" s="191"/>
      <c r="E99" s="867" t="str">
        <f xml:space="preserve"> ROUND(MIN(E4:E59),0) &amp; " - " &amp; ROUND(MAX(E4:E59),0)</f>
        <v>0 - 23</v>
      </c>
      <c r="F99" s="191"/>
      <c r="G99" s="867" t="str">
        <f xml:space="preserve"> ROUND(MIN(G4:G59),0) &amp; " - " &amp; ROUND(MAX(G4:G59),0)</f>
        <v>0 - 5</v>
      </c>
      <c r="H99" s="191"/>
      <c r="I99" s="867" t="str">
        <f xml:space="preserve"> ROUND(MIN(I4:I59),0) &amp; " - " &amp; ROUND(MAX(I4:I59),0)</f>
        <v>0 - 2</v>
      </c>
      <c r="J99" s="191"/>
      <c r="K99" s="867" t="str">
        <f xml:space="preserve"> ROUND(MIN(K4:K59),0) &amp; " - " &amp; ROUND(MAX(K4:K59),0)</f>
        <v>0 - 0</v>
      </c>
      <c r="L99" s="191"/>
      <c r="M99" s="867" t="str">
        <f xml:space="preserve"> ROUND(MIN(M4:M59),0) &amp; " - " &amp; ROUND(MAX(M4:M59),0)</f>
        <v>0 - 0</v>
      </c>
      <c r="N99" s="191"/>
      <c r="O99" s="867" t="str">
        <f xml:space="preserve"> ROUND(MIN(O4:O59),0) &amp; " - " &amp; ROUND(MAX(O4:O59),0)</f>
        <v>18 - 188</v>
      </c>
      <c r="P99" s="191"/>
      <c r="Q99" s="867" t="str">
        <f xml:space="preserve"> ROUND(MIN(Q4:Q59),0) &amp; " - " &amp; ROUND(MAX(Q4:Q59),0)</f>
        <v>12 - 138</v>
      </c>
      <c r="R99" s="191"/>
      <c r="S99" s="867" t="str">
        <f xml:space="preserve"> ROUND(MIN(S4:S59),0) &amp; " - " &amp; ROUND(MAX(S4:S59),0)</f>
        <v>0 - 1</v>
      </c>
      <c r="T99" s="191"/>
      <c r="U99" s="867" t="str">
        <f xml:space="preserve"> ROUND(MIN(U4:U59),0) &amp; " - " &amp; ROUND(MAX(U4:U59),0)</f>
        <v>0 - 122</v>
      </c>
      <c r="V99" s="191"/>
      <c r="W99" s="867" t="str">
        <f xml:space="preserve"> ROUND(MIN(W4:W59),0) &amp; " - " &amp; ROUND(MAX(W4:W59),0)</f>
        <v>0 - 114</v>
      </c>
      <c r="X99" s="191"/>
      <c r="Y99" s="867" t="str">
        <f xml:space="preserve"> ROUND(MIN(Y4:Y59),0) &amp; " - " &amp; ROUND(MAX(Y4:Y59),0)</f>
        <v>0 - 0</v>
      </c>
      <c r="Z99" s="191"/>
      <c r="AA99" s="191" t="str">
        <f t="shared" ref="AA99:AH99" si="23" xml:space="preserve"> ROUND(MIN(AA4:AA59),0) &amp; " - " &amp; ROUND(MAX(AA4:AA59),0)</f>
        <v>0 - 1</v>
      </c>
      <c r="AB99" s="191" t="str">
        <f t="shared" si="23"/>
        <v>0 - 6</v>
      </c>
      <c r="AC99" s="191" t="str">
        <f t="shared" si="23"/>
        <v>10 - 21</v>
      </c>
      <c r="AD99" s="191" t="str">
        <f t="shared" si="23"/>
        <v>0 - 2</v>
      </c>
      <c r="AE99" s="191" t="str">
        <f t="shared" si="23"/>
        <v>0 - 1</v>
      </c>
      <c r="AF99" s="191" t="str">
        <f t="shared" si="23"/>
        <v>0 - 5</v>
      </c>
      <c r="AG99" s="191" t="str">
        <f t="shared" si="23"/>
        <v>0 - 90</v>
      </c>
      <c r="AH99" s="191" t="str">
        <f t="shared" si="23"/>
        <v>0 - 1</v>
      </c>
    </row>
    <row r="100" spans="1:34" hidden="1">
      <c r="B100" s="191" t="s">
        <v>186</v>
      </c>
      <c r="C100" s="867" t="e">
        <f>AVERAGE(#REF!)</f>
        <v>#REF!</v>
      </c>
      <c r="D100" s="191"/>
      <c r="E100" s="867" t="e">
        <f>AVERAGE(#REF!)</f>
        <v>#REF!</v>
      </c>
      <c r="F100" s="191"/>
      <c r="G100" s="867" t="e">
        <f>AVERAGE(#REF!)</f>
        <v>#REF!</v>
      </c>
      <c r="H100" s="191"/>
      <c r="I100" s="867" t="e">
        <f>AVERAGE(#REF!)</f>
        <v>#REF!</v>
      </c>
      <c r="J100" s="191"/>
      <c r="K100" s="867" t="e">
        <f>AVERAGE(#REF!)</f>
        <v>#REF!</v>
      </c>
      <c r="L100" s="191"/>
      <c r="M100" s="867" t="e">
        <f>AVERAGE(#REF!)</f>
        <v>#REF!</v>
      </c>
      <c r="N100" s="191"/>
      <c r="O100" s="867" t="e">
        <f>AVERAGE(#REF!)</f>
        <v>#REF!</v>
      </c>
      <c r="P100" s="191"/>
      <c r="Q100" s="867" t="e">
        <f>AVERAGE(#REF!)</f>
        <v>#REF!</v>
      </c>
      <c r="R100" s="191"/>
      <c r="S100" s="867" t="e">
        <f>AVERAGE(#REF!)</f>
        <v>#REF!</v>
      </c>
      <c r="T100" s="191"/>
      <c r="U100" s="867" t="e">
        <f>AVERAGE(#REF!)</f>
        <v>#REF!</v>
      </c>
      <c r="V100" s="191"/>
      <c r="W100" s="867" t="e">
        <f>AVERAGE(#REF!)</f>
        <v>#REF!</v>
      </c>
      <c r="X100" s="191"/>
      <c r="Y100" s="867" t="e">
        <f>AVERAGE(#REF!)</f>
        <v>#REF!</v>
      </c>
      <c r="Z100" s="191"/>
      <c r="AA100" s="191" t="e">
        <f>AVERAGE(#REF!)</f>
        <v>#REF!</v>
      </c>
      <c r="AB100" s="191" t="e">
        <f>AVERAGE(#REF!)</f>
        <v>#REF!</v>
      </c>
      <c r="AC100" s="191" t="e">
        <f>AVERAGE(#REF!)</f>
        <v>#REF!</v>
      </c>
      <c r="AD100" s="191" t="e">
        <f>AVERAGE(#REF!)</f>
        <v>#REF!</v>
      </c>
      <c r="AE100" s="191" t="e">
        <f>AVERAGE(#REF!)</f>
        <v>#REF!</v>
      </c>
      <c r="AF100" s="191" t="e">
        <f>AVERAGE(#REF!)</f>
        <v>#REF!</v>
      </c>
      <c r="AG100" s="191" t="e">
        <f>AVERAGE(#REF!)</f>
        <v>#REF!</v>
      </c>
      <c r="AH100" s="191" t="e">
        <f>AVERAGE(#REF!)</f>
        <v>#REF!</v>
      </c>
    </row>
    <row r="101" spans="1:34" hidden="1">
      <c r="B101" s="191" t="s">
        <v>187</v>
      </c>
      <c r="C101" s="867" t="e">
        <f>ROUND( MIN(#REF!),0) &amp; " - " &amp; ROUND(MAX(#REF!),0)</f>
        <v>#REF!</v>
      </c>
      <c r="D101" s="191"/>
      <c r="E101" s="867" t="e">
        <f>ROUND( MIN(#REF!),0) &amp; " - " &amp; ROUND(MAX(#REF!),0)</f>
        <v>#REF!</v>
      </c>
      <c r="F101" s="191"/>
      <c r="G101" s="867" t="e">
        <f>ROUND( MIN(#REF!),0) &amp; " - " &amp; ROUND(MAX(#REF!),0)</f>
        <v>#REF!</v>
      </c>
      <c r="H101" s="191"/>
      <c r="I101" s="867" t="e">
        <f>ROUND( MIN(#REF!),0) &amp; " - " &amp; ROUND(MAX(#REF!),0)</f>
        <v>#REF!</v>
      </c>
      <c r="J101" s="191"/>
      <c r="K101" s="867" t="e">
        <f>ROUND( MIN(#REF!),0) &amp; " - " &amp; ROUND(MAX(#REF!),0)</f>
        <v>#REF!</v>
      </c>
      <c r="L101" s="191"/>
      <c r="M101" s="867" t="e">
        <f>ROUND( MIN(#REF!),0) &amp; " - " &amp; ROUND(MAX(#REF!),0)</f>
        <v>#REF!</v>
      </c>
      <c r="N101" s="191"/>
      <c r="O101" s="867" t="e">
        <f>ROUND( MIN(#REF!),0) &amp; " - " &amp; ROUND(MAX(#REF!),0)</f>
        <v>#REF!</v>
      </c>
      <c r="P101" s="191"/>
      <c r="Q101" s="867" t="e">
        <f>ROUND( MIN(#REF!),0) &amp; " - " &amp; ROUND(MAX(#REF!),0)</f>
        <v>#REF!</v>
      </c>
      <c r="R101" s="191"/>
      <c r="S101" s="867" t="e">
        <f>ROUND( MIN(#REF!),0) &amp; " - " &amp; ROUND(MAX(#REF!),0)</f>
        <v>#REF!</v>
      </c>
      <c r="T101" s="191"/>
      <c r="U101" s="867" t="e">
        <f>ROUND( MIN(#REF!),0) &amp; " - " &amp; ROUND(MAX(#REF!),0)</f>
        <v>#REF!</v>
      </c>
      <c r="V101" s="191"/>
      <c r="W101" s="867" t="e">
        <f>ROUND( MIN(#REF!),0) &amp; " - " &amp; ROUND(MAX(#REF!),0)</f>
        <v>#REF!</v>
      </c>
      <c r="X101" s="191"/>
      <c r="Y101" s="867" t="e">
        <f>ROUND( MIN(#REF!),0) &amp; " - " &amp; ROUND(MAX(#REF!),0)</f>
        <v>#REF!</v>
      </c>
      <c r="Z101" s="191"/>
      <c r="AA101" s="191" t="e">
        <f>ROUND( MIN(#REF!),0) &amp; " - " &amp; ROUND(MAX(#REF!),0)</f>
        <v>#REF!</v>
      </c>
      <c r="AB101" s="191" t="e">
        <f>ROUND( MIN(#REF!),0) &amp; " - " &amp; ROUND(MAX(#REF!),0)</f>
        <v>#REF!</v>
      </c>
      <c r="AC101" s="191" t="e">
        <f>ROUND( MIN(#REF!),0) &amp; " - " &amp; ROUND(MAX(#REF!),0)</f>
        <v>#REF!</v>
      </c>
      <c r="AD101" s="191" t="e">
        <f>ROUND( MIN(#REF!),0) &amp; " - " &amp; ROUND(MAX(#REF!),0)</f>
        <v>#REF!</v>
      </c>
      <c r="AE101" s="191" t="e">
        <f>ROUND( MIN(#REF!),0) &amp; " - " &amp; ROUND(MAX(#REF!),0)</f>
        <v>#REF!</v>
      </c>
      <c r="AF101" s="191" t="e">
        <f>ROUND( MIN(#REF!),0) &amp; " - " &amp; ROUND(MAX(#REF!),0)</f>
        <v>#REF!</v>
      </c>
      <c r="AG101" s="191" t="e">
        <f>ROUND( MIN(#REF!),0) &amp; " - " &amp; ROUND(MAX(#REF!),0)</f>
        <v>#REF!</v>
      </c>
      <c r="AH101" s="191" t="e">
        <f>ROUND( MIN(#REF!),0) &amp; " - " &amp; ROUND(MAX(#REF!),0)</f>
        <v>#REF!</v>
      </c>
    </row>
    <row r="102" spans="1:34" hidden="1">
      <c r="B102" s="191" t="s">
        <v>188</v>
      </c>
      <c r="C102" s="867">
        <f>AVERAGE(C60:C88)</f>
        <v>491.49137931034488</v>
      </c>
      <c r="D102" s="191"/>
      <c r="E102" s="867">
        <f>AVERAGE(E60:E88)</f>
        <v>16.424517241379313</v>
      </c>
      <c r="F102" s="191"/>
      <c r="G102" s="867">
        <f>AVERAGE(G60:G88)</f>
        <v>5.3741034482758625</v>
      </c>
      <c r="H102" s="191"/>
      <c r="I102" s="867">
        <f>AVERAGE(I60:I88)</f>
        <v>4.4604482758620696</v>
      </c>
      <c r="J102" s="191"/>
      <c r="K102" s="867">
        <f>AVERAGE(K60:K88)</f>
        <v>1.7482758620689657E-2</v>
      </c>
      <c r="L102" s="191"/>
      <c r="M102" s="867">
        <f>AVERAGE(M60:M88)</f>
        <v>1.2770344827586209</v>
      </c>
      <c r="N102" s="191"/>
      <c r="O102" s="867">
        <f>AVERAGE(O60:O88)</f>
        <v>118.76227586206899</v>
      </c>
      <c r="P102" s="191"/>
      <c r="Q102" s="867">
        <f>AVERAGE(Q60:Q88)</f>
        <v>114.23158620689658</v>
      </c>
      <c r="R102" s="191"/>
      <c r="S102" s="867">
        <f>AVERAGE(S60:S88)</f>
        <v>0.5966896551724139</v>
      </c>
      <c r="T102" s="191"/>
      <c r="U102" s="867">
        <f>AVERAGE(U60:U88)</f>
        <v>103.9773103448276</v>
      </c>
      <c r="V102" s="191"/>
      <c r="W102" s="867">
        <f>AVERAGE(W60:W88)</f>
        <v>99.690517241379325</v>
      </c>
      <c r="X102" s="191"/>
      <c r="Y102" s="867">
        <f>AVERAGE(Y60:Y88)</f>
        <v>0.92031034482758634</v>
      </c>
      <c r="Z102" s="191"/>
      <c r="AA102" s="191">
        <f t="shared" ref="AA102:AH102" si="24">AVERAGE(AA60:AA88)</f>
        <v>8.7793103448275872E-2</v>
      </c>
      <c r="AB102" s="191">
        <f t="shared" si="24"/>
        <v>1.010344827586207E-2</v>
      </c>
      <c r="AC102" s="191">
        <f t="shared" si="24"/>
        <v>21.524931034482758</v>
      </c>
      <c r="AD102" s="191">
        <f t="shared" si="24"/>
        <v>2.2802068965517237</v>
      </c>
      <c r="AE102" s="191">
        <f t="shared" si="24"/>
        <v>0.51579310344827578</v>
      </c>
      <c r="AF102" s="191">
        <f t="shared" si="24"/>
        <v>2.8550344827586205</v>
      </c>
      <c r="AG102" s="191">
        <f t="shared" si="24"/>
        <v>63.598517241379312</v>
      </c>
      <c r="AH102" s="191">
        <f t="shared" si="24"/>
        <v>1.3340344827586206</v>
      </c>
    </row>
    <row r="103" spans="1:34" hidden="1">
      <c r="B103" s="191" t="s">
        <v>189</v>
      </c>
      <c r="C103" s="867" t="str">
        <f>ROUND( MIN(C60:C88),0) &amp; " - " &amp; ROUND(MAX(C60:C88),0)</f>
        <v>197 - 607</v>
      </c>
      <c r="D103" s="191"/>
      <c r="E103" s="867" t="str">
        <f>ROUND( MIN(E60:E88),0) &amp; " - " &amp; ROUND(MAX(E60:E88),0)</f>
        <v>0 - 45</v>
      </c>
      <c r="F103" s="191"/>
      <c r="G103" s="867" t="str">
        <f>ROUND( MIN(G60:G88),0) &amp; " - " &amp; ROUND(MAX(G60:G88),0)</f>
        <v>0 - 9</v>
      </c>
      <c r="H103" s="191"/>
      <c r="I103" s="867" t="str">
        <f>ROUND( MIN(I60:I88),0) &amp; " - " &amp; ROUND(MAX(I60:I88),0)</f>
        <v>0 - 7</v>
      </c>
      <c r="J103" s="191"/>
      <c r="K103" s="867" t="str">
        <f>ROUND( MIN(K60:K88),0) &amp; " - " &amp; ROUND(MAX(K60:K88),0)</f>
        <v>0 - 0</v>
      </c>
      <c r="L103" s="191"/>
      <c r="M103" s="867" t="str">
        <f>ROUND( MIN(M60:M88),0) &amp; " - " &amp; ROUND(MAX(M60:M88),0)</f>
        <v>0 - 9</v>
      </c>
      <c r="N103" s="191"/>
      <c r="O103" s="867" t="str">
        <f>ROUND( MIN(O60:O88),0) &amp; " - " &amp; ROUND(MAX(O60:O88),0)</f>
        <v>40 - 280</v>
      </c>
      <c r="P103" s="191"/>
      <c r="Q103" s="867" t="str">
        <f>ROUND( MIN(Q60:Q88),0) &amp; " - " &amp; ROUND(MAX(Q60:Q88),0)</f>
        <v>69 - 139</v>
      </c>
      <c r="R103" s="191"/>
      <c r="S103" s="867" t="str">
        <f>ROUND( MIN(S60:S88),0) &amp; " - " &amp; ROUND(MAX(S60:S88),0)</f>
        <v>0 - 2</v>
      </c>
      <c r="T103" s="191"/>
      <c r="U103" s="867" t="str">
        <f>ROUND( MIN(U60:U88),0) &amp; " - " &amp; ROUND(MAX(U60:U88),0)</f>
        <v>0 - 131</v>
      </c>
      <c r="V103" s="191"/>
      <c r="W103" s="867" t="str">
        <f>ROUND( MIN(W60:W88),0) &amp; " - " &amp; ROUND(MAX(W60:W88),0)</f>
        <v>0 - 132</v>
      </c>
      <c r="X103" s="191"/>
      <c r="Y103" s="867" t="str">
        <f>ROUND( MIN(Y60:Y88),0) &amp; " - " &amp; ROUND(MAX(Y60:Y88),0)</f>
        <v>0 - 2</v>
      </c>
      <c r="Z103" s="191"/>
      <c r="AA103" s="191" t="str">
        <f t="shared" ref="AA103:AH103" si="25">ROUND( MIN(AA60:AA88),0) &amp; " - " &amp; ROUND(MAX(AA60:AA88),0)</f>
        <v>0 - 1</v>
      </c>
      <c r="AB103" s="191" t="str">
        <f t="shared" si="25"/>
        <v>0 - 0</v>
      </c>
      <c r="AC103" s="191" t="str">
        <f t="shared" si="25"/>
        <v>11 - 59</v>
      </c>
      <c r="AD103" s="191" t="str">
        <f t="shared" si="25"/>
        <v>1 - 18</v>
      </c>
      <c r="AE103" s="191" t="str">
        <f t="shared" si="25"/>
        <v>0 - 2</v>
      </c>
      <c r="AF103" s="191" t="str">
        <f t="shared" si="25"/>
        <v>0 - 12</v>
      </c>
      <c r="AG103" s="191" t="str">
        <f t="shared" si="25"/>
        <v>0 - 196</v>
      </c>
      <c r="AH103" s="191" t="str">
        <f t="shared" si="25"/>
        <v>0 - 4</v>
      </c>
    </row>
    <row r="104" spans="1:34" ht="46.5" hidden="1" customHeight="1">
      <c r="B104" s="191" t="s">
        <v>190</v>
      </c>
      <c r="C104" s="867">
        <f>AVERAGE(C89:C94)</f>
        <v>592.17250000000001</v>
      </c>
      <c r="D104" s="191"/>
      <c r="E104" s="867">
        <f>AVERAGE(E89:E94)</f>
        <v>43.419666666666672</v>
      </c>
      <c r="F104" s="191"/>
      <c r="G104" s="867">
        <f>AVERAGE(G89:G94)</f>
        <v>10.336</v>
      </c>
      <c r="H104" s="191"/>
      <c r="I104" s="867">
        <f>AVERAGE(I89:I94)</f>
        <v>5.7191666666666663</v>
      </c>
      <c r="J104" s="191"/>
      <c r="K104" s="867">
        <f>AVERAGE(K89:K94)</f>
        <v>2.3166666666666669E-2</v>
      </c>
      <c r="L104" s="191"/>
      <c r="M104" s="867">
        <f>AVERAGE(M89:M94)</f>
        <v>2.1548333333333329</v>
      </c>
      <c r="N104" s="191"/>
      <c r="O104" s="867">
        <f>AVERAGE(O89:O94)</f>
        <v>143.59799999999998</v>
      </c>
      <c r="P104" s="191"/>
      <c r="Q104" s="867">
        <f>AVERAGE(Q89:Q94)</f>
        <v>133.55916666666667</v>
      </c>
      <c r="R104" s="191"/>
      <c r="S104" s="867">
        <f>AVERAGE(S89:S94)</f>
        <v>2.0811666666666668</v>
      </c>
      <c r="T104" s="191"/>
      <c r="U104" s="867">
        <f>AVERAGE(U89:U94)</f>
        <v>123.70016666666668</v>
      </c>
      <c r="V104" s="191"/>
      <c r="W104" s="867">
        <f>AVERAGE(W89:W94)</f>
        <v>118.29033333333332</v>
      </c>
      <c r="X104" s="191"/>
      <c r="Y104" s="867">
        <f>AVERAGE(Y89:Y94)</f>
        <v>2.7556666666666665</v>
      </c>
      <c r="Z104" s="191"/>
      <c r="AA104" s="191">
        <f t="shared" ref="AA104:AH104" si="26">AVERAGE(AA89:AA94)</f>
        <v>0.59099999999999997</v>
      </c>
      <c r="AB104" s="191">
        <f t="shared" si="26"/>
        <v>2.6833333333333334E-2</v>
      </c>
      <c r="AC104" s="191">
        <f t="shared" si="26"/>
        <v>30.295166666666663</v>
      </c>
      <c r="AD104" s="191">
        <f t="shared" si="26"/>
        <v>2.3303333333333334</v>
      </c>
      <c r="AE104" s="191">
        <f t="shared" si="26"/>
        <v>1.5876666666666666</v>
      </c>
      <c r="AF104" s="191">
        <f t="shared" si="26"/>
        <v>8.8233333333333324</v>
      </c>
      <c r="AG104" s="191">
        <f t="shared" si="26"/>
        <v>165.94416666666666</v>
      </c>
      <c r="AH104" s="191">
        <f t="shared" si="26"/>
        <v>3.5308333333333337</v>
      </c>
    </row>
    <row r="105" spans="1:34" ht="31.75" hidden="1">
      <c r="B105" s="191" t="s">
        <v>191</v>
      </c>
      <c r="C105" s="867" t="str">
        <f>ROUND( MIN(C89:C94),0) &amp; " - " &amp;ROUND( MAX(C89:C94),0)</f>
        <v>498 - 655</v>
      </c>
      <c r="D105" s="191"/>
      <c r="E105" s="867" t="str">
        <f>ROUND( MIN(E89:E94),0) &amp; " - " &amp;ROUND( MAX(E89:E94),0)</f>
        <v>6 - 93</v>
      </c>
      <c r="F105" s="191"/>
      <c r="G105" s="867" t="str">
        <f>ROUND( MIN(G89:G94),0) &amp; " - " &amp;ROUND( MAX(G89:G94),0)</f>
        <v>4 - 15</v>
      </c>
      <c r="H105" s="191"/>
      <c r="I105" s="867" t="str">
        <f>ROUND( MIN(I89:I94),0) &amp; " - " &amp;ROUND( MAX(I89:I94),0)</f>
        <v>2 - 9</v>
      </c>
      <c r="J105" s="191"/>
      <c r="K105" s="867" t="str">
        <f>ROUND( MIN(K89:K94),0) &amp; " - " &amp;ROUND( MAX(K89:K94),0)</f>
        <v>0 - 0</v>
      </c>
      <c r="L105" s="191"/>
      <c r="M105" s="867" t="str">
        <f>ROUND( MIN(M89:M94),0) &amp; " - " &amp;ROUND( MAX(M89:M94),0)</f>
        <v>0 - 9</v>
      </c>
      <c r="N105" s="191"/>
      <c r="O105" s="867" t="str">
        <f>ROUND( MIN(O89:O94),0) &amp; " - " &amp;ROUND( MAX(O89:O94),0)</f>
        <v>97 - 186</v>
      </c>
      <c r="P105" s="191"/>
      <c r="Q105" s="867" t="str">
        <f>ROUND( MIN(Q89:Q94),0) &amp; " - " &amp;ROUND( MAX(Q89:Q94),0)</f>
        <v>121 - 148</v>
      </c>
      <c r="R105" s="191"/>
      <c r="S105" s="867" t="str">
        <f>ROUND( MIN(S89:S94),0) &amp; " - " &amp;ROUND( MAX(S89:S94),0)</f>
        <v>1 - 3</v>
      </c>
      <c r="T105" s="191"/>
      <c r="U105" s="867" t="str">
        <f>ROUND( MIN(U89:U94),0) &amp; " - " &amp;ROUND( MAX(U89:U94),0)</f>
        <v>112 - 133</v>
      </c>
      <c r="V105" s="191"/>
      <c r="W105" s="867" t="str">
        <f>ROUND( MIN(W89:W94),0) &amp; " - " &amp;ROUND( MAX(W89:W94),0)</f>
        <v>101 - 132</v>
      </c>
      <c r="X105" s="191"/>
      <c r="Y105" s="867" t="str">
        <f>ROUND( MIN(Y89:Y94),0) &amp; " - " &amp;ROUND( MAX(Y89:Y94),0)</f>
        <v>2 - 5</v>
      </c>
      <c r="Z105" s="191"/>
      <c r="AA105" s="191" t="str">
        <f t="shared" ref="AA105:AH105" si="27">ROUND( MIN(AA89:AA94),0) &amp; " - " &amp;ROUND( MAX(AA89:AA94),0)</f>
        <v>0 - 1</v>
      </c>
      <c r="AB105" s="191" t="str">
        <f t="shared" si="27"/>
        <v>0 - 0</v>
      </c>
      <c r="AC105" s="191" t="str">
        <f t="shared" si="27"/>
        <v>27 - 36</v>
      </c>
      <c r="AD105" s="191" t="str">
        <f t="shared" si="27"/>
        <v>2 - 3</v>
      </c>
      <c r="AE105" s="191" t="str">
        <f t="shared" si="27"/>
        <v>1 - 2</v>
      </c>
      <c r="AF105" s="191" t="str">
        <f t="shared" si="27"/>
        <v>6 - 12</v>
      </c>
      <c r="AG105" s="191" t="str">
        <f t="shared" si="27"/>
        <v>87 - 225</v>
      </c>
      <c r="AH105" s="191" t="str">
        <f t="shared" si="27"/>
        <v>2 - 5</v>
      </c>
    </row>
  </sheetData>
  <autoFilter ref="A3:AP94" xr:uid="{00000000-0001-0000-0300-000000000000}">
    <filterColumn colId="0">
      <filters>
        <filter val="Cream Ice"/>
      </filters>
    </filterColumn>
  </autoFilter>
  <mergeCells count="3">
    <mergeCell ref="B96:AH96"/>
    <mergeCell ref="A1:AH1"/>
    <mergeCell ref="A2:AH2"/>
  </mergeCells>
  <pageMargins left="0.7" right="0.7" top="0.75" bottom="0.75" header="0.3" footer="0.3"/>
  <pageSetup scale="43" fitToHeight="0" orientation="landscape" r:id="rId1"/>
  <headerFooter>
    <oddHeader xml:space="preserve">&amp;R&amp;14 2024 Nutrition Information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AL105"/>
  <sheetViews>
    <sheetView zoomScale="80" zoomScaleNormal="80" zoomScalePageLayoutView="75" workbookViewId="0">
      <pane xSplit="2" ySplit="4" topLeftCell="C36" activePane="bottomRight" state="frozen"/>
      <selection pane="topRight"/>
      <selection pane="bottomLeft"/>
      <selection pane="bottomRight" activeCell="O46" sqref="O46"/>
    </sheetView>
    <sheetView zoomScale="80" zoomScaleNormal="80" workbookViewId="1">
      <pane xSplit="2" ySplit="3" topLeftCell="D4" activePane="bottomRight" state="frozen"/>
      <selection pane="topRight" activeCell="C1" sqref="C1"/>
      <selection pane="bottomLeft" activeCell="A4" sqref="A4"/>
      <selection pane="bottomRight" activeCell="T63" sqref="T63"/>
    </sheetView>
    <sheetView workbookViewId="2">
      <selection activeCell="H15" sqref="H15"/>
    </sheetView>
  </sheetViews>
  <sheetFormatPr defaultColWidth="8.84375" defaultRowHeight="15.9"/>
  <cols>
    <col min="1" max="1" width="8.84375" style="179"/>
    <col min="2" max="2" width="42.84375" style="179" customWidth="1"/>
    <col min="3" max="3" width="10.53515625" style="892" customWidth="1"/>
    <col min="4" max="4" width="12.15234375" style="558" bestFit="1" customWidth="1"/>
    <col min="5" max="5" width="10.53515625" style="892" customWidth="1"/>
    <col min="6" max="6" width="10.53515625" style="179" customWidth="1"/>
    <col min="7" max="7" width="9.53515625" style="892" bestFit="1" customWidth="1"/>
    <col min="8" max="8" width="9.53515625" style="179" customWidth="1"/>
    <col min="9" max="9" width="11.53515625" style="892" customWidth="1"/>
    <col min="10" max="10" width="11.53515625" style="179" customWidth="1"/>
    <col min="11" max="11" width="8.53515625" style="892" customWidth="1"/>
    <col min="12" max="12" width="8.53515625" style="179" customWidth="1"/>
    <col min="13" max="13" width="13" style="892" customWidth="1"/>
    <col min="14" max="14" width="13" style="558" customWidth="1"/>
    <col min="15" max="15" width="11.53515625" style="892" bestFit="1" customWidth="1"/>
    <col min="16" max="16" width="11.53515625" style="179" customWidth="1"/>
    <col min="17" max="17" width="16.84375" style="892" customWidth="1"/>
    <col min="18" max="18" width="16.84375" style="558" customWidth="1"/>
    <col min="19" max="19" width="9" style="892" customWidth="1"/>
    <col min="20" max="20" width="9" style="179" customWidth="1"/>
    <col min="21" max="21" width="11.53515625" style="892" bestFit="1" customWidth="1"/>
    <col min="22" max="22" width="11.53515625" style="179" customWidth="1"/>
    <col min="23" max="23" width="9" style="892" customWidth="1"/>
    <col min="24" max="24" width="9" style="179" customWidth="1"/>
    <col min="25" max="25" width="11.53515625" style="892" customWidth="1"/>
    <col min="26" max="26" width="11.53515625" style="179" customWidth="1"/>
    <col min="27" max="27" width="11.53515625" style="558" customWidth="1"/>
    <col min="28" max="28" width="11.53515625" style="566" customWidth="1"/>
    <col min="29" max="29" width="9" style="558" customWidth="1"/>
    <col min="30" max="30" width="10.3828125" style="569" bestFit="1" customWidth="1"/>
    <col min="31" max="31" width="9" style="558" bestFit="1" customWidth="1"/>
    <col min="32" max="32" width="10.3828125" style="566" bestFit="1" customWidth="1"/>
    <col min="33" max="33" width="10.15234375" style="558" bestFit="1" customWidth="1"/>
    <col min="34" max="34" width="10.3828125" style="566" bestFit="1" customWidth="1"/>
    <col min="35" max="16384" width="8.84375" style="179"/>
  </cols>
  <sheetData>
    <row r="1" spans="1:38" ht="22.5" customHeight="1">
      <c r="B1" s="1212"/>
      <c r="C1" s="1212"/>
      <c r="D1" s="1212"/>
      <c r="E1" s="1212"/>
      <c r="F1" s="1212"/>
      <c r="G1" s="1212"/>
      <c r="H1" s="1208"/>
      <c r="I1" s="1212"/>
      <c r="J1" s="1212"/>
      <c r="K1" s="1212"/>
      <c r="L1" s="1212"/>
      <c r="M1" s="1212"/>
      <c r="N1" s="1212"/>
      <c r="O1" s="1212"/>
      <c r="P1" s="1212"/>
      <c r="Q1" s="1212"/>
      <c r="R1" s="1212"/>
      <c r="S1" s="1212"/>
      <c r="T1" s="1212"/>
      <c r="U1" s="1212"/>
      <c r="V1" s="1212"/>
      <c r="W1" s="1212"/>
      <c r="X1" s="1212"/>
      <c r="Y1" s="1212"/>
      <c r="Z1" s="1212"/>
      <c r="AA1" s="1212"/>
      <c r="AB1" s="1212"/>
      <c r="AC1" s="1212"/>
      <c r="AD1" s="1212"/>
      <c r="AE1" s="1212"/>
      <c r="AF1" s="1212"/>
      <c r="AG1" s="1212"/>
      <c r="AH1" s="1212"/>
    </row>
    <row r="2" spans="1:38" ht="18" customHeight="1" thickBot="1">
      <c r="B2" s="1213"/>
      <c r="C2" s="1213"/>
      <c r="D2" s="1213"/>
      <c r="E2" s="1213"/>
      <c r="F2" s="1213"/>
      <c r="G2" s="1213"/>
      <c r="H2" s="1210"/>
      <c r="I2" s="1213"/>
      <c r="J2" s="1213"/>
      <c r="K2" s="1213"/>
      <c r="L2" s="1213"/>
      <c r="M2" s="1213"/>
      <c r="N2" s="1213"/>
      <c r="O2" s="1213"/>
      <c r="P2" s="1213"/>
      <c r="Q2" s="1213"/>
      <c r="R2" s="1213"/>
      <c r="S2" s="1213"/>
      <c r="T2" s="1213"/>
      <c r="U2" s="1213"/>
      <c r="V2" s="1213"/>
      <c r="W2" s="1213"/>
      <c r="X2" s="1213"/>
      <c r="Y2" s="1213"/>
      <c r="Z2" s="1213"/>
      <c r="AA2" s="1213"/>
      <c r="AB2" s="1213"/>
      <c r="AC2" s="1213"/>
      <c r="AD2" s="1213"/>
      <c r="AE2" s="1213"/>
      <c r="AF2" s="1213"/>
      <c r="AG2" s="1213"/>
      <c r="AH2" s="1213"/>
    </row>
    <row r="3" spans="1:38" s="223" customFormat="1" ht="37.5" customHeight="1">
      <c r="B3" s="553" t="s">
        <v>3</v>
      </c>
      <c r="C3" s="888" t="s">
        <v>4</v>
      </c>
      <c r="D3" s="553" t="s">
        <v>4</v>
      </c>
      <c r="E3" s="888" t="s">
        <v>5</v>
      </c>
      <c r="F3" s="214" t="s">
        <v>5</v>
      </c>
      <c r="G3" s="888" t="s">
        <v>6</v>
      </c>
      <c r="H3" s="214" t="s">
        <v>6</v>
      </c>
      <c r="I3" s="888" t="s">
        <v>7</v>
      </c>
      <c r="J3" s="214" t="s">
        <v>7</v>
      </c>
      <c r="K3" s="888" t="s">
        <v>8</v>
      </c>
      <c r="L3" s="214" t="s">
        <v>8</v>
      </c>
      <c r="M3" s="888" t="s">
        <v>9</v>
      </c>
      <c r="N3" s="553" t="s">
        <v>9</v>
      </c>
      <c r="O3" s="888" t="s">
        <v>10</v>
      </c>
      <c r="P3" s="214" t="s">
        <v>10</v>
      </c>
      <c r="Q3" s="888" t="s">
        <v>11</v>
      </c>
      <c r="R3" s="553" t="s">
        <v>11</v>
      </c>
      <c r="S3" s="888" t="s">
        <v>12</v>
      </c>
      <c r="T3" s="214" t="s">
        <v>12</v>
      </c>
      <c r="U3" s="888" t="s">
        <v>13</v>
      </c>
      <c r="V3" s="214" t="s">
        <v>13</v>
      </c>
      <c r="W3" s="888" t="s">
        <v>14</v>
      </c>
      <c r="X3" s="214" t="s">
        <v>14</v>
      </c>
      <c r="Y3" s="888" t="s">
        <v>15</v>
      </c>
      <c r="Z3" s="214" t="s">
        <v>15</v>
      </c>
      <c r="AA3" s="560" t="s">
        <v>16</v>
      </c>
      <c r="AB3" s="560" t="s">
        <v>17</v>
      </c>
      <c r="AC3" s="560" t="s">
        <v>18</v>
      </c>
      <c r="AD3" s="622" t="s">
        <v>19</v>
      </c>
      <c r="AE3" s="563" t="s">
        <v>20</v>
      </c>
      <c r="AF3" s="563" t="s">
        <v>21</v>
      </c>
      <c r="AG3" s="560" t="s">
        <v>22</v>
      </c>
      <c r="AH3" s="560" t="s">
        <v>23</v>
      </c>
    </row>
    <row r="4" spans="1:38" s="223" customFormat="1" ht="15.75" customHeight="1">
      <c r="A4" s="212" t="s">
        <v>334</v>
      </c>
      <c r="B4" s="623" t="s">
        <v>124</v>
      </c>
      <c r="C4" s="860">
        <v>330.03800000000001</v>
      </c>
      <c r="D4" s="554">
        <f t="shared" ref="D4:D35" si="0">MROUND(C4,10)</f>
        <v>330</v>
      </c>
      <c r="E4" s="860">
        <v>0.28000000000000003</v>
      </c>
      <c r="F4" s="744">
        <v>0</v>
      </c>
      <c r="G4" s="860">
        <v>3.1E-2</v>
      </c>
      <c r="H4" s="554">
        <v>0</v>
      </c>
      <c r="I4" s="860">
        <v>2.1999999999999999E-2</v>
      </c>
      <c r="J4" s="744">
        <v>0</v>
      </c>
      <c r="K4" s="860">
        <v>0</v>
      </c>
      <c r="L4" s="744">
        <v>0</v>
      </c>
      <c r="M4" s="860">
        <v>0</v>
      </c>
      <c r="N4" s="554">
        <v>0</v>
      </c>
      <c r="O4" s="860">
        <v>68.341999999999999</v>
      </c>
      <c r="P4" s="195">
        <f t="shared" ref="P4:P35" si="1">MROUND(O4,1)</f>
        <v>68</v>
      </c>
      <c r="Q4" s="860">
        <v>114.608</v>
      </c>
      <c r="R4" s="896">
        <f t="shared" ref="R4:R35" si="2">MROUND(Q4,1)</f>
        <v>115</v>
      </c>
      <c r="S4" s="860">
        <v>6.7000000000000004E-2</v>
      </c>
      <c r="T4" s="896">
        <v>0</v>
      </c>
      <c r="U4" s="860">
        <v>0.58899999999999997</v>
      </c>
      <c r="V4" s="195" t="s">
        <v>303</v>
      </c>
      <c r="W4" s="860">
        <v>0</v>
      </c>
      <c r="X4" s="195">
        <v>0</v>
      </c>
      <c r="Y4" s="860">
        <v>0</v>
      </c>
      <c r="Z4" s="195">
        <v>0</v>
      </c>
      <c r="AA4" s="555">
        <v>0</v>
      </c>
      <c r="AB4" s="555">
        <v>0</v>
      </c>
      <c r="AC4" s="555">
        <v>36.265999999999998</v>
      </c>
      <c r="AD4" s="764">
        <v>2.7900000000000001E-2</v>
      </c>
      <c r="AE4" s="555">
        <v>0.21299999999999999</v>
      </c>
      <c r="AF4" s="555">
        <v>1.184E-2</v>
      </c>
      <c r="AG4" s="555">
        <v>59.969000000000001</v>
      </c>
      <c r="AH4" s="555">
        <v>1.2760000000000001E-2</v>
      </c>
      <c r="AI4" s="179"/>
      <c r="AJ4" s="179"/>
      <c r="AK4" s="179"/>
      <c r="AL4" s="179"/>
    </row>
    <row r="5" spans="1:38" s="223" customFormat="1" ht="15" hidden="1" customHeight="1">
      <c r="A5" s="223" t="s">
        <v>296</v>
      </c>
      <c r="B5" s="625" t="s">
        <v>180</v>
      </c>
      <c r="C5" s="889">
        <v>730.25800000000004</v>
      </c>
      <c r="D5" s="554">
        <f t="shared" si="0"/>
        <v>730</v>
      </c>
      <c r="E5" s="889">
        <v>0</v>
      </c>
      <c r="F5" s="744">
        <v>0</v>
      </c>
      <c r="G5" s="889">
        <v>0</v>
      </c>
      <c r="H5" s="554">
        <v>0</v>
      </c>
      <c r="I5" s="889">
        <v>0</v>
      </c>
      <c r="J5" s="744">
        <v>0</v>
      </c>
      <c r="K5" s="889">
        <v>0</v>
      </c>
      <c r="L5" s="744">
        <v>0</v>
      </c>
      <c r="M5" s="889">
        <v>0</v>
      </c>
      <c r="N5" s="554">
        <v>0</v>
      </c>
      <c r="O5" s="889">
        <v>329.48</v>
      </c>
      <c r="P5" s="195">
        <f t="shared" si="1"/>
        <v>329</v>
      </c>
      <c r="Q5" s="889">
        <v>186.83699999999999</v>
      </c>
      <c r="R5" s="896">
        <f t="shared" si="2"/>
        <v>187</v>
      </c>
      <c r="S5" s="889">
        <v>6.7000000000000004E-2</v>
      </c>
      <c r="T5" s="896">
        <v>0</v>
      </c>
      <c r="U5" s="889">
        <v>170.00700000000001</v>
      </c>
      <c r="V5" s="726">
        <f t="shared" ref="V5:V22" si="3">MROUND(U5,1)</f>
        <v>170</v>
      </c>
      <c r="W5" s="889">
        <v>170.00700000000001</v>
      </c>
      <c r="X5" s="726">
        <f t="shared" ref="X5:X22" si="4">MROUND(W5,1)</f>
        <v>170</v>
      </c>
      <c r="Y5" s="889">
        <v>0.01</v>
      </c>
      <c r="Z5" s="195">
        <v>0</v>
      </c>
      <c r="AA5" s="555">
        <v>0</v>
      </c>
      <c r="AB5" s="555">
        <v>0</v>
      </c>
      <c r="AC5" s="555">
        <v>25.346</v>
      </c>
      <c r="AD5" s="764">
        <v>1.95E-2</v>
      </c>
      <c r="AE5" s="555">
        <v>1.714</v>
      </c>
      <c r="AF5" s="555">
        <v>9.5219999999999999E-2</v>
      </c>
      <c r="AG5" s="555">
        <v>65.31</v>
      </c>
      <c r="AH5" s="555">
        <v>1.3899999999999999E-2</v>
      </c>
      <c r="AI5" s="248"/>
      <c r="AJ5" s="248"/>
      <c r="AK5" s="248"/>
      <c r="AL5" s="248"/>
    </row>
    <row r="6" spans="1:38" ht="31.75" hidden="1">
      <c r="A6" s="223" t="s">
        <v>296</v>
      </c>
      <c r="B6" s="625" t="s">
        <v>317</v>
      </c>
      <c r="C6" s="860">
        <v>1087.1369999999999</v>
      </c>
      <c r="D6" s="554">
        <f t="shared" si="0"/>
        <v>1090</v>
      </c>
      <c r="E6" s="860">
        <v>9.8659999999999997</v>
      </c>
      <c r="F6" s="895">
        <f>MROUND(E6,5)</f>
        <v>10</v>
      </c>
      <c r="G6" s="860">
        <v>19.079000000000001</v>
      </c>
      <c r="H6" s="696">
        <f>MROUND(G6,1)</f>
        <v>19</v>
      </c>
      <c r="I6" s="860">
        <v>3.6459999999999999</v>
      </c>
      <c r="J6" s="766">
        <f>MROUND(I6,0.5)</f>
        <v>3.5</v>
      </c>
      <c r="K6" s="860">
        <v>0</v>
      </c>
      <c r="L6" s="744">
        <v>0</v>
      </c>
      <c r="M6" s="860">
        <v>0</v>
      </c>
      <c r="N6" s="554">
        <v>0</v>
      </c>
      <c r="O6" s="860">
        <v>249.035</v>
      </c>
      <c r="P6" s="195">
        <f t="shared" si="1"/>
        <v>249</v>
      </c>
      <c r="Q6" s="860">
        <v>232.54599999999999</v>
      </c>
      <c r="R6" s="896">
        <f t="shared" si="2"/>
        <v>233</v>
      </c>
      <c r="S6" s="860">
        <v>5.1660000000000004</v>
      </c>
      <c r="T6" s="871">
        <f>MROUND(S6,1)</f>
        <v>5</v>
      </c>
      <c r="U6" s="860">
        <v>221.06800000000001</v>
      </c>
      <c r="V6" s="726">
        <f t="shared" si="3"/>
        <v>221</v>
      </c>
      <c r="W6" s="860">
        <v>219.25200000000001</v>
      </c>
      <c r="X6" s="726">
        <f t="shared" si="4"/>
        <v>219</v>
      </c>
      <c r="Y6" s="860">
        <v>7.9029999999999996</v>
      </c>
      <c r="Z6" s="188">
        <f>MROUND(Y6,1)</f>
        <v>8</v>
      </c>
      <c r="AA6" s="697">
        <v>1.4E-2</v>
      </c>
      <c r="AB6" s="697">
        <v>7.2000000000000005E-4</v>
      </c>
      <c r="AC6" s="697">
        <v>60.749000000000002</v>
      </c>
      <c r="AD6" s="698">
        <v>4.6730000000000001E-2</v>
      </c>
      <c r="AE6" s="697">
        <v>2.758</v>
      </c>
      <c r="AF6" s="697">
        <v>0.1532</v>
      </c>
      <c r="AG6" s="697">
        <v>393.22899999999998</v>
      </c>
      <c r="AH6" s="697">
        <v>8.3669999999999994E-2</v>
      </c>
    </row>
    <row r="7" spans="1:38" ht="31.75" hidden="1">
      <c r="A7" s="223" t="s">
        <v>296</v>
      </c>
      <c r="B7" s="625" t="s">
        <v>72</v>
      </c>
      <c r="C7" s="860">
        <v>868.07600000000002</v>
      </c>
      <c r="D7" s="554">
        <f t="shared" si="0"/>
        <v>870</v>
      </c>
      <c r="E7" s="860">
        <v>0</v>
      </c>
      <c r="F7" s="744">
        <v>0</v>
      </c>
      <c r="G7" s="860">
        <v>0</v>
      </c>
      <c r="H7" s="554">
        <v>0</v>
      </c>
      <c r="I7" s="860">
        <v>0</v>
      </c>
      <c r="J7" s="744">
        <v>0</v>
      </c>
      <c r="K7" s="860">
        <v>0</v>
      </c>
      <c r="L7" s="744">
        <v>0</v>
      </c>
      <c r="M7" s="860">
        <v>0</v>
      </c>
      <c r="N7" s="554">
        <v>0</v>
      </c>
      <c r="O7" s="860">
        <v>195.114</v>
      </c>
      <c r="P7" s="195">
        <f t="shared" si="1"/>
        <v>195</v>
      </c>
      <c r="Q7" s="860">
        <v>221.083</v>
      </c>
      <c r="R7" s="896">
        <f t="shared" si="2"/>
        <v>221</v>
      </c>
      <c r="S7" s="860">
        <v>6.9000000000000006E-2</v>
      </c>
      <c r="T7" s="896">
        <v>0</v>
      </c>
      <c r="U7" s="860">
        <v>215.12299999999999</v>
      </c>
      <c r="V7" s="726">
        <f t="shared" si="3"/>
        <v>215</v>
      </c>
      <c r="W7" s="860">
        <v>215.12299999999999</v>
      </c>
      <c r="X7" s="726">
        <f t="shared" si="4"/>
        <v>215</v>
      </c>
      <c r="Y7" s="860">
        <v>0.82399999999999995</v>
      </c>
      <c r="Z7" s="871" t="s">
        <v>303</v>
      </c>
      <c r="AA7" s="555">
        <v>0</v>
      </c>
      <c r="AB7" s="555">
        <v>0</v>
      </c>
      <c r="AC7" s="555">
        <v>23.382999999999999</v>
      </c>
      <c r="AD7" s="764">
        <v>1.7989999999999999E-2</v>
      </c>
      <c r="AE7" s="555">
        <v>0.214</v>
      </c>
      <c r="AF7" s="555">
        <v>1.189E-2</v>
      </c>
      <c r="AG7" s="555">
        <v>3.1509999999999998</v>
      </c>
      <c r="AH7" s="555">
        <v>6.7000000000000004E-2</v>
      </c>
      <c r="AI7" s="223"/>
      <c r="AJ7" s="223"/>
      <c r="AK7" s="223"/>
      <c r="AL7" s="223"/>
    </row>
    <row r="8" spans="1:38" ht="31.75" hidden="1">
      <c r="A8" s="223" t="s">
        <v>296</v>
      </c>
      <c r="B8" s="625" t="s">
        <v>308</v>
      </c>
      <c r="C8" s="859">
        <v>720.43100000000004</v>
      </c>
      <c r="D8" s="554">
        <f t="shared" si="0"/>
        <v>720</v>
      </c>
      <c r="E8" s="859">
        <v>0</v>
      </c>
      <c r="F8" s="744">
        <v>0</v>
      </c>
      <c r="G8" s="859">
        <v>0</v>
      </c>
      <c r="H8" s="554">
        <v>0</v>
      </c>
      <c r="I8" s="859">
        <v>0</v>
      </c>
      <c r="J8" s="744">
        <v>0</v>
      </c>
      <c r="K8" s="859">
        <v>0</v>
      </c>
      <c r="L8" s="744">
        <v>0</v>
      </c>
      <c r="M8" s="859">
        <v>0</v>
      </c>
      <c r="N8" s="536">
        <f>MROUND(M8,5)</f>
        <v>0</v>
      </c>
      <c r="O8" s="859">
        <v>178.96899999999999</v>
      </c>
      <c r="P8" s="195">
        <f t="shared" si="1"/>
        <v>179</v>
      </c>
      <c r="Q8" s="859">
        <v>178.96899999999999</v>
      </c>
      <c r="R8" s="896">
        <f t="shared" si="2"/>
        <v>179</v>
      </c>
      <c r="S8" s="859">
        <v>0</v>
      </c>
      <c r="T8" s="871">
        <v>0</v>
      </c>
      <c r="U8" s="859">
        <v>177.73099999999999</v>
      </c>
      <c r="V8" s="726">
        <f t="shared" si="3"/>
        <v>178</v>
      </c>
      <c r="W8" s="859">
        <v>177.73099999999999</v>
      </c>
      <c r="X8" s="726">
        <f t="shared" si="4"/>
        <v>178</v>
      </c>
      <c r="Y8" s="859">
        <v>0</v>
      </c>
      <c r="Z8" s="195">
        <v>0</v>
      </c>
      <c r="AA8" s="694">
        <v>0</v>
      </c>
      <c r="AB8" s="697">
        <v>0</v>
      </c>
      <c r="AC8" s="694">
        <v>20.469000000000001</v>
      </c>
      <c r="AD8" s="694">
        <v>1.577</v>
      </c>
      <c r="AE8" s="695">
        <v>3.7999999999999999E-2</v>
      </c>
      <c r="AF8" s="694">
        <v>0.20799999999999999</v>
      </c>
      <c r="AG8" s="694">
        <v>13.339</v>
      </c>
      <c r="AH8" s="694">
        <v>0.28399999999999997</v>
      </c>
    </row>
    <row r="9" spans="1:38" ht="31.75" hidden="1">
      <c r="A9" s="223" t="s">
        <v>296</v>
      </c>
      <c r="B9" s="625" t="s">
        <v>46</v>
      </c>
      <c r="C9" s="860">
        <v>685.03499999999997</v>
      </c>
      <c r="D9" s="554">
        <f t="shared" si="0"/>
        <v>690</v>
      </c>
      <c r="E9" s="860">
        <v>0</v>
      </c>
      <c r="F9" s="744">
        <v>0</v>
      </c>
      <c r="G9" s="860">
        <v>5.6000000000000001E-2</v>
      </c>
      <c r="H9" s="554">
        <v>0</v>
      </c>
      <c r="I9" s="860">
        <v>0</v>
      </c>
      <c r="J9" s="744">
        <v>0</v>
      </c>
      <c r="K9" s="860">
        <v>0</v>
      </c>
      <c r="L9" s="744">
        <v>0</v>
      </c>
      <c r="M9" s="860">
        <v>0</v>
      </c>
      <c r="N9" s="554">
        <v>0</v>
      </c>
      <c r="O9" s="860">
        <v>171.26400000000001</v>
      </c>
      <c r="P9" s="195">
        <f t="shared" si="1"/>
        <v>171</v>
      </c>
      <c r="Q9" s="860">
        <v>173.863</v>
      </c>
      <c r="R9" s="896">
        <f t="shared" si="2"/>
        <v>174</v>
      </c>
      <c r="S9" s="860">
        <v>0.157</v>
      </c>
      <c r="T9" s="896">
        <v>0</v>
      </c>
      <c r="U9" s="860">
        <v>163.464</v>
      </c>
      <c r="V9" s="726">
        <f t="shared" si="3"/>
        <v>163</v>
      </c>
      <c r="W9" s="860">
        <v>163.001</v>
      </c>
      <c r="X9" s="726">
        <f t="shared" si="4"/>
        <v>163</v>
      </c>
      <c r="Y9" s="860">
        <v>0.184</v>
      </c>
      <c r="Z9" s="195">
        <v>0</v>
      </c>
      <c r="AA9" s="696">
        <v>0</v>
      </c>
      <c r="AB9" s="696">
        <v>0</v>
      </c>
      <c r="AC9" s="696">
        <v>22.012</v>
      </c>
      <c r="AD9" s="699">
        <v>1.6930000000000001E-2</v>
      </c>
      <c r="AE9" s="696">
        <v>6.5000000000000002E-2</v>
      </c>
      <c r="AF9" s="696">
        <v>3.6099999999999999E-3</v>
      </c>
      <c r="AG9" s="696">
        <v>28.919</v>
      </c>
      <c r="AH9" s="696">
        <v>6.1500000000000001E-3</v>
      </c>
    </row>
    <row r="10" spans="1:38" ht="31.75" hidden="1">
      <c r="A10" s="223" t="s">
        <v>296</v>
      </c>
      <c r="B10" s="625" t="s">
        <v>34</v>
      </c>
      <c r="C10" s="860">
        <v>900.1</v>
      </c>
      <c r="D10" s="554">
        <f t="shared" si="0"/>
        <v>900</v>
      </c>
      <c r="E10" s="860">
        <v>9.8550000000000004</v>
      </c>
      <c r="F10" s="895">
        <f>MROUND(E10,5)</f>
        <v>10</v>
      </c>
      <c r="G10" s="860">
        <v>1.095</v>
      </c>
      <c r="H10" s="696">
        <f>MROUND(G10,0.5)</f>
        <v>1</v>
      </c>
      <c r="I10" s="860">
        <v>0.64800000000000002</v>
      </c>
      <c r="J10" s="766">
        <f>MROUND(I10,0.5)</f>
        <v>0.5</v>
      </c>
      <c r="K10" s="860">
        <v>0</v>
      </c>
      <c r="L10" s="744">
        <v>0</v>
      </c>
      <c r="M10" s="860">
        <v>0</v>
      </c>
      <c r="N10" s="554">
        <v>0</v>
      </c>
      <c r="O10" s="860">
        <v>169.92599999999999</v>
      </c>
      <c r="P10" s="195">
        <f t="shared" si="1"/>
        <v>170</v>
      </c>
      <c r="Q10" s="860">
        <v>229.46199999999999</v>
      </c>
      <c r="R10" s="896">
        <f t="shared" si="2"/>
        <v>229</v>
      </c>
      <c r="S10" s="860">
        <v>3.2029999999999998</v>
      </c>
      <c r="T10" s="871">
        <f>MROUND(S10,1)</f>
        <v>3</v>
      </c>
      <c r="U10" s="860">
        <v>217.98</v>
      </c>
      <c r="V10" s="726">
        <f t="shared" si="3"/>
        <v>218</v>
      </c>
      <c r="W10" s="860">
        <v>217.08</v>
      </c>
      <c r="X10" s="726">
        <f t="shared" si="4"/>
        <v>217</v>
      </c>
      <c r="Y10" s="860">
        <v>1.952</v>
      </c>
      <c r="Z10" s="188">
        <f>MROUND(Y10,1)</f>
        <v>2</v>
      </c>
      <c r="AA10" s="697">
        <v>1.4E-2</v>
      </c>
      <c r="AB10" s="697">
        <v>7.2000000000000005E-4</v>
      </c>
      <c r="AC10" s="697">
        <v>40.137999999999998</v>
      </c>
      <c r="AD10" s="698">
        <v>3.0880000000000001E-2</v>
      </c>
      <c r="AE10" s="697">
        <v>1.7</v>
      </c>
      <c r="AF10" s="697">
        <v>9.4420000000000004E-2</v>
      </c>
      <c r="AG10" s="697">
        <v>230.40299999999999</v>
      </c>
      <c r="AH10" s="697">
        <v>4.9020000000000001E-2</v>
      </c>
    </row>
    <row r="11" spans="1:38" ht="31.75" hidden="1">
      <c r="A11" s="223" t="s">
        <v>296</v>
      </c>
      <c r="B11" s="625" t="s">
        <v>35</v>
      </c>
      <c r="C11" s="860">
        <v>1019.8680000000001</v>
      </c>
      <c r="D11" s="554">
        <f t="shared" si="0"/>
        <v>1020</v>
      </c>
      <c r="E11" s="860">
        <v>9.8819999999999997</v>
      </c>
      <c r="F11" s="895">
        <f>MROUND(E11,5)</f>
        <v>10</v>
      </c>
      <c r="G11" s="860">
        <v>7.7869999999999999</v>
      </c>
      <c r="H11" s="696">
        <f>MROUND(G11,1)</f>
        <v>8</v>
      </c>
      <c r="I11" s="860">
        <v>4.6369999999999996</v>
      </c>
      <c r="J11" s="766">
        <f>MROUND(I11,0.5)</f>
        <v>4.5</v>
      </c>
      <c r="K11" s="860">
        <v>0</v>
      </c>
      <c r="L11" s="744">
        <v>0</v>
      </c>
      <c r="M11" s="860">
        <v>0</v>
      </c>
      <c r="N11" s="554">
        <v>0</v>
      </c>
      <c r="O11" s="860">
        <v>169.31200000000001</v>
      </c>
      <c r="P11" s="195">
        <f t="shared" si="1"/>
        <v>169</v>
      </c>
      <c r="Q11" s="860">
        <v>247.35</v>
      </c>
      <c r="R11" s="896">
        <f t="shared" si="2"/>
        <v>247</v>
      </c>
      <c r="S11" s="860">
        <v>5.2450000000000001</v>
      </c>
      <c r="T11" s="871">
        <f>MROUND(S11,1)</f>
        <v>5</v>
      </c>
      <c r="U11" s="860">
        <v>232.517</v>
      </c>
      <c r="V11" s="726">
        <f t="shared" si="3"/>
        <v>233</v>
      </c>
      <c r="W11" s="860">
        <v>231.61500000000001</v>
      </c>
      <c r="X11" s="726">
        <f t="shared" si="4"/>
        <v>232</v>
      </c>
      <c r="Y11" s="860">
        <v>3.2440000000000002</v>
      </c>
      <c r="Z11" s="188">
        <f>MROUND(Y11,1)</f>
        <v>3</v>
      </c>
      <c r="AA11" s="697">
        <v>1.4E-2</v>
      </c>
      <c r="AB11" s="697">
        <v>7.2000000000000005E-4</v>
      </c>
      <c r="AC11" s="696">
        <v>49.203000000000003</v>
      </c>
      <c r="AD11" s="699">
        <v>3.7850000000000002E-2</v>
      </c>
      <c r="AE11" s="696">
        <v>3.9009999999999998</v>
      </c>
      <c r="AF11" s="696">
        <v>0.21673999999999999</v>
      </c>
      <c r="AG11" s="696">
        <v>343.51299999999998</v>
      </c>
      <c r="AH11" s="696">
        <v>7.3090000000000002E-2</v>
      </c>
    </row>
    <row r="12" spans="1:38" ht="31.75" hidden="1">
      <c r="A12" s="223" t="s">
        <v>296</v>
      </c>
      <c r="B12" s="625" t="s">
        <v>324</v>
      </c>
      <c r="C12" s="889">
        <v>773.58199999999999</v>
      </c>
      <c r="D12" s="554">
        <f t="shared" si="0"/>
        <v>770</v>
      </c>
      <c r="E12" s="889">
        <v>0</v>
      </c>
      <c r="F12" s="744">
        <v>0</v>
      </c>
      <c r="G12" s="889">
        <v>0</v>
      </c>
      <c r="H12" s="554">
        <v>0</v>
      </c>
      <c r="I12" s="889">
        <v>0</v>
      </c>
      <c r="J12" s="744">
        <v>0</v>
      </c>
      <c r="K12" s="889">
        <v>0</v>
      </c>
      <c r="L12" s="744">
        <v>0</v>
      </c>
      <c r="M12" s="889">
        <v>0</v>
      </c>
      <c r="N12" s="554">
        <v>0</v>
      </c>
      <c r="O12" s="889">
        <v>153.23400000000001</v>
      </c>
      <c r="P12" s="195">
        <f t="shared" si="1"/>
        <v>153</v>
      </c>
      <c r="Q12" s="889">
        <v>196.36600000000001</v>
      </c>
      <c r="R12" s="896">
        <f t="shared" si="2"/>
        <v>196</v>
      </c>
      <c r="S12" s="889">
        <v>7.4999999999999997E-2</v>
      </c>
      <c r="T12" s="896">
        <v>0</v>
      </c>
      <c r="U12" s="889">
        <v>190.82400000000001</v>
      </c>
      <c r="V12" s="726">
        <f t="shared" si="3"/>
        <v>191</v>
      </c>
      <c r="W12" s="889">
        <v>190.82400000000001</v>
      </c>
      <c r="X12" s="726">
        <f t="shared" si="4"/>
        <v>191</v>
      </c>
      <c r="Y12" s="889">
        <v>0.41199999999999998</v>
      </c>
      <c r="Z12" s="195">
        <v>0</v>
      </c>
      <c r="AA12" s="555">
        <v>0</v>
      </c>
      <c r="AB12" s="555">
        <v>0</v>
      </c>
      <c r="AC12" s="555">
        <v>24.864000000000001</v>
      </c>
      <c r="AD12" s="764">
        <v>1.913</v>
      </c>
      <c r="AE12" s="555">
        <v>0.184</v>
      </c>
      <c r="AF12" s="555">
        <v>1.024</v>
      </c>
      <c r="AG12" s="555">
        <v>2.6309999999999998</v>
      </c>
      <c r="AH12" s="555">
        <v>5.6000000000000001E-2</v>
      </c>
      <c r="AI12" s="248"/>
      <c r="AJ12" s="248"/>
      <c r="AK12" s="248"/>
      <c r="AL12" s="248"/>
    </row>
    <row r="13" spans="1:38" ht="31.75" hidden="1">
      <c r="A13" s="223" t="s">
        <v>296</v>
      </c>
      <c r="B13" s="625" t="s">
        <v>33</v>
      </c>
      <c r="C13" s="860">
        <v>745.61900000000003</v>
      </c>
      <c r="D13" s="554">
        <f t="shared" si="0"/>
        <v>750</v>
      </c>
      <c r="E13" s="860">
        <v>0.13800000000000001</v>
      </c>
      <c r="F13" s="744">
        <v>0</v>
      </c>
      <c r="G13" s="860">
        <v>1.4999999999999999E-2</v>
      </c>
      <c r="H13" s="554">
        <v>0</v>
      </c>
      <c r="I13" s="860">
        <v>2E-3</v>
      </c>
      <c r="J13" s="744">
        <v>0</v>
      </c>
      <c r="K13" s="860">
        <v>0</v>
      </c>
      <c r="L13" s="744">
        <v>0</v>
      </c>
      <c r="M13" s="860">
        <v>0</v>
      </c>
      <c r="N13" s="554">
        <v>0</v>
      </c>
      <c r="O13" s="860">
        <v>152.38200000000001</v>
      </c>
      <c r="P13" s="195">
        <f t="shared" si="1"/>
        <v>152</v>
      </c>
      <c r="Q13" s="860">
        <v>190.53899999999999</v>
      </c>
      <c r="R13" s="896">
        <f t="shared" si="2"/>
        <v>191</v>
      </c>
      <c r="S13" s="860">
        <v>0.34200000000000003</v>
      </c>
      <c r="T13" s="896">
        <v>0</v>
      </c>
      <c r="U13" s="860">
        <v>181.21700000000001</v>
      </c>
      <c r="V13" s="726">
        <f t="shared" si="3"/>
        <v>181</v>
      </c>
      <c r="W13" s="860">
        <v>181.08699999999999</v>
      </c>
      <c r="X13" s="726">
        <f t="shared" si="4"/>
        <v>181</v>
      </c>
      <c r="Y13" s="860">
        <v>9.0999999999999998E-2</v>
      </c>
      <c r="Z13" s="195">
        <v>0</v>
      </c>
      <c r="AA13" s="697">
        <v>0</v>
      </c>
      <c r="AB13" s="697">
        <v>0</v>
      </c>
      <c r="AC13" s="696">
        <v>24.192</v>
      </c>
      <c r="AD13" s="699">
        <v>1.8610000000000002E-2</v>
      </c>
      <c r="AE13" s="696">
        <v>0.104</v>
      </c>
      <c r="AF13" s="696">
        <v>5.77E-3</v>
      </c>
      <c r="AG13" s="696">
        <v>10.157</v>
      </c>
      <c r="AH13" s="696">
        <v>2.16E-3</v>
      </c>
    </row>
    <row r="14" spans="1:38" ht="31.75" hidden="1">
      <c r="A14" s="223" t="s">
        <v>296</v>
      </c>
      <c r="B14" s="625" t="s">
        <v>55</v>
      </c>
      <c r="C14" s="860">
        <v>1005.812</v>
      </c>
      <c r="D14" s="554">
        <f t="shared" si="0"/>
        <v>1010</v>
      </c>
      <c r="E14" s="860">
        <v>0.68600000000000005</v>
      </c>
      <c r="F14" s="744">
        <v>0</v>
      </c>
      <c r="G14" s="860">
        <v>7.5999999999999998E-2</v>
      </c>
      <c r="H14" s="554">
        <v>0</v>
      </c>
      <c r="I14" s="860">
        <v>5.0000000000000001E-3</v>
      </c>
      <c r="J14" s="744">
        <v>0</v>
      </c>
      <c r="K14" s="860">
        <v>0</v>
      </c>
      <c r="L14" s="744">
        <v>0</v>
      </c>
      <c r="M14" s="860">
        <v>0</v>
      </c>
      <c r="N14" s="554">
        <v>0</v>
      </c>
      <c r="O14" s="860">
        <v>131.48400000000001</v>
      </c>
      <c r="P14" s="195">
        <f t="shared" si="1"/>
        <v>131</v>
      </c>
      <c r="Q14" s="860">
        <v>240.864</v>
      </c>
      <c r="R14" s="896">
        <f t="shared" si="2"/>
        <v>241</v>
      </c>
      <c r="S14" s="860">
        <v>0.67500000000000004</v>
      </c>
      <c r="T14" s="195" t="s">
        <v>303</v>
      </c>
      <c r="U14" s="860">
        <v>112.836</v>
      </c>
      <c r="V14" s="726">
        <f t="shared" si="3"/>
        <v>113</v>
      </c>
      <c r="W14" s="860">
        <v>111.715</v>
      </c>
      <c r="X14" s="726">
        <f t="shared" si="4"/>
        <v>112</v>
      </c>
      <c r="Y14" s="860">
        <v>0.25800000000000001</v>
      </c>
      <c r="Z14" s="195">
        <v>0</v>
      </c>
      <c r="AA14" s="555">
        <v>0</v>
      </c>
      <c r="AB14" s="555">
        <v>0</v>
      </c>
      <c r="AC14" s="555">
        <v>28.064</v>
      </c>
      <c r="AD14" s="626">
        <v>2.1590000000000002E-2</v>
      </c>
      <c r="AE14" s="555">
        <v>0.125</v>
      </c>
      <c r="AF14" s="555">
        <v>6.96E-3</v>
      </c>
      <c r="AG14" s="555">
        <v>48.728000000000002</v>
      </c>
      <c r="AH14" s="555">
        <v>1.0370000000000001E-2</v>
      </c>
    </row>
    <row r="15" spans="1:38" ht="31.75" hidden="1">
      <c r="A15" s="223" t="s">
        <v>296</v>
      </c>
      <c r="B15" s="625" t="s">
        <v>69</v>
      </c>
      <c r="C15" s="860">
        <v>784.50800000000004</v>
      </c>
      <c r="D15" s="554">
        <f t="shared" si="0"/>
        <v>780</v>
      </c>
      <c r="E15" s="860">
        <v>0.64900000000000002</v>
      </c>
      <c r="F15" s="744">
        <v>0</v>
      </c>
      <c r="G15" s="860">
        <v>7.1999999999999995E-2</v>
      </c>
      <c r="H15" s="554">
        <v>0</v>
      </c>
      <c r="I15" s="860">
        <v>3.0000000000000001E-3</v>
      </c>
      <c r="J15" s="744">
        <v>0</v>
      </c>
      <c r="K15" s="860">
        <v>0</v>
      </c>
      <c r="L15" s="744">
        <v>0</v>
      </c>
      <c r="M15" s="860">
        <v>0</v>
      </c>
      <c r="N15" s="554">
        <v>0</v>
      </c>
      <c r="O15" s="860">
        <v>127.833</v>
      </c>
      <c r="P15" s="195">
        <f t="shared" si="1"/>
        <v>128</v>
      </c>
      <c r="Q15" s="860">
        <v>199.32400000000001</v>
      </c>
      <c r="R15" s="896">
        <f t="shared" si="2"/>
        <v>199</v>
      </c>
      <c r="S15" s="860">
        <v>0.54200000000000004</v>
      </c>
      <c r="T15" s="195" t="s">
        <v>303</v>
      </c>
      <c r="U15" s="860">
        <v>190.78200000000001</v>
      </c>
      <c r="V15" s="726">
        <f t="shared" si="3"/>
        <v>191</v>
      </c>
      <c r="W15" s="860">
        <v>188.77699999999999</v>
      </c>
      <c r="X15" s="726">
        <f t="shared" si="4"/>
        <v>189</v>
      </c>
      <c r="Y15" s="860">
        <v>0.44500000000000001</v>
      </c>
      <c r="Z15" s="195">
        <v>0</v>
      </c>
      <c r="AA15" s="536">
        <v>0</v>
      </c>
      <c r="AB15" s="536">
        <v>0</v>
      </c>
      <c r="AC15" s="536">
        <v>28.863</v>
      </c>
      <c r="AD15" s="627">
        <v>2.2200000000000001E-2</v>
      </c>
      <c r="AE15" s="536">
        <v>0.20300000000000001</v>
      </c>
      <c r="AF15" s="536">
        <v>1.1270000000000001E-2</v>
      </c>
      <c r="AG15" s="536">
        <v>49.53</v>
      </c>
      <c r="AH15" s="536">
        <v>1.0540000000000001E-2</v>
      </c>
    </row>
    <row r="16" spans="1:38" ht="31.75" hidden="1">
      <c r="A16" s="223" t="s">
        <v>296</v>
      </c>
      <c r="B16" s="625" t="s">
        <v>78</v>
      </c>
      <c r="C16" s="889">
        <v>728.09500000000003</v>
      </c>
      <c r="D16" s="554">
        <f t="shared" si="0"/>
        <v>730</v>
      </c>
      <c r="E16" s="889">
        <v>0.03</v>
      </c>
      <c r="F16" s="744">
        <v>0</v>
      </c>
      <c r="G16" s="889">
        <v>2.9000000000000001E-2</v>
      </c>
      <c r="H16" s="554">
        <v>0</v>
      </c>
      <c r="I16" s="889">
        <v>0</v>
      </c>
      <c r="J16" s="744">
        <v>0</v>
      </c>
      <c r="K16" s="889">
        <v>0</v>
      </c>
      <c r="L16" s="744">
        <v>0</v>
      </c>
      <c r="M16" s="889">
        <v>0</v>
      </c>
      <c r="N16" s="554">
        <v>0</v>
      </c>
      <c r="O16" s="889">
        <v>124.05800000000001</v>
      </c>
      <c r="P16" s="195">
        <f t="shared" si="1"/>
        <v>124</v>
      </c>
      <c r="Q16" s="889">
        <v>175.73099999999999</v>
      </c>
      <c r="R16" s="896">
        <f t="shared" si="2"/>
        <v>176</v>
      </c>
      <c r="S16" s="889">
        <v>0.67100000000000004</v>
      </c>
      <c r="T16" s="195" t="s">
        <v>303</v>
      </c>
      <c r="U16" s="889">
        <v>163.67099999999999</v>
      </c>
      <c r="V16" s="726">
        <f t="shared" si="3"/>
        <v>164</v>
      </c>
      <c r="W16" s="889">
        <v>158.976</v>
      </c>
      <c r="X16" s="726">
        <f t="shared" si="4"/>
        <v>159</v>
      </c>
      <c r="Y16" s="889">
        <v>1.2490000000000001</v>
      </c>
      <c r="Z16" s="188">
        <f>MROUND(Y16,1)</f>
        <v>1</v>
      </c>
      <c r="AA16" s="555">
        <v>0</v>
      </c>
      <c r="AB16" s="555">
        <v>0</v>
      </c>
      <c r="AC16" s="555">
        <v>39.616999999999997</v>
      </c>
      <c r="AD16" s="764">
        <v>3.0470000000000002</v>
      </c>
      <c r="AE16" s="555">
        <v>0.52900000000000003</v>
      </c>
      <c r="AF16" s="555">
        <v>2.9390000000000001</v>
      </c>
      <c r="AG16" s="555">
        <v>58.203000000000003</v>
      </c>
      <c r="AH16" s="555">
        <v>1.238</v>
      </c>
      <c r="AI16" s="248"/>
      <c r="AJ16" s="248"/>
      <c r="AK16" s="248"/>
      <c r="AL16" s="248"/>
    </row>
    <row r="17" spans="1:38" ht="31.75" hidden="1">
      <c r="A17" s="223" t="s">
        <v>296</v>
      </c>
      <c r="B17" s="625" t="s">
        <v>75</v>
      </c>
      <c r="C17" s="860">
        <v>701.45500000000004</v>
      </c>
      <c r="D17" s="554">
        <f t="shared" si="0"/>
        <v>700</v>
      </c>
      <c r="E17" s="860">
        <v>0</v>
      </c>
      <c r="F17" s="744">
        <v>0</v>
      </c>
      <c r="G17" s="860">
        <v>0</v>
      </c>
      <c r="H17" s="554">
        <v>0</v>
      </c>
      <c r="I17" s="860">
        <v>0</v>
      </c>
      <c r="J17" s="744">
        <v>0</v>
      </c>
      <c r="K17" s="860">
        <v>0</v>
      </c>
      <c r="L17" s="744">
        <v>0</v>
      </c>
      <c r="M17" s="860">
        <v>0</v>
      </c>
      <c r="N17" s="554">
        <v>0</v>
      </c>
      <c r="O17" s="860">
        <v>116.438</v>
      </c>
      <c r="P17" s="195">
        <f t="shared" si="1"/>
        <v>116</v>
      </c>
      <c r="Q17" s="860">
        <v>176.78100000000001</v>
      </c>
      <c r="R17" s="896">
        <f t="shared" si="2"/>
        <v>177</v>
      </c>
      <c r="S17" s="860">
        <v>0.113</v>
      </c>
      <c r="T17" s="896">
        <v>0</v>
      </c>
      <c r="U17" s="860">
        <v>171.36</v>
      </c>
      <c r="V17" s="726">
        <f t="shared" si="3"/>
        <v>171</v>
      </c>
      <c r="W17" s="860">
        <v>171.149</v>
      </c>
      <c r="X17" s="726">
        <f t="shared" si="4"/>
        <v>171</v>
      </c>
      <c r="Y17" s="860">
        <v>0</v>
      </c>
      <c r="Z17" s="195">
        <v>0</v>
      </c>
      <c r="AA17" s="555">
        <v>0</v>
      </c>
      <c r="AB17" s="555">
        <v>0</v>
      </c>
      <c r="AC17" s="555">
        <v>23.619</v>
      </c>
      <c r="AD17" s="764">
        <v>1.8169999999999999</v>
      </c>
      <c r="AE17" s="555">
        <v>0.16</v>
      </c>
      <c r="AF17" s="555">
        <v>0.88800000000000001</v>
      </c>
      <c r="AG17" s="555">
        <v>53.503</v>
      </c>
      <c r="AH17" s="555">
        <v>1.1379999999999999</v>
      </c>
      <c r="AI17" s="248"/>
      <c r="AJ17" s="248"/>
      <c r="AK17" s="248"/>
      <c r="AL17" s="248"/>
    </row>
    <row r="18" spans="1:38" ht="31.75" hidden="1">
      <c r="A18" s="223" t="s">
        <v>296</v>
      </c>
      <c r="B18" s="625" t="s">
        <v>51</v>
      </c>
      <c r="C18" s="860">
        <v>768.13099999999997</v>
      </c>
      <c r="D18" s="554">
        <f t="shared" si="0"/>
        <v>770</v>
      </c>
      <c r="E18" s="860">
        <v>0.23899999999999999</v>
      </c>
      <c r="F18" s="744">
        <v>0</v>
      </c>
      <c r="G18" s="860">
        <v>2.7E-2</v>
      </c>
      <c r="H18" s="554">
        <v>0</v>
      </c>
      <c r="I18" s="860">
        <v>7.0000000000000001E-3</v>
      </c>
      <c r="J18" s="744">
        <v>0</v>
      </c>
      <c r="K18" s="860">
        <v>2.7E-2</v>
      </c>
      <c r="L18" s="744">
        <v>0</v>
      </c>
      <c r="M18" s="860">
        <v>0</v>
      </c>
      <c r="N18" s="554">
        <v>0</v>
      </c>
      <c r="O18" s="860">
        <v>115.895</v>
      </c>
      <c r="P18" s="195">
        <f t="shared" si="1"/>
        <v>116</v>
      </c>
      <c r="Q18" s="860">
        <v>195.095</v>
      </c>
      <c r="R18" s="896">
        <f t="shared" si="2"/>
        <v>195</v>
      </c>
      <c r="S18" s="860">
        <v>0.18</v>
      </c>
      <c r="T18" s="896">
        <v>0</v>
      </c>
      <c r="U18" s="860">
        <v>182.43899999999999</v>
      </c>
      <c r="V18" s="726">
        <f t="shared" si="3"/>
        <v>182</v>
      </c>
      <c r="W18" s="860">
        <v>178.18299999999999</v>
      </c>
      <c r="X18" s="726">
        <f t="shared" si="4"/>
        <v>178</v>
      </c>
      <c r="Y18" s="860">
        <v>0.06</v>
      </c>
      <c r="Z18" s="195">
        <v>0</v>
      </c>
      <c r="AA18" s="555">
        <v>0</v>
      </c>
      <c r="AB18" s="555">
        <v>0</v>
      </c>
      <c r="AC18" s="561">
        <v>23.027999999999999</v>
      </c>
      <c r="AD18" s="628">
        <v>1.771E-2</v>
      </c>
      <c r="AE18" s="561">
        <v>0.14399999999999999</v>
      </c>
      <c r="AF18" s="561">
        <v>7.9699999999999997E-3</v>
      </c>
      <c r="AG18" s="561">
        <v>29.140999999999998</v>
      </c>
      <c r="AH18" s="561">
        <v>6.1999999999999998E-3</v>
      </c>
    </row>
    <row r="19" spans="1:38" ht="31.75" hidden="1">
      <c r="A19" s="223" t="s">
        <v>296</v>
      </c>
      <c r="B19" s="625" t="s">
        <v>50</v>
      </c>
      <c r="C19" s="860">
        <v>770.38099999999997</v>
      </c>
      <c r="D19" s="554">
        <f t="shared" si="0"/>
        <v>770</v>
      </c>
      <c r="E19" s="860">
        <v>0.47699999999999998</v>
      </c>
      <c r="F19" s="744">
        <v>0</v>
      </c>
      <c r="G19" s="860">
        <v>5.2999999999999999E-2</v>
      </c>
      <c r="H19" s="554">
        <v>0</v>
      </c>
      <c r="I19" s="860">
        <v>1.4E-2</v>
      </c>
      <c r="J19" s="744">
        <v>0</v>
      </c>
      <c r="K19" s="860">
        <v>5.2999999999999999E-2</v>
      </c>
      <c r="L19" s="744">
        <v>0</v>
      </c>
      <c r="M19" s="860">
        <v>0</v>
      </c>
      <c r="N19" s="554">
        <v>0</v>
      </c>
      <c r="O19" s="860">
        <v>115.98399999999999</v>
      </c>
      <c r="P19" s="195">
        <f t="shared" si="1"/>
        <v>116</v>
      </c>
      <c r="Q19" s="860">
        <v>195.905</v>
      </c>
      <c r="R19" s="896">
        <f t="shared" si="2"/>
        <v>196</v>
      </c>
      <c r="S19" s="860">
        <v>0.35699999999999998</v>
      </c>
      <c r="T19" s="896">
        <v>0</v>
      </c>
      <c r="U19" s="860">
        <v>186.94399999999999</v>
      </c>
      <c r="V19" s="726">
        <f t="shared" si="3"/>
        <v>187</v>
      </c>
      <c r="W19" s="860">
        <v>184.07499999999999</v>
      </c>
      <c r="X19" s="726">
        <f t="shared" si="4"/>
        <v>184</v>
      </c>
      <c r="Y19" s="860">
        <v>0.108</v>
      </c>
      <c r="Z19" s="195">
        <v>0</v>
      </c>
      <c r="AA19" s="555">
        <v>0</v>
      </c>
      <c r="AB19" s="555">
        <v>0</v>
      </c>
      <c r="AC19" s="555">
        <v>25.800999999999998</v>
      </c>
      <c r="AD19" s="626">
        <v>1.985E-2</v>
      </c>
      <c r="AE19" s="555">
        <v>0.24</v>
      </c>
      <c r="AF19" s="555">
        <v>1.3339999999999999E-2</v>
      </c>
      <c r="AG19" s="555">
        <v>56.146999999999998</v>
      </c>
      <c r="AH19" s="555">
        <v>1.1950000000000001E-2</v>
      </c>
    </row>
    <row r="20" spans="1:38" ht="31.75" hidden="1">
      <c r="A20" s="223" t="s">
        <v>296</v>
      </c>
      <c r="B20" s="625" t="s">
        <v>54</v>
      </c>
      <c r="C20" s="860">
        <v>781.30700000000002</v>
      </c>
      <c r="D20" s="554">
        <f t="shared" si="0"/>
        <v>780</v>
      </c>
      <c r="E20" s="860">
        <v>0.36399999999999999</v>
      </c>
      <c r="F20" s="744">
        <v>0</v>
      </c>
      <c r="G20" s="860">
        <v>0.04</v>
      </c>
      <c r="H20" s="554">
        <v>0</v>
      </c>
      <c r="I20" s="860">
        <v>7.0000000000000001E-3</v>
      </c>
      <c r="J20" s="744">
        <v>0</v>
      </c>
      <c r="K20" s="860">
        <v>2.7E-2</v>
      </c>
      <c r="L20" s="744">
        <v>0</v>
      </c>
      <c r="M20" s="860">
        <v>0</v>
      </c>
      <c r="N20" s="554">
        <v>0</v>
      </c>
      <c r="O20" s="860">
        <v>115.176</v>
      </c>
      <c r="P20" s="195">
        <f t="shared" si="1"/>
        <v>115</v>
      </c>
      <c r="Q20" s="860">
        <v>197.851</v>
      </c>
      <c r="R20" s="896">
        <f t="shared" si="2"/>
        <v>198</v>
      </c>
      <c r="S20" s="860">
        <v>0.44800000000000001</v>
      </c>
      <c r="T20" s="896">
        <v>0</v>
      </c>
      <c r="U20" s="860">
        <v>190.441</v>
      </c>
      <c r="V20" s="726">
        <f t="shared" si="3"/>
        <v>190</v>
      </c>
      <c r="W20" s="860">
        <v>187.69900000000001</v>
      </c>
      <c r="X20" s="726">
        <f t="shared" si="4"/>
        <v>188</v>
      </c>
      <c r="Y20" s="860">
        <v>0.29099999999999998</v>
      </c>
      <c r="Z20" s="195">
        <v>0</v>
      </c>
      <c r="AA20" s="555">
        <v>0</v>
      </c>
      <c r="AB20" s="555">
        <v>0</v>
      </c>
      <c r="AC20" s="555">
        <v>25.888999999999999</v>
      </c>
      <c r="AD20" s="626">
        <v>1.9910000000000001E-2</v>
      </c>
      <c r="AE20" s="555">
        <v>0.28699999999999998</v>
      </c>
      <c r="AF20" s="555">
        <v>1.593E-2</v>
      </c>
      <c r="AG20" s="555">
        <v>45.213999999999999</v>
      </c>
      <c r="AH20" s="555">
        <v>9.6200000000000001E-3</v>
      </c>
    </row>
    <row r="21" spans="1:38" s="212" customFormat="1" ht="31.75" hidden="1">
      <c r="A21" s="223" t="s">
        <v>296</v>
      </c>
      <c r="B21" s="625" t="s">
        <v>71</v>
      </c>
      <c r="C21" s="860">
        <v>755.41800000000001</v>
      </c>
      <c r="D21" s="554">
        <f t="shared" si="0"/>
        <v>760</v>
      </c>
      <c r="E21" s="860">
        <v>0.29299999999999998</v>
      </c>
      <c r="F21" s="744">
        <v>0</v>
      </c>
      <c r="G21" s="860">
        <v>3.0000000000000001E-3</v>
      </c>
      <c r="H21" s="554">
        <v>0</v>
      </c>
      <c r="I21" s="860">
        <v>0</v>
      </c>
      <c r="J21" s="744">
        <v>0</v>
      </c>
      <c r="K21" s="860">
        <v>0</v>
      </c>
      <c r="L21" s="744">
        <v>0</v>
      </c>
      <c r="M21" s="860">
        <v>0</v>
      </c>
      <c r="N21" s="554">
        <v>0</v>
      </c>
      <c r="O21" s="860">
        <v>115.194</v>
      </c>
      <c r="P21" s="195">
        <f t="shared" si="1"/>
        <v>115</v>
      </c>
      <c r="Q21" s="860">
        <v>190.77500000000001</v>
      </c>
      <c r="R21" s="896">
        <f t="shared" si="2"/>
        <v>191</v>
      </c>
      <c r="S21" s="860">
        <v>0.217</v>
      </c>
      <c r="T21" s="896">
        <v>0</v>
      </c>
      <c r="U21" s="860">
        <v>184.58600000000001</v>
      </c>
      <c r="V21" s="726">
        <f t="shared" si="3"/>
        <v>185</v>
      </c>
      <c r="W21" s="860">
        <v>182.46299999999999</v>
      </c>
      <c r="X21" s="726">
        <f t="shared" si="4"/>
        <v>182</v>
      </c>
      <c r="Y21" s="860">
        <v>0.36</v>
      </c>
      <c r="Z21" s="195">
        <v>0</v>
      </c>
      <c r="AA21" s="555">
        <v>0</v>
      </c>
      <c r="AB21" s="555">
        <v>0</v>
      </c>
      <c r="AC21" s="555">
        <v>24.495000000000001</v>
      </c>
      <c r="AD21" s="764">
        <v>1.8839999999999999E-2</v>
      </c>
      <c r="AE21" s="555">
        <v>0.23400000000000001</v>
      </c>
      <c r="AF21" s="555">
        <v>1.299E-2</v>
      </c>
      <c r="AG21" s="555">
        <v>26.800999999999998</v>
      </c>
      <c r="AH21" s="555">
        <v>0.56999999999999995</v>
      </c>
      <c r="AI21" s="248"/>
      <c r="AJ21" s="248"/>
      <c r="AK21" s="248"/>
      <c r="AL21" s="248"/>
    </row>
    <row r="22" spans="1:38" ht="17.5" hidden="1" customHeight="1">
      <c r="A22" s="223" t="s">
        <v>296</v>
      </c>
      <c r="B22" s="625" t="s">
        <v>76</v>
      </c>
      <c r="C22" s="860">
        <v>755.41800000000001</v>
      </c>
      <c r="D22" s="554">
        <f t="shared" si="0"/>
        <v>760</v>
      </c>
      <c r="E22" s="860">
        <v>0.29299999999999998</v>
      </c>
      <c r="F22" s="744">
        <v>0</v>
      </c>
      <c r="G22" s="860">
        <v>3.3000000000000002E-2</v>
      </c>
      <c r="H22" s="554">
        <v>0</v>
      </c>
      <c r="I22" s="860">
        <v>3.0000000000000001E-3</v>
      </c>
      <c r="J22" s="744">
        <v>0</v>
      </c>
      <c r="K22" s="860">
        <v>0</v>
      </c>
      <c r="L22" s="744">
        <v>0</v>
      </c>
      <c r="M22" s="860">
        <v>0</v>
      </c>
      <c r="N22" s="554">
        <v>0</v>
      </c>
      <c r="O22" s="860">
        <v>115.194</v>
      </c>
      <c r="P22" s="195">
        <f t="shared" si="1"/>
        <v>115</v>
      </c>
      <c r="Q22" s="860">
        <v>190.77500000000001</v>
      </c>
      <c r="R22" s="896">
        <f t="shared" si="2"/>
        <v>191</v>
      </c>
      <c r="S22" s="860">
        <v>0.217</v>
      </c>
      <c r="T22" s="896">
        <v>0</v>
      </c>
      <c r="U22" s="860">
        <v>184.58600000000001</v>
      </c>
      <c r="V22" s="726">
        <f t="shared" si="3"/>
        <v>185</v>
      </c>
      <c r="W22" s="860">
        <v>182.46299999999999</v>
      </c>
      <c r="X22" s="726">
        <f t="shared" si="4"/>
        <v>182</v>
      </c>
      <c r="Y22" s="860">
        <v>0.36</v>
      </c>
      <c r="Z22" s="195">
        <v>0</v>
      </c>
      <c r="AA22" s="555">
        <v>0</v>
      </c>
      <c r="AB22" s="555">
        <v>0</v>
      </c>
      <c r="AC22" s="536">
        <v>24.495000000000001</v>
      </c>
      <c r="AD22" s="763">
        <v>1.8839999999999999E-2</v>
      </c>
      <c r="AE22" s="536">
        <v>0.23400000000000001</v>
      </c>
      <c r="AF22" s="536">
        <v>1.299E-2</v>
      </c>
      <c r="AG22" s="536">
        <v>26.8</v>
      </c>
      <c r="AH22" s="536">
        <v>0.56999999999999995</v>
      </c>
      <c r="AI22" s="248"/>
      <c r="AJ22" s="248"/>
      <c r="AK22" s="248"/>
      <c r="AL22" s="248"/>
    </row>
    <row r="23" spans="1:38">
      <c r="A23" s="212" t="s">
        <v>334</v>
      </c>
      <c r="B23" s="625" t="s">
        <v>331</v>
      </c>
      <c r="C23" s="860">
        <v>342.41699999999997</v>
      </c>
      <c r="D23" s="554">
        <f t="shared" si="0"/>
        <v>340</v>
      </c>
      <c r="E23" s="860">
        <v>0.245</v>
      </c>
      <c r="F23" s="744">
        <v>0</v>
      </c>
      <c r="G23" s="860">
        <v>2.7E-2</v>
      </c>
      <c r="H23" s="554">
        <v>0</v>
      </c>
      <c r="I23" s="860">
        <v>2.1999999999999999E-2</v>
      </c>
      <c r="J23" s="744">
        <v>0</v>
      </c>
      <c r="K23" s="860">
        <v>0</v>
      </c>
      <c r="L23" s="744">
        <v>0</v>
      </c>
      <c r="M23" s="860">
        <v>0</v>
      </c>
      <c r="N23" s="554">
        <v>0</v>
      </c>
      <c r="O23" s="860">
        <v>71.578000000000003</v>
      </c>
      <c r="P23" s="195">
        <f t="shared" si="1"/>
        <v>72</v>
      </c>
      <c r="Q23" s="860">
        <v>119.38200000000001</v>
      </c>
      <c r="R23" s="896">
        <f t="shared" si="2"/>
        <v>119</v>
      </c>
      <c r="S23" s="860">
        <v>4.5999999999999999E-2</v>
      </c>
      <c r="T23" s="896">
        <v>0</v>
      </c>
      <c r="U23" s="860">
        <v>0.42499999999999999</v>
      </c>
      <c r="V23" s="195">
        <v>0</v>
      </c>
      <c r="W23" s="860">
        <v>0</v>
      </c>
      <c r="X23" s="195">
        <v>0</v>
      </c>
      <c r="Y23" s="860">
        <v>3.5999999999999997E-2</v>
      </c>
      <c r="Z23" s="195">
        <v>0</v>
      </c>
      <c r="AA23" s="555">
        <v>0</v>
      </c>
      <c r="AB23" s="555">
        <v>0</v>
      </c>
      <c r="AC23" s="555">
        <v>36.594999999999999</v>
      </c>
      <c r="AD23" s="764">
        <v>2.8149999999999999</v>
      </c>
      <c r="AE23" s="555">
        <v>0.187</v>
      </c>
      <c r="AF23" s="555">
        <v>1.0369999999999999</v>
      </c>
      <c r="AG23" s="555">
        <v>65.230999999999995</v>
      </c>
      <c r="AH23" s="555">
        <v>1.3879999999999999</v>
      </c>
    </row>
    <row r="24" spans="1:38">
      <c r="A24" s="212" t="s">
        <v>334</v>
      </c>
      <c r="B24" s="625" t="s">
        <v>127</v>
      </c>
      <c r="C24" s="860">
        <v>348.63900000000001</v>
      </c>
      <c r="D24" s="554">
        <f t="shared" si="0"/>
        <v>350</v>
      </c>
      <c r="E24" s="860">
        <v>0.20399999999999999</v>
      </c>
      <c r="F24" s="744">
        <v>0</v>
      </c>
      <c r="G24" s="860">
        <v>2.3E-2</v>
      </c>
      <c r="H24" s="554">
        <v>0</v>
      </c>
      <c r="I24" s="860">
        <v>0</v>
      </c>
      <c r="J24" s="744">
        <v>0</v>
      </c>
      <c r="K24" s="860">
        <v>0</v>
      </c>
      <c r="L24" s="744">
        <v>0</v>
      </c>
      <c r="M24" s="860">
        <v>0</v>
      </c>
      <c r="N24" s="554">
        <v>0</v>
      </c>
      <c r="O24" s="860">
        <v>104.55</v>
      </c>
      <c r="P24" s="195">
        <f t="shared" si="1"/>
        <v>105</v>
      </c>
      <c r="Q24" s="860">
        <v>120.407</v>
      </c>
      <c r="R24" s="896">
        <f t="shared" si="2"/>
        <v>120</v>
      </c>
      <c r="S24" s="860">
        <v>0</v>
      </c>
      <c r="T24" s="896">
        <v>0</v>
      </c>
      <c r="U24" s="860">
        <v>0.23899999999999999</v>
      </c>
      <c r="V24" s="195">
        <v>0</v>
      </c>
      <c r="W24" s="860">
        <v>0</v>
      </c>
      <c r="X24" s="195">
        <v>0</v>
      </c>
      <c r="Y24" s="860">
        <v>3.7999999999999999E-2</v>
      </c>
      <c r="Z24" s="195">
        <v>0</v>
      </c>
      <c r="AA24" s="555">
        <v>0</v>
      </c>
      <c r="AB24" s="555">
        <v>0</v>
      </c>
      <c r="AC24" s="555">
        <v>23.363</v>
      </c>
      <c r="AD24" s="626">
        <v>1.797E-2</v>
      </c>
      <c r="AE24" s="555">
        <v>0.154</v>
      </c>
      <c r="AF24" s="555">
        <v>0.85399999999999998</v>
      </c>
      <c r="AG24" s="555">
        <v>67.081000000000003</v>
      </c>
      <c r="AH24" s="555">
        <v>1.427E-2</v>
      </c>
    </row>
    <row r="25" spans="1:38" ht="31.75" hidden="1">
      <c r="A25" s="223" t="s">
        <v>296</v>
      </c>
      <c r="B25" s="625" t="s">
        <v>66</v>
      </c>
      <c r="C25" s="860">
        <v>802.048</v>
      </c>
      <c r="D25" s="554">
        <f t="shared" si="0"/>
        <v>800</v>
      </c>
      <c r="E25" s="860">
        <v>0.252</v>
      </c>
      <c r="F25" s="744">
        <v>0</v>
      </c>
      <c r="G25" s="860">
        <v>2.8000000000000001E-2</v>
      </c>
      <c r="H25" s="554">
        <v>0</v>
      </c>
      <c r="I25" s="860">
        <v>1E-3</v>
      </c>
      <c r="J25" s="744">
        <v>0</v>
      </c>
      <c r="K25" s="860">
        <v>0</v>
      </c>
      <c r="L25" s="744">
        <v>0</v>
      </c>
      <c r="M25" s="860">
        <v>0</v>
      </c>
      <c r="N25" s="554">
        <v>0</v>
      </c>
      <c r="O25" s="860">
        <v>115.008</v>
      </c>
      <c r="P25" s="195">
        <f t="shared" si="1"/>
        <v>115</v>
      </c>
      <c r="Q25" s="860">
        <v>202.143</v>
      </c>
      <c r="R25" s="896">
        <f t="shared" si="2"/>
        <v>202</v>
      </c>
      <c r="S25" s="860">
        <v>0.54600000000000004</v>
      </c>
      <c r="T25" s="195" t="s">
        <v>303</v>
      </c>
      <c r="U25" s="860">
        <v>196.268</v>
      </c>
      <c r="V25" s="726">
        <f>MROUND(U25,1)</f>
        <v>196</v>
      </c>
      <c r="W25" s="860">
        <v>193.589</v>
      </c>
      <c r="X25" s="726">
        <f>MROUND(W25,1)</f>
        <v>194</v>
      </c>
      <c r="Y25" s="860">
        <v>0.49399999999999999</v>
      </c>
      <c r="Z25" s="195">
        <v>0</v>
      </c>
      <c r="AA25" s="555">
        <v>0</v>
      </c>
      <c r="AB25" s="555">
        <v>0</v>
      </c>
      <c r="AC25" s="555">
        <v>25.943000000000001</v>
      </c>
      <c r="AD25" s="626">
        <v>1.9959999999999999E-2</v>
      </c>
      <c r="AE25" s="555">
        <v>0.33900000000000002</v>
      </c>
      <c r="AF25" s="555">
        <v>1.8839999999999999E-2</v>
      </c>
      <c r="AG25" s="555">
        <v>34.155999999999999</v>
      </c>
      <c r="AH25" s="555">
        <v>0.72699999999999998</v>
      </c>
    </row>
    <row r="26" spans="1:38" ht="31.75" hidden="1">
      <c r="A26" s="223" t="s">
        <v>296</v>
      </c>
      <c r="B26" s="625" t="s">
        <v>25</v>
      </c>
      <c r="C26" s="859">
        <v>704.67399999999998</v>
      </c>
      <c r="D26" s="554">
        <f t="shared" si="0"/>
        <v>700</v>
      </c>
      <c r="E26" s="859">
        <v>0</v>
      </c>
      <c r="F26" s="744">
        <v>0</v>
      </c>
      <c r="G26" s="859">
        <v>0</v>
      </c>
      <c r="H26" s="554">
        <v>0</v>
      </c>
      <c r="I26" s="859">
        <v>0</v>
      </c>
      <c r="J26" s="744">
        <v>0</v>
      </c>
      <c r="K26" s="859">
        <v>0</v>
      </c>
      <c r="L26" s="744">
        <v>0</v>
      </c>
      <c r="M26" s="859">
        <v>0</v>
      </c>
      <c r="N26" s="554">
        <v>0</v>
      </c>
      <c r="O26" s="859">
        <v>113.504</v>
      </c>
      <c r="P26" s="195">
        <f t="shared" si="1"/>
        <v>114</v>
      </c>
      <c r="Q26" s="859">
        <v>178.38399999999999</v>
      </c>
      <c r="R26" s="896">
        <f t="shared" si="2"/>
        <v>178</v>
      </c>
      <c r="S26" s="859">
        <v>0.06</v>
      </c>
      <c r="T26" s="896">
        <v>0</v>
      </c>
      <c r="U26" s="859">
        <v>172.89599999999999</v>
      </c>
      <c r="V26" s="726">
        <f>MROUND(U26,1)</f>
        <v>173</v>
      </c>
      <c r="W26" s="859">
        <v>167.23099999999999</v>
      </c>
      <c r="X26" s="726">
        <f>MROUND(W26,1)</f>
        <v>167</v>
      </c>
      <c r="Y26" s="859">
        <v>0</v>
      </c>
      <c r="Z26" s="195">
        <v>0</v>
      </c>
      <c r="AA26" s="554">
        <v>0</v>
      </c>
      <c r="AB26" s="906">
        <v>0</v>
      </c>
      <c r="AC26" s="554">
        <v>23.157</v>
      </c>
      <c r="AD26" s="624">
        <v>1.7809999999999999E-2</v>
      </c>
      <c r="AE26" s="554">
        <v>9.6000000000000002E-2</v>
      </c>
      <c r="AF26" s="554">
        <v>5.3200000000000001E-3</v>
      </c>
      <c r="AG26" s="554">
        <v>1.9670000000000001</v>
      </c>
      <c r="AH26" s="554">
        <v>4.2000000000000002E-4</v>
      </c>
      <c r="AI26" s="223"/>
      <c r="AJ26" s="223"/>
      <c r="AK26" s="223"/>
      <c r="AL26" s="223"/>
    </row>
    <row r="27" spans="1:38" ht="31.75" hidden="1">
      <c r="A27" s="223" t="s">
        <v>296</v>
      </c>
      <c r="B27" s="625" t="s">
        <v>40</v>
      </c>
      <c r="C27" s="860">
        <v>747.90899999999999</v>
      </c>
      <c r="D27" s="554">
        <f t="shared" si="0"/>
        <v>750</v>
      </c>
      <c r="E27" s="860">
        <v>0</v>
      </c>
      <c r="F27" s="744">
        <v>0</v>
      </c>
      <c r="G27" s="860">
        <v>0</v>
      </c>
      <c r="H27" s="554">
        <v>0</v>
      </c>
      <c r="I27" s="860">
        <v>0</v>
      </c>
      <c r="J27" s="744">
        <v>0</v>
      </c>
      <c r="K27" s="860">
        <v>0</v>
      </c>
      <c r="L27" s="744">
        <v>0</v>
      </c>
      <c r="M27" s="860">
        <v>0</v>
      </c>
      <c r="N27" s="554">
        <v>0</v>
      </c>
      <c r="O27" s="860">
        <v>113.26900000000001</v>
      </c>
      <c r="P27" s="195">
        <f t="shared" si="1"/>
        <v>113</v>
      </c>
      <c r="Q27" s="860">
        <v>189.64500000000001</v>
      </c>
      <c r="R27" s="896">
        <f t="shared" si="2"/>
        <v>190</v>
      </c>
      <c r="S27" s="860">
        <v>4.1000000000000002E-2</v>
      </c>
      <c r="T27" s="896">
        <v>0</v>
      </c>
      <c r="U27" s="860">
        <v>183.92099999999999</v>
      </c>
      <c r="V27" s="726">
        <f>MROUND(U27,1)</f>
        <v>184</v>
      </c>
      <c r="W27" s="860">
        <v>173.149</v>
      </c>
      <c r="X27" s="726">
        <f>MROUND(W27,1)</f>
        <v>173</v>
      </c>
      <c r="Y27" s="860">
        <v>0</v>
      </c>
      <c r="Z27" s="195">
        <v>0</v>
      </c>
      <c r="AA27" s="697">
        <v>0</v>
      </c>
      <c r="AB27" s="894">
        <v>0</v>
      </c>
      <c r="AC27" s="697">
        <v>20.209</v>
      </c>
      <c r="AD27" s="698">
        <v>1.555E-2</v>
      </c>
      <c r="AE27" s="697">
        <v>4.5999999999999999E-2</v>
      </c>
      <c r="AF27" s="697">
        <v>2.5500000000000002E-3</v>
      </c>
      <c r="AG27" s="697">
        <v>1.929</v>
      </c>
      <c r="AH27" s="697">
        <v>4.0999999999999999E-4</v>
      </c>
      <c r="AI27" s="212"/>
      <c r="AJ27" s="212"/>
      <c r="AK27" s="212"/>
      <c r="AL27" s="212"/>
    </row>
    <row r="28" spans="1:38">
      <c r="A28" s="212" t="s">
        <v>334</v>
      </c>
      <c r="B28" s="625" t="s">
        <v>123</v>
      </c>
      <c r="C28" s="860">
        <v>345.11399999999998</v>
      </c>
      <c r="D28" s="554">
        <f t="shared" si="0"/>
        <v>350</v>
      </c>
      <c r="E28" s="860">
        <v>0.20100000000000001</v>
      </c>
      <c r="F28" s="744">
        <v>0</v>
      </c>
      <c r="G28" s="860">
        <v>2.1999999999999999E-2</v>
      </c>
      <c r="H28" s="554">
        <v>0</v>
      </c>
      <c r="I28" s="860">
        <v>2.1999999999999999E-2</v>
      </c>
      <c r="J28" s="744">
        <v>0</v>
      </c>
      <c r="K28" s="860">
        <v>0</v>
      </c>
      <c r="L28" s="744">
        <v>0</v>
      </c>
      <c r="M28" s="860">
        <v>0</v>
      </c>
      <c r="N28" s="554">
        <v>0</v>
      </c>
      <c r="O28" s="860">
        <v>73.873999999999995</v>
      </c>
      <c r="P28" s="195">
        <f t="shared" si="1"/>
        <v>74</v>
      </c>
      <c r="Q28" s="860">
        <v>120.794</v>
      </c>
      <c r="R28" s="896">
        <f t="shared" si="2"/>
        <v>121</v>
      </c>
      <c r="S28" s="860">
        <v>2.1999999999999999E-2</v>
      </c>
      <c r="T28" s="896">
        <v>0</v>
      </c>
      <c r="U28" s="860">
        <v>0.24399999999999999</v>
      </c>
      <c r="V28" s="195">
        <v>0</v>
      </c>
      <c r="W28" s="860">
        <v>0</v>
      </c>
      <c r="X28" s="195">
        <v>0</v>
      </c>
      <c r="Y28" s="860">
        <v>7.1999999999999995E-2</v>
      </c>
      <c r="Z28" s="195">
        <v>0</v>
      </c>
      <c r="AA28" s="555">
        <v>0</v>
      </c>
      <c r="AB28" s="555">
        <v>0</v>
      </c>
      <c r="AC28" s="555">
        <v>36.658999999999999</v>
      </c>
      <c r="AD28" s="764">
        <v>2.82</v>
      </c>
      <c r="AE28" s="555">
        <v>0.154</v>
      </c>
      <c r="AF28" s="555">
        <v>0.85599999999999998</v>
      </c>
      <c r="AG28" s="555">
        <v>68.734999999999999</v>
      </c>
      <c r="AH28" s="555">
        <v>1.462</v>
      </c>
      <c r="AI28" s="693"/>
      <c r="AJ28" s="693"/>
      <c r="AK28" s="693"/>
      <c r="AL28" s="693"/>
    </row>
    <row r="29" spans="1:38">
      <c r="A29" s="212" t="s">
        <v>334</v>
      </c>
      <c r="B29" s="625" t="s">
        <v>335</v>
      </c>
      <c r="C29" s="860">
        <v>453.60899999999998</v>
      </c>
      <c r="D29" s="554">
        <f t="shared" si="0"/>
        <v>450</v>
      </c>
      <c r="E29" s="860">
        <v>0</v>
      </c>
      <c r="F29" s="744">
        <v>0</v>
      </c>
      <c r="G29" s="860">
        <v>0</v>
      </c>
      <c r="H29" s="554">
        <v>0</v>
      </c>
      <c r="I29" s="860">
        <v>0</v>
      </c>
      <c r="J29" s="744">
        <v>0</v>
      </c>
      <c r="K29" s="860">
        <v>0</v>
      </c>
      <c r="L29" s="744">
        <v>0</v>
      </c>
      <c r="M29" s="860">
        <v>0</v>
      </c>
      <c r="N29" s="554">
        <v>0</v>
      </c>
      <c r="O29" s="860">
        <v>70.471000000000004</v>
      </c>
      <c r="P29" s="195">
        <f t="shared" si="1"/>
        <v>70</v>
      </c>
      <c r="Q29" s="860">
        <v>118.67100000000001</v>
      </c>
      <c r="R29" s="896">
        <f t="shared" si="2"/>
        <v>119</v>
      </c>
      <c r="S29" s="860">
        <v>0.80500000000000005</v>
      </c>
      <c r="T29" s="195" t="s">
        <v>303</v>
      </c>
      <c r="U29" s="860">
        <v>0</v>
      </c>
      <c r="V29" s="195">
        <v>0</v>
      </c>
      <c r="W29" s="860">
        <v>0</v>
      </c>
      <c r="X29" s="195">
        <v>0</v>
      </c>
      <c r="Y29" s="860">
        <v>7.8E-2</v>
      </c>
      <c r="Z29" s="195">
        <v>0</v>
      </c>
      <c r="AA29" s="555">
        <v>0</v>
      </c>
      <c r="AB29" s="555">
        <v>0</v>
      </c>
      <c r="AC29" s="555">
        <v>24.984000000000002</v>
      </c>
      <c r="AD29" s="764">
        <v>1.9219999999999999</v>
      </c>
      <c r="AE29" s="555">
        <v>0.104</v>
      </c>
      <c r="AF29" s="555">
        <v>0.57699999999999996</v>
      </c>
      <c r="AG29" s="555">
        <v>15.081</v>
      </c>
      <c r="AH29" s="555">
        <v>0.32100000000000001</v>
      </c>
    </row>
    <row r="30" spans="1:38" ht="31.75" hidden="1">
      <c r="A30" s="223" t="s">
        <v>296</v>
      </c>
      <c r="B30" s="625" t="s">
        <v>65</v>
      </c>
      <c r="C30" s="860">
        <v>791.69500000000005</v>
      </c>
      <c r="D30" s="554">
        <f t="shared" si="0"/>
        <v>790</v>
      </c>
      <c r="E30" s="860">
        <v>0</v>
      </c>
      <c r="F30" s="744">
        <v>0</v>
      </c>
      <c r="G30" s="860">
        <v>0</v>
      </c>
      <c r="H30" s="554">
        <v>0</v>
      </c>
      <c r="I30" s="860">
        <v>0</v>
      </c>
      <c r="J30" s="744">
        <v>0</v>
      </c>
      <c r="K30" s="860">
        <v>0</v>
      </c>
      <c r="L30" s="744">
        <v>0</v>
      </c>
      <c r="M30" s="860">
        <v>0</v>
      </c>
      <c r="N30" s="554">
        <v>0</v>
      </c>
      <c r="O30" s="860">
        <v>113.265</v>
      </c>
      <c r="P30" s="195">
        <f t="shared" si="1"/>
        <v>113</v>
      </c>
      <c r="Q30" s="860">
        <v>200.06899999999999</v>
      </c>
      <c r="R30" s="896">
        <f t="shared" si="2"/>
        <v>200</v>
      </c>
      <c r="S30" s="860">
        <v>0</v>
      </c>
      <c r="T30" s="896">
        <v>0</v>
      </c>
      <c r="U30" s="860">
        <v>188.32499999999999</v>
      </c>
      <c r="V30" s="726">
        <f t="shared" ref="V30:V64" si="5">MROUND(U30,1)</f>
        <v>188</v>
      </c>
      <c r="W30" s="860">
        <v>188.32499999999999</v>
      </c>
      <c r="X30" s="726">
        <f t="shared" ref="X30:X64" si="6">MROUND(W30,1)</f>
        <v>188</v>
      </c>
      <c r="Y30" s="860">
        <v>0</v>
      </c>
      <c r="Z30" s="195">
        <v>0</v>
      </c>
      <c r="AA30" s="555">
        <v>0</v>
      </c>
      <c r="AB30" s="555">
        <v>0</v>
      </c>
      <c r="AC30" s="555">
        <v>20.425999999999998</v>
      </c>
      <c r="AD30" s="626">
        <v>1.5709999999999998E-2</v>
      </c>
      <c r="AE30" s="555">
        <v>6.3E-2</v>
      </c>
      <c r="AF30" s="555">
        <v>0.34799999999999998</v>
      </c>
      <c r="AG30" s="555">
        <v>2.5790000000000002</v>
      </c>
      <c r="AH30" s="555">
        <v>5.5E-2</v>
      </c>
    </row>
    <row r="31" spans="1:38" ht="31.75" hidden="1">
      <c r="A31" s="223" t="s">
        <v>296</v>
      </c>
      <c r="B31" s="625" t="s">
        <v>67</v>
      </c>
      <c r="C31" s="860">
        <v>796.41600000000005</v>
      </c>
      <c r="D31" s="554">
        <f t="shared" si="0"/>
        <v>800</v>
      </c>
      <c r="E31" s="860">
        <v>5.1999999999999998E-2</v>
      </c>
      <c r="F31" s="744">
        <v>0</v>
      </c>
      <c r="G31" s="860">
        <v>6.0000000000000001E-3</v>
      </c>
      <c r="H31" s="554">
        <v>0</v>
      </c>
      <c r="I31" s="860">
        <v>0</v>
      </c>
      <c r="J31" s="744">
        <v>0</v>
      </c>
      <c r="K31" s="860">
        <v>0</v>
      </c>
      <c r="L31" s="744">
        <v>0</v>
      </c>
      <c r="M31" s="860">
        <v>0</v>
      </c>
      <c r="N31" s="554">
        <v>0</v>
      </c>
      <c r="O31" s="860">
        <v>112.666</v>
      </c>
      <c r="P31" s="195">
        <f t="shared" si="1"/>
        <v>113</v>
      </c>
      <c r="Q31" s="860">
        <v>201.40100000000001</v>
      </c>
      <c r="R31" s="896">
        <f t="shared" si="2"/>
        <v>201</v>
      </c>
      <c r="S31" s="860">
        <v>0.218</v>
      </c>
      <c r="T31" s="896">
        <v>0</v>
      </c>
      <c r="U31" s="860">
        <v>195.298</v>
      </c>
      <c r="V31" s="726">
        <f t="shared" si="5"/>
        <v>195</v>
      </c>
      <c r="W31" s="860">
        <v>194.203</v>
      </c>
      <c r="X31" s="726">
        <f t="shared" si="6"/>
        <v>194</v>
      </c>
      <c r="Y31" s="860">
        <v>0.24099999999999999</v>
      </c>
      <c r="Z31" s="195">
        <v>0</v>
      </c>
      <c r="AA31" s="555">
        <v>0</v>
      </c>
      <c r="AB31" s="555">
        <v>0</v>
      </c>
      <c r="AC31" s="555">
        <v>25.318999999999999</v>
      </c>
      <c r="AD31" s="626">
        <v>1.9480000000000001E-2</v>
      </c>
      <c r="AE31" s="555">
        <v>0.19900000000000001</v>
      </c>
      <c r="AF31" s="555">
        <v>1.103E-2</v>
      </c>
      <c r="AG31" s="555">
        <v>7.4359999999999999</v>
      </c>
      <c r="AH31" s="555">
        <v>0.158</v>
      </c>
    </row>
    <row r="32" spans="1:38" ht="31.75" hidden="1">
      <c r="A32" s="223" t="s">
        <v>296</v>
      </c>
      <c r="B32" s="625" t="s">
        <v>64</v>
      </c>
      <c r="C32" s="860">
        <v>722.02300000000002</v>
      </c>
      <c r="D32" s="554">
        <f t="shared" si="0"/>
        <v>720</v>
      </c>
      <c r="E32" s="860">
        <v>0</v>
      </c>
      <c r="F32" s="744">
        <v>0</v>
      </c>
      <c r="G32" s="860">
        <v>0</v>
      </c>
      <c r="H32" s="554">
        <v>0</v>
      </c>
      <c r="I32" s="860">
        <v>0</v>
      </c>
      <c r="J32" s="744">
        <v>0</v>
      </c>
      <c r="K32" s="860">
        <v>0</v>
      </c>
      <c r="L32" s="744">
        <v>0</v>
      </c>
      <c r="M32" s="860">
        <v>0</v>
      </c>
      <c r="N32" s="554">
        <v>0</v>
      </c>
      <c r="O32" s="860">
        <v>112.315</v>
      </c>
      <c r="P32" s="195">
        <f t="shared" si="1"/>
        <v>112</v>
      </c>
      <c r="Q32" s="860">
        <v>182.428</v>
      </c>
      <c r="R32" s="896">
        <f t="shared" si="2"/>
        <v>182</v>
      </c>
      <c r="S32" s="860">
        <v>5.8000000000000003E-2</v>
      </c>
      <c r="T32" s="896">
        <v>0</v>
      </c>
      <c r="U32" s="860">
        <v>177.20699999999999</v>
      </c>
      <c r="V32" s="726">
        <f t="shared" si="5"/>
        <v>177</v>
      </c>
      <c r="W32" s="860">
        <v>177.20699999999999</v>
      </c>
      <c r="X32" s="726">
        <f t="shared" si="6"/>
        <v>177</v>
      </c>
      <c r="Y32" s="860">
        <v>0</v>
      </c>
      <c r="Z32" s="195">
        <v>0</v>
      </c>
      <c r="AA32" s="697">
        <v>0</v>
      </c>
      <c r="AB32" s="697">
        <v>0</v>
      </c>
      <c r="AC32" s="697">
        <v>26.048999999999999</v>
      </c>
      <c r="AD32" s="698">
        <v>2.0039999999999999E-2</v>
      </c>
      <c r="AE32" s="697">
        <v>0.16500000000000001</v>
      </c>
      <c r="AF32" s="697">
        <v>0.91700000000000004</v>
      </c>
      <c r="AG32" s="697">
        <v>56.584000000000003</v>
      </c>
      <c r="AH32" s="697">
        <v>1.204E-2</v>
      </c>
    </row>
    <row r="33" spans="1:38" ht="31.75" hidden="1">
      <c r="A33" s="223" t="s">
        <v>296</v>
      </c>
      <c r="B33" s="625" t="s">
        <v>58</v>
      </c>
      <c r="C33" s="860">
        <v>756.55200000000002</v>
      </c>
      <c r="D33" s="554">
        <f t="shared" si="0"/>
        <v>760</v>
      </c>
      <c r="E33" s="860">
        <v>16.806000000000001</v>
      </c>
      <c r="F33" s="895">
        <f>MROUND(E33,5)</f>
        <v>15</v>
      </c>
      <c r="G33" s="860">
        <v>1.867</v>
      </c>
      <c r="H33" s="696">
        <f>MROUND(G33,0.5)</f>
        <v>2</v>
      </c>
      <c r="I33" s="860">
        <v>0</v>
      </c>
      <c r="J33" s="744">
        <v>0</v>
      </c>
      <c r="K33" s="860">
        <v>0</v>
      </c>
      <c r="L33" s="744">
        <v>0</v>
      </c>
      <c r="M33" s="860">
        <v>0</v>
      </c>
      <c r="N33" s="554">
        <v>0</v>
      </c>
      <c r="O33" s="860">
        <v>111.518</v>
      </c>
      <c r="P33" s="195">
        <f t="shared" si="1"/>
        <v>112</v>
      </c>
      <c r="Q33" s="860">
        <v>191.8</v>
      </c>
      <c r="R33" s="896">
        <f t="shared" si="2"/>
        <v>192</v>
      </c>
      <c r="S33" s="860">
        <v>0.35799999999999998</v>
      </c>
      <c r="T33" s="896">
        <v>0</v>
      </c>
      <c r="U33" s="860">
        <v>183.99700000000001</v>
      </c>
      <c r="V33" s="726">
        <f t="shared" si="5"/>
        <v>184</v>
      </c>
      <c r="W33" s="860">
        <v>182.44300000000001</v>
      </c>
      <c r="X33" s="726">
        <f t="shared" si="6"/>
        <v>182</v>
      </c>
      <c r="Y33" s="860">
        <v>0.12</v>
      </c>
      <c r="Z33" s="195">
        <v>0</v>
      </c>
      <c r="AA33" s="555">
        <v>0</v>
      </c>
      <c r="AB33" s="555">
        <v>0</v>
      </c>
      <c r="AC33" s="555">
        <v>29.76</v>
      </c>
      <c r="AD33" s="626">
        <v>2.2890000000000001E-2</v>
      </c>
      <c r="AE33" s="555">
        <v>0.16600000000000001</v>
      </c>
      <c r="AF33" s="555">
        <v>9.2399999999999999E-3</v>
      </c>
      <c r="AG33" s="555">
        <v>3.129</v>
      </c>
      <c r="AH33" s="555">
        <v>6.7000000000000002E-4</v>
      </c>
    </row>
    <row r="34" spans="1:38" ht="31.75" hidden="1">
      <c r="A34" s="223" t="s">
        <v>296</v>
      </c>
      <c r="B34" s="625" t="s">
        <v>301</v>
      </c>
      <c r="C34" s="859">
        <v>679.78300000000002</v>
      </c>
      <c r="D34" s="554">
        <f t="shared" si="0"/>
        <v>680</v>
      </c>
      <c r="E34" s="859">
        <v>0.29399999999999998</v>
      </c>
      <c r="F34" s="744">
        <v>0</v>
      </c>
      <c r="G34" s="859">
        <v>3.3000000000000002E-2</v>
      </c>
      <c r="H34" s="554">
        <v>0</v>
      </c>
      <c r="I34" s="859">
        <v>8.9999999999999993E-3</v>
      </c>
      <c r="J34" s="744">
        <v>0</v>
      </c>
      <c r="K34" s="859">
        <v>1E-3</v>
      </c>
      <c r="L34" s="744">
        <v>0</v>
      </c>
      <c r="M34" s="859">
        <v>0</v>
      </c>
      <c r="N34" s="554">
        <v>0</v>
      </c>
      <c r="O34" s="859">
        <v>112.04</v>
      </c>
      <c r="P34" s="195">
        <f t="shared" si="1"/>
        <v>112</v>
      </c>
      <c r="Q34" s="859">
        <v>172.673</v>
      </c>
      <c r="R34" s="896">
        <f t="shared" si="2"/>
        <v>173</v>
      </c>
      <c r="S34" s="859">
        <v>0.155</v>
      </c>
      <c r="T34" s="896">
        <v>0</v>
      </c>
      <c r="U34" s="859">
        <v>164.93899999999999</v>
      </c>
      <c r="V34" s="726">
        <f t="shared" si="5"/>
        <v>165</v>
      </c>
      <c r="W34" s="859">
        <v>163.58799999999999</v>
      </c>
      <c r="X34" s="726">
        <f t="shared" si="6"/>
        <v>164</v>
      </c>
      <c r="Y34" s="859">
        <v>0.16400000000000001</v>
      </c>
      <c r="Z34" s="195">
        <v>0</v>
      </c>
      <c r="AA34" s="694">
        <v>0</v>
      </c>
      <c r="AB34" s="694">
        <v>0</v>
      </c>
      <c r="AC34" s="694">
        <v>23.652000000000001</v>
      </c>
      <c r="AD34" s="695">
        <v>1.819</v>
      </c>
      <c r="AE34" s="694">
        <v>9.4E-2</v>
      </c>
      <c r="AF34" s="694">
        <v>0.52100000000000002</v>
      </c>
      <c r="AG34" s="694">
        <v>48.951000000000001</v>
      </c>
      <c r="AH34" s="694">
        <v>1.042</v>
      </c>
    </row>
    <row r="35" spans="1:38" ht="31.75" hidden="1">
      <c r="A35" s="223" t="s">
        <v>296</v>
      </c>
      <c r="B35" s="625" t="s">
        <v>30</v>
      </c>
      <c r="C35" s="860">
        <v>798.94100000000003</v>
      </c>
      <c r="D35" s="554">
        <f t="shared" si="0"/>
        <v>800</v>
      </c>
      <c r="E35" s="860">
        <v>0.94299999999999995</v>
      </c>
      <c r="F35" s="744">
        <v>0</v>
      </c>
      <c r="G35" s="860">
        <v>0.105</v>
      </c>
      <c r="H35" s="554">
        <v>0</v>
      </c>
      <c r="I35" s="860">
        <v>8.9999999999999993E-3</v>
      </c>
      <c r="J35" s="744">
        <v>0</v>
      </c>
      <c r="K35" s="860">
        <v>0</v>
      </c>
      <c r="L35" s="744">
        <v>0</v>
      </c>
      <c r="M35" s="860">
        <v>0</v>
      </c>
      <c r="N35" s="554">
        <v>0</v>
      </c>
      <c r="O35" s="860">
        <v>110.85899999999999</v>
      </c>
      <c r="P35" s="195">
        <f t="shared" si="1"/>
        <v>111</v>
      </c>
      <c r="Q35" s="860">
        <v>202.405</v>
      </c>
      <c r="R35" s="896">
        <f t="shared" si="2"/>
        <v>202</v>
      </c>
      <c r="S35" s="860">
        <v>0.52400000000000002</v>
      </c>
      <c r="T35" s="195" t="s">
        <v>303</v>
      </c>
      <c r="U35" s="860">
        <v>196.56899999999999</v>
      </c>
      <c r="V35" s="726">
        <f t="shared" si="5"/>
        <v>197</v>
      </c>
      <c r="W35" s="860">
        <v>195.18600000000001</v>
      </c>
      <c r="X35" s="726">
        <f t="shared" si="6"/>
        <v>195</v>
      </c>
      <c r="Y35" s="860">
        <v>6.9000000000000006E-2</v>
      </c>
      <c r="Z35" s="195">
        <v>0</v>
      </c>
      <c r="AA35" s="555">
        <v>0</v>
      </c>
      <c r="AB35" s="555">
        <v>0</v>
      </c>
      <c r="AC35" s="555">
        <v>26.619</v>
      </c>
      <c r="AD35" s="626">
        <v>2.0480000000000002E-2</v>
      </c>
      <c r="AE35" s="555">
        <v>0.19900000000000001</v>
      </c>
      <c r="AF35" s="555">
        <v>1.103E-2</v>
      </c>
      <c r="AG35" s="555">
        <v>11.512</v>
      </c>
      <c r="AH35" s="555">
        <v>2.4499999999999999E-3</v>
      </c>
    </row>
    <row r="36" spans="1:38" ht="31.75" hidden="1">
      <c r="A36" s="223" t="s">
        <v>296</v>
      </c>
      <c r="B36" s="625" t="s">
        <v>53</v>
      </c>
      <c r="C36" s="860">
        <v>774.298</v>
      </c>
      <c r="D36" s="554">
        <f t="shared" ref="D36:D67" si="7">MROUND(C36,10)</f>
        <v>770</v>
      </c>
      <c r="E36" s="860">
        <v>0.20499999999999999</v>
      </c>
      <c r="F36" s="744">
        <v>0</v>
      </c>
      <c r="G36" s="860">
        <v>2.3E-2</v>
      </c>
      <c r="H36" s="554">
        <v>0</v>
      </c>
      <c r="I36" s="860">
        <v>6.0000000000000001E-3</v>
      </c>
      <c r="J36" s="744">
        <v>0</v>
      </c>
      <c r="K36" s="860">
        <v>2.3E-2</v>
      </c>
      <c r="L36" s="744">
        <v>0</v>
      </c>
      <c r="M36" s="860">
        <v>0</v>
      </c>
      <c r="N36" s="554">
        <v>0</v>
      </c>
      <c r="O36" s="860">
        <v>110.925</v>
      </c>
      <c r="P36" s="195">
        <f t="shared" ref="P36:P67" si="8">MROUND(O36,1)</f>
        <v>111</v>
      </c>
      <c r="Q36" s="860">
        <v>195.29300000000001</v>
      </c>
      <c r="R36" s="896">
        <f t="shared" ref="R36:R67" si="9">MROUND(Q36,1)</f>
        <v>195</v>
      </c>
      <c r="S36" s="860">
        <v>0.25</v>
      </c>
      <c r="T36" s="896">
        <v>0</v>
      </c>
      <c r="U36" s="860">
        <v>188.08500000000001</v>
      </c>
      <c r="V36" s="726">
        <f t="shared" si="5"/>
        <v>188</v>
      </c>
      <c r="W36" s="860">
        <v>185.23099999999999</v>
      </c>
      <c r="X36" s="726">
        <f t="shared" si="6"/>
        <v>185</v>
      </c>
      <c r="Y36" s="860">
        <v>0.114</v>
      </c>
      <c r="Z36" s="195">
        <v>0</v>
      </c>
      <c r="AA36" s="555">
        <v>0</v>
      </c>
      <c r="AB36" s="555">
        <v>0</v>
      </c>
      <c r="AC36" s="536">
        <v>25.27</v>
      </c>
      <c r="AD36" s="627">
        <v>1.9439999999999999E-2</v>
      </c>
      <c r="AE36" s="536">
        <v>0.59699999999999998</v>
      </c>
      <c r="AF36" s="536">
        <v>3.3160000000000002E-2</v>
      </c>
      <c r="AG36" s="536">
        <v>45.963000000000001</v>
      </c>
      <c r="AH36" s="536">
        <v>9.7800000000000005E-3</v>
      </c>
    </row>
    <row r="37" spans="1:38" ht="14.5" hidden="1" customHeight="1">
      <c r="A37" s="223" t="s">
        <v>296</v>
      </c>
      <c r="B37" s="625" t="s">
        <v>315</v>
      </c>
      <c r="C37" s="861">
        <v>620.29700000000003</v>
      </c>
      <c r="D37" s="554">
        <f t="shared" si="7"/>
        <v>620</v>
      </c>
      <c r="E37" s="861">
        <v>1.7999999999999999E-2</v>
      </c>
      <c r="F37" s="744">
        <v>0</v>
      </c>
      <c r="G37" s="861">
        <v>2E-3</v>
      </c>
      <c r="H37" s="554">
        <v>0</v>
      </c>
      <c r="I37" s="861">
        <v>0</v>
      </c>
      <c r="J37" s="744">
        <v>0</v>
      </c>
      <c r="K37" s="861">
        <v>0</v>
      </c>
      <c r="L37" s="744">
        <v>0</v>
      </c>
      <c r="M37" s="861">
        <v>0</v>
      </c>
      <c r="N37" s="554">
        <v>0</v>
      </c>
      <c r="O37" s="861">
        <v>110.92400000000001</v>
      </c>
      <c r="P37" s="195">
        <f t="shared" si="8"/>
        <v>111</v>
      </c>
      <c r="Q37" s="861">
        <v>153.113</v>
      </c>
      <c r="R37" s="896">
        <f t="shared" si="9"/>
        <v>153</v>
      </c>
      <c r="S37" s="861">
        <v>0.185</v>
      </c>
      <c r="T37" s="896">
        <v>0</v>
      </c>
      <c r="U37" s="861">
        <v>144.93299999999999</v>
      </c>
      <c r="V37" s="726">
        <f t="shared" si="5"/>
        <v>145</v>
      </c>
      <c r="W37" s="861">
        <v>144.93299999999999</v>
      </c>
      <c r="X37" s="726">
        <f t="shared" si="6"/>
        <v>145</v>
      </c>
      <c r="Y37" s="861">
        <v>0.73</v>
      </c>
      <c r="Z37" s="871" t="s">
        <v>303</v>
      </c>
      <c r="AA37" s="761">
        <v>0</v>
      </c>
      <c r="AB37" s="761">
        <v>0</v>
      </c>
      <c r="AC37" s="761">
        <v>28.234000000000002</v>
      </c>
      <c r="AD37" s="761">
        <v>2.1720000000000002</v>
      </c>
      <c r="AE37" s="761">
        <v>0.11799999999999999</v>
      </c>
      <c r="AF37" s="761">
        <v>0.65300000000000002</v>
      </c>
      <c r="AG37" s="761">
        <v>35.207000000000001</v>
      </c>
      <c r="AH37" s="761">
        <v>0.749</v>
      </c>
      <c r="AI37" s="248"/>
      <c r="AJ37" s="248"/>
      <c r="AK37" s="248"/>
      <c r="AL37" s="248"/>
    </row>
    <row r="38" spans="1:38" ht="31.75" hidden="1">
      <c r="A38" s="223" t="s">
        <v>296</v>
      </c>
      <c r="B38" s="625" t="s">
        <v>29</v>
      </c>
      <c r="C38" s="860">
        <v>795.95100000000002</v>
      </c>
      <c r="D38" s="554">
        <f t="shared" si="7"/>
        <v>800</v>
      </c>
      <c r="E38" s="860">
        <v>0</v>
      </c>
      <c r="F38" s="744">
        <v>0</v>
      </c>
      <c r="G38" s="860">
        <v>0</v>
      </c>
      <c r="H38" s="554">
        <v>0</v>
      </c>
      <c r="I38" s="860">
        <v>0</v>
      </c>
      <c r="J38" s="744">
        <v>0</v>
      </c>
      <c r="K38" s="860">
        <v>0</v>
      </c>
      <c r="L38" s="744">
        <v>0</v>
      </c>
      <c r="M38" s="860">
        <v>0</v>
      </c>
      <c r="N38" s="554">
        <v>0</v>
      </c>
      <c r="O38" s="860">
        <v>109.777</v>
      </c>
      <c r="P38" s="195">
        <f t="shared" si="8"/>
        <v>110</v>
      </c>
      <c r="Q38" s="860">
        <v>201.869</v>
      </c>
      <c r="R38" s="896">
        <f t="shared" si="9"/>
        <v>202</v>
      </c>
      <c r="S38" s="860">
        <v>0.08</v>
      </c>
      <c r="T38" s="896">
        <v>0</v>
      </c>
      <c r="U38" s="860">
        <v>196.732</v>
      </c>
      <c r="V38" s="726">
        <f t="shared" si="5"/>
        <v>197</v>
      </c>
      <c r="W38" s="860">
        <v>196.732</v>
      </c>
      <c r="X38" s="726">
        <f t="shared" si="6"/>
        <v>197</v>
      </c>
      <c r="Y38" s="860">
        <v>0</v>
      </c>
      <c r="Z38" s="195">
        <v>0</v>
      </c>
      <c r="AA38" s="555">
        <v>0</v>
      </c>
      <c r="AB38" s="555">
        <v>0</v>
      </c>
      <c r="AC38" s="555">
        <v>25.722000000000001</v>
      </c>
      <c r="AD38" s="626">
        <v>1.9789999999999999E-2</v>
      </c>
      <c r="AE38" s="555">
        <v>0.16800000000000001</v>
      </c>
      <c r="AF38" s="555">
        <v>9.3600000000000003E-3</v>
      </c>
      <c r="AG38" s="555">
        <v>2.726</v>
      </c>
      <c r="AH38" s="555">
        <v>5.8E-4</v>
      </c>
    </row>
    <row r="39" spans="1:38" ht="31.75" hidden="1">
      <c r="A39" s="223" t="s">
        <v>296</v>
      </c>
      <c r="B39" s="625" t="s">
        <v>60</v>
      </c>
      <c r="C39" s="860">
        <v>744.38800000000003</v>
      </c>
      <c r="D39" s="554">
        <f t="shared" si="7"/>
        <v>740</v>
      </c>
      <c r="E39" s="860">
        <v>7.2999999999999995E-2</v>
      </c>
      <c r="F39" s="744">
        <v>0</v>
      </c>
      <c r="G39" s="860">
        <v>8.0000000000000002E-3</v>
      </c>
      <c r="H39" s="554">
        <v>0</v>
      </c>
      <c r="I39" s="860">
        <v>8.0000000000000002E-3</v>
      </c>
      <c r="J39" s="744">
        <v>0</v>
      </c>
      <c r="K39" s="860">
        <v>0</v>
      </c>
      <c r="L39" s="744">
        <v>0</v>
      </c>
      <c r="M39" s="860">
        <v>0</v>
      </c>
      <c r="N39" s="554">
        <v>0</v>
      </c>
      <c r="O39" s="860">
        <v>109.77800000000001</v>
      </c>
      <c r="P39" s="195">
        <f t="shared" si="8"/>
        <v>110</v>
      </c>
      <c r="Q39" s="860">
        <v>188.99600000000001</v>
      </c>
      <c r="R39" s="896">
        <f t="shared" si="9"/>
        <v>189</v>
      </c>
      <c r="S39" s="860">
        <v>2.6080000000000001</v>
      </c>
      <c r="T39" s="871">
        <f>MROUND(S39,1)</f>
        <v>3</v>
      </c>
      <c r="U39" s="860">
        <v>179.18299999999999</v>
      </c>
      <c r="V39" s="726">
        <f t="shared" si="5"/>
        <v>179</v>
      </c>
      <c r="W39" s="860">
        <v>177.40799999999999</v>
      </c>
      <c r="X39" s="726">
        <f t="shared" si="6"/>
        <v>177</v>
      </c>
      <c r="Y39" s="860">
        <v>0.91100000000000003</v>
      </c>
      <c r="Z39" s="871" t="s">
        <v>303</v>
      </c>
      <c r="AA39" s="555">
        <v>0</v>
      </c>
      <c r="AB39" s="555">
        <v>0</v>
      </c>
      <c r="AC39" s="555">
        <v>30.821999999999999</v>
      </c>
      <c r="AD39" s="626">
        <v>2.3709999999999998E-2</v>
      </c>
      <c r="AE39" s="555">
        <v>0.32700000000000001</v>
      </c>
      <c r="AF39" s="555">
        <v>1.8159999999999999E-2</v>
      </c>
      <c r="AG39" s="555">
        <v>75.323999999999998</v>
      </c>
      <c r="AH39" s="555">
        <v>1.6029999999999999E-2</v>
      </c>
    </row>
    <row r="40" spans="1:38" ht="31.75" hidden="1">
      <c r="A40" s="223" t="s">
        <v>296</v>
      </c>
      <c r="B40" s="625" t="s">
        <v>59</v>
      </c>
      <c r="C40" s="860">
        <v>695.17499999999995</v>
      </c>
      <c r="D40" s="554">
        <f t="shared" si="7"/>
        <v>700</v>
      </c>
      <c r="E40" s="860">
        <v>0</v>
      </c>
      <c r="F40" s="744">
        <v>0</v>
      </c>
      <c r="G40" s="860">
        <v>0</v>
      </c>
      <c r="H40" s="554">
        <v>0</v>
      </c>
      <c r="I40" s="860">
        <v>0</v>
      </c>
      <c r="J40" s="744">
        <v>0</v>
      </c>
      <c r="K40" s="860">
        <v>0</v>
      </c>
      <c r="L40" s="744">
        <v>0</v>
      </c>
      <c r="M40" s="860">
        <v>0</v>
      </c>
      <c r="N40" s="554">
        <v>0</v>
      </c>
      <c r="O40" s="860">
        <v>108.869</v>
      </c>
      <c r="P40" s="195">
        <f t="shared" si="8"/>
        <v>109</v>
      </c>
      <c r="Q40" s="860">
        <v>173.536</v>
      </c>
      <c r="R40" s="896">
        <f t="shared" si="9"/>
        <v>174</v>
      </c>
      <c r="S40" s="860">
        <v>0.17</v>
      </c>
      <c r="T40" s="896">
        <v>0</v>
      </c>
      <c r="U40" s="860">
        <v>167.607</v>
      </c>
      <c r="V40" s="726">
        <f t="shared" si="5"/>
        <v>168</v>
      </c>
      <c r="W40" s="860">
        <v>164.72300000000001</v>
      </c>
      <c r="X40" s="726">
        <f t="shared" si="6"/>
        <v>165</v>
      </c>
      <c r="Y40" s="860">
        <v>0.121</v>
      </c>
      <c r="Z40" s="195">
        <v>0</v>
      </c>
      <c r="AA40" s="555">
        <v>0</v>
      </c>
      <c r="AB40" s="555">
        <v>0</v>
      </c>
      <c r="AC40" s="555">
        <v>25.318000000000001</v>
      </c>
      <c r="AD40" s="626">
        <v>1.9480000000000001E-2</v>
      </c>
      <c r="AE40" s="555">
        <v>0.86799999999999999</v>
      </c>
      <c r="AF40" s="555">
        <v>4.8230000000000002E-2</v>
      </c>
      <c r="AG40" s="555">
        <v>38.338000000000001</v>
      </c>
      <c r="AH40" s="555">
        <v>0.81599999999999995</v>
      </c>
    </row>
    <row r="41" spans="1:38" ht="31.75" hidden="1">
      <c r="A41" s="223" t="s">
        <v>296</v>
      </c>
      <c r="B41" s="625" t="s">
        <v>73</v>
      </c>
      <c r="C41" s="861">
        <v>671.26800000000003</v>
      </c>
      <c r="D41" s="554">
        <f t="shared" si="7"/>
        <v>670</v>
      </c>
      <c r="E41" s="861">
        <v>40.863999999999997</v>
      </c>
      <c r="F41" s="895">
        <f>MROUND(E41,5)</f>
        <v>40</v>
      </c>
      <c r="G41" s="861">
        <v>4.54</v>
      </c>
      <c r="H41" s="696">
        <f>MROUND(G41,0.5)</f>
        <v>4.5</v>
      </c>
      <c r="I41" s="861">
        <v>4.0720000000000001</v>
      </c>
      <c r="J41" s="766">
        <f>MROUND(I41,0.5)</f>
        <v>4</v>
      </c>
      <c r="K41" s="861">
        <v>0</v>
      </c>
      <c r="L41" s="744">
        <v>0</v>
      </c>
      <c r="M41" s="861">
        <v>0</v>
      </c>
      <c r="N41" s="554">
        <v>0</v>
      </c>
      <c r="O41" s="861">
        <v>109.03100000000001</v>
      </c>
      <c r="P41" s="195">
        <f t="shared" si="8"/>
        <v>109</v>
      </c>
      <c r="Q41" s="861">
        <v>158.095</v>
      </c>
      <c r="R41" s="896">
        <f t="shared" si="9"/>
        <v>158</v>
      </c>
      <c r="S41" s="861">
        <v>1.032</v>
      </c>
      <c r="T41" s="871">
        <f>MROUND(S41,1)</f>
        <v>1</v>
      </c>
      <c r="U41" s="861">
        <v>152.13399999999999</v>
      </c>
      <c r="V41" s="726">
        <f t="shared" si="5"/>
        <v>152</v>
      </c>
      <c r="W41" s="861">
        <v>132.65199999999999</v>
      </c>
      <c r="X41" s="726">
        <f t="shared" si="6"/>
        <v>133</v>
      </c>
      <c r="Y41" s="861">
        <v>0.24099999999999999</v>
      </c>
      <c r="Z41" s="195">
        <v>0</v>
      </c>
      <c r="AA41" s="761">
        <v>0</v>
      </c>
      <c r="AB41" s="761">
        <v>0</v>
      </c>
      <c r="AC41" s="761">
        <v>23.152000000000001</v>
      </c>
      <c r="AD41" s="761">
        <v>1.7809999999999999</v>
      </c>
      <c r="AE41" s="761">
        <v>0.12</v>
      </c>
      <c r="AF41" s="761">
        <v>0.66600000000000004</v>
      </c>
      <c r="AG41" s="761">
        <v>14.497999999999999</v>
      </c>
      <c r="AH41" s="761">
        <v>0.308</v>
      </c>
      <c r="AI41" s="223"/>
      <c r="AJ41" s="223"/>
      <c r="AK41" s="223"/>
      <c r="AL41" s="223"/>
    </row>
    <row r="42" spans="1:38" ht="31.75" hidden="1">
      <c r="A42" s="223" t="s">
        <v>296</v>
      </c>
      <c r="B42" s="625" t="s">
        <v>31</v>
      </c>
      <c r="C42" s="860">
        <v>614.92999999999995</v>
      </c>
      <c r="D42" s="554">
        <f t="shared" si="7"/>
        <v>610</v>
      </c>
      <c r="E42" s="860">
        <v>0</v>
      </c>
      <c r="F42" s="744">
        <v>0</v>
      </c>
      <c r="G42" s="860">
        <v>5.3999999999999999E-2</v>
      </c>
      <c r="H42" s="554">
        <v>0</v>
      </c>
      <c r="I42" s="860">
        <v>0</v>
      </c>
      <c r="J42" s="744">
        <v>0</v>
      </c>
      <c r="K42" s="860">
        <v>0</v>
      </c>
      <c r="L42" s="744">
        <v>0</v>
      </c>
      <c r="M42" s="860">
        <v>0</v>
      </c>
      <c r="N42" s="554">
        <v>0</v>
      </c>
      <c r="O42" s="860">
        <v>105.38800000000001</v>
      </c>
      <c r="P42" s="195">
        <f t="shared" si="8"/>
        <v>105</v>
      </c>
      <c r="Q42" s="860">
        <v>158.17699999999999</v>
      </c>
      <c r="R42" s="896">
        <f t="shared" si="9"/>
        <v>158</v>
      </c>
      <c r="S42" s="860">
        <v>0.315</v>
      </c>
      <c r="T42" s="896">
        <v>0</v>
      </c>
      <c r="U42" s="860">
        <v>148.72999999999999</v>
      </c>
      <c r="V42" s="726">
        <f t="shared" si="5"/>
        <v>149</v>
      </c>
      <c r="W42" s="860">
        <v>143.77199999999999</v>
      </c>
      <c r="X42" s="726">
        <f t="shared" si="6"/>
        <v>144</v>
      </c>
      <c r="Y42" s="860">
        <v>0.08</v>
      </c>
      <c r="Z42" s="195">
        <v>0</v>
      </c>
      <c r="AA42" s="555">
        <v>0</v>
      </c>
      <c r="AB42" s="555">
        <v>0</v>
      </c>
      <c r="AC42" s="555">
        <v>37.286000000000001</v>
      </c>
      <c r="AD42" s="626">
        <v>2.8680000000000001E-2</v>
      </c>
      <c r="AE42" s="555">
        <v>8.2000000000000003E-2</v>
      </c>
      <c r="AF42" s="555">
        <v>4.5399999999999998E-3</v>
      </c>
      <c r="AG42" s="555">
        <v>3.2410000000000001</v>
      </c>
      <c r="AH42" s="555">
        <v>6.8999999999999997E-4</v>
      </c>
    </row>
    <row r="43" spans="1:38" ht="31.75" hidden="1">
      <c r="A43" s="223" t="s">
        <v>296</v>
      </c>
      <c r="B43" s="625" t="s">
        <v>68</v>
      </c>
      <c r="C43" s="860">
        <v>682.60199999999998</v>
      </c>
      <c r="D43" s="554">
        <f t="shared" si="7"/>
        <v>680</v>
      </c>
      <c r="E43" s="860">
        <v>0.61899999999999999</v>
      </c>
      <c r="F43" s="744">
        <v>0</v>
      </c>
      <c r="G43" s="860">
        <v>6.9000000000000006E-2</v>
      </c>
      <c r="H43" s="554">
        <v>0</v>
      </c>
      <c r="I43" s="860">
        <v>2E-3</v>
      </c>
      <c r="J43" s="744">
        <v>0</v>
      </c>
      <c r="K43" s="860">
        <v>0</v>
      </c>
      <c r="L43" s="744">
        <v>0</v>
      </c>
      <c r="M43" s="860">
        <v>0</v>
      </c>
      <c r="N43" s="554">
        <v>0</v>
      </c>
      <c r="O43" s="860">
        <v>102.893</v>
      </c>
      <c r="P43" s="195">
        <f t="shared" si="8"/>
        <v>103</v>
      </c>
      <c r="Q43" s="860">
        <v>173.89400000000001</v>
      </c>
      <c r="R43" s="896">
        <f t="shared" si="9"/>
        <v>174</v>
      </c>
      <c r="S43" s="860">
        <v>0.49199999999999999</v>
      </c>
      <c r="T43" s="896">
        <v>0</v>
      </c>
      <c r="U43" s="860">
        <v>166.08699999999999</v>
      </c>
      <c r="V43" s="726">
        <f t="shared" si="5"/>
        <v>166</v>
      </c>
      <c r="W43" s="860">
        <v>164.06100000000001</v>
      </c>
      <c r="X43" s="726">
        <f t="shared" si="6"/>
        <v>164</v>
      </c>
      <c r="Y43" s="860">
        <v>0.42499999999999999</v>
      </c>
      <c r="Z43" s="195">
        <v>0</v>
      </c>
      <c r="AA43" s="555">
        <v>0</v>
      </c>
      <c r="AB43" s="555">
        <v>0</v>
      </c>
      <c r="AC43" s="561">
        <v>28.356000000000002</v>
      </c>
      <c r="AD43" s="628">
        <v>2.181E-2</v>
      </c>
      <c r="AE43" s="561">
        <v>0.23100000000000001</v>
      </c>
      <c r="AF43" s="561">
        <v>1.286E-2</v>
      </c>
      <c r="AG43" s="561">
        <v>53.774000000000001</v>
      </c>
      <c r="AH43" s="561">
        <v>1.1440000000000001E-2</v>
      </c>
    </row>
    <row r="44" spans="1:38" ht="31.75" hidden="1">
      <c r="A44" s="223" t="s">
        <v>296</v>
      </c>
      <c r="B44" s="625" t="s">
        <v>312</v>
      </c>
      <c r="C44" s="861">
        <v>647.85500000000002</v>
      </c>
      <c r="D44" s="554">
        <f t="shared" si="7"/>
        <v>650</v>
      </c>
      <c r="E44" s="861">
        <v>0.38600000000000001</v>
      </c>
      <c r="F44" s="744">
        <v>0</v>
      </c>
      <c r="G44" s="861">
        <v>4.2999999999999997E-2</v>
      </c>
      <c r="H44" s="554">
        <v>0</v>
      </c>
      <c r="I44" s="861">
        <v>0</v>
      </c>
      <c r="J44" s="744">
        <v>0</v>
      </c>
      <c r="K44" s="861">
        <v>0</v>
      </c>
      <c r="L44" s="744">
        <v>0</v>
      </c>
      <c r="M44" s="861">
        <v>0</v>
      </c>
      <c r="N44" s="554">
        <v>0</v>
      </c>
      <c r="O44" s="861">
        <v>101.568</v>
      </c>
      <c r="P44" s="195">
        <f t="shared" si="8"/>
        <v>102</v>
      </c>
      <c r="Q44" s="861">
        <v>165.46199999999999</v>
      </c>
      <c r="R44" s="896">
        <f t="shared" si="9"/>
        <v>165</v>
      </c>
      <c r="S44" s="861">
        <v>8.3000000000000004E-2</v>
      </c>
      <c r="T44" s="896">
        <v>0</v>
      </c>
      <c r="U44" s="861">
        <v>158.82599999999999</v>
      </c>
      <c r="V44" s="726">
        <f t="shared" si="5"/>
        <v>159</v>
      </c>
      <c r="W44" s="861">
        <v>158.38200000000001</v>
      </c>
      <c r="X44" s="726">
        <f t="shared" si="6"/>
        <v>158</v>
      </c>
      <c r="Y44" s="861">
        <v>0.111</v>
      </c>
      <c r="Z44" s="195">
        <v>0</v>
      </c>
      <c r="AA44" s="1131">
        <v>0</v>
      </c>
      <c r="AB44" s="1131">
        <v>0</v>
      </c>
      <c r="AC44" s="1131">
        <v>26.928999999999998</v>
      </c>
      <c r="AD44" s="1131">
        <v>2.0710000000000002</v>
      </c>
      <c r="AE44" s="1131">
        <v>0.11799999999999999</v>
      </c>
      <c r="AF44" s="1131">
        <v>0.65700000000000003</v>
      </c>
      <c r="AG44" s="1131">
        <v>32.033999999999999</v>
      </c>
      <c r="AH44" s="1131">
        <v>0.68200000000000005</v>
      </c>
    </row>
    <row r="45" spans="1:38" ht="31.75" hidden="1">
      <c r="A45" s="223" t="s">
        <v>296</v>
      </c>
      <c r="B45" s="625" t="s">
        <v>311</v>
      </c>
      <c r="C45" s="860">
        <v>659.54300000000001</v>
      </c>
      <c r="D45" s="554">
        <f t="shared" si="7"/>
        <v>660</v>
      </c>
      <c r="E45" s="860">
        <v>0</v>
      </c>
      <c r="F45" s="744">
        <v>0</v>
      </c>
      <c r="G45" s="860">
        <v>1E-3</v>
      </c>
      <c r="H45" s="554">
        <v>0</v>
      </c>
      <c r="I45" s="860">
        <v>1E-3</v>
      </c>
      <c r="J45" s="744">
        <v>0</v>
      </c>
      <c r="K45" s="860">
        <v>0</v>
      </c>
      <c r="L45" s="744">
        <v>0</v>
      </c>
      <c r="M45" s="860">
        <v>0</v>
      </c>
      <c r="N45" s="554">
        <v>0</v>
      </c>
      <c r="O45" s="860">
        <v>102.402</v>
      </c>
      <c r="P45" s="195">
        <f t="shared" si="8"/>
        <v>102</v>
      </c>
      <c r="Q45" s="860">
        <v>168.47200000000001</v>
      </c>
      <c r="R45" s="896">
        <f t="shared" si="9"/>
        <v>168</v>
      </c>
      <c r="S45" s="860">
        <v>0.432</v>
      </c>
      <c r="T45" s="896">
        <v>0</v>
      </c>
      <c r="U45" s="860">
        <v>163.66800000000001</v>
      </c>
      <c r="V45" s="726">
        <f t="shared" si="5"/>
        <v>164</v>
      </c>
      <c r="W45" s="860">
        <v>162.136</v>
      </c>
      <c r="X45" s="726">
        <f t="shared" si="6"/>
        <v>162</v>
      </c>
      <c r="Y45" s="860">
        <v>0.30399999999999999</v>
      </c>
      <c r="Z45" s="195">
        <v>0</v>
      </c>
      <c r="AA45" s="555">
        <v>0</v>
      </c>
      <c r="AB45" s="555">
        <v>0</v>
      </c>
      <c r="AC45" s="555">
        <v>21.878</v>
      </c>
      <c r="AD45" s="626">
        <v>1.6830000000000001E-2</v>
      </c>
      <c r="AE45" s="555">
        <v>0.16500000000000001</v>
      </c>
      <c r="AF45" s="555">
        <v>9.1699999999999993E-3</v>
      </c>
      <c r="AG45" s="555">
        <v>2.7519999999999998</v>
      </c>
      <c r="AH45" s="555">
        <v>5.9000000000000003E-4</v>
      </c>
    </row>
    <row r="46" spans="1:38" ht="31.75" hidden="1">
      <c r="A46" s="223" t="s">
        <v>296</v>
      </c>
      <c r="B46" s="625" t="s">
        <v>37</v>
      </c>
      <c r="C46" s="860">
        <v>383.50599999999997</v>
      </c>
      <c r="D46" s="554">
        <f t="shared" si="7"/>
        <v>380</v>
      </c>
      <c r="E46" s="860">
        <v>0</v>
      </c>
      <c r="F46" s="744">
        <v>0</v>
      </c>
      <c r="G46" s="860">
        <v>0</v>
      </c>
      <c r="H46" s="554">
        <v>0</v>
      </c>
      <c r="I46" s="860">
        <v>0</v>
      </c>
      <c r="J46" s="744">
        <v>0</v>
      </c>
      <c r="K46" s="860">
        <v>0</v>
      </c>
      <c r="L46" s="744">
        <v>0</v>
      </c>
      <c r="M46" s="860">
        <v>0</v>
      </c>
      <c r="N46" s="554">
        <v>0</v>
      </c>
      <c r="O46" s="860">
        <v>100.97199999999999</v>
      </c>
      <c r="P46" s="195">
        <f t="shared" si="8"/>
        <v>101</v>
      </c>
      <c r="Q46" s="860">
        <v>100.075</v>
      </c>
      <c r="R46" s="896">
        <f t="shared" si="9"/>
        <v>100</v>
      </c>
      <c r="S46" s="860">
        <v>0</v>
      </c>
      <c r="T46" s="896">
        <v>0</v>
      </c>
      <c r="U46" s="860">
        <v>97.106999999999999</v>
      </c>
      <c r="V46" s="726">
        <f t="shared" si="5"/>
        <v>97</v>
      </c>
      <c r="W46" s="860">
        <v>73.5</v>
      </c>
      <c r="X46" s="726">
        <f t="shared" si="6"/>
        <v>74</v>
      </c>
      <c r="Y46" s="860">
        <v>0</v>
      </c>
      <c r="Z46" s="195">
        <v>0</v>
      </c>
      <c r="AA46" s="697">
        <v>0</v>
      </c>
      <c r="AB46" s="697">
        <v>0</v>
      </c>
      <c r="AC46" s="697">
        <v>19.199000000000002</v>
      </c>
      <c r="AD46" s="698">
        <v>1.477E-2</v>
      </c>
      <c r="AE46" s="697">
        <v>3.5000000000000003E-2</v>
      </c>
      <c r="AF46" s="697">
        <v>1.9499999999999999E-3</v>
      </c>
      <c r="AG46" s="697">
        <v>1.4730000000000001</v>
      </c>
      <c r="AH46" s="697">
        <v>3.1E-4</v>
      </c>
    </row>
    <row r="47" spans="1:38" hidden="1">
      <c r="A47" s="212" t="s">
        <v>92</v>
      </c>
      <c r="B47" s="625" t="s">
        <v>115</v>
      </c>
      <c r="C47" s="860">
        <v>769.20500000000004</v>
      </c>
      <c r="D47" s="554">
        <f t="shared" si="7"/>
        <v>770</v>
      </c>
      <c r="E47" s="860">
        <v>0</v>
      </c>
      <c r="F47" s="744">
        <v>0</v>
      </c>
      <c r="G47" s="860">
        <v>3.9550000000000001</v>
      </c>
      <c r="H47" s="726">
        <f>MROUND(G47,0.5)</f>
        <v>4</v>
      </c>
      <c r="I47" s="860">
        <v>3.6680000000000001</v>
      </c>
      <c r="J47" s="766">
        <f>MROUND(I47,0.5)</f>
        <v>3.5</v>
      </c>
      <c r="K47" s="860">
        <v>0</v>
      </c>
      <c r="L47" s="744">
        <v>0</v>
      </c>
      <c r="M47" s="860">
        <v>0</v>
      </c>
      <c r="N47" s="554">
        <v>0</v>
      </c>
      <c r="O47" s="860">
        <v>152.82300000000001</v>
      </c>
      <c r="P47" s="195">
        <f t="shared" si="8"/>
        <v>153</v>
      </c>
      <c r="Q47" s="860">
        <v>141.68899999999999</v>
      </c>
      <c r="R47" s="896">
        <f t="shared" si="9"/>
        <v>142</v>
      </c>
      <c r="S47" s="860">
        <v>8.2000000000000003E-2</v>
      </c>
      <c r="T47" s="871">
        <f>MROUND(S47,1)</f>
        <v>0</v>
      </c>
      <c r="U47" s="860">
        <v>135.28299999999999</v>
      </c>
      <c r="V47" s="726">
        <f t="shared" si="5"/>
        <v>135</v>
      </c>
      <c r="W47" s="860">
        <v>176.91900000000001</v>
      </c>
      <c r="X47" s="726">
        <f t="shared" si="6"/>
        <v>177</v>
      </c>
      <c r="Y47" s="860">
        <v>0.36</v>
      </c>
      <c r="Z47" s="195">
        <v>0</v>
      </c>
      <c r="AA47" s="555">
        <v>0</v>
      </c>
      <c r="AB47" s="555">
        <v>0</v>
      </c>
      <c r="AC47" s="555">
        <v>25.202999999999999</v>
      </c>
      <c r="AD47" s="626">
        <v>1.9390000000000001E-2</v>
      </c>
      <c r="AE47" s="555">
        <v>0.23699999999999999</v>
      </c>
      <c r="AF47" s="555">
        <v>1.315E-2</v>
      </c>
      <c r="AG47" s="555">
        <v>64.414000000000001</v>
      </c>
      <c r="AH47" s="555">
        <v>1.371E-2</v>
      </c>
    </row>
    <row r="48" spans="1:38" ht="31.75" hidden="1">
      <c r="A48" s="223" t="s">
        <v>296</v>
      </c>
      <c r="B48" s="625" t="s">
        <v>26</v>
      </c>
      <c r="C48" s="860">
        <v>839.11400000000003</v>
      </c>
      <c r="D48" s="694">
        <f t="shared" si="7"/>
        <v>840</v>
      </c>
      <c r="E48" s="860">
        <v>0</v>
      </c>
      <c r="F48" s="744">
        <v>0</v>
      </c>
      <c r="G48" s="860">
        <v>0</v>
      </c>
      <c r="H48" s="554">
        <v>0</v>
      </c>
      <c r="I48" s="860">
        <v>0</v>
      </c>
      <c r="J48" s="744">
        <v>0</v>
      </c>
      <c r="K48" s="860">
        <v>0</v>
      </c>
      <c r="L48" s="744">
        <v>0</v>
      </c>
      <c r="M48" s="860">
        <v>0</v>
      </c>
      <c r="N48" s="554">
        <v>0</v>
      </c>
      <c r="O48" s="860">
        <v>100</v>
      </c>
      <c r="P48" s="195">
        <f t="shared" si="8"/>
        <v>100</v>
      </c>
      <c r="Q48" s="860">
        <v>210</v>
      </c>
      <c r="R48" s="896">
        <f t="shared" si="9"/>
        <v>210</v>
      </c>
      <c r="S48" s="860">
        <v>0</v>
      </c>
      <c r="T48" s="896">
        <v>0</v>
      </c>
      <c r="U48" s="860">
        <v>200</v>
      </c>
      <c r="V48" s="726">
        <f t="shared" si="5"/>
        <v>200</v>
      </c>
      <c r="W48" s="860">
        <v>200</v>
      </c>
      <c r="X48" s="726">
        <f t="shared" si="6"/>
        <v>200</v>
      </c>
      <c r="Y48" s="860">
        <v>0</v>
      </c>
      <c r="Z48" s="195">
        <v>0</v>
      </c>
      <c r="AA48" s="697">
        <v>0</v>
      </c>
      <c r="AB48" s="697">
        <v>0</v>
      </c>
      <c r="AC48" s="697">
        <v>20</v>
      </c>
      <c r="AD48" s="698">
        <v>0</v>
      </c>
      <c r="AE48" s="697">
        <v>0</v>
      </c>
      <c r="AF48" s="697">
        <v>0</v>
      </c>
      <c r="AG48" s="697">
        <v>160</v>
      </c>
      <c r="AH48" s="697">
        <v>0</v>
      </c>
      <c r="AI48" s="223"/>
      <c r="AJ48" s="223"/>
      <c r="AK48" s="223"/>
      <c r="AL48" s="223"/>
    </row>
    <row r="49" spans="1:38" ht="31.75" hidden="1">
      <c r="A49" s="223" t="s">
        <v>296</v>
      </c>
      <c r="B49" s="625" t="s">
        <v>52</v>
      </c>
      <c r="C49" s="860">
        <v>702.89499999999998</v>
      </c>
      <c r="D49" s="554">
        <f t="shared" si="7"/>
        <v>700</v>
      </c>
      <c r="E49" s="860">
        <v>0.222</v>
      </c>
      <c r="F49" s="744">
        <v>0</v>
      </c>
      <c r="G49" s="860">
        <v>2.5000000000000001E-2</v>
      </c>
      <c r="H49" s="554">
        <v>0</v>
      </c>
      <c r="I49" s="860">
        <v>6.0000000000000001E-3</v>
      </c>
      <c r="J49" s="744">
        <v>0</v>
      </c>
      <c r="K49" s="860">
        <v>2.5000000000000001E-2</v>
      </c>
      <c r="L49" s="744">
        <v>0</v>
      </c>
      <c r="M49" s="860">
        <v>0</v>
      </c>
      <c r="N49" s="554">
        <v>0</v>
      </c>
      <c r="O49" s="860">
        <v>99.257000000000005</v>
      </c>
      <c r="P49" s="195">
        <f t="shared" si="8"/>
        <v>99</v>
      </c>
      <c r="Q49" s="860">
        <v>177.655</v>
      </c>
      <c r="R49" s="896">
        <f t="shared" si="9"/>
        <v>178</v>
      </c>
      <c r="S49" s="860">
        <v>0.54500000000000004</v>
      </c>
      <c r="T49" s="195" t="s">
        <v>303</v>
      </c>
      <c r="U49" s="860">
        <v>170.49299999999999</v>
      </c>
      <c r="V49" s="726">
        <f t="shared" si="5"/>
        <v>170</v>
      </c>
      <c r="W49" s="860">
        <v>167.047</v>
      </c>
      <c r="X49" s="726">
        <f t="shared" si="6"/>
        <v>167</v>
      </c>
      <c r="Y49" s="860">
        <v>0.28499999999999998</v>
      </c>
      <c r="Z49" s="195">
        <v>0</v>
      </c>
      <c r="AA49" s="555">
        <v>0</v>
      </c>
      <c r="AB49" s="555">
        <v>0</v>
      </c>
      <c r="AC49" s="561">
        <v>25.138000000000002</v>
      </c>
      <c r="AD49" s="628">
        <v>1.934E-2</v>
      </c>
      <c r="AE49" s="561">
        <v>0.189</v>
      </c>
      <c r="AF49" s="561">
        <v>1.0500000000000001E-2</v>
      </c>
      <c r="AG49" s="561">
        <v>27.504000000000001</v>
      </c>
      <c r="AH49" s="561">
        <v>5.8500000000000002E-3</v>
      </c>
    </row>
    <row r="50" spans="1:38" ht="31.75" hidden="1">
      <c r="A50" s="223" t="s">
        <v>296</v>
      </c>
      <c r="B50" s="625" t="s">
        <v>300</v>
      </c>
      <c r="C50" s="859">
        <v>570.17200000000003</v>
      </c>
      <c r="D50" s="554">
        <f t="shared" si="7"/>
        <v>570</v>
      </c>
      <c r="E50" s="859">
        <v>1.9159999999999999</v>
      </c>
      <c r="F50" s="744">
        <v>0</v>
      </c>
      <c r="G50" s="859">
        <v>0.21299999999999999</v>
      </c>
      <c r="H50" s="554">
        <v>0</v>
      </c>
      <c r="I50" s="859">
        <v>8.9999999999999993E-3</v>
      </c>
      <c r="J50" s="744">
        <v>0</v>
      </c>
      <c r="K50" s="859">
        <v>0</v>
      </c>
      <c r="L50" s="744">
        <v>0</v>
      </c>
      <c r="M50" s="859">
        <v>0</v>
      </c>
      <c r="N50" s="554">
        <v>0</v>
      </c>
      <c r="O50" s="859">
        <v>93.272000000000006</v>
      </c>
      <c r="P50" s="195">
        <f t="shared" si="8"/>
        <v>93</v>
      </c>
      <c r="Q50" s="859">
        <v>148.19399999999999</v>
      </c>
      <c r="R50" s="896">
        <f t="shared" si="9"/>
        <v>148</v>
      </c>
      <c r="S50" s="859">
        <v>0.73799999999999999</v>
      </c>
      <c r="T50" s="195" t="s">
        <v>303</v>
      </c>
      <c r="U50" s="859">
        <v>136.91300000000001</v>
      </c>
      <c r="V50" s="726">
        <f t="shared" si="5"/>
        <v>137</v>
      </c>
      <c r="W50" s="859">
        <v>134.566</v>
      </c>
      <c r="X50" s="726">
        <f t="shared" si="6"/>
        <v>135</v>
      </c>
      <c r="Y50" s="859">
        <v>0.42899999999999999</v>
      </c>
      <c r="Z50" s="195">
        <v>0</v>
      </c>
      <c r="AA50" s="554">
        <v>0</v>
      </c>
      <c r="AB50" s="554">
        <v>0</v>
      </c>
      <c r="AC50" s="554">
        <v>32.957000000000001</v>
      </c>
      <c r="AD50" s="624">
        <v>2.5350000000000001E-2</v>
      </c>
      <c r="AE50" s="554">
        <v>0.13200000000000001</v>
      </c>
      <c r="AF50" s="554">
        <v>7.3099999999999997E-3</v>
      </c>
      <c r="AG50" s="554">
        <v>103.512</v>
      </c>
      <c r="AH50" s="554">
        <v>2.2020000000000001E-2</v>
      </c>
    </row>
    <row r="51" spans="1:38" s="248" customFormat="1" ht="31.75" hidden="1">
      <c r="A51" s="223" t="s">
        <v>296</v>
      </c>
      <c r="B51" s="625" t="s">
        <v>306</v>
      </c>
      <c r="C51" s="860">
        <v>915.87099999999998</v>
      </c>
      <c r="D51" s="554">
        <f t="shared" si="7"/>
        <v>920</v>
      </c>
      <c r="E51" s="860">
        <v>1.8460000000000001</v>
      </c>
      <c r="F51" s="744">
        <v>0</v>
      </c>
      <c r="G51" s="860">
        <v>0.20499999999999999</v>
      </c>
      <c r="H51" s="554">
        <v>0</v>
      </c>
      <c r="I51" s="860">
        <v>0</v>
      </c>
      <c r="J51" s="744">
        <v>0</v>
      </c>
      <c r="K51" s="860">
        <v>0</v>
      </c>
      <c r="L51" s="744">
        <v>0</v>
      </c>
      <c r="M51" s="860">
        <v>0</v>
      </c>
      <c r="N51" s="554">
        <v>0</v>
      </c>
      <c r="O51" s="860">
        <v>93.465000000000003</v>
      </c>
      <c r="P51" s="195">
        <f t="shared" si="8"/>
        <v>93</v>
      </c>
      <c r="Q51" s="860">
        <v>228.78700000000001</v>
      </c>
      <c r="R51" s="896">
        <f t="shared" si="9"/>
        <v>229</v>
      </c>
      <c r="S51" s="860">
        <v>0</v>
      </c>
      <c r="T51" s="896">
        <v>0</v>
      </c>
      <c r="U51" s="860">
        <v>210.67500000000001</v>
      </c>
      <c r="V51" s="726">
        <f t="shared" si="5"/>
        <v>211</v>
      </c>
      <c r="W51" s="860">
        <v>210.67500000000001</v>
      </c>
      <c r="X51" s="726">
        <f t="shared" si="6"/>
        <v>211</v>
      </c>
      <c r="Y51" s="860">
        <v>1.641</v>
      </c>
      <c r="Z51" s="188">
        <f>MROUND(Y51,1)</f>
        <v>2</v>
      </c>
      <c r="AA51" s="697">
        <v>0</v>
      </c>
      <c r="AB51" s="697">
        <v>0</v>
      </c>
      <c r="AC51" s="697">
        <v>19.817</v>
      </c>
      <c r="AD51" s="698">
        <v>1.524E-2</v>
      </c>
      <c r="AE51" s="697">
        <v>4.1000000000000002E-2</v>
      </c>
      <c r="AF51" s="697">
        <v>2.2899999999999999E-3</v>
      </c>
      <c r="AG51" s="697">
        <v>3.6680000000000001</v>
      </c>
      <c r="AH51" s="697">
        <v>7.7999999999999999E-4</v>
      </c>
      <c r="AI51" s="179"/>
      <c r="AJ51" s="179"/>
      <c r="AK51" s="179"/>
      <c r="AL51" s="179"/>
    </row>
    <row r="52" spans="1:38" s="223" customFormat="1" ht="31.75" hidden="1">
      <c r="A52" s="223" t="s">
        <v>296</v>
      </c>
      <c r="B52" s="625" t="s">
        <v>61</v>
      </c>
      <c r="C52" s="861">
        <v>512.62699999999995</v>
      </c>
      <c r="D52" s="554">
        <f t="shared" si="7"/>
        <v>510</v>
      </c>
      <c r="E52" s="861">
        <v>1.46</v>
      </c>
      <c r="F52" s="744">
        <v>0</v>
      </c>
      <c r="G52" s="861">
        <v>0.16200000000000001</v>
      </c>
      <c r="H52" s="554">
        <v>0</v>
      </c>
      <c r="I52" s="861">
        <v>7.0000000000000001E-3</v>
      </c>
      <c r="J52" s="744">
        <v>0</v>
      </c>
      <c r="K52" s="861">
        <v>0</v>
      </c>
      <c r="L52" s="744">
        <v>0</v>
      </c>
      <c r="M52" s="861">
        <v>0</v>
      </c>
      <c r="N52" s="554">
        <v>0</v>
      </c>
      <c r="O52" s="861">
        <v>92.230999999999995</v>
      </c>
      <c r="P52" s="195">
        <f t="shared" si="8"/>
        <v>92</v>
      </c>
      <c r="Q52" s="861">
        <v>132.22999999999999</v>
      </c>
      <c r="R52" s="896">
        <f t="shared" si="9"/>
        <v>132</v>
      </c>
      <c r="S52" s="861">
        <v>0.625</v>
      </c>
      <c r="T52" s="195" t="s">
        <v>303</v>
      </c>
      <c r="U52" s="861">
        <v>125.29</v>
      </c>
      <c r="V52" s="726">
        <f t="shared" si="5"/>
        <v>125</v>
      </c>
      <c r="W52" s="861">
        <v>123.643</v>
      </c>
      <c r="X52" s="726">
        <f t="shared" si="6"/>
        <v>124</v>
      </c>
      <c r="Y52" s="861">
        <v>0.38700000000000001</v>
      </c>
      <c r="Z52" s="195">
        <v>0</v>
      </c>
      <c r="AA52" s="761">
        <v>0</v>
      </c>
      <c r="AB52" s="761">
        <v>0</v>
      </c>
      <c r="AC52" s="761">
        <v>30.106000000000002</v>
      </c>
      <c r="AD52" s="761">
        <v>2.3159999999999998</v>
      </c>
      <c r="AE52" s="761">
        <v>0.14799999999999999</v>
      </c>
      <c r="AF52" s="761">
        <v>0.82399999999999995</v>
      </c>
      <c r="AG52" s="761">
        <v>85.584999999999994</v>
      </c>
      <c r="AH52" s="761">
        <v>1.821</v>
      </c>
      <c r="AI52" s="179"/>
      <c r="AJ52" s="179"/>
      <c r="AK52" s="179"/>
      <c r="AL52" s="179"/>
    </row>
    <row r="53" spans="1:38" s="223" customFormat="1" ht="31.75" hidden="1">
      <c r="A53" s="223" t="s">
        <v>296</v>
      </c>
      <c r="B53" s="625" t="s">
        <v>313</v>
      </c>
      <c r="C53" s="860">
        <v>614.75300000000004</v>
      </c>
      <c r="D53" s="554">
        <f t="shared" si="7"/>
        <v>610</v>
      </c>
      <c r="E53" s="860">
        <v>0</v>
      </c>
      <c r="F53" s="744">
        <v>0</v>
      </c>
      <c r="G53" s="860">
        <v>0</v>
      </c>
      <c r="H53" s="554">
        <v>0</v>
      </c>
      <c r="I53" s="860">
        <v>0</v>
      </c>
      <c r="J53" s="744">
        <v>0</v>
      </c>
      <c r="K53" s="860">
        <v>0</v>
      </c>
      <c r="L53" s="744">
        <v>0</v>
      </c>
      <c r="M53" s="860">
        <v>0</v>
      </c>
      <c r="N53" s="554">
        <v>0</v>
      </c>
      <c r="O53" s="860">
        <v>89.736000000000004</v>
      </c>
      <c r="P53" s="195">
        <f t="shared" si="8"/>
        <v>90</v>
      </c>
      <c r="Q53" s="860">
        <v>155.18700000000001</v>
      </c>
      <c r="R53" s="896">
        <f t="shared" si="9"/>
        <v>155</v>
      </c>
      <c r="S53" s="860">
        <v>0</v>
      </c>
      <c r="T53" s="896">
        <v>0</v>
      </c>
      <c r="U53" s="860">
        <v>149.07499999999999</v>
      </c>
      <c r="V53" s="726">
        <f t="shared" si="5"/>
        <v>149</v>
      </c>
      <c r="W53" s="860">
        <v>149.07499999999999</v>
      </c>
      <c r="X53" s="726">
        <f t="shared" si="6"/>
        <v>149</v>
      </c>
      <c r="Y53" s="860">
        <v>0</v>
      </c>
      <c r="Z53" s="195">
        <v>0</v>
      </c>
      <c r="AA53" s="697">
        <v>0</v>
      </c>
      <c r="AB53" s="697">
        <v>0</v>
      </c>
      <c r="AC53" s="697">
        <v>21.184000000000001</v>
      </c>
      <c r="AD53" s="698">
        <v>1.63</v>
      </c>
      <c r="AE53" s="697">
        <v>2.7E-2</v>
      </c>
      <c r="AF53" s="697">
        <v>0.14899999999999999</v>
      </c>
      <c r="AG53" s="697">
        <v>1.1279999999999999</v>
      </c>
      <c r="AH53" s="697">
        <v>2.4E-2</v>
      </c>
      <c r="AI53" s="179"/>
      <c r="AJ53" s="179"/>
      <c r="AK53" s="179"/>
      <c r="AL53" s="179"/>
    </row>
    <row r="54" spans="1:38" s="248" customFormat="1" ht="31.75" hidden="1">
      <c r="A54" s="223" t="s">
        <v>296</v>
      </c>
      <c r="B54" s="625" t="s">
        <v>32</v>
      </c>
      <c r="C54" s="860">
        <v>664.202</v>
      </c>
      <c r="D54" s="554">
        <f t="shared" si="7"/>
        <v>660</v>
      </c>
      <c r="E54" s="860">
        <v>0.94599999999999995</v>
      </c>
      <c r="F54" s="744">
        <v>0</v>
      </c>
      <c r="G54" s="860">
        <v>0.105</v>
      </c>
      <c r="H54" s="554">
        <v>0</v>
      </c>
      <c r="I54" s="860">
        <v>0</v>
      </c>
      <c r="J54" s="744">
        <v>0</v>
      </c>
      <c r="K54" s="860">
        <v>0</v>
      </c>
      <c r="L54" s="744">
        <v>0</v>
      </c>
      <c r="M54" s="860">
        <v>0</v>
      </c>
      <c r="N54" s="554">
        <v>0</v>
      </c>
      <c r="O54" s="860">
        <v>89.584000000000003</v>
      </c>
      <c r="P54" s="195">
        <f t="shared" si="8"/>
        <v>90</v>
      </c>
      <c r="Q54" s="860">
        <v>172.392</v>
      </c>
      <c r="R54" s="896">
        <f t="shared" si="9"/>
        <v>172</v>
      </c>
      <c r="S54" s="860">
        <v>0.16200000000000001</v>
      </c>
      <c r="T54" s="896">
        <v>0</v>
      </c>
      <c r="U54" s="860">
        <v>160.40100000000001</v>
      </c>
      <c r="V54" s="726">
        <f t="shared" si="5"/>
        <v>160</v>
      </c>
      <c r="W54" s="860">
        <v>159.31200000000001</v>
      </c>
      <c r="X54" s="726">
        <f t="shared" si="6"/>
        <v>159</v>
      </c>
      <c r="Y54" s="860">
        <v>0.29099999999999998</v>
      </c>
      <c r="Z54" s="195">
        <v>0</v>
      </c>
      <c r="AA54" s="697">
        <v>0</v>
      </c>
      <c r="AB54" s="697">
        <v>0</v>
      </c>
      <c r="AC54" s="697">
        <v>27.738</v>
      </c>
      <c r="AD54" s="698">
        <v>2.1339999999999999</v>
      </c>
      <c r="AE54" s="697">
        <v>7.5999999999999998E-2</v>
      </c>
      <c r="AF54" s="697">
        <v>0.42099999999999999</v>
      </c>
      <c r="AG54" s="697">
        <v>75.497</v>
      </c>
      <c r="AH54" s="697">
        <v>1.6060000000000001</v>
      </c>
      <c r="AI54" s="179"/>
      <c r="AJ54" s="179"/>
      <c r="AK54" s="179"/>
      <c r="AL54" s="179"/>
    </row>
    <row r="55" spans="1:38" s="248" customFormat="1" ht="31.75" hidden="1">
      <c r="A55" s="223" t="s">
        <v>296</v>
      </c>
      <c r="B55" s="625" t="s">
        <v>336</v>
      </c>
      <c r="C55" s="859">
        <v>731.59</v>
      </c>
      <c r="D55" s="554">
        <f t="shared" si="7"/>
        <v>730</v>
      </c>
      <c r="E55" s="859">
        <v>0</v>
      </c>
      <c r="F55" s="744">
        <v>0</v>
      </c>
      <c r="G55" s="859">
        <v>0</v>
      </c>
      <c r="H55" s="554">
        <v>0</v>
      </c>
      <c r="I55" s="859">
        <v>0</v>
      </c>
      <c r="J55" s="744">
        <v>0</v>
      </c>
      <c r="K55" s="859">
        <v>0</v>
      </c>
      <c r="L55" s="744">
        <v>0</v>
      </c>
      <c r="M55" s="859">
        <v>0</v>
      </c>
      <c r="N55" s="554">
        <v>0</v>
      </c>
      <c r="O55" s="859">
        <v>89.355999999999995</v>
      </c>
      <c r="P55" s="195">
        <f t="shared" si="8"/>
        <v>89</v>
      </c>
      <c r="Q55" s="859">
        <v>89.355999999999995</v>
      </c>
      <c r="R55" s="896">
        <f t="shared" si="9"/>
        <v>89</v>
      </c>
      <c r="S55" s="859">
        <v>0</v>
      </c>
      <c r="T55" s="896">
        <v>0</v>
      </c>
      <c r="U55" s="859">
        <v>101.26300000000001</v>
      </c>
      <c r="V55" s="726">
        <f t="shared" si="5"/>
        <v>101</v>
      </c>
      <c r="W55" s="859">
        <v>101.26300000000001</v>
      </c>
      <c r="X55" s="726">
        <f t="shared" si="6"/>
        <v>101</v>
      </c>
      <c r="Y55" s="859">
        <v>0</v>
      </c>
      <c r="Z55" s="195">
        <v>0</v>
      </c>
      <c r="AA55" s="694">
        <v>0</v>
      </c>
      <c r="AB55" s="694">
        <v>0</v>
      </c>
      <c r="AC55" s="694">
        <v>11.662000000000001</v>
      </c>
      <c r="AD55" s="695">
        <v>0.89700000000000002</v>
      </c>
      <c r="AE55" s="694">
        <v>2.1999999999999999E-2</v>
      </c>
      <c r="AF55" s="694">
        <v>0.121</v>
      </c>
      <c r="AG55" s="694">
        <v>0.91400000000000003</v>
      </c>
      <c r="AH55" s="694">
        <v>1.9E-2</v>
      </c>
      <c r="AI55" s="683"/>
      <c r="AJ55" s="683"/>
      <c r="AK55" s="683"/>
      <c r="AL55" s="683"/>
    </row>
    <row r="56" spans="1:38" s="248" customFormat="1" ht="31.75" hidden="1">
      <c r="A56" s="223" t="s">
        <v>296</v>
      </c>
      <c r="B56" s="625" t="s">
        <v>310</v>
      </c>
      <c r="C56" s="859">
        <v>793.10299999999995</v>
      </c>
      <c r="D56" s="554">
        <f t="shared" si="7"/>
        <v>790</v>
      </c>
      <c r="E56" s="859">
        <v>0</v>
      </c>
      <c r="F56" s="744">
        <v>0</v>
      </c>
      <c r="G56" s="859">
        <v>0</v>
      </c>
      <c r="H56" s="554">
        <v>0</v>
      </c>
      <c r="I56" s="859">
        <v>0</v>
      </c>
      <c r="J56" s="744">
        <v>0</v>
      </c>
      <c r="K56" s="859">
        <v>0</v>
      </c>
      <c r="L56" s="744">
        <v>0</v>
      </c>
      <c r="M56" s="859">
        <v>0</v>
      </c>
      <c r="N56" s="554">
        <v>0</v>
      </c>
      <c r="O56" s="859">
        <v>88.433999999999997</v>
      </c>
      <c r="P56" s="195">
        <f t="shared" si="8"/>
        <v>88</v>
      </c>
      <c r="Q56" s="859">
        <v>181.74199999999999</v>
      </c>
      <c r="R56" s="896">
        <f t="shared" si="9"/>
        <v>182</v>
      </c>
      <c r="S56" s="859">
        <v>0</v>
      </c>
      <c r="T56" s="896">
        <v>0</v>
      </c>
      <c r="U56" s="859">
        <v>177.071</v>
      </c>
      <c r="V56" s="726">
        <f t="shared" si="5"/>
        <v>177</v>
      </c>
      <c r="W56" s="859">
        <v>177.071</v>
      </c>
      <c r="X56" s="726">
        <f t="shared" si="6"/>
        <v>177</v>
      </c>
      <c r="Y56" s="859">
        <v>0</v>
      </c>
      <c r="Z56" s="195">
        <v>0</v>
      </c>
      <c r="AA56" s="694">
        <v>0</v>
      </c>
      <c r="AB56" s="694">
        <v>0</v>
      </c>
      <c r="AC56" s="694">
        <v>20.391999999999999</v>
      </c>
      <c r="AD56" s="695">
        <v>1.569</v>
      </c>
      <c r="AE56" s="694">
        <v>3.7999999999999999E-2</v>
      </c>
      <c r="AF56" s="694">
        <v>1.5549999999999999</v>
      </c>
      <c r="AG56" s="694">
        <v>1.599</v>
      </c>
      <c r="AH56" s="694">
        <v>3.4000000000000002E-2</v>
      </c>
      <c r="AI56" s="179"/>
      <c r="AJ56" s="179"/>
      <c r="AK56" s="179"/>
      <c r="AL56" s="179"/>
    </row>
    <row r="57" spans="1:38" s="248" customFormat="1" ht="31.75" hidden="1">
      <c r="A57" s="223" t="s">
        <v>296</v>
      </c>
      <c r="B57" s="625" t="s">
        <v>314</v>
      </c>
      <c r="C57" s="890">
        <v>799.72199999999998</v>
      </c>
      <c r="D57" s="554">
        <f t="shared" si="7"/>
        <v>800</v>
      </c>
      <c r="E57" s="890">
        <v>0</v>
      </c>
      <c r="F57" s="744">
        <v>0</v>
      </c>
      <c r="G57" s="890">
        <v>0</v>
      </c>
      <c r="H57" s="554">
        <v>0</v>
      </c>
      <c r="I57" s="890">
        <v>0</v>
      </c>
      <c r="J57" s="744">
        <v>0</v>
      </c>
      <c r="K57" s="890">
        <v>0</v>
      </c>
      <c r="L57" s="744">
        <v>0</v>
      </c>
      <c r="M57" s="890">
        <v>0</v>
      </c>
      <c r="N57" s="554">
        <v>0</v>
      </c>
      <c r="O57" s="890">
        <v>88.32</v>
      </c>
      <c r="P57" s="195">
        <f t="shared" si="8"/>
        <v>88</v>
      </c>
      <c r="Q57" s="890">
        <v>199.70699999999999</v>
      </c>
      <c r="R57" s="896">
        <f t="shared" si="9"/>
        <v>200</v>
      </c>
      <c r="S57" s="890">
        <v>0.14699999999999999</v>
      </c>
      <c r="T57" s="896">
        <v>0</v>
      </c>
      <c r="U57" s="890">
        <v>188.28700000000001</v>
      </c>
      <c r="V57" s="726">
        <f t="shared" si="5"/>
        <v>188</v>
      </c>
      <c r="W57" s="890">
        <v>188.28700000000001</v>
      </c>
      <c r="X57" s="726">
        <f t="shared" si="6"/>
        <v>188</v>
      </c>
      <c r="Y57" s="890">
        <v>1.6E-2</v>
      </c>
      <c r="Z57" s="195">
        <v>0</v>
      </c>
      <c r="AA57" s="556">
        <v>0</v>
      </c>
      <c r="AB57" s="556">
        <v>0</v>
      </c>
      <c r="AC57" s="556">
        <v>20.588000000000001</v>
      </c>
      <c r="AD57" s="629">
        <v>1.584E-2</v>
      </c>
      <c r="AE57" s="556">
        <v>4.5999999999999999E-2</v>
      </c>
      <c r="AF57" s="556">
        <v>0.25600000000000001</v>
      </c>
      <c r="AG57" s="556">
        <v>3.1930000000000001</v>
      </c>
      <c r="AH57" s="556">
        <v>6.8000000000000005E-2</v>
      </c>
      <c r="AI57" s="179"/>
      <c r="AJ57" s="179"/>
      <c r="AK57" s="179"/>
      <c r="AL57" s="179"/>
    </row>
    <row r="58" spans="1:38" s="248" customFormat="1" ht="31.75" hidden="1">
      <c r="A58" s="223" t="s">
        <v>296</v>
      </c>
      <c r="B58" s="625" t="s">
        <v>304</v>
      </c>
      <c r="C58" s="860">
        <v>628.077</v>
      </c>
      <c r="D58" s="554">
        <f t="shared" si="7"/>
        <v>630</v>
      </c>
      <c r="E58" s="860">
        <v>0.111</v>
      </c>
      <c r="F58" s="744">
        <v>0</v>
      </c>
      <c r="G58" s="860">
        <v>1.2E-2</v>
      </c>
      <c r="H58" s="554">
        <v>0</v>
      </c>
      <c r="I58" s="860">
        <v>1E-3</v>
      </c>
      <c r="J58" s="744">
        <v>0</v>
      </c>
      <c r="K58" s="860">
        <v>2E-3</v>
      </c>
      <c r="L58" s="744">
        <v>0</v>
      </c>
      <c r="M58" s="860">
        <v>0</v>
      </c>
      <c r="N58" s="554">
        <v>0</v>
      </c>
      <c r="O58" s="860">
        <v>87.921000000000006</v>
      </c>
      <c r="P58" s="195">
        <f t="shared" si="8"/>
        <v>88</v>
      </c>
      <c r="Q58" s="860">
        <v>158.78100000000001</v>
      </c>
      <c r="R58" s="896">
        <f t="shared" si="9"/>
        <v>159</v>
      </c>
      <c r="S58" s="860">
        <v>0.185</v>
      </c>
      <c r="T58" s="896">
        <v>0</v>
      </c>
      <c r="U58" s="860">
        <v>151.131</v>
      </c>
      <c r="V58" s="726">
        <f t="shared" si="5"/>
        <v>151</v>
      </c>
      <c r="W58" s="860">
        <v>150.751</v>
      </c>
      <c r="X58" s="726">
        <f t="shared" si="6"/>
        <v>151</v>
      </c>
      <c r="Y58" s="860">
        <v>5.2999999999999999E-2</v>
      </c>
      <c r="Z58" s="195">
        <v>0</v>
      </c>
      <c r="AA58" s="697">
        <v>0</v>
      </c>
      <c r="AB58" s="697">
        <v>0</v>
      </c>
      <c r="AC58" s="697">
        <v>24.033999999999999</v>
      </c>
      <c r="AD58" s="698">
        <v>1.849</v>
      </c>
      <c r="AE58" s="697">
        <v>6.4000000000000001E-2</v>
      </c>
      <c r="AF58" s="697">
        <v>0.35399999999999998</v>
      </c>
      <c r="AG58" s="697">
        <v>9.3450000000000006</v>
      </c>
      <c r="AH58" s="697">
        <v>0.19900000000000001</v>
      </c>
      <c r="AI58" s="179"/>
      <c r="AJ58" s="179"/>
      <c r="AK58" s="179"/>
      <c r="AL58" s="179"/>
    </row>
    <row r="59" spans="1:38" s="248" customFormat="1" hidden="1">
      <c r="A59" s="212" t="s">
        <v>92</v>
      </c>
      <c r="B59" s="625" t="s">
        <v>322</v>
      </c>
      <c r="C59" s="859">
        <v>902.26599999999996</v>
      </c>
      <c r="D59" s="554">
        <f t="shared" si="7"/>
        <v>900</v>
      </c>
      <c r="E59" s="859">
        <v>0</v>
      </c>
      <c r="F59" s="744">
        <v>0</v>
      </c>
      <c r="G59" s="859">
        <v>8.16</v>
      </c>
      <c r="H59" s="726">
        <f>MROUND(G59,1)</f>
        <v>8</v>
      </c>
      <c r="I59" s="859">
        <v>7.5670000000000002</v>
      </c>
      <c r="J59" s="726">
        <f>MROUND(I59,1)</f>
        <v>8</v>
      </c>
      <c r="K59" s="859">
        <v>0</v>
      </c>
      <c r="L59" s="744">
        <v>0</v>
      </c>
      <c r="M59" s="859">
        <v>0</v>
      </c>
      <c r="N59" s="554">
        <v>0</v>
      </c>
      <c r="O59" s="859">
        <v>160.37100000000001</v>
      </c>
      <c r="P59" s="195">
        <f t="shared" si="8"/>
        <v>160</v>
      </c>
      <c r="Q59" s="859">
        <v>208.87200000000001</v>
      </c>
      <c r="R59" s="896">
        <f t="shared" si="9"/>
        <v>209</v>
      </c>
      <c r="S59" s="859">
        <v>2.7E-2</v>
      </c>
      <c r="T59" s="896">
        <v>0</v>
      </c>
      <c r="U59" s="859">
        <v>199.547</v>
      </c>
      <c r="V59" s="726">
        <f t="shared" si="5"/>
        <v>200</v>
      </c>
      <c r="W59" s="859">
        <v>199.048</v>
      </c>
      <c r="X59" s="726">
        <f t="shared" si="6"/>
        <v>199</v>
      </c>
      <c r="Y59" s="859">
        <v>0.74199999999999999</v>
      </c>
      <c r="Z59" s="871" t="s">
        <v>303</v>
      </c>
      <c r="AA59" s="554">
        <v>0</v>
      </c>
      <c r="AB59" s="554">
        <v>0</v>
      </c>
      <c r="AC59" s="554">
        <v>21.088999999999999</v>
      </c>
      <c r="AD59" s="762">
        <v>1.6219999999999998E-2</v>
      </c>
      <c r="AE59" s="554">
        <v>0.19900000000000001</v>
      </c>
      <c r="AF59" s="554">
        <v>1.103E-2</v>
      </c>
      <c r="AG59" s="554">
        <v>21.167000000000002</v>
      </c>
      <c r="AH59" s="554">
        <v>0.45</v>
      </c>
      <c r="AI59" s="179"/>
      <c r="AJ59" s="179"/>
      <c r="AK59" s="179"/>
      <c r="AL59" s="179"/>
    </row>
    <row r="60" spans="1:38" s="212" customFormat="1" ht="14.25" hidden="1" customHeight="1">
      <c r="A60" s="212" t="s">
        <v>92</v>
      </c>
      <c r="B60" s="625" t="s">
        <v>320</v>
      </c>
      <c r="C60" s="860">
        <v>765.08699999999999</v>
      </c>
      <c r="D60" s="554">
        <f t="shared" si="7"/>
        <v>770</v>
      </c>
      <c r="E60" s="860">
        <v>0</v>
      </c>
      <c r="F60" s="744">
        <v>0</v>
      </c>
      <c r="G60" s="860">
        <v>8.2569999999999997</v>
      </c>
      <c r="H60" s="726">
        <f>MROUND(G60,1)</f>
        <v>8</v>
      </c>
      <c r="I60" s="860">
        <v>7.657</v>
      </c>
      <c r="J60" s="726">
        <f>MROUND(I60,1)</f>
        <v>8</v>
      </c>
      <c r="K60" s="860">
        <v>0</v>
      </c>
      <c r="L60" s="744">
        <v>0</v>
      </c>
      <c r="M60" s="860">
        <v>0</v>
      </c>
      <c r="N60" s="554">
        <v>0</v>
      </c>
      <c r="O60" s="860">
        <v>165.82400000000001</v>
      </c>
      <c r="P60" s="195">
        <f t="shared" si="8"/>
        <v>166</v>
      </c>
      <c r="Q60" s="860">
        <v>173.55</v>
      </c>
      <c r="R60" s="896">
        <f t="shared" si="9"/>
        <v>174</v>
      </c>
      <c r="S60" s="860">
        <v>1.4E-2</v>
      </c>
      <c r="T60" s="896">
        <v>0</v>
      </c>
      <c r="U60" s="860">
        <v>162.81100000000001</v>
      </c>
      <c r="V60" s="726">
        <f t="shared" si="5"/>
        <v>163</v>
      </c>
      <c r="W60" s="860">
        <v>162.333</v>
      </c>
      <c r="X60" s="726">
        <f t="shared" si="6"/>
        <v>162</v>
      </c>
      <c r="Y60" s="860">
        <v>0.751</v>
      </c>
      <c r="Z60" s="871" t="s">
        <v>303</v>
      </c>
      <c r="AA60" s="696">
        <v>0</v>
      </c>
      <c r="AB60" s="696">
        <v>0</v>
      </c>
      <c r="AC60" s="696">
        <v>21.681000000000001</v>
      </c>
      <c r="AD60" s="699">
        <v>1.6679999999999999</v>
      </c>
      <c r="AE60" s="696">
        <v>0.185</v>
      </c>
      <c r="AF60" s="696">
        <v>1.028</v>
      </c>
      <c r="AG60" s="696">
        <v>19.832999999999998</v>
      </c>
      <c r="AH60" s="696">
        <v>0.42199999999999999</v>
      </c>
    </row>
    <row r="61" spans="1:38" s="212" customFormat="1" hidden="1">
      <c r="A61" s="212" t="s">
        <v>92</v>
      </c>
      <c r="B61" s="625" t="s">
        <v>102</v>
      </c>
      <c r="C61" s="861">
        <v>945.12199999999996</v>
      </c>
      <c r="D61" s="554">
        <f t="shared" si="7"/>
        <v>950</v>
      </c>
      <c r="E61" s="861">
        <v>51.354999999999997</v>
      </c>
      <c r="F61" s="895">
        <f>MROUND(E61,10)</f>
        <v>50</v>
      </c>
      <c r="G61" s="861">
        <v>14.144</v>
      </c>
      <c r="H61" s="726">
        <f>MROUND(G61,1)</f>
        <v>14</v>
      </c>
      <c r="I61" s="861">
        <v>12.367000000000001</v>
      </c>
      <c r="J61" s="726">
        <f>MROUND(I61,1)</f>
        <v>12</v>
      </c>
      <c r="K61" s="861">
        <v>0.16500000000000001</v>
      </c>
      <c r="L61" s="744">
        <v>0</v>
      </c>
      <c r="M61" s="861">
        <v>0</v>
      </c>
      <c r="N61" s="554">
        <v>0</v>
      </c>
      <c r="O61" s="861">
        <v>208.78800000000001</v>
      </c>
      <c r="P61" s="195">
        <f t="shared" si="8"/>
        <v>209</v>
      </c>
      <c r="Q61" s="861">
        <v>205.322</v>
      </c>
      <c r="R61" s="896">
        <f t="shared" si="9"/>
        <v>205</v>
      </c>
      <c r="S61" s="861">
        <v>1.379</v>
      </c>
      <c r="T61" s="871">
        <f>MROUND(S61,1)</f>
        <v>1</v>
      </c>
      <c r="U61" s="861">
        <v>192.14099999999999</v>
      </c>
      <c r="V61" s="726">
        <f t="shared" si="5"/>
        <v>192</v>
      </c>
      <c r="W61" s="861">
        <v>172.33500000000001</v>
      </c>
      <c r="X61" s="726">
        <f t="shared" si="6"/>
        <v>172</v>
      </c>
      <c r="Y61" s="861">
        <v>0.77500000000000002</v>
      </c>
      <c r="Z61" s="871" t="s">
        <v>303</v>
      </c>
      <c r="AA61" s="1131">
        <v>0</v>
      </c>
      <c r="AB61" s="1131">
        <v>0</v>
      </c>
      <c r="AC61" s="1131">
        <v>28.471</v>
      </c>
      <c r="AD61" s="1131">
        <v>2.19</v>
      </c>
      <c r="AE61" s="1131">
        <v>0.4</v>
      </c>
      <c r="AF61" s="1131">
        <v>2.222</v>
      </c>
      <c r="AG61" s="1131">
        <v>28.378</v>
      </c>
      <c r="AH61" s="1131">
        <v>0.60399999999999998</v>
      </c>
      <c r="AI61" s="179"/>
      <c r="AJ61" s="179"/>
      <c r="AK61" s="179"/>
      <c r="AL61" s="179"/>
    </row>
    <row r="62" spans="1:38" ht="31.75" hidden="1">
      <c r="A62" s="223" t="s">
        <v>296</v>
      </c>
      <c r="B62" s="625" t="s">
        <v>307</v>
      </c>
      <c r="C62" s="860">
        <v>766.63400000000001</v>
      </c>
      <c r="D62" s="554">
        <f t="shared" si="7"/>
        <v>770</v>
      </c>
      <c r="E62" s="860">
        <v>0</v>
      </c>
      <c r="F62" s="744">
        <v>0</v>
      </c>
      <c r="G62" s="860">
        <v>0</v>
      </c>
      <c r="H62" s="554">
        <v>0</v>
      </c>
      <c r="I62" s="860">
        <v>0</v>
      </c>
      <c r="J62" s="744">
        <v>0</v>
      </c>
      <c r="K62" s="860">
        <v>0</v>
      </c>
      <c r="L62" s="744">
        <v>0</v>
      </c>
      <c r="M62" s="860">
        <v>0</v>
      </c>
      <c r="N62" s="554">
        <v>0</v>
      </c>
      <c r="O62" s="860">
        <v>86.584999999999994</v>
      </c>
      <c r="P62" s="195">
        <f t="shared" si="8"/>
        <v>87</v>
      </c>
      <c r="Q62" s="860">
        <v>194.33099999999999</v>
      </c>
      <c r="R62" s="896">
        <f t="shared" si="9"/>
        <v>194</v>
      </c>
      <c r="S62" s="860">
        <v>0</v>
      </c>
      <c r="T62" s="896">
        <v>0</v>
      </c>
      <c r="U62" s="860">
        <v>186.50700000000001</v>
      </c>
      <c r="V62" s="726">
        <f t="shared" si="5"/>
        <v>187</v>
      </c>
      <c r="W62" s="860">
        <v>186.50700000000001</v>
      </c>
      <c r="X62" s="726">
        <f t="shared" si="6"/>
        <v>187</v>
      </c>
      <c r="Y62" s="860">
        <v>0</v>
      </c>
      <c r="Z62" s="195">
        <v>0</v>
      </c>
      <c r="AA62" s="697">
        <v>0</v>
      </c>
      <c r="AB62" s="697">
        <v>0</v>
      </c>
      <c r="AC62" s="697">
        <v>20.303999999999998</v>
      </c>
      <c r="AD62" s="698">
        <v>1.5620000000000001</v>
      </c>
      <c r="AE62" s="697">
        <v>4.3999999999999997E-2</v>
      </c>
      <c r="AF62" s="697">
        <v>0.24399999999999999</v>
      </c>
      <c r="AG62" s="697">
        <v>18.39</v>
      </c>
      <c r="AH62" s="697">
        <v>0.39100000000000001</v>
      </c>
    </row>
    <row r="63" spans="1:38" hidden="1">
      <c r="A63" s="212" t="s">
        <v>92</v>
      </c>
      <c r="B63" s="625" t="s">
        <v>323</v>
      </c>
      <c r="C63" s="859">
        <v>878.91700000000003</v>
      </c>
      <c r="D63" s="554">
        <f t="shared" si="7"/>
        <v>880</v>
      </c>
      <c r="E63" s="859">
        <v>0.13700000000000001</v>
      </c>
      <c r="F63" s="744">
        <v>0</v>
      </c>
      <c r="G63" s="859">
        <v>8.4190000000000005</v>
      </c>
      <c r="H63" s="726">
        <f>MROUND(G63,1)</f>
        <v>8</v>
      </c>
      <c r="I63" s="859">
        <v>7.7939999999999996</v>
      </c>
      <c r="J63" s="726">
        <f>MROUND(I63,1)</f>
        <v>8</v>
      </c>
      <c r="K63" s="859">
        <v>2E-3</v>
      </c>
      <c r="L63" s="744">
        <v>0</v>
      </c>
      <c r="M63" s="859">
        <v>0</v>
      </c>
      <c r="N63" s="554">
        <v>0</v>
      </c>
      <c r="O63" s="859">
        <v>172.31</v>
      </c>
      <c r="P63" s="195">
        <f t="shared" si="8"/>
        <v>172</v>
      </c>
      <c r="Q63" s="859">
        <v>202.40199999999999</v>
      </c>
      <c r="R63" s="896">
        <f t="shared" si="9"/>
        <v>202</v>
      </c>
      <c r="S63" s="859">
        <v>0.32</v>
      </c>
      <c r="T63" s="896">
        <v>0</v>
      </c>
      <c r="U63" s="859">
        <v>191.59399999999999</v>
      </c>
      <c r="V63" s="726">
        <f t="shared" si="5"/>
        <v>192</v>
      </c>
      <c r="W63" s="859">
        <v>188.22300000000001</v>
      </c>
      <c r="X63" s="726">
        <f t="shared" si="6"/>
        <v>188</v>
      </c>
      <c r="Y63" s="859">
        <v>0.89500000000000002</v>
      </c>
      <c r="Z63" s="871" t="s">
        <v>303</v>
      </c>
      <c r="AA63" s="554">
        <v>0</v>
      </c>
      <c r="AB63" s="554">
        <v>0</v>
      </c>
      <c r="AC63" s="554">
        <v>23.361000000000001</v>
      </c>
      <c r="AD63" s="762">
        <v>1.7969999999999999</v>
      </c>
      <c r="AE63" s="554">
        <v>0.314</v>
      </c>
      <c r="AF63" s="554">
        <v>1.742</v>
      </c>
      <c r="AG63" s="554">
        <v>43.171999999999997</v>
      </c>
      <c r="AH63" s="554">
        <v>0.91900000000000004</v>
      </c>
    </row>
    <row r="64" spans="1:38" ht="31.75" hidden="1">
      <c r="A64" s="223" t="s">
        <v>296</v>
      </c>
      <c r="B64" s="625" t="s">
        <v>42</v>
      </c>
      <c r="C64" s="860">
        <v>817.02300000000002</v>
      </c>
      <c r="D64" s="554">
        <f t="shared" si="7"/>
        <v>820</v>
      </c>
      <c r="E64" s="860">
        <v>0.316</v>
      </c>
      <c r="F64" s="744">
        <v>0</v>
      </c>
      <c r="G64" s="860">
        <v>3.5000000000000003E-2</v>
      </c>
      <c r="H64" s="554">
        <v>0</v>
      </c>
      <c r="I64" s="860">
        <v>1.7999999999999999E-2</v>
      </c>
      <c r="J64" s="744">
        <v>0</v>
      </c>
      <c r="K64" s="860">
        <v>1.7999999999999999E-2</v>
      </c>
      <c r="L64" s="744">
        <v>0</v>
      </c>
      <c r="M64" s="860">
        <v>0</v>
      </c>
      <c r="N64" s="554">
        <v>0</v>
      </c>
      <c r="O64" s="860">
        <v>85.632999999999996</v>
      </c>
      <c r="P64" s="195">
        <f t="shared" si="8"/>
        <v>86</v>
      </c>
      <c r="Q64" s="860">
        <v>206.40700000000001</v>
      </c>
      <c r="R64" s="896">
        <f t="shared" si="9"/>
        <v>206</v>
      </c>
      <c r="S64" s="860">
        <v>0.54500000000000004</v>
      </c>
      <c r="T64" s="195" t="s">
        <v>303</v>
      </c>
      <c r="U64" s="860">
        <v>197.83699999999999</v>
      </c>
      <c r="V64" s="726">
        <f t="shared" si="5"/>
        <v>198</v>
      </c>
      <c r="W64" s="860">
        <v>194.21799999999999</v>
      </c>
      <c r="X64" s="726">
        <f t="shared" si="6"/>
        <v>194</v>
      </c>
      <c r="Y64" s="860">
        <v>0.47399999999999998</v>
      </c>
      <c r="Z64" s="195">
        <v>0</v>
      </c>
      <c r="AA64" s="697">
        <v>2.1440000000000001</v>
      </c>
      <c r="AB64" s="697">
        <v>0.10718</v>
      </c>
      <c r="AC64" s="697">
        <v>24.102</v>
      </c>
      <c r="AD64" s="698">
        <v>1.8540000000000001E-2</v>
      </c>
      <c r="AE64" s="697">
        <v>0.16800000000000001</v>
      </c>
      <c r="AF64" s="697">
        <v>9.3500000000000007E-3</v>
      </c>
      <c r="AG64" s="697">
        <v>121.41500000000001</v>
      </c>
      <c r="AH64" s="697">
        <v>2.5829999999999999E-2</v>
      </c>
    </row>
    <row r="65" spans="1:38">
      <c r="A65" s="212" t="s">
        <v>334</v>
      </c>
      <c r="B65" s="625" t="s">
        <v>122</v>
      </c>
      <c r="C65" s="860">
        <v>344.74799999999999</v>
      </c>
      <c r="D65" s="554">
        <f t="shared" si="7"/>
        <v>340</v>
      </c>
      <c r="E65" s="860">
        <v>0.20399999999999999</v>
      </c>
      <c r="F65" s="744">
        <v>0</v>
      </c>
      <c r="G65" s="860">
        <v>2.3E-2</v>
      </c>
      <c r="H65" s="554">
        <v>0</v>
      </c>
      <c r="I65" s="860">
        <v>2.3E-2</v>
      </c>
      <c r="J65" s="744">
        <v>0</v>
      </c>
      <c r="K65" s="860">
        <v>0</v>
      </c>
      <c r="L65" s="744">
        <v>0</v>
      </c>
      <c r="M65" s="860">
        <v>0</v>
      </c>
      <c r="N65" s="554">
        <v>0</v>
      </c>
      <c r="O65" s="860">
        <v>69.903999999999996</v>
      </c>
      <c r="P65" s="195">
        <f t="shared" si="8"/>
        <v>70</v>
      </c>
      <c r="Q65" s="860">
        <v>121.009</v>
      </c>
      <c r="R65" s="896">
        <f t="shared" si="9"/>
        <v>121</v>
      </c>
      <c r="S65" s="860">
        <v>8.7999999999999995E-2</v>
      </c>
      <c r="T65" s="896">
        <v>0</v>
      </c>
      <c r="U65" s="860">
        <v>0.23899999999999999</v>
      </c>
      <c r="V65" s="195">
        <v>0</v>
      </c>
      <c r="W65" s="860">
        <v>0</v>
      </c>
      <c r="X65" s="195">
        <v>0</v>
      </c>
      <c r="Y65" s="860">
        <v>0.97499999999999998</v>
      </c>
      <c r="Z65" s="871" t="s">
        <v>303</v>
      </c>
      <c r="AA65" s="555">
        <v>0</v>
      </c>
      <c r="AB65" s="555">
        <v>0</v>
      </c>
      <c r="AC65" s="555">
        <v>36.649000000000001</v>
      </c>
      <c r="AD65" s="764">
        <v>2.819E-2</v>
      </c>
      <c r="AE65" s="555">
        <v>0.154</v>
      </c>
      <c r="AF65" s="555">
        <v>0.85399999999999998</v>
      </c>
      <c r="AG65" s="555">
        <v>49.548999999999999</v>
      </c>
      <c r="AH65" s="555">
        <v>1.0540000000000001E-2</v>
      </c>
      <c r="AI65" s="212"/>
      <c r="AJ65" s="212"/>
      <c r="AK65" s="212"/>
      <c r="AL65" s="212"/>
    </row>
    <row r="66" spans="1:38" ht="31.75" hidden="1">
      <c r="A66" s="223" t="s">
        <v>296</v>
      </c>
      <c r="B66" s="625" t="s">
        <v>45</v>
      </c>
      <c r="C66" s="889">
        <v>698.84900000000005</v>
      </c>
      <c r="D66" s="554">
        <f t="shared" si="7"/>
        <v>700</v>
      </c>
      <c r="E66" s="889">
        <v>0</v>
      </c>
      <c r="F66" s="744">
        <v>0</v>
      </c>
      <c r="G66" s="889">
        <v>0</v>
      </c>
      <c r="H66" s="554">
        <v>0</v>
      </c>
      <c r="I66" s="889">
        <v>0</v>
      </c>
      <c r="J66" s="744">
        <v>0</v>
      </c>
      <c r="K66" s="860">
        <v>0</v>
      </c>
      <c r="L66" s="744">
        <v>0</v>
      </c>
      <c r="M66" s="889">
        <v>0</v>
      </c>
      <c r="N66" s="554">
        <v>0</v>
      </c>
      <c r="O66" s="889">
        <v>84.906999999999996</v>
      </c>
      <c r="P66" s="195">
        <f t="shared" si="8"/>
        <v>85</v>
      </c>
      <c r="Q66" s="889">
        <v>176.13300000000001</v>
      </c>
      <c r="R66" s="896">
        <f t="shared" si="9"/>
        <v>176</v>
      </c>
      <c r="S66" s="889">
        <v>0</v>
      </c>
      <c r="T66" s="896">
        <v>0</v>
      </c>
      <c r="U66" s="889">
        <v>169.023</v>
      </c>
      <c r="V66" s="726">
        <f t="shared" ref="V66:V94" si="10">MROUND(U66,1)</f>
        <v>169</v>
      </c>
      <c r="W66" s="889">
        <v>168.358</v>
      </c>
      <c r="X66" s="726">
        <f t="shared" ref="X66:X94" si="11">MROUND(W66,1)</f>
        <v>168</v>
      </c>
      <c r="Y66" s="889">
        <v>1.7000000000000001E-2</v>
      </c>
      <c r="Z66" s="195">
        <v>0</v>
      </c>
      <c r="AA66" s="697">
        <v>0</v>
      </c>
      <c r="AB66" s="697">
        <v>0</v>
      </c>
      <c r="AC66" s="697">
        <v>21.62</v>
      </c>
      <c r="AD66" s="698">
        <v>1.6629999999999999E-2</v>
      </c>
      <c r="AE66" s="697">
        <v>6.9000000000000006E-2</v>
      </c>
      <c r="AF66" s="697">
        <v>3.8500000000000001E-3</v>
      </c>
      <c r="AG66" s="697">
        <v>25.045999999999999</v>
      </c>
      <c r="AH66" s="697">
        <v>5.3299999999999997E-3</v>
      </c>
    </row>
    <row r="67" spans="1:38" hidden="1">
      <c r="A67" s="212" t="s">
        <v>92</v>
      </c>
      <c r="B67" s="625" t="s">
        <v>103</v>
      </c>
      <c r="C67" s="860">
        <v>1060.547</v>
      </c>
      <c r="D67" s="554">
        <f t="shared" si="7"/>
        <v>1060</v>
      </c>
      <c r="E67" s="860">
        <v>22.297999999999998</v>
      </c>
      <c r="F67" s="895">
        <f>MROUND(E67,5)</f>
        <v>20</v>
      </c>
      <c r="G67" s="860">
        <v>10.71</v>
      </c>
      <c r="H67" s="726">
        <f t="shared" ref="H67:H73" si="12">MROUND(G67,1)</f>
        <v>11</v>
      </c>
      <c r="I67" s="860">
        <v>8.3979999999999997</v>
      </c>
      <c r="J67" s="726">
        <f t="shared" ref="J67:J73" si="13">MROUND(I67,1)</f>
        <v>8</v>
      </c>
      <c r="K67" s="860">
        <v>0</v>
      </c>
      <c r="L67" s="744">
        <v>0</v>
      </c>
      <c r="M67" s="860">
        <v>8.5000000000000006E-2</v>
      </c>
      <c r="N67" s="554">
        <v>0</v>
      </c>
      <c r="O67" s="860">
        <v>203.66300000000001</v>
      </c>
      <c r="P67" s="195">
        <f t="shared" si="8"/>
        <v>204</v>
      </c>
      <c r="Q67" s="860">
        <v>242.70599999999999</v>
      </c>
      <c r="R67" s="896">
        <f t="shared" si="9"/>
        <v>243</v>
      </c>
      <c r="S67" s="860">
        <v>0.29099999999999998</v>
      </c>
      <c r="T67" s="896">
        <v>0</v>
      </c>
      <c r="U67" s="860">
        <v>228.93600000000001</v>
      </c>
      <c r="V67" s="726">
        <f t="shared" si="10"/>
        <v>229</v>
      </c>
      <c r="W67" s="860">
        <v>228.375</v>
      </c>
      <c r="X67" s="726">
        <f t="shared" si="11"/>
        <v>228</v>
      </c>
      <c r="Y67" s="860">
        <v>1.286</v>
      </c>
      <c r="Z67" s="188">
        <f t="shared" ref="Z67:Z73" si="14">MROUND(Y67,1)</f>
        <v>1</v>
      </c>
      <c r="AA67" s="555">
        <v>0</v>
      </c>
      <c r="AB67" s="555">
        <v>0</v>
      </c>
      <c r="AC67" s="555">
        <v>25.614999999999998</v>
      </c>
      <c r="AD67" s="626">
        <v>1.9699999999999999E-2</v>
      </c>
      <c r="AE67" s="555">
        <v>0.74199999999999999</v>
      </c>
      <c r="AF67" s="555">
        <v>4.1250000000000002E-2</v>
      </c>
      <c r="AG67" s="555">
        <v>39.716999999999999</v>
      </c>
      <c r="AH67" s="555">
        <v>0.84499999999999997</v>
      </c>
    </row>
    <row r="68" spans="1:38" hidden="1">
      <c r="A68" s="212" t="s">
        <v>92</v>
      </c>
      <c r="B68" s="625" t="s">
        <v>321</v>
      </c>
      <c r="C68" s="860">
        <v>739.62199999999996</v>
      </c>
      <c r="D68" s="554">
        <f t="shared" ref="D68:D99" si="15">MROUND(C68,10)</f>
        <v>740</v>
      </c>
      <c r="E68" s="860">
        <v>1.776</v>
      </c>
      <c r="F68" s="744">
        <v>0</v>
      </c>
      <c r="G68" s="860">
        <v>8.3460000000000001</v>
      </c>
      <c r="H68" s="726">
        <f t="shared" si="12"/>
        <v>8</v>
      </c>
      <c r="I68" s="860">
        <v>7.5739999999999998</v>
      </c>
      <c r="J68" s="726">
        <f t="shared" si="13"/>
        <v>8</v>
      </c>
      <c r="K68" s="860">
        <v>1.4E-2</v>
      </c>
      <c r="L68" s="744">
        <v>0</v>
      </c>
      <c r="M68" s="860">
        <v>0</v>
      </c>
      <c r="N68" s="554">
        <v>0</v>
      </c>
      <c r="O68" s="860">
        <v>169.06100000000001</v>
      </c>
      <c r="P68" s="195">
        <f t="shared" ref="P68:P99" si="16">MROUND(O68,1)</f>
        <v>169</v>
      </c>
      <c r="Q68" s="860">
        <v>166.37299999999999</v>
      </c>
      <c r="R68" s="896">
        <f t="shared" ref="R68:R99" si="17">MROUND(Q68,1)</f>
        <v>166</v>
      </c>
      <c r="S68" s="860">
        <v>1.839</v>
      </c>
      <c r="T68" s="871">
        <f>MROUND(S68,1)</f>
        <v>2</v>
      </c>
      <c r="U68" s="860">
        <v>154.143</v>
      </c>
      <c r="V68" s="726">
        <f t="shared" si="10"/>
        <v>154</v>
      </c>
      <c r="W68" s="860">
        <v>151.54599999999999</v>
      </c>
      <c r="X68" s="726">
        <f t="shared" si="11"/>
        <v>152</v>
      </c>
      <c r="Y68" s="860">
        <v>1.29</v>
      </c>
      <c r="Z68" s="188">
        <f t="shared" si="14"/>
        <v>1</v>
      </c>
      <c r="AA68" s="697">
        <v>0</v>
      </c>
      <c r="AB68" s="697">
        <v>0</v>
      </c>
      <c r="AC68" s="697">
        <v>29.882999999999999</v>
      </c>
      <c r="AD68" s="698">
        <v>2.2989999999999999</v>
      </c>
      <c r="AE68" s="697">
        <v>0.442</v>
      </c>
      <c r="AF68" s="697">
        <v>2.4529999999999998</v>
      </c>
      <c r="AG68" s="697">
        <v>85.947999999999993</v>
      </c>
      <c r="AH68" s="697">
        <v>1.829</v>
      </c>
    </row>
    <row r="69" spans="1:38" hidden="1">
      <c r="A69" s="212" t="s">
        <v>92</v>
      </c>
      <c r="B69" s="625" t="s">
        <v>117</v>
      </c>
      <c r="C69" s="860">
        <v>661.19799999999998</v>
      </c>
      <c r="D69" s="554">
        <f t="shared" si="15"/>
        <v>660</v>
      </c>
      <c r="E69" s="860">
        <v>1.2809999999999999</v>
      </c>
      <c r="F69" s="744">
        <v>0</v>
      </c>
      <c r="G69" s="860">
        <v>9.4450000000000003</v>
      </c>
      <c r="H69" s="726">
        <f t="shared" si="12"/>
        <v>9</v>
      </c>
      <c r="I69" s="860">
        <v>8.7319999999999993</v>
      </c>
      <c r="J69" s="726">
        <f t="shared" si="13"/>
        <v>9</v>
      </c>
      <c r="K69" s="860">
        <v>0</v>
      </c>
      <c r="L69" s="744">
        <v>0</v>
      </c>
      <c r="M69" s="860">
        <v>0</v>
      </c>
      <c r="N69" s="554">
        <v>0</v>
      </c>
      <c r="O69" s="860">
        <v>205.12899999999999</v>
      </c>
      <c r="P69" s="195">
        <f t="shared" si="16"/>
        <v>205</v>
      </c>
      <c r="Q69" s="860">
        <v>142.72</v>
      </c>
      <c r="R69" s="896">
        <f t="shared" si="17"/>
        <v>143</v>
      </c>
      <c r="S69" s="860">
        <v>0.81200000000000006</v>
      </c>
      <c r="T69" s="195" t="s">
        <v>303</v>
      </c>
      <c r="U69" s="860">
        <v>129.37</v>
      </c>
      <c r="V69" s="726">
        <f t="shared" si="10"/>
        <v>129</v>
      </c>
      <c r="W69" s="860">
        <v>124.035</v>
      </c>
      <c r="X69" s="726">
        <f t="shared" si="11"/>
        <v>124</v>
      </c>
      <c r="Y69" s="860">
        <v>1.2929999999999999</v>
      </c>
      <c r="Z69" s="188">
        <f t="shared" si="14"/>
        <v>1</v>
      </c>
      <c r="AA69" s="536">
        <v>0</v>
      </c>
      <c r="AB69" s="536">
        <v>0</v>
      </c>
      <c r="AC69" s="536">
        <v>25.742000000000001</v>
      </c>
      <c r="AD69" s="763">
        <v>1.9800000000000002E-2</v>
      </c>
      <c r="AE69" s="536">
        <v>0.40200000000000002</v>
      </c>
      <c r="AF69" s="536">
        <v>2.232E-2</v>
      </c>
      <c r="AG69" s="536">
        <v>129.40100000000001</v>
      </c>
      <c r="AH69" s="536">
        <v>2.7529999999999999E-2</v>
      </c>
    </row>
    <row r="70" spans="1:38" hidden="1">
      <c r="A70" s="212" t="s">
        <v>92</v>
      </c>
      <c r="B70" s="625" t="s">
        <v>109</v>
      </c>
      <c r="C70" s="860">
        <v>878.15200000000004</v>
      </c>
      <c r="D70" s="554">
        <f t="shared" si="15"/>
        <v>880</v>
      </c>
      <c r="E70" s="860">
        <v>22.870999999999999</v>
      </c>
      <c r="F70" s="895">
        <f>MROUND(E70,5)</f>
        <v>25</v>
      </c>
      <c r="G70" s="860">
        <v>10.984999999999999</v>
      </c>
      <c r="H70" s="726">
        <f t="shared" si="12"/>
        <v>11</v>
      </c>
      <c r="I70" s="860">
        <v>8.6140000000000008</v>
      </c>
      <c r="J70" s="726">
        <f t="shared" si="13"/>
        <v>9</v>
      </c>
      <c r="K70" s="860">
        <v>0</v>
      </c>
      <c r="L70" s="744">
        <v>0</v>
      </c>
      <c r="M70" s="860">
        <v>8.6999999999999994E-2</v>
      </c>
      <c r="N70" s="554">
        <v>0</v>
      </c>
      <c r="O70" s="860">
        <v>211.68100000000001</v>
      </c>
      <c r="P70" s="195">
        <f t="shared" si="16"/>
        <v>212</v>
      </c>
      <c r="Q70" s="860">
        <v>197.15899999999999</v>
      </c>
      <c r="R70" s="896">
        <f t="shared" si="17"/>
        <v>197</v>
      </c>
      <c r="S70" s="860">
        <v>0.26300000000000001</v>
      </c>
      <c r="T70" s="896">
        <v>0</v>
      </c>
      <c r="U70" s="860">
        <v>184.161</v>
      </c>
      <c r="V70" s="726">
        <f t="shared" si="10"/>
        <v>184</v>
      </c>
      <c r="W70" s="860">
        <v>183.655</v>
      </c>
      <c r="X70" s="726">
        <f t="shared" si="11"/>
        <v>184</v>
      </c>
      <c r="Y70" s="860">
        <v>1.31</v>
      </c>
      <c r="Z70" s="188">
        <f t="shared" si="14"/>
        <v>1</v>
      </c>
      <c r="AA70" s="555">
        <v>0</v>
      </c>
      <c r="AB70" s="555">
        <v>0</v>
      </c>
      <c r="AC70" s="555">
        <v>27.794</v>
      </c>
      <c r="AD70" s="626">
        <v>2.138E-2</v>
      </c>
      <c r="AE70" s="555">
        <v>0.76200000000000001</v>
      </c>
      <c r="AF70" s="555">
        <v>4.231E-2</v>
      </c>
      <c r="AG70" s="555">
        <v>40.085999999999999</v>
      </c>
      <c r="AH70" s="555">
        <v>0.85299999999999998</v>
      </c>
      <c r="AI70" s="248"/>
      <c r="AJ70" s="248"/>
      <c r="AK70" s="248"/>
      <c r="AL70" s="248"/>
    </row>
    <row r="71" spans="1:38" ht="18" hidden="1" customHeight="1">
      <c r="A71" s="212" t="s">
        <v>92</v>
      </c>
      <c r="B71" s="625" t="s">
        <v>112</v>
      </c>
      <c r="C71" s="860">
        <v>730.49599999999998</v>
      </c>
      <c r="D71" s="554">
        <f t="shared" si="15"/>
        <v>730</v>
      </c>
      <c r="E71" s="860">
        <v>0.14899999999999999</v>
      </c>
      <c r="F71" s="744">
        <v>0</v>
      </c>
      <c r="G71" s="860">
        <v>8.4260000000000002</v>
      </c>
      <c r="H71" s="726">
        <f t="shared" si="12"/>
        <v>8</v>
      </c>
      <c r="I71" s="860">
        <v>7.8140000000000001</v>
      </c>
      <c r="J71" s="726">
        <f t="shared" si="13"/>
        <v>8</v>
      </c>
      <c r="K71" s="860">
        <v>0</v>
      </c>
      <c r="L71" s="744">
        <v>0</v>
      </c>
      <c r="M71" s="860">
        <v>0</v>
      </c>
      <c r="N71" s="554">
        <v>0</v>
      </c>
      <c r="O71" s="860">
        <v>173.67400000000001</v>
      </c>
      <c r="P71" s="195">
        <f t="shared" si="16"/>
        <v>174</v>
      </c>
      <c r="Q71" s="860">
        <v>164.30600000000001</v>
      </c>
      <c r="R71" s="896">
        <f t="shared" si="17"/>
        <v>164</v>
      </c>
      <c r="S71" s="860">
        <v>2.4910000000000001</v>
      </c>
      <c r="T71" s="871">
        <f>MROUND(S71,1)</f>
        <v>2</v>
      </c>
      <c r="U71" s="860">
        <v>151.23400000000001</v>
      </c>
      <c r="V71" s="726">
        <f t="shared" si="10"/>
        <v>151</v>
      </c>
      <c r="W71" s="860">
        <v>148.583</v>
      </c>
      <c r="X71" s="726">
        <f t="shared" si="11"/>
        <v>149</v>
      </c>
      <c r="Y71" s="860">
        <v>1.528</v>
      </c>
      <c r="Z71" s="188">
        <f t="shared" si="14"/>
        <v>2</v>
      </c>
      <c r="AA71" s="561">
        <v>0</v>
      </c>
      <c r="AB71" s="561">
        <v>0</v>
      </c>
      <c r="AC71" s="561">
        <v>43.475000000000001</v>
      </c>
      <c r="AD71" s="628">
        <v>3.3439999999999998E-2</v>
      </c>
      <c r="AE71" s="561">
        <v>0.98499999999999999</v>
      </c>
      <c r="AF71" s="561">
        <v>5.475E-2</v>
      </c>
      <c r="AG71" s="561">
        <v>170.786</v>
      </c>
      <c r="AH71" s="561">
        <v>3.3640000000000003E-2</v>
      </c>
    </row>
    <row r="72" spans="1:38" hidden="1">
      <c r="A72" s="212" t="s">
        <v>92</v>
      </c>
      <c r="B72" s="625" t="s">
        <v>116</v>
      </c>
      <c r="C72" s="860">
        <v>1025.1980000000001</v>
      </c>
      <c r="D72" s="554">
        <f t="shared" si="15"/>
        <v>1030</v>
      </c>
      <c r="E72" s="860">
        <v>0</v>
      </c>
      <c r="F72" s="744">
        <v>0</v>
      </c>
      <c r="G72" s="860">
        <v>12.428000000000001</v>
      </c>
      <c r="H72" s="726">
        <f t="shared" si="12"/>
        <v>12</v>
      </c>
      <c r="I72" s="860">
        <v>10.138999999999999</v>
      </c>
      <c r="J72" s="726">
        <f t="shared" si="13"/>
        <v>10</v>
      </c>
      <c r="K72" s="860">
        <v>0</v>
      </c>
      <c r="L72" s="744">
        <v>0</v>
      </c>
      <c r="M72" s="860">
        <v>0</v>
      </c>
      <c r="N72" s="554">
        <v>0</v>
      </c>
      <c r="O72" s="860">
        <v>193.91499999999999</v>
      </c>
      <c r="P72" s="195">
        <f t="shared" si="16"/>
        <v>194</v>
      </c>
      <c r="Q72" s="860">
        <v>231.90700000000001</v>
      </c>
      <c r="R72" s="896">
        <f t="shared" si="17"/>
        <v>232</v>
      </c>
      <c r="S72" s="860">
        <v>1.4139999999999999</v>
      </c>
      <c r="T72" s="871">
        <f>MROUND(S72,1)</f>
        <v>1</v>
      </c>
      <c r="U72" s="860">
        <v>221.00899999999999</v>
      </c>
      <c r="V72" s="726">
        <f t="shared" si="10"/>
        <v>221</v>
      </c>
      <c r="W72" s="860">
        <v>220.559</v>
      </c>
      <c r="X72" s="726">
        <f t="shared" si="11"/>
        <v>221</v>
      </c>
      <c r="Y72" s="860">
        <v>1.554</v>
      </c>
      <c r="Z72" s="188">
        <f t="shared" si="14"/>
        <v>2</v>
      </c>
      <c r="AA72" s="555">
        <v>0</v>
      </c>
      <c r="AB72" s="555">
        <v>0</v>
      </c>
      <c r="AC72" s="555">
        <v>31.88</v>
      </c>
      <c r="AD72" s="626">
        <v>2.452E-2</v>
      </c>
      <c r="AE72" s="555">
        <v>2.36</v>
      </c>
      <c r="AF72" s="555">
        <v>0.13109000000000001</v>
      </c>
      <c r="AG72" s="555">
        <v>130.63999999999999</v>
      </c>
      <c r="AH72" s="555">
        <v>2.7799999999999998E-2</v>
      </c>
    </row>
    <row r="73" spans="1:38" hidden="1">
      <c r="A73" s="212" t="s">
        <v>92</v>
      </c>
      <c r="B73" s="625" t="s">
        <v>93</v>
      </c>
      <c r="C73" s="860">
        <v>879.66600000000005</v>
      </c>
      <c r="D73" s="554">
        <f t="shared" si="15"/>
        <v>880</v>
      </c>
      <c r="E73" s="860">
        <v>42.561999999999998</v>
      </c>
      <c r="F73" s="895">
        <f>MROUND(E73,5)</f>
        <v>45</v>
      </c>
      <c r="G73" s="860">
        <v>13.032</v>
      </c>
      <c r="H73" s="726">
        <f t="shared" si="12"/>
        <v>13</v>
      </c>
      <c r="I73" s="860">
        <v>10.199999999999999</v>
      </c>
      <c r="J73" s="726">
        <f t="shared" si="13"/>
        <v>10</v>
      </c>
      <c r="K73" s="860">
        <v>0</v>
      </c>
      <c r="L73" s="744">
        <v>0</v>
      </c>
      <c r="M73" s="860">
        <v>0</v>
      </c>
      <c r="N73" s="554">
        <v>0</v>
      </c>
      <c r="O73" s="860">
        <v>187.011</v>
      </c>
      <c r="P73" s="195">
        <f t="shared" si="16"/>
        <v>187</v>
      </c>
      <c r="Q73" s="860">
        <v>206.81200000000001</v>
      </c>
      <c r="R73" s="896">
        <f t="shared" si="17"/>
        <v>207</v>
      </c>
      <c r="S73" s="860">
        <v>1.7629999999999999</v>
      </c>
      <c r="T73" s="871">
        <f>MROUND(S73,1)</f>
        <v>2</v>
      </c>
      <c r="U73" s="860">
        <v>194.387</v>
      </c>
      <c r="V73" s="726">
        <f t="shared" si="10"/>
        <v>194</v>
      </c>
      <c r="W73" s="860">
        <v>176.339</v>
      </c>
      <c r="X73" s="726">
        <f t="shared" si="11"/>
        <v>176</v>
      </c>
      <c r="Y73" s="860">
        <v>1.617</v>
      </c>
      <c r="Z73" s="188">
        <f t="shared" si="14"/>
        <v>2</v>
      </c>
      <c r="AA73" s="555">
        <v>0</v>
      </c>
      <c r="AB73" s="555">
        <v>0.157</v>
      </c>
      <c r="AC73" s="536">
        <v>39.173000000000002</v>
      </c>
      <c r="AD73" s="763">
        <v>3.0130000000000001E-2</v>
      </c>
      <c r="AE73" s="536">
        <v>1.405</v>
      </c>
      <c r="AF73" s="536">
        <v>7.8070000000000001E-2</v>
      </c>
      <c r="AG73" s="536">
        <v>186.411</v>
      </c>
      <c r="AH73" s="536">
        <v>3.9660000000000001E-2</v>
      </c>
      <c r="AI73" s="212"/>
      <c r="AJ73" s="212"/>
      <c r="AK73" s="212"/>
      <c r="AL73" s="212"/>
    </row>
    <row r="74" spans="1:38" ht="31.75" hidden="1">
      <c r="A74" s="223" t="s">
        <v>296</v>
      </c>
      <c r="B74" s="625" t="s">
        <v>39</v>
      </c>
      <c r="C74" s="860">
        <v>711.779</v>
      </c>
      <c r="D74" s="554">
        <f t="shared" si="15"/>
        <v>710</v>
      </c>
      <c r="E74" s="860">
        <v>0</v>
      </c>
      <c r="F74" s="744">
        <v>0</v>
      </c>
      <c r="G74" s="860">
        <v>0</v>
      </c>
      <c r="H74" s="554">
        <v>0</v>
      </c>
      <c r="I74" s="860">
        <v>0</v>
      </c>
      <c r="J74" s="744">
        <v>0</v>
      </c>
      <c r="K74" s="860">
        <v>0</v>
      </c>
      <c r="L74" s="744">
        <v>0</v>
      </c>
      <c r="M74" s="860">
        <v>0</v>
      </c>
      <c r="N74" s="554">
        <v>0</v>
      </c>
      <c r="O74" s="860">
        <v>83.558999999999997</v>
      </c>
      <c r="P74" s="195">
        <f t="shared" si="16"/>
        <v>84</v>
      </c>
      <c r="Q74" s="860">
        <v>179.291</v>
      </c>
      <c r="R74" s="896">
        <f t="shared" si="17"/>
        <v>179</v>
      </c>
      <c r="S74" s="860">
        <v>0.7</v>
      </c>
      <c r="T74" s="195" t="s">
        <v>303</v>
      </c>
      <c r="U74" s="860">
        <v>173.727</v>
      </c>
      <c r="V74" s="726">
        <f t="shared" si="10"/>
        <v>174</v>
      </c>
      <c r="W74" s="860">
        <v>169.82499999999999</v>
      </c>
      <c r="X74" s="726">
        <f t="shared" si="11"/>
        <v>170</v>
      </c>
      <c r="Y74" s="860">
        <v>0.434</v>
      </c>
      <c r="Z74" s="195">
        <v>0</v>
      </c>
      <c r="AA74" s="697">
        <v>0</v>
      </c>
      <c r="AB74" s="697">
        <v>0</v>
      </c>
      <c r="AC74" s="697">
        <v>24.204000000000001</v>
      </c>
      <c r="AD74" s="698">
        <v>1.8620000000000001E-2</v>
      </c>
      <c r="AE74" s="697">
        <v>0.152</v>
      </c>
      <c r="AF74" s="697">
        <v>8.4499999999999992E-3</v>
      </c>
      <c r="AG74" s="697">
        <v>2.9209999999999998</v>
      </c>
      <c r="AH74" s="697">
        <v>6.2E-4</v>
      </c>
    </row>
    <row r="75" spans="1:38" hidden="1">
      <c r="A75" s="212" t="s">
        <v>92</v>
      </c>
      <c r="B75" s="625" t="s">
        <v>111</v>
      </c>
      <c r="C75" s="860">
        <v>834.96600000000001</v>
      </c>
      <c r="D75" s="554">
        <f t="shared" si="15"/>
        <v>830</v>
      </c>
      <c r="E75" s="860">
        <v>29.443000000000001</v>
      </c>
      <c r="F75" s="895">
        <f>MROUND(E75,5)</f>
        <v>30</v>
      </c>
      <c r="G75" s="860">
        <v>11.651</v>
      </c>
      <c r="H75" s="726">
        <f>MROUND(G75,1)</f>
        <v>12</v>
      </c>
      <c r="I75" s="860">
        <v>9.8829999999999991</v>
      </c>
      <c r="J75" s="726">
        <f>MROUND(I75,1)</f>
        <v>10</v>
      </c>
      <c r="K75" s="860">
        <v>0</v>
      </c>
      <c r="L75" s="744">
        <v>0</v>
      </c>
      <c r="M75" s="860">
        <v>8.1059999999999999</v>
      </c>
      <c r="N75" s="536">
        <f>MROUND(M75,5)</f>
        <v>10</v>
      </c>
      <c r="O75" s="860">
        <v>194.77600000000001</v>
      </c>
      <c r="P75" s="195">
        <f t="shared" si="16"/>
        <v>195</v>
      </c>
      <c r="Q75" s="860">
        <v>182.536</v>
      </c>
      <c r="R75" s="896">
        <f t="shared" si="17"/>
        <v>183</v>
      </c>
      <c r="S75" s="860">
        <v>1.2749999999999999</v>
      </c>
      <c r="T75" s="871">
        <f>MROUND(S75,1)</f>
        <v>1</v>
      </c>
      <c r="U75" s="860">
        <v>166.78399999999999</v>
      </c>
      <c r="V75" s="726">
        <f t="shared" si="10"/>
        <v>167</v>
      </c>
      <c r="W75" s="860">
        <v>164.58699999999999</v>
      </c>
      <c r="X75" s="726">
        <f t="shared" si="11"/>
        <v>165</v>
      </c>
      <c r="Y75" s="860">
        <v>1.6919999999999999</v>
      </c>
      <c r="Z75" s="188">
        <f>MROUND(Y75,1)</f>
        <v>2</v>
      </c>
      <c r="AA75" s="555">
        <v>0</v>
      </c>
      <c r="AB75" s="555">
        <v>0</v>
      </c>
      <c r="AC75" s="555">
        <v>49.448999999999998</v>
      </c>
      <c r="AD75" s="626">
        <v>3.8039999999999997E-2</v>
      </c>
      <c r="AE75" s="555">
        <v>0.628</v>
      </c>
      <c r="AF75" s="555">
        <v>3.4880000000000001E-2</v>
      </c>
      <c r="AG75" s="555">
        <v>109.04300000000001</v>
      </c>
      <c r="AH75" s="555">
        <v>2.3199999999999998E-2</v>
      </c>
    </row>
    <row r="76" spans="1:38" hidden="1">
      <c r="A76" s="212" t="s">
        <v>92</v>
      </c>
      <c r="B76" s="625" t="s">
        <v>94</v>
      </c>
      <c r="C76" s="860">
        <v>932.64599999999996</v>
      </c>
      <c r="D76" s="554">
        <f t="shared" si="15"/>
        <v>930</v>
      </c>
      <c r="E76" s="860">
        <v>28.035</v>
      </c>
      <c r="F76" s="895">
        <f>MROUND(E76,5)</f>
        <v>30</v>
      </c>
      <c r="G76" s="860">
        <v>11.504</v>
      </c>
      <c r="H76" s="726">
        <f>MROUND(G76,1)</f>
        <v>12</v>
      </c>
      <c r="I76" s="860">
        <v>9.327</v>
      </c>
      <c r="J76" s="726">
        <f>MROUND(I76,1)</f>
        <v>9</v>
      </c>
      <c r="K76" s="860">
        <v>0</v>
      </c>
      <c r="L76" s="744">
        <v>0</v>
      </c>
      <c r="M76" s="860">
        <v>0</v>
      </c>
      <c r="N76" s="554">
        <v>0</v>
      </c>
      <c r="O76" s="860">
        <v>483.786</v>
      </c>
      <c r="P76" s="195">
        <f t="shared" si="16"/>
        <v>484</v>
      </c>
      <c r="Q76" s="860">
        <v>207.386</v>
      </c>
      <c r="R76" s="896">
        <f t="shared" si="17"/>
        <v>207</v>
      </c>
      <c r="S76" s="860">
        <v>0.33100000000000002</v>
      </c>
      <c r="T76" s="896">
        <v>0</v>
      </c>
      <c r="U76" s="860">
        <v>185.857</v>
      </c>
      <c r="V76" s="726">
        <f t="shared" si="10"/>
        <v>186</v>
      </c>
      <c r="W76" s="860">
        <v>160.72300000000001</v>
      </c>
      <c r="X76" s="726">
        <f t="shared" si="11"/>
        <v>161</v>
      </c>
      <c r="Y76" s="860">
        <v>1.7609999999999999</v>
      </c>
      <c r="Z76" s="188">
        <f>MROUND(Y76,1)</f>
        <v>2</v>
      </c>
      <c r="AA76" s="555">
        <v>0</v>
      </c>
      <c r="AB76" s="555">
        <v>0</v>
      </c>
      <c r="AC76" s="555">
        <v>102.994</v>
      </c>
      <c r="AD76" s="764">
        <v>7.9229999999999995E-2</v>
      </c>
      <c r="AE76" s="555">
        <v>0.76900000000000002</v>
      </c>
      <c r="AF76" s="555">
        <v>4.274E-2</v>
      </c>
      <c r="AG76" s="555">
        <v>19.652000000000001</v>
      </c>
      <c r="AH76" s="555">
        <v>0.41799999999999998</v>
      </c>
      <c r="AI76" s="212"/>
      <c r="AJ76" s="212"/>
      <c r="AK76" s="212"/>
      <c r="AL76" s="212"/>
    </row>
    <row r="77" spans="1:38" s="248" customFormat="1" hidden="1">
      <c r="A77" s="212" t="s">
        <v>92</v>
      </c>
      <c r="B77" s="625" t="s">
        <v>98</v>
      </c>
      <c r="C77" s="860">
        <v>963.34299999999996</v>
      </c>
      <c r="D77" s="554">
        <f t="shared" si="15"/>
        <v>960</v>
      </c>
      <c r="E77" s="860">
        <v>58.445</v>
      </c>
      <c r="F77" s="895">
        <f>MROUND(E77,10)</f>
        <v>60</v>
      </c>
      <c r="G77" s="860">
        <v>14.832000000000001</v>
      </c>
      <c r="H77" s="726">
        <f>MROUND(G77,1)</f>
        <v>15</v>
      </c>
      <c r="I77" s="860">
        <v>11.919</v>
      </c>
      <c r="J77" s="726">
        <f>MROUND(I77,1)</f>
        <v>12</v>
      </c>
      <c r="K77" s="860">
        <v>0</v>
      </c>
      <c r="L77" s="744">
        <v>0</v>
      </c>
      <c r="M77" s="860">
        <v>16.132000000000001</v>
      </c>
      <c r="N77" s="536">
        <f>MROUND(M77,5)</f>
        <v>15</v>
      </c>
      <c r="O77" s="860">
        <v>215.25800000000001</v>
      </c>
      <c r="P77" s="195">
        <f t="shared" si="16"/>
        <v>215</v>
      </c>
      <c r="Q77" s="860">
        <v>207.066</v>
      </c>
      <c r="R77" s="896">
        <f t="shared" si="17"/>
        <v>207</v>
      </c>
      <c r="S77" s="860">
        <v>6.8000000000000005E-2</v>
      </c>
      <c r="T77" s="896">
        <v>0</v>
      </c>
      <c r="U77" s="860">
        <v>188.66900000000001</v>
      </c>
      <c r="V77" s="726">
        <f t="shared" si="10"/>
        <v>189</v>
      </c>
      <c r="W77" s="860">
        <v>187.46199999999999</v>
      </c>
      <c r="X77" s="726">
        <f t="shared" si="11"/>
        <v>187</v>
      </c>
      <c r="Y77" s="860">
        <v>1.8520000000000001</v>
      </c>
      <c r="Z77" s="188">
        <f>MROUND(Y77,1)</f>
        <v>2</v>
      </c>
      <c r="AA77" s="555">
        <v>0</v>
      </c>
      <c r="AB77" s="555">
        <v>0</v>
      </c>
      <c r="AC77" s="555">
        <v>55.204999999999998</v>
      </c>
      <c r="AD77" s="626">
        <v>4.2470000000000001E-2</v>
      </c>
      <c r="AE77" s="555">
        <v>0.27600000000000002</v>
      </c>
      <c r="AF77" s="555">
        <v>1.5310000000000001E-2</v>
      </c>
      <c r="AG77" s="555">
        <v>47.787999999999997</v>
      </c>
      <c r="AH77" s="555">
        <v>1.017E-2</v>
      </c>
      <c r="AI77" s="179"/>
      <c r="AJ77" s="179"/>
      <c r="AK77" s="179"/>
      <c r="AL77" s="179"/>
    </row>
    <row r="78" spans="1:38" s="212" customFormat="1" ht="15" hidden="1" customHeight="1">
      <c r="A78" s="212" t="s">
        <v>92</v>
      </c>
      <c r="B78" s="625" t="s">
        <v>95</v>
      </c>
      <c r="C78" s="860">
        <v>999.81299999999999</v>
      </c>
      <c r="D78" s="554">
        <f t="shared" si="15"/>
        <v>1000</v>
      </c>
      <c r="E78" s="860">
        <v>58.1</v>
      </c>
      <c r="F78" s="895">
        <f>MROUND(E78,10)</f>
        <v>60</v>
      </c>
      <c r="G78" s="860">
        <v>14.744999999999999</v>
      </c>
      <c r="H78" s="726">
        <f>MROUND(G78,1)</f>
        <v>15</v>
      </c>
      <c r="I78" s="860">
        <v>11.848000000000001</v>
      </c>
      <c r="J78" s="726">
        <f>MROUND(I78,1)</f>
        <v>12</v>
      </c>
      <c r="K78" s="860">
        <v>0</v>
      </c>
      <c r="L78" s="744">
        <v>0</v>
      </c>
      <c r="M78" s="860">
        <v>16.036999999999999</v>
      </c>
      <c r="N78" s="536">
        <f>MROUND(M78,5)</f>
        <v>15</v>
      </c>
      <c r="O78" s="860">
        <v>212.851</v>
      </c>
      <c r="P78" s="195">
        <f t="shared" si="16"/>
        <v>213</v>
      </c>
      <c r="Q78" s="860">
        <v>214.27500000000001</v>
      </c>
      <c r="R78" s="896">
        <f t="shared" si="17"/>
        <v>214</v>
      </c>
      <c r="S78" s="860">
        <v>6.8000000000000005E-2</v>
      </c>
      <c r="T78" s="896">
        <v>0</v>
      </c>
      <c r="U78" s="860">
        <v>195.98599999999999</v>
      </c>
      <c r="V78" s="726">
        <f t="shared" si="10"/>
        <v>196</v>
      </c>
      <c r="W78" s="860">
        <v>194.78700000000001</v>
      </c>
      <c r="X78" s="726">
        <f t="shared" si="11"/>
        <v>195</v>
      </c>
      <c r="Y78" s="860">
        <v>1.891</v>
      </c>
      <c r="Z78" s="188">
        <f>MROUND(Y78,1)</f>
        <v>2</v>
      </c>
      <c r="AA78" s="555">
        <v>0</v>
      </c>
      <c r="AB78" s="555">
        <v>0</v>
      </c>
      <c r="AC78" s="555">
        <v>62.459000000000003</v>
      </c>
      <c r="AD78" s="764">
        <v>4.8050000000000002E-2</v>
      </c>
      <c r="AE78" s="555">
        <v>0.27400000000000002</v>
      </c>
      <c r="AF78" s="555">
        <v>1.5219999999999999E-2</v>
      </c>
      <c r="AG78" s="555">
        <v>55.938000000000002</v>
      </c>
      <c r="AH78" s="555">
        <v>1.1900000000000001E-2</v>
      </c>
      <c r="AI78" s="179"/>
      <c r="AJ78" s="179"/>
      <c r="AK78" s="179"/>
      <c r="AL78" s="179"/>
    </row>
    <row r="79" spans="1:38" hidden="1">
      <c r="A79" s="212" t="s">
        <v>92</v>
      </c>
      <c r="B79" s="625" t="s">
        <v>118</v>
      </c>
      <c r="C79" s="861">
        <v>1003.1180000000001</v>
      </c>
      <c r="D79" s="554">
        <f t="shared" si="15"/>
        <v>1000</v>
      </c>
      <c r="E79" s="861">
        <v>58.183</v>
      </c>
      <c r="F79" s="895">
        <f>MROUND(E79,10)</f>
        <v>60</v>
      </c>
      <c r="G79" s="861">
        <v>14.738</v>
      </c>
      <c r="H79" s="726">
        <f>MROUND(G79,1)</f>
        <v>15</v>
      </c>
      <c r="I79" s="861">
        <v>11.827999999999999</v>
      </c>
      <c r="J79" s="726">
        <f>MROUND(I79,1)</f>
        <v>12</v>
      </c>
      <c r="K79" s="861">
        <v>0.13600000000000001</v>
      </c>
      <c r="L79" s="744">
        <v>0</v>
      </c>
      <c r="M79" s="861">
        <v>16.006</v>
      </c>
      <c r="N79" s="536">
        <f>MROUND(M79,5)</f>
        <v>15</v>
      </c>
      <c r="O79" s="861">
        <v>219.02799999999999</v>
      </c>
      <c r="P79" s="195">
        <f t="shared" si="16"/>
        <v>219</v>
      </c>
      <c r="Q79" s="861">
        <v>218.37700000000001</v>
      </c>
      <c r="R79" s="896">
        <f t="shared" si="17"/>
        <v>218</v>
      </c>
      <c r="S79" s="861">
        <v>0.47899999999999998</v>
      </c>
      <c r="T79" s="896">
        <v>0</v>
      </c>
      <c r="U79" s="861">
        <v>198.154</v>
      </c>
      <c r="V79" s="726">
        <f t="shared" si="10"/>
        <v>198</v>
      </c>
      <c r="W79" s="861">
        <v>192.9</v>
      </c>
      <c r="X79" s="726">
        <f t="shared" si="11"/>
        <v>193</v>
      </c>
      <c r="Y79" s="861">
        <v>1.9470000000000001</v>
      </c>
      <c r="Z79" s="188">
        <f>MROUND(Y79,1)</f>
        <v>2</v>
      </c>
      <c r="AA79" s="761">
        <v>0</v>
      </c>
      <c r="AB79" s="761">
        <v>0</v>
      </c>
      <c r="AC79" s="761">
        <v>57.372</v>
      </c>
      <c r="AD79" s="761">
        <v>4.4130000000000003</v>
      </c>
      <c r="AE79" s="761">
        <v>0.42099999999999999</v>
      </c>
      <c r="AF79" s="761">
        <v>2.3380000000000001</v>
      </c>
      <c r="AG79" s="761">
        <v>80.215000000000003</v>
      </c>
      <c r="AH79" s="761">
        <v>1.7070000000000001</v>
      </c>
    </row>
    <row r="80" spans="1:38" ht="31.75" hidden="1">
      <c r="A80" s="223" t="s">
        <v>296</v>
      </c>
      <c r="B80" s="625" t="s">
        <v>302</v>
      </c>
      <c r="C80" s="859">
        <v>730.19399999999996</v>
      </c>
      <c r="D80" s="554">
        <f t="shared" si="15"/>
        <v>730</v>
      </c>
      <c r="E80" s="859">
        <v>0</v>
      </c>
      <c r="F80" s="744">
        <v>0</v>
      </c>
      <c r="G80" s="859">
        <v>0</v>
      </c>
      <c r="H80" s="554">
        <v>0</v>
      </c>
      <c r="I80" s="859">
        <v>0</v>
      </c>
      <c r="J80" s="744">
        <v>0</v>
      </c>
      <c r="K80" s="859">
        <v>0</v>
      </c>
      <c r="L80" s="744">
        <v>0</v>
      </c>
      <c r="M80" s="859">
        <v>0</v>
      </c>
      <c r="N80" s="554">
        <v>0</v>
      </c>
      <c r="O80" s="859">
        <v>82.867000000000004</v>
      </c>
      <c r="P80" s="195">
        <f t="shared" si="16"/>
        <v>83</v>
      </c>
      <c r="Q80" s="859">
        <v>184.584</v>
      </c>
      <c r="R80" s="896">
        <f t="shared" si="17"/>
        <v>185</v>
      </c>
      <c r="S80" s="859">
        <v>0</v>
      </c>
      <c r="T80" s="896">
        <v>0</v>
      </c>
      <c r="U80" s="859">
        <v>178.68100000000001</v>
      </c>
      <c r="V80" s="726">
        <f t="shared" si="10"/>
        <v>179</v>
      </c>
      <c r="W80" s="859">
        <v>178.68100000000001</v>
      </c>
      <c r="X80" s="726">
        <f t="shared" si="11"/>
        <v>179</v>
      </c>
      <c r="Y80" s="859">
        <v>0</v>
      </c>
      <c r="Z80" s="195">
        <v>0</v>
      </c>
      <c r="AA80" s="554">
        <v>0</v>
      </c>
      <c r="AB80" s="554">
        <v>0</v>
      </c>
      <c r="AC80" s="554">
        <v>20.994</v>
      </c>
      <c r="AD80" s="624">
        <v>1.6150000000000001E-2</v>
      </c>
      <c r="AE80" s="554">
        <v>3.5000000000000003E-2</v>
      </c>
      <c r="AF80" s="554">
        <v>1.9400000000000001E-3</v>
      </c>
      <c r="AG80" s="554">
        <v>2.9580000000000002</v>
      </c>
      <c r="AH80" s="554">
        <v>6.3000000000000003E-4</v>
      </c>
    </row>
    <row r="81" spans="1:38" hidden="1">
      <c r="A81" s="212" t="s">
        <v>92</v>
      </c>
      <c r="B81" s="625" t="s">
        <v>108</v>
      </c>
      <c r="C81" s="860">
        <v>810.06600000000003</v>
      </c>
      <c r="D81" s="554">
        <f t="shared" si="15"/>
        <v>810</v>
      </c>
      <c r="E81" s="860">
        <v>60.12</v>
      </c>
      <c r="F81" s="895">
        <f>MROUND(E81,10)</f>
        <v>60</v>
      </c>
      <c r="G81" s="860">
        <v>15.068</v>
      </c>
      <c r="H81" s="726">
        <f t="shared" ref="H81:H90" si="18">MROUND(G81,1)</f>
        <v>15</v>
      </c>
      <c r="I81" s="860">
        <v>11.786</v>
      </c>
      <c r="J81" s="726">
        <f t="shared" ref="J81:J90" si="19">MROUND(I81,1)</f>
        <v>12</v>
      </c>
      <c r="K81" s="860">
        <v>0</v>
      </c>
      <c r="L81" s="744">
        <v>0</v>
      </c>
      <c r="M81" s="860">
        <v>0</v>
      </c>
      <c r="N81" s="554">
        <v>0</v>
      </c>
      <c r="O81" s="860">
        <v>165.35599999999999</v>
      </c>
      <c r="P81" s="195">
        <f t="shared" si="16"/>
        <v>165</v>
      </c>
      <c r="Q81" s="860">
        <v>204.238</v>
      </c>
      <c r="R81" s="896">
        <f t="shared" si="17"/>
        <v>204</v>
      </c>
      <c r="S81" s="860">
        <v>1.8859999999999999</v>
      </c>
      <c r="T81" s="871">
        <f>MROUND(S81,1)</f>
        <v>2</v>
      </c>
      <c r="U81" s="860">
        <v>192.51400000000001</v>
      </c>
      <c r="V81" s="726">
        <f t="shared" si="10"/>
        <v>193</v>
      </c>
      <c r="W81" s="860">
        <v>177.30799999999999</v>
      </c>
      <c r="X81" s="726">
        <f t="shared" si="11"/>
        <v>177</v>
      </c>
      <c r="Y81" s="860">
        <v>1.968</v>
      </c>
      <c r="Z81" s="188">
        <f t="shared" ref="Z81:Z90" si="20">MROUND(Y81,1)</f>
        <v>2</v>
      </c>
      <c r="AA81" s="555">
        <v>5.6000000000000001E-2</v>
      </c>
      <c r="AB81" s="555">
        <v>0.28199999999999997</v>
      </c>
      <c r="AC81" s="536">
        <v>30.920999999999999</v>
      </c>
      <c r="AD81" s="627">
        <v>2.3789999999999999E-2</v>
      </c>
      <c r="AE81" s="536">
        <v>2.2709999999999999</v>
      </c>
      <c r="AF81" s="536">
        <v>0.12617999999999999</v>
      </c>
      <c r="AG81" s="536">
        <v>126.705</v>
      </c>
      <c r="AH81" s="536">
        <v>2.6960000000000001E-2</v>
      </c>
    </row>
    <row r="82" spans="1:38" hidden="1">
      <c r="A82" s="212" t="s">
        <v>92</v>
      </c>
      <c r="B82" s="625" t="s">
        <v>106</v>
      </c>
      <c r="C82" s="860">
        <v>780</v>
      </c>
      <c r="D82" s="554">
        <f t="shared" si="15"/>
        <v>780</v>
      </c>
      <c r="E82" s="860">
        <v>80</v>
      </c>
      <c r="F82" s="895">
        <f>MROUND(E82,10)</f>
        <v>80</v>
      </c>
      <c r="G82" s="860">
        <v>8</v>
      </c>
      <c r="H82" s="726">
        <f t="shared" si="18"/>
        <v>8</v>
      </c>
      <c r="I82" s="860">
        <v>8</v>
      </c>
      <c r="J82" s="726">
        <f t="shared" si="19"/>
        <v>8</v>
      </c>
      <c r="K82" s="860">
        <v>0</v>
      </c>
      <c r="L82" s="744">
        <v>0</v>
      </c>
      <c r="M82" s="860">
        <v>0</v>
      </c>
      <c r="N82" s="554">
        <v>0</v>
      </c>
      <c r="O82" s="860">
        <v>190</v>
      </c>
      <c r="P82" s="195">
        <f t="shared" si="16"/>
        <v>190</v>
      </c>
      <c r="Q82" s="860">
        <v>177</v>
      </c>
      <c r="R82" s="896">
        <f t="shared" si="17"/>
        <v>177</v>
      </c>
      <c r="S82" s="860">
        <v>0</v>
      </c>
      <c r="T82" s="896">
        <v>0</v>
      </c>
      <c r="U82" s="860">
        <v>166</v>
      </c>
      <c r="V82" s="726">
        <f t="shared" si="10"/>
        <v>166</v>
      </c>
      <c r="W82" s="860">
        <v>165</v>
      </c>
      <c r="X82" s="726">
        <f t="shared" si="11"/>
        <v>165</v>
      </c>
      <c r="Y82" s="860">
        <v>2</v>
      </c>
      <c r="Z82" s="188">
        <f t="shared" si="20"/>
        <v>2</v>
      </c>
      <c r="AA82" s="555">
        <v>0</v>
      </c>
      <c r="AB82" s="555">
        <v>0</v>
      </c>
      <c r="AC82" s="536">
        <v>26</v>
      </c>
      <c r="AD82" s="627">
        <v>2</v>
      </c>
      <c r="AE82" s="536">
        <v>0</v>
      </c>
      <c r="AF82" s="536">
        <v>0</v>
      </c>
      <c r="AG82" s="536">
        <v>41</v>
      </c>
      <c r="AH82" s="536">
        <v>0</v>
      </c>
    </row>
    <row r="83" spans="1:38" ht="15" hidden="1" customHeight="1">
      <c r="A83" s="212" t="s">
        <v>92</v>
      </c>
      <c r="B83" s="625" t="s">
        <v>107</v>
      </c>
      <c r="C83" s="860">
        <v>800</v>
      </c>
      <c r="D83" s="554">
        <f t="shared" si="15"/>
        <v>800</v>
      </c>
      <c r="E83" s="860">
        <v>80</v>
      </c>
      <c r="F83" s="895">
        <f>MROUND(E83,10)</f>
        <v>80</v>
      </c>
      <c r="G83" s="860">
        <v>8</v>
      </c>
      <c r="H83" s="726">
        <f t="shared" si="18"/>
        <v>8</v>
      </c>
      <c r="I83" s="860">
        <v>8</v>
      </c>
      <c r="J83" s="726">
        <f t="shared" si="19"/>
        <v>8</v>
      </c>
      <c r="K83" s="860">
        <v>0</v>
      </c>
      <c r="L83" s="744">
        <v>0</v>
      </c>
      <c r="M83" s="860">
        <v>0</v>
      </c>
      <c r="N83" s="554">
        <v>0</v>
      </c>
      <c r="O83" s="860">
        <v>500</v>
      </c>
      <c r="P83" s="195">
        <f t="shared" si="16"/>
        <v>500</v>
      </c>
      <c r="Q83" s="860">
        <v>191</v>
      </c>
      <c r="R83" s="896">
        <f t="shared" si="17"/>
        <v>191</v>
      </c>
      <c r="S83" s="860">
        <v>0</v>
      </c>
      <c r="T83" s="896">
        <v>0</v>
      </c>
      <c r="U83" s="860">
        <v>179</v>
      </c>
      <c r="V83" s="726">
        <f t="shared" si="10"/>
        <v>179</v>
      </c>
      <c r="W83" s="860">
        <v>178</v>
      </c>
      <c r="X83" s="726">
        <f t="shared" si="11"/>
        <v>178</v>
      </c>
      <c r="Y83" s="860">
        <v>2</v>
      </c>
      <c r="Z83" s="188">
        <f t="shared" si="20"/>
        <v>2</v>
      </c>
      <c r="AA83" s="555">
        <v>0</v>
      </c>
      <c r="AB83" s="555">
        <v>0</v>
      </c>
      <c r="AC83" s="555">
        <v>34</v>
      </c>
      <c r="AD83" s="626">
        <v>2</v>
      </c>
      <c r="AE83" s="555">
        <v>1</v>
      </c>
      <c r="AF83" s="555">
        <v>6</v>
      </c>
      <c r="AG83" s="555">
        <v>338</v>
      </c>
      <c r="AH83" s="555">
        <v>8</v>
      </c>
    </row>
    <row r="84" spans="1:38" ht="15" hidden="1" customHeight="1">
      <c r="A84" s="212" t="s">
        <v>92</v>
      </c>
      <c r="B84" s="625" t="s">
        <v>120</v>
      </c>
      <c r="C84" s="860">
        <v>909.09100000000001</v>
      </c>
      <c r="D84" s="554">
        <f t="shared" si="15"/>
        <v>910</v>
      </c>
      <c r="E84" s="860">
        <v>60.124000000000002</v>
      </c>
      <c r="F84" s="895">
        <f>MROUND(E84,10)</f>
        <v>60</v>
      </c>
      <c r="G84" s="860">
        <v>15.015000000000001</v>
      </c>
      <c r="H84" s="726">
        <f t="shared" si="18"/>
        <v>15</v>
      </c>
      <c r="I84" s="860">
        <v>11.711</v>
      </c>
      <c r="J84" s="726">
        <f t="shared" si="19"/>
        <v>12</v>
      </c>
      <c r="K84" s="860">
        <v>2.2120000000000002</v>
      </c>
      <c r="L84" s="772">
        <f>MROUND(K84,0.5)</f>
        <v>2</v>
      </c>
      <c r="M84" s="860">
        <v>0</v>
      </c>
      <c r="N84" s="554">
        <v>0</v>
      </c>
      <c r="O84" s="860">
        <v>190.774</v>
      </c>
      <c r="P84" s="195">
        <f t="shared" si="16"/>
        <v>191</v>
      </c>
      <c r="Q84" s="860">
        <v>228.923</v>
      </c>
      <c r="R84" s="896">
        <f t="shared" si="17"/>
        <v>229</v>
      </c>
      <c r="S84" s="860">
        <v>1.954</v>
      </c>
      <c r="T84" s="871">
        <f t="shared" ref="T84:T90" si="21">MROUND(S84,1)</f>
        <v>2</v>
      </c>
      <c r="U84" s="860">
        <v>213.64599999999999</v>
      </c>
      <c r="V84" s="726">
        <f t="shared" si="10"/>
        <v>214</v>
      </c>
      <c r="W84" s="860">
        <v>198.08</v>
      </c>
      <c r="X84" s="726">
        <f t="shared" si="11"/>
        <v>198</v>
      </c>
      <c r="Y84" s="860">
        <v>2.1150000000000002</v>
      </c>
      <c r="Z84" s="188">
        <f t="shared" si="20"/>
        <v>2</v>
      </c>
      <c r="AA84" s="561">
        <v>5.6000000000000001E-2</v>
      </c>
      <c r="AB84" s="561">
        <v>2.8</v>
      </c>
      <c r="AC84" s="536">
        <v>33.345999999999997</v>
      </c>
      <c r="AD84" s="763">
        <v>2.5649999999999999</v>
      </c>
      <c r="AE84" s="536">
        <v>2.367</v>
      </c>
      <c r="AF84" s="536">
        <v>13.148999999999999</v>
      </c>
      <c r="AG84" s="536">
        <v>154.99100000000001</v>
      </c>
      <c r="AH84" s="536">
        <v>3.298</v>
      </c>
      <c r="AI84" s="248"/>
      <c r="AJ84" s="248"/>
      <c r="AK84" s="248"/>
      <c r="AL84" s="248"/>
    </row>
    <row r="85" spans="1:38" ht="14.25" hidden="1" customHeight="1">
      <c r="A85" s="212" t="s">
        <v>92</v>
      </c>
      <c r="B85" s="625" t="s">
        <v>337</v>
      </c>
      <c r="C85" s="891">
        <v>934.28399999999999</v>
      </c>
      <c r="D85" s="554">
        <f t="shared" si="15"/>
        <v>930</v>
      </c>
      <c r="E85" s="891">
        <v>7.4770000000000003</v>
      </c>
      <c r="F85" s="895">
        <f>MROUND(E85,5)</f>
        <v>5</v>
      </c>
      <c r="G85" s="891">
        <v>8.7639999999999993</v>
      </c>
      <c r="H85" s="726">
        <f t="shared" si="18"/>
        <v>9</v>
      </c>
      <c r="I85" s="891">
        <v>7.8479999999999999</v>
      </c>
      <c r="J85" s="726">
        <f t="shared" si="19"/>
        <v>8</v>
      </c>
      <c r="K85" s="891">
        <v>0</v>
      </c>
      <c r="L85" s="744">
        <v>0</v>
      </c>
      <c r="M85" s="891">
        <v>0</v>
      </c>
      <c r="N85" s="554">
        <v>0</v>
      </c>
      <c r="O85" s="891">
        <v>227.94200000000001</v>
      </c>
      <c r="P85" s="195">
        <f t="shared" si="16"/>
        <v>228</v>
      </c>
      <c r="Q85" s="891">
        <v>218.80099999999999</v>
      </c>
      <c r="R85" s="896">
        <f t="shared" si="17"/>
        <v>219</v>
      </c>
      <c r="S85" s="891">
        <v>2.4300000000000002</v>
      </c>
      <c r="T85" s="871">
        <f t="shared" si="21"/>
        <v>2</v>
      </c>
      <c r="U85" s="891">
        <v>205.21100000000001</v>
      </c>
      <c r="V85" s="726">
        <f t="shared" si="10"/>
        <v>205</v>
      </c>
      <c r="W85" s="891">
        <v>204.108</v>
      </c>
      <c r="X85" s="726">
        <f t="shared" si="11"/>
        <v>204</v>
      </c>
      <c r="Y85" s="891">
        <v>2.202</v>
      </c>
      <c r="Z85" s="188">
        <f t="shared" si="20"/>
        <v>2</v>
      </c>
      <c r="AA85" s="557">
        <v>1.0999999999999999E-2</v>
      </c>
      <c r="AB85" s="557">
        <v>5.3999999999999999E-2</v>
      </c>
      <c r="AC85" s="557">
        <v>37.158999999999999</v>
      </c>
      <c r="AD85" s="630">
        <v>2.8580000000000001E-2</v>
      </c>
      <c r="AE85" s="557">
        <v>1.625</v>
      </c>
      <c r="AF85" s="557">
        <v>9.0270000000000003E-2</v>
      </c>
      <c r="AG85" s="557">
        <v>197.88800000000001</v>
      </c>
      <c r="AH85" s="557">
        <v>4.2099999999999999E-2</v>
      </c>
    </row>
    <row r="86" spans="1:38" ht="14.25" hidden="1" customHeight="1">
      <c r="A86" s="212" t="s">
        <v>92</v>
      </c>
      <c r="B86" s="625" t="s">
        <v>100</v>
      </c>
      <c r="C86" s="860">
        <v>912.96</v>
      </c>
      <c r="D86" s="554">
        <f t="shared" si="15"/>
        <v>910</v>
      </c>
      <c r="E86" s="860">
        <v>52.12</v>
      </c>
      <c r="F86" s="895">
        <f>MROUND(E86,10)</f>
        <v>50</v>
      </c>
      <c r="G86" s="860">
        <v>14.15</v>
      </c>
      <c r="H86" s="726">
        <f t="shared" si="18"/>
        <v>14</v>
      </c>
      <c r="I86" s="860">
        <v>12.103999999999999</v>
      </c>
      <c r="J86" s="726">
        <f t="shared" si="19"/>
        <v>12</v>
      </c>
      <c r="K86" s="860">
        <v>0</v>
      </c>
      <c r="L86" s="744">
        <v>0</v>
      </c>
      <c r="M86" s="860">
        <v>2E-3</v>
      </c>
      <c r="N86" s="554">
        <v>0</v>
      </c>
      <c r="O86" s="860">
        <v>234.97200000000001</v>
      </c>
      <c r="P86" s="195">
        <f t="shared" si="16"/>
        <v>235</v>
      </c>
      <c r="Q86" s="860">
        <v>214.02</v>
      </c>
      <c r="R86" s="896">
        <f t="shared" si="17"/>
        <v>214</v>
      </c>
      <c r="S86" s="860">
        <v>2.0299999999999998</v>
      </c>
      <c r="T86" s="871">
        <f t="shared" si="21"/>
        <v>2</v>
      </c>
      <c r="U86" s="860">
        <v>197.46100000000001</v>
      </c>
      <c r="V86" s="726">
        <f t="shared" si="10"/>
        <v>197</v>
      </c>
      <c r="W86" s="860">
        <v>184.583</v>
      </c>
      <c r="X86" s="726">
        <f t="shared" si="11"/>
        <v>185</v>
      </c>
      <c r="Y86" s="860">
        <v>2.2280000000000002</v>
      </c>
      <c r="Z86" s="188">
        <f t="shared" si="20"/>
        <v>2</v>
      </c>
      <c r="AA86" s="536">
        <v>2.8000000000000001E-2</v>
      </c>
      <c r="AB86" s="536">
        <v>0.14000000000000001</v>
      </c>
      <c r="AC86" s="536">
        <v>39.137</v>
      </c>
      <c r="AD86" s="627">
        <v>3.0110000000000001E-2</v>
      </c>
      <c r="AE86" s="536">
        <v>1.857</v>
      </c>
      <c r="AF86" s="536">
        <v>0.10319</v>
      </c>
      <c r="AG86" s="536">
        <v>281.50200000000001</v>
      </c>
      <c r="AH86" s="536">
        <v>5.9889999999999999E-2</v>
      </c>
    </row>
    <row r="87" spans="1:38" ht="14.25" hidden="1" customHeight="1">
      <c r="A87" s="212" t="s">
        <v>92</v>
      </c>
      <c r="B87" s="625" t="s">
        <v>104</v>
      </c>
      <c r="C87" s="861">
        <v>1017.0170000000001</v>
      </c>
      <c r="D87" s="554">
        <f t="shared" si="15"/>
        <v>1020</v>
      </c>
      <c r="E87" s="861">
        <v>63.832000000000001</v>
      </c>
      <c r="F87" s="895">
        <f>MROUND(E87,10)</f>
        <v>60</v>
      </c>
      <c r="G87" s="861">
        <v>15.515000000000001</v>
      </c>
      <c r="H87" s="726">
        <f t="shared" si="18"/>
        <v>16</v>
      </c>
      <c r="I87" s="861">
        <v>11.034000000000001</v>
      </c>
      <c r="J87" s="726">
        <f t="shared" si="19"/>
        <v>11</v>
      </c>
      <c r="K87" s="861">
        <v>0.55900000000000005</v>
      </c>
      <c r="L87" s="772">
        <f>MROUND(K87,0.5)</f>
        <v>0.5</v>
      </c>
      <c r="M87" s="861">
        <v>6.593</v>
      </c>
      <c r="N87" s="536">
        <f>MROUND(M87,5)</f>
        <v>5</v>
      </c>
      <c r="O87" s="861">
        <v>297.15600000000001</v>
      </c>
      <c r="P87" s="195">
        <f t="shared" si="16"/>
        <v>297</v>
      </c>
      <c r="Q87" s="861">
        <v>219.13200000000001</v>
      </c>
      <c r="R87" s="896">
        <f t="shared" si="17"/>
        <v>219</v>
      </c>
      <c r="S87" s="861">
        <v>1.085</v>
      </c>
      <c r="T87" s="871">
        <f t="shared" si="21"/>
        <v>1</v>
      </c>
      <c r="U87" s="861">
        <v>196.41499999999999</v>
      </c>
      <c r="V87" s="726">
        <f t="shared" si="10"/>
        <v>196</v>
      </c>
      <c r="W87" s="861">
        <v>191.99799999999999</v>
      </c>
      <c r="X87" s="726">
        <f t="shared" si="11"/>
        <v>192</v>
      </c>
      <c r="Y87" s="861">
        <v>2.2890000000000001</v>
      </c>
      <c r="Z87" s="188">
        <f t="shared" si="20"/>
        <v>2</v>
      </c>
      <c r="AA87" s="1131">
        <v>4.0000000000000001E-3</v>
      </c>
      <c r="AB87" s="1131">
        <v>0.02</v>
      </c>
      <c r="AC87" s="1131">
        <v>31.599</v>
      </c>
      <c r="AD87" s="1131">
        <v>2.431</v>
      </c>
      <c r="AE87" s="1131">
        <v>1.1930000000000001</v>
      </c>
      <c r="AF87" s="1131">
        <v>6.6289999999999996</v>
      </c>
      <c r="AG87" s="1131">
        <v>138.97900000000001</v>
      </c>
      <c r="AH87" s="1131">
        <v>2.9569999999999999</v>
      </c>
    </row>
    <row r="88" spans="1:38" s="248" customFormat="1" hidden="1">
      <c r="A88" s="212" t="s">
        <v>92</v>
      </c>
      <c r="B88" s="625" t="s">
        <v>182</v>
      </c>
      <c r="C88" s="860">
        <v>1032.23</v>
      </c>
      <c r="D88" s="554">
        <f t="shared" si="15"/>
        <v>1030</v>
      </c>
      <c r="E88" s="860">
        <v>12.205</v>
      </c>
      <c r="F88" s="895">
        <f>MROUND(E88,5)</f>
        <v>10</v>
      </c>
      <c r="G88" s="860">
        <v>16.100000000000001</v>
      </c>
      <c r="H88" s="726">
        <f t="shared" si="18"/>
        <v>16</v>
      </c>
      <c r="I88" s="860">
        <v>12.205</v>
      </c>
      <c r="J88" s="726">
        <f t="shared" si="19"/>
        <v>12</v>
      </c>
      <c r="K88" s="860">
        <v>0</v>
      </c>
      <c r="L88" s="744">
        <v>0</v>
      </c>
      <c r="M88" s="860">
        <v>6.5919999999999996</v>
      </c>
      <c r="N88" s="536">
        <f>MROUND(M88,5)</f>
        <v>5</v>
      </c>
      <c r="O88" s="860">
        <v>310.54399999999998</v>
      </c>
      <c r="P88" s="195">
        <f t="shared" si="16"/>
        <v>311</v>
      </c>
      <c r="Q88" s="860">
        <v>221.17699999999999</v>
      </c>
      <c r="R88" s="896">
        <f t="shared" si="17"/>
        <v>221</v>
      </c>
      <c r="S88" s="860">
        <v>1.4079999999999999</v>
      </c>
      <c r="T88" s="871">
        <f t="shared" si="21"/>
        <v>1</v>
      </c>
      <c r="U88" s="860">
        <v>197.148</v>
      </c>
      <c r="V88" s="726">
        <f t="shared" si="10"/>
        <v>197</v>
      </c>
      <c r="W88" s="860">
        <v>196.387</v>
      </c>
      <c r="X88" s="726">
        <f t="shared" si="11"/>
        <v>196</v>
      </c>
      <c r="Y88" s="860">
        <v>2.899</v>
      </c>
      <c r="Z88" s="188">
        <f t="shared" si="20"/>
        <v>3</v>
      </c>
      <c r="AA88" s="697">
        <v>2E-3</v>
      </c>
      <c r="AB88" s="697">
        <v>0.01</v>
      </c>
      <c r="AC88" s="697">
        <v>42.793999999999997</v>
      </c>
      <c r="AD88" s="698">
        <v>3.2919999999999998</v>
      </c>
      <c r="AE88" s="697">
        <v>1.5129999999999999</v>
      </c>
      <c r="AF88" s="697">
        <v>8.407</v>
      </c>
      <c r="AG88" s="697">
        <v>226.29</v>
      </c>
      <c r="AH88" s="697">
        <v>4.8150000000000004</v>
      </c>
      <c r="AI88" s="179"/>
      <c r="AJ88" s="179"/>
      <c r="AK88" s="179"/>
      <c r="AL88" s="179"/>
    </row>
    <row r="89" spans="1:38" s="212" customFormat="1" ht="14.25" hidden="1" customHeight="1">
      <c r="A89" s="212" t="s">
        <v>92</v>
      </c>
      <c r="B89" s="625" t="s">
        <v>99</v>
      </c>
      <c r="C89" s="860">
        <v>966.00199999999995</v>
      </c>
      <c r="D89" s="554">
        <f t="shared" si="15"/>
        <v>970</v>
      </c>
      <c r="E89" s="860">
        <v>118.535</v>
      </c>
      <c r="F89" s="895">
        <f>MROUND(E89,10)</f>
        <v>120</v>
      </c>
      <c r="G89" s="860">
        <v>21.532</v>
      </c>
      <c r="H89" s="726">
        <f t="shared" si="18"/>
        <v>22</v>
      </c>
      <c r="I89" s="860">
        <v>15.946999999999999</v>
      </c>
      <c r="J89" s="726">
        <f t="shared" si="19"/>
        <v>16</v>
      </c>
      <c r="K89" s="860">
        <v>0</v>
      </c>
      <c r="L89" s="744">
        <v>0</v>
      </c>
      <c r="M89" s="860">
        <v>16.177</v>
      </c>
      <c r="N89" s="536">
        <f>MROUND(M89,5)</f>
        <v>15</v>
      </c>
      <c r="O89" s="860">
        <v>214.75899999999999</v>
      </c>
      <c r="P89" s="195">
        <f t="shared" si="16"/>
        <v>215</v>
      </c>
      <c r="Q89" s="860">
        <v>225.42099999999999</v>
      </c>
      <c r="R89" s="896">
        <f t="shared" si="17"/>
        <v>225</v>
      </c>
      <c r="S89" s="860">
        <v>1.9490000000000001</v>
      </c>
      <c r="T89" s="871">
        <f t="shared" si="21"/>
        <v>2</v>
      </c>
      <c r="U89" s="860">
        <v>203.89099999999999</v>
      </c>
      <c r="V89" s="726">
        <f t="shared" si="10"/>
        <v>204</v>
      </c>
      <c r="W89" s="860">
        <v>187.98699999999999</v>
      </c>
      <c r="X89" s="726">
        <f t="shared" si="11"/>
        <v>188</v>
      </c>
      <c r="Y89" s="860">
        <v>3.0579999999999998</v>
      </c>
      <c r="Z89" s="188">
        <f t="shared" si="20"/>
        <v>3</v>
      </c>
      <c r="AA89" s="555">
        <v>5.6000000000000001E-2</v>
      </c>
      <c r="AB89" s="555">
        <v>0.28100000000000003</v>
      </c>
      <c r="AC89" s="536">
        <v>63.637999999999998</v>
      </c>
      <c r="AD89" s="627">
        <v>4.895E-2</v>
      </c>
      <c r="AE89" s="536">
        <v>2.3290000000000002</v>
      </c>
      <c r="AF89" s="536">
        <v>0.12937000000000001</v>
      </c>
      <c r="AG89" s="536">
        <v>152.78899999999999</v>
      </c>
      <c r="AH89" s="536">
        <v>3.2509999999999997E-2</v>
      </c>
      <c r="AI89" s="179"/>
      <c r="AJ89" s="179"/>
      <c r="AK89" s="179"/>
      <c r="AL89" s="179"/>
    </row>
    <row r="90" spans="1:38" s="693" customFormat="1" hidden="1">
      <c r="A90" s="212" t="s">
        <v>92</v>
      </c>
      <c r="B90" s="625" t="s">
        <v>101</v>
      </c>
      <c r="C90" s="860">
        <v>870.32899999999995</v>
      </c>
      <c r="D90" s="554">
        <f t="shared" si="15"/>
        <v>870</v>
      </c>
      <c r="E90" s="860">
        <v>81.875</v>
      </c>
      <c r="F90" s="895">
        <f>MROUND(E90,10)</f>
        <v>80</v>
      </c>
      <c r="G90" s="860">
        <v>17.594999999999999</v>
      </c>
      <c r="H90" s="726">
        <f t="shared" si="18"/>
        <v>18</v>
      </c>
      <c r="I90" s="860">
        <v>14.153</v>
      </c>
      <c r="J90" s="726">
        <f t="shared" si="19"/>
        <v>14</v>
      </c>
      <c r="K90" s="860">
        <v>0</v>
      </c>
      <c r="L90" s="744">
        <v>0</v>
      </c>
      <c r="M90" s="860">
        <v>2E-3</v>
      </c>
      <c r="N90" s="554">
        <v>0</v>
      </c>
      <c r="O90" s="860">
        <v>256.63799999999998</v>
      </c>
      <c r="P90" s="195">
        <f t="shared" si="16"/>
        <v>257</v>
      </c>
      <c r="Q90" s="860">
        <v>211.01599999999999</v>
      </c>
      <c r="R90" s="896">
        <f t="shared" si="17"/>
        <v>211</v>
      </c>
      <c r="S90" s="860">
        <v>2.8730000000000002</v>
      </c>
      <c r="T90" s="871">
        <f t="shared" si="21"/>
        <v>3</v>
      </c>
      <c r="U90" s="860">
        <v>195.48099999999999</v>
      </c>
      <c r="V90" s="726">
        <f t="shared" si="10"/>
        <v>195</v>
      </c>
      <c r="W90" s="860">
        <v>177.27699999999999</v>
      </c>
      <c r="X90" s="726">
        <f t="shared" si="11"/>
        <v>177</v>
      </c>
      <c r="Y90" s="860">
        <v>3.1440000000000001</v>
      </c>
      <c r="Z90" s="188">
        <f t="shared" si="20"/>
        <v>3</v>
      </c>
      <c r="AA90" s="555">
        <v>5.7000000000000002E-2</v>
      </c>
      <c r="AB90" s="555">
        <v>0.28499999999999998</v>
      </c>
      <c r="AC90" s="536">
        <v>48.368000000000002</v>
      </c>
      <c r="AD90" s="627">
        <v>3.721E-2</v>
      </c>
      <c r="AE90" s="536">
        <v>3.1309999999999998</v>
      </c>
      <c r="AF90" s="536">
        <v>0.17393</v>
      </c>
      <c r="AG90" s="536">
        <v>237.083</v>
      </c>
      <c r="AH90" s="536">
        <v>5.0439999999999999E-2</v>
      </c>
      <c r="AI90" s="179"/>
      <c r="AJ90" s="179"/>
      <c r="AK90" s="179"/>
      <c r="AL90" s="179"/>
    </row>
    <row r="91" spans="1:38" ht="31.75" hidden="1">
      <c r="A91" s="223" t="s">
        <v>296</v>
      </c>
      <c r="B91" s="625" t="s">
        <v>36</v>
      </c>
      <c r="C91" s="860">
        <v>763.58799999999997</v>
      </c>
      <c r="D91" s="554">
        <f t="shared" si="15"/>
        <v>760</v>
      </c>
      <c r="E91" s="860">
        <v>0</v>
      </c>
      <c r="F91" s="744">
        <v>0</v>
      </c>
      <c r="G91" s="860">
        <v>0</v>
      </c>
      <c r="H91" s="554">
        <v>0</v>
      </c>
      <c r="I91" s="860">
        <v>0</v>
      </c>
      <c r="J91" s="744">
        <v>0</v>
      </c>
      <c r="K91" s="860">
        <v>0</v>
      </c>
      <c r="L91" s="744">
        <v>0</v>
      </c>
      <c r="M91" s="860">
        <v>0</v>
      </c>
      <c r="N91" s="554">
        <v>0</v>
      </c>
      <c r="O91" s="860">
        <v>82.707999999999998</v>
      </c>
      <c r="P91" s="195">
        <f t="shared" si="16"/>
        <v>83</v>
      </c>
      <c r="Q91" s="860">
        <v>192.958</v>
      </c>
      <c r="R91" s="896">
        <f t="shared" si="17"/>
        <v>193</v>
      </c>
      <c r="S91" s="860">
        <v>0</v>
      </c>
      <c r="T91" s="896">
        <v>0</v>
      </c>
      <c r="U91" s="860">
        <v>186.917</v>
      </c>
      <c r="V91" s="726">
        <f t="shared" si="10"/>
        <v>187</v>
      </c>
      <c r="W91" s="860">
        <v>186.917</v>
      </c>
      <c r="X91" s="726">
        <f t="shared" si="11"/>
        <v>187</v>
      </c>
      <c r="Y91" s="860">
        <v>0</v>
      </c>
      <c r="Z91" s="195">
        <v>0</v>
      </c>
      <c r="AA91" s="697">
        <v>0</v>
      </c>
      <c r="AB91" s="697">
        <v>0</v>
      </c>
      <c r="AC91" s="697">
        <v>21.137</v>
      </c>
      <c r="AD91" s="698">
        <v>1.626E-2</v>
      </c>
      <c r="AE91" s="697">
        <v>3.5000000000000003E-2</v>
      </c>
      <c r="AF91" s="697">
        <v>1.9499999999999999E-3</v>
      </c>
      <c r="AG91" s="697">
        <v>4.0949999999999998</v>
      </c>
      <c r="AH91" s="697">
        <v>8.7000000000000001E-4</v>
      </c>
    </row>
    <row r="92" spans="1:38" ht="15" hidden="1" customHeight="1">
      <c r="A92" s="212" t="s">
        <v>92</v>
      </c>
      <c r="B92" s="625" t="s">
        <v>105</v>
      </c>
      <c r="C92" s="860">
        <v>1124.923</v>
      </c>
      <c r="D92" s="554">
        <f t="shared" si="15"/>
        <v>1120</v>
      </c>
      <c r="E92" s="860">
        <v>73.233000000000004</v>
      </c>
      <c r="F92" s="895">
        <f>MROUND(E92,10)</f>
        <v>70</v>
      </c>
      <c r="G92" s="860">
        <v>16.149999999999999</v>
      </c>
      <c r="H92" s="726">
        <f>MROUND(G92,1)</f>
        <v>16</v>
      </c>
      <c r="I92" s="860">
        <v>11.019</v>
      </c>
      <c r="J92" s="726">
        <f>MROUND(I92,1)</f>
        <v>11</v>
      </c>
      <c r="K92" s="860">
        <v>0</v>
      </c>
      <c r="L92" s="744">
        <v>0</v>
      </c>
      <c r="M92" s="860">
        <v>6.43</v>
      </c>
      <c r="N92" s="536">
        <f>MROUND(M92,5)</f>
        <v>5</v>
      </c>
      <c r="O92" s="860">
        <v>290.76600000000002</v>
      </c>
      <c r="P92" s="195">
        <f t="shared" si="16"/>
        <v>291</v>
      </c>
      <c r="Q92" s="860">
        <v>259.18099999999998</v>
      </c>
      <c r="R92" s="896">
        <f t="shared" si="17"/>
        <v>259</v>
      </c>
      <c r="S92" s="860">
        <v>4.5060000000000002</v>
      </c>
      <c r="T92" s="871">
        <f>MROUND(S92,1)</f>
        <v>5</v>
      </c>
      <c r="U92" s="860">
        <v>230.69900000000001</v>
      </c>
      <c r="V92" s="726">
        <f t="shared" si="10"/>
        <v>231</v>
      </c>
      <c r="W92" s="860">
        <v>212.13399999999999</v>
      </c>
      <c r="X92" s="726">
        <f t="shared" si="11"/>
        <v>212</v>
      </c>
      <c r="Y92" s="860">
        <v>4.8879999999999999</v>
      </c>
      <c r="Z92" s="188">
        <f>MROUND(Y92,1)</f>
        <v>5</v>
      </c>
      <c r="AA92" s="555">
        <v>2.9000000000000001E-2</v>
      </c>
      <c r="AB92" s="555">
        <v>0.14499999999999999</v>
      </c>
      <c r="AC92" s="536">
        <v>49.209000000000003</v>
      </c>
      <c r="AD92" s="627">
        <v>3.7850000000000002E-2</v>
      </c>
      <c r="AE92" s="536">
        <v>2.5099999999999998</v>
      </c>
      <c r="AF92" s="536">
        <v>0.13944000000000001</v>
      </c>
      <c r="AG92" s="536">
        <v>392.20800000000003</v>
      </c>
      <c r="AH92" s="536">
        <v>8.3449999999999996E-2</v>
      </c>
    </row>
    <row r="93" spans="1:38" hidden="1">
      <c r="A93" s="212" t="s">
        <v>92</v>
      </c>
      <c r="B93" s="632" t="s">
        <v>338</v>
      </c>
      <c r="C93" s="860">
        <v>1144.6980000000001</v>
      </c>
      <c r="D93" s="554">
        <f t="shared" si="15"/>
        <v>1140</v>
      </c>
      <c r="E93" s="860">
        <v>162.161</v>
      </c>
      <c r="F93" s="895">
        <f>MROUND(E93,10)</f>
        <v>160</v>
      </c>
      <c r="G93" s="860">
        <v>26.225999999999999</v>
      </c>
      <c r="H93" s="726">
        <f>MROUND(G93,1)</f>
        <v>26</v>
      </c>
      <c r="I93" s="860">
        <v>10.602</v>
      </c>
      <c r="J93" s="726">
        <f>MROUND(I93,1)</f>
        <v>11</v>
      </c>
      <c r="K93" s="860">
        <v>0</v>
      </c>
      <c r="L93" s="744">
        <v>0</v>
      </c>
      <c r="M93" s="860">
        <v>0</v>
      </c>
      <c r="N93" s="554">
        <v>0</v>
      </c>
      <c r="O93" s="860">
        <v>326.09199999999998</v>
      </c>
      <c r="P93" s="195">
        <f t="shared" si="16"/>
        <v>326</v>
      </c>
      <c r="Q93" s="860">
        <v>225.76400000000001</v>
      </c>
      <c r="R93" s="896">
        <f t="shared" si="17"/>
        <v>226</v>
      </c>
      <c r="S93" s="860">
        <v>2.097</v>
      </c>
      <c r="T93" s="871">
        <f>MROUND(S93,1)</f>
        <v>2</v>
      </c>
      <c r="U93" s="860">
        <v>214.18100000000001</v>
      </c>
      <c r="V93" s="726">
        <f t="shared" si="10"/>
        <v>214</v>
      </c>
      <c r="W93" s="860">
        <v>212.82</v>
      </c>
      <c r="X93" s="726">
        <f t="shared" si="11"/>
        <v>213</v>
      </c>
      <c r="Y93" s="860">
        <v>6.6820000000000004</v>
      </c>
      <c r="Z93" s="188">
        <f>MROUND(Y93,1)</f>
        <v>7</v>
      </c>
      <c r="AA93" s="561">
        <v>0</v>
      </c>
      <c r="AB93" s="561">
        <v>0</v>
      </c>
      <c r="AC93" s="561">
        <v>46.683</v>
      </c>
      <c r="AD93" s="628">
        <v>3.5909999999999997E-2</v>
      </c>
      <c r="AE93" s="561">
        <v>2.0350000000000001</v>
      </c>
      <c r="AF93" s="561">
        <v>0.11305999999999999</v>
      </c>
      <c r="AG93" s="561">
        <v>222.232</v>
      </c>
      <c r="AH93" s="561">
        <v>4.7280000000000003E-2</v>
      </c>
    </row>
    <row r="94" spans="1:38" ht="32.15" hidden="1" thickBot="1">
      <c r="A94" s="223" t="s">
        <v>296</v>
      </c>
      <c r="B94" s="631" t="s">
        <v>48</v>
      </c>
      <c r="C94" s="860">
        <v>591.80499999999995</v>
      </c>
      <c r="D94" s="554">
        <f t="shared" si="15"/>
        <v>590</v>
      </c>
      <c r="E94" s="860">
        <v>1.1870000000000001</v>
      </c>
      <c r="F94" s="744">
        <v>0</v>
      </c>
      <c r="G94" s="860">
        <v>0.13200000000000001</v>
      </c>
      <c r="H94" s="554">
        <v>0</v>
      </c>
      <c r="I94" s="860">
        <v>3.0000000000000001E-3</v>
      </c>
      <c r="J94" s="744">
        <v>0</v>
      </c>
      <c r="K94" s="860">
        <v>0</v>
      </c>
      <c r="L94" s="744">
        <v>0</v>
      </c>
      <c r="M94" s="860">
        <v>0</v>
      </c>
      <c r="N94" s="554">
        <v>0</v>
      </c>
      <c r="O94" s="860">
        <v>31.145</v>
      </c>
      <c r="P94" s="195">
        <f t="shared" si="16"/>
        <v>31</v>
      </c>
      <c r="Q94" s="860">
        <v>154.33000000000001</v>
      </c>
      <c r="R94" s="896">
        <f t="shared" si="17"/>
        <v>154</v>
      </c>
      <c r="S94" s="860">
        <v>0.40899999999999997</v>
      </c>
      <c r="T94" s="896">
        <v>0</v>
      </c>
      <c r="U94" s="860">
        <v>147.42599999999999</v>
      </c>
      <c r="V94" s="726">
        <f t="shared" si="10"/>
        <v>147</v>
      </c>
      <c r="W94" s="860">
        <v>146.10400000000001</v>
      </c>
      <c r="X94" s="726">
        <f t="shared" si="11"/>
        <v>146</v>
      </c>
      <c r="Y94" s="860">
        <v>0.34799999999999998</v>
      </c>
      <c r="Z94" s="195">
        <v>0</v>
      </c>
      <c r="AA94" s="555">
        <v>0</v>
      </c>
      <c r="AB94" s="555">
        <v>0</v>
      </c>
      <c r="AC94" s="555">
        <v>31.471</v>
      </c>
      <c r="AD94" s="626">
        <v>2.4209999999999999E-2</v>
      </c>
      <c r="AE94" s="555">
        <v>0.111</v>
      </c>
      <c r="AF94" s="555">
        <v>6.1900000000000002E-3</v>
      </c>
      <c r="AG94" s="555">
        <v>88.941000000000003</v>
      </c>
      <c r="AH94" s="555">
        <v>1.8919999999999999E-2</v>
      </c>
    </row>
    <row r="95" spans="1:38">
      <c r="B95" s="280"/>
      <c r="AA95" s="562"/>
      <c r="AB95" s="564"/>
      <c r="AC95" s="562"/>
      <c r="AD95" s="567"/>
      <c r="AE95" s="562"/>
      <c r="AF95" s="564"/>
      <c r="AG95" s="562"/>
      <c r="AH95" s="564"/>
    </row>
    <row r="96" spans="1:38" ht="46.5" customHeight="1">
      <c r="B96" s="1197" t="s">
        <v>168</v>
      </c>
      <c r="C96" s="1197"/>
      <c r="D96" s="1197"/>
      <c r="E96" s="1197"/>
      <c r="F96" s="1197"/>
      <c r="G96" s="1197"/>
      <c r="H96" s="1197"/>
      <c r="I96" s="1197"/>
      <c r="J96" s="1197"/>
      <c r="K96" s="1197"/>
      <c r="L96" s="1197"/>
      <c r="M96" s="1197"/>
      <c r="N96" s="1197"/>
      <c r="O96" s="1197"/>
      <c r="P96" s="1197"/>
      <c r="Q96" s="1197"/>
      <c r="R96" s="1197"/>
      <c r="S96" s="1197"/>
      <c r="T96" s="1197"/>
      <c r="U96" s="1197"/>
      <c r="V96" s="1197"/>
      <c r="W96" s="1197"/>
      <c r="X96" s="1197"/>
      <c r="Y96" s="1197"/>
      <c r="Z96" s="1197"/>
      <c r="AA96" s="1197"/>
      <c r="AB96" s="1197"/>
      <c r="AC96" s="1197"/>
      <c r="AD96" s="1197"/>
      <c r="AE96" s="1197"/>
      <c r="AF96" s="1197"/>
      <c r="AG96" s="1197"/>
      <c r="AH96" s="1197"/>
    </row>
    <row r="98" spans="2:34" hidden="1">
      <c r="B98" s="191" t="s">
        <v>184</v>
      </c>
      <c r="C98" s="893">
        <f>AVERAGE(C4:C59)</f>
        <v>713.10533928571408</v>
      </c>
      <c r="D98" s="559"/>
      <c r="E98" s="893">
        <f>AVERAGE(E4:E59)</f>
        <v>1.7984821428571425</v>
      </c>
      <c r="F98" s="191"/>
      <c r="G98" s="893">
        <f>AVERAGE(G4:G59)</f>
        <v>0.85864285714285693</v>
      </c>
      <c r="H98" s="559"/>
      <c r="I98" s="893">
        <f>AVERAGE(I4:I59)</f>
        <v>0.43578571428571433</v>
      </c>
      <c r="J98" s="191"/>
      <c r="K98" s="893">
        <f>AVERAGE(K4:K59)</f>
        <v>2.8214285714285715E-3</v>
      </c>
      <c r="L98" s="191"/>
      <c r="M98" s="893">
        <f>AVERAGE(M4:M59)</f>
        <v>0</v>
      </c>
      <c r="N98" s="559"/>
      <c r="O98" s="893">
        <f>AVERAGE(O4:O59)</f>
        <v>120.47371428571429</v>
      </c>
      <c r="P98" s="191"/>
      <c r="Q98" s="893">
        <f>AVERAGE(Q4:Q59)</f>
        <v>178.15178571428572</v>
      </c>
      <c r="R98" s="559"/>
      <c r="S98" s="893">
        <f>AVERAGE(S4:S59)</f>
        <v>0.51432142857142849</v>
      </c>
      <c r="T98" s="191"/>
      <c r="U98" s="893">
        <f>AVERAGE(U4:U59)</f>
        <v>158.33953571428574</v>
      </c>
      <c r="V98" s="191"/>
      <c r="W98" s="893">
        <f>AVERAGE(W4:W59)</f>
        <v>156.91657142857142</v>
      </c>
      <c r="X98" s="191"/>
      <c r="Y98" s="893">
        <f>AVERAGE(Y4:Y59)</f>
        <v>0.4697142857142857</v>
      </c>
      <c r="Z98" s="191"/>
      <c r="AA98" s="559">
        <f t="shared" ref="AA98:AH98" si="22">AVERAGE(AA4:AA59)</f>
        <v>7.5000000000000002E-4</v>
      </c>
      <c r="AB98" s="565">
        <f t="shared" si="22"/>
        <v>3.857142857142857E-5</v>
      </c>
      <c r="AC98" s="559">
        <f t="shared" si="22"/>
        <v>26.880392857142862</v>
      </c>
      <c r="AD98" s="568">
        <f t="shared" si="22"/>
        <v>0.62410910714285694</v>
      </c>
      <c r="AE98" s="559">
        <f t="shared" si="22"/>
        <v>0.34037499999999998</v>
      </c>
      <c r="AF98" s="565">
        <f t="shared" si="22"/>
        <v>0.2989082142857144</v>
      </c>
      <c r="AG98" s="559">
        <f t="shared" si="22"/>
        <v>49.855625000000011</v>
      </c>
      <c r="AH98" s="565">
        <f t="shared" si="22"/>
        <v>0.29024053571428571</v>
      </c>
    </row>
    <row r="99" spans="2:34" ht="31.75" hidden="1">
      <c r="B99" s="191" t="s">
        <v>185</v>
      </c>
      <c r="C99" s="893" t="str">
        <f xml:space="preserve"> ROUND(MIN(C4:C59),0) &amp; " - " &amp; ROUND(MAX(C4:C59),0)</f>
        <v>330 - 1087</v>
      </c>
      <c r="D99" s="559"/>
      <c r="E99" s="893" t="str">
        <f xml:space="preserve"> ROUND(MIN(E4:E59),0) &amp; " - " &amp; ROUND(MAX(E4:E59),0)</f>
        <v>0 - 41</v>
      </c>
      <c r="F99" s="191"/>
      <c r="G99" s="893" t="str">
        <f xml:space="preserve"> ROUND(MIN(G4:G59),0) &amp; " - " &amp; ROUND(MAX(G4:G59),0)</f>
        <v>0 - 19</v>
      </c>
      <c r="H99" s="559"/>
      <c r="I99" s="893" t="str">
        <f xml:space="preserve"> ROUND(MIN(I4:I59),0) &amp; " - " &amp; ROUND(MAX(I4:I59),0)</f>
        <v>0 - 8</v>
      </c>
      <c r="J99" s="191"/>
      <c r="K99" s="893" t="str">
        <f xml:space="preserve"> ROUND(MIN(K4:K59),0) &amp; " - " &amp; ROUND(MAX(K4:K59),0)</f>
        <v>0 - 0</v>
      </c>
      <c r="L99" s="191"/>
      <c r="M99" s="893" t="str">
        <f xml:space="preserve"> ROUND(MIN(M4:M59),0) &amp; " - " &amp; ROUND(MAX(M4:M59),0)</f>
        <v>0 - 0</v>
      </c>
      <c r="N99" s="559"/>
      <c r="O99" s="893" t="str">
        <f xml:space="preserve"> ROUND(MIN(O4:O59),0) &amp; " - " &amp; ROUND(MAX(O4:O59),0)</f>
        <v>68 - 329</v>
      </c>
      <c r="P99" s="191"/>
      <c r="Q99" s="893" t="str">
        <f xml:space="preserve"> ROUND(MIN(Q4:Q59),0) &amp; " - " &amp; ROUND(MAX(Q4:Q59),0)</f>
        <v>89 - 247</v>
      </c>
      <c r="R99" s="559"/>
      <c r="S99" s="893" t="str">
        <f xml:space="preserve"> ROUND(MIN(S4:S59),0) &amp; " - " &amp; ROUND(MAX(S4:S59),0)</f>
        <v>0 - 5</v>
      </c>
      <c r="T99" s="191"/>
      <c r="U99" s="893" t="str">
        <f xml:space="preserve"> ROUND(MIN(U4:U59),0) &amp; " - " &amp; ROUND(MAX(U4:U59),0)</f>
        <v>0 - 233</v>
      </c>
      <c r="V99" s="191"/>
      <c r="W99" s="893" t="str">
        <f xml:space="preserve"> ROUND(MIN(W4:W59),0) &amp; " - " &amp; ROUND(MAX(W4:W59),0)</f>
        <v>0 - 232</v>
      </c>
      <c r="X99" s="191"/>
      <c r="Y99" s="893" t="str">
        <f xml:space="preserve"> ROUND(MIN(Y4:Y59),0) &amp; " - " &amp; ROUND(MAX(Y4:Y59),0)</f>
        <v>0 - 8</v>
      </c>
      <c r="Z99" s="191"/>
      <c r="AA99" s="559" t="str">
        <f t="shared" ref="AA99:AH99" si="23" xml:space="preserve"> ROUND(MIN(AA4:AA59),0) &amp; " - " &amp; ROUND(MAX(AA4:AA59),0)</f>
        <v>0 - 0</v>
      </c>
      <c r="AB99" s="565" t="str">
        <f t="shared" si="23"/>
        <v>0 - 0</v>
      </c>
      <c r="AC99" s="559" t="str">
        <f t="shared" si="23"/>
        <v>12 - 61</v>
      </c>
      <c r="AD99" s="568" t="str">
        <f t="shared" si="23"/>
        <v>0 - 3</v>
      </c>
      <c r="AE99" s="559" t="str">
        <f t="shared" si="23"/>
        <v>0 - 4</v>
      </c>
      <c r="AF99" s="565" t="str">
        <f t="shared" si="23"/>
        <v>0 - 3</v>
      </c>
      <c r="AG99" s="559" t="str">
        <f t="shared" si="23"/>
        <v>1 - 393</v>
      </c>
      <c r="AH99" s="565" t="str">
        <f t="shared" si="23"/>
        <v>0 - 2</v>
      </c>
    </row>
    <row r="100" spans="2:34" hidden="1">
      <c r="B100" s="191" t="s">
        <v>186</v>
      </c>
      <c r="C100" s="893" t="e">
        <f>AVERAGE(#REF!)</f>
        <v>#REF!</v>
      </c>
      <c r="D100" s="559"/>
      <c r="E100" s="893" t="e">
        <f>AVERAGE(#REF!)</f>
        <v>#REF!</v>
      </c>
      <c r="F100" s="191"/>
      <c r="G100" s="893" t="e">
        <f>AVERAGE(#REF!)</f>
        <v>#REF!</v>
      </c>
      <c r="H100" s="559"/>
      <c r="I100" s="893" t="e">
        <f>AVERAGE(#REF!)</f>
        <v>#REF!</v>
      </c>
      <c r="J100" s="191"/>
      <c r="K100" s="893" t="e">
        <f>AVERAGE(#REF!)</f>
        <v>#REF!</v>
      </c>
      <c r="L100" s="191"/>
      <c r="M100" s="893" t="e">
        <f>AVERAGE(#REF!)</f>
        <v>#REF!</v>
      </c>
      <c r="N100" s="559"/>
      <c r="O100" s="893" t="e">
        <f>AVERAGE(#REF!)</f>
        <v>#REF!</v>
      </c>
      <c r="P100" s="191"/>
      <c r="Q100" s="893" t="e">
        <f>AVERAGE(#REF!)</f>
        <v>#REF!</v>
      </c>
      <c r="R100" s="559"/>
      <c r="S100" s="893" t="e">
        <f>AVERAGE(#REF!)</f>
        <v>#REF!</v>
      </c>
      <c r="T100" s="191"/>
      <c r="U100" s="893" t="e">
        <f>AVERAGE(#REF!)</f>
        <v>#REF!</v>
      </c>
      <c r="V100" s="191"/>
      <c r="W100" s="893" t="e">
        <f>AVERAGE(#REF!)</f>
        <v>#REF!</v>
      </c>
      <c r="X100" s="191"/>
      <c r="Y100" s="893" t="e">
        <f>AVERAGE(#REF!)</f>
        <v>#REF!</v>
      </c>
      <c r="Z100" s="191"/>
      <c r="AA100" s="559" t="e">
        <f>AVERAGE(#REF!)</f>
        <v>#REF!</v>
      </c>
      <c r="AB100" s="565" t="e">
        <f>AVERAGE(#REF!)</f>
        <v>#REF!</v>
      </c>
      <c r="AC100" s="559" t="e">
        <f>AVERAGE(#REF!)</f>
        <v>#REF!</v>
      </c>
      <c r="AD100" s="568" t="e">
        <f>AVERAGE(#REF!)</f>
        <v>#REF!</v>
      </c>
      <c r="AE100" s="559" t="e">
        <f>AVERAGE(#REF!)</f>
        <v>#REF!</v>
      </c>
      <c r="AF100" s="565" t="e">
        <f>AVERAGE(#REF!)</f>
        <v>#REF!</v>
      </c>
      <c r="AG100" s="559" t="e">
        <f>AVERAGE(#REF!)</f>
        <v>#REF!</v>
      </c>
      <c r="AH100" s="565" t="e">
        <f>AVERAGE(#REF!)</f>
        <v>#REF!</v>
      </c>
    </row>
    <row r="101" spans="2:34" hidden="1">
      <c r="B101" s="191" t="s">
        <v>187</v>
      </c>
      <c r="C101" s="893" t="e">
        <f>ROUND( MIN(#REF!),0) &amp; " - " &amp; ROUND(MAX(#REF!),0)</f>
        <v>#REF!</v>
      </c>
      <c r="D101" s="559"/>
      <c r="E101" s="893" t="e">
        <f>ROUND( MIN(#REF!),0) &amp; " - " &amp; ROUND(MAX(#REF!),0)</f>
        <v>#REF!</v>
      </c>
      <c r="F101" s="191"/>
      <c r="G101" s="893" t="e">
        <f>ROUND( MIN(#REF!),0) &amp; " - " &amp; ROUND(MAX(#REF!),0)</f>
        <v>#REF!</v>
      </c>
      <c r="H101" s="559"/>
      <c r="I101" s="893" t="e">
        <f>ROUND( MIN(#REF!),0) &amp; " - " &amp; ROUND(MAX(#REF!),0)</f>
        <v>#REF!</v>
      </c>
      <c r="J101" s="191"/>
      <c r="K101" s="893" t="e">
        <f>ROUND( MIN(#REF!),0) &amp; " - " &amp; ROUND(MAX(#REF!),0)</f>
        <v>#REF!</v>
      </c>
      <c r="L101" s="191"/>
      <c r="M101" s="893" t="e">
        <f>ROUND( MIN(#REF!),0) &amp; " - " &amp; ROUND(MAX(#REF!),0)</f>
        <v>#REF!</v>
      </c>
      <c r="N101" s="559"/>
      <c r="O101" s="893" t="e">
        <f>ROUND( MIN(#REF!),0) &amp; " - " &amp; ROUND(MAX(#REF!),0)</f>
        <v>#REF!</v>
      </c>
      <c r="P101" s="191"/>
      <c r="Q101" s="893" t="e">
        <f>ROUND( MIN(#REF!),0) &amp; " - " &amp; ROUND(MAX(#REF!),0)</f>
        <v>#REF!</v>
      </c>
      <c r="R101" s="559"/>
      <c r="S101" s="893" t="e">
        <f>ROUND( MIN(#REF!),0) &amp; " - " &amp; ROUND(MAX(#REF!),0)</f>
        <v>#REF!</v>
      </c>
      <c r="T101" s="191"/>
      <c r="U101" s="893" t="e">
        <f>ROUND( MIN(#REF!),0) &amp; " - " &amp; ROUND(MAX(#REF!),0)</f>
        <v>#REF!</v>
      </c>
      <c r="V101" s="191"/>
      <c r="W101" s="893" t="e">
        <f>ROUND( MIN(#REF!),0) &amp; " - " &amp; ROUND(MAX(#REF!),0)</f>
        <v>#REF!</v>
      </c>
      <c r="X101" s="191"/>
      <c r="Y101" s="893" t="e">
        <f>ROUND( MIN(#REF!),0) &amp; " - " &amp; ROUND(MAX(#REF!),0)</f>
        <v>#REF!</v>
      </c>
      <c r="Z101" s="191"/>
      <c r="AA101" s="559" t="e">
        <f>ROUND( MIN(#REF!),0) &amp; " - " &amp; ROUND(MAX(#REF!),0)</f>
        <v>#REF!</v>
      </c>
      <c r="AB101" s="565" t="e">
        <f>ROUND( MIN(#REF!),0) &amp; " - " &amp; ROUND(MAX(#REF!),0)</f>
        <v>#REF!</v>
      </c>
      <c r="AC101" s="559" t="e">
        <f>ROUND( MIN(#REF!),0) &amp; " - " &amp; ROUND(MAX(#REF!),0)</f>
        <v>#REF!</v>
      </c>
      <c r="AD101" s="568" t="e">
        <f>ROUND( MIN(#REF!),0) &amp; " - " &amp; ROUND(MAX(#REF!),0)</f>
        <v>#REF!</v>
      </c>
      <c r="AE101" s="559" t="e">
        <f>ROUND( MIN(#REF!),0) &amp; " - " &amp; ROUND(MAX(#REF!),0)</f>
        <v>#REF!</v>
      </c>
      <c r="AF101" s="565" t="e">
        <f>ROUND( MIN(#REF!),0) &amp; " - " &amp; ROUND(MAX(#REF!),0)</f>
        <v>#REF!</v>
      </c>
      <c r="AG101" s="559" t="e">
        <f>ROUND( MIN(#REF!),0) &amp; " - " &amp; ROUND(MAX(#REF!),0)</f>
        <v>#REF!</v>
      </c>
      <c r="AH101" s="565" t="e">
        <f>ROUND( MIN(#REF!),0) &amp; " - " &amp; ROUND(MAX(#REF!),0)</f>
        <v>#REF!</v>
      </c>
    </row>
    <row r="102" spans="2:34" hidden="1">
      <c r="B102" s="191" t="s">
        <v>188</v>
      </c>
      <c r="C102" s="893">
        <f>AVERAGE(C60:C88)</f>
        <v>846.99193103448272</v>
      </c>
      <c r="D102" s="559"/>
      <c r="E102" s="893">
        <f>AVERAGE(E60:E88)</f>
        <v>27.277000000000005</v>
      </c>
      <c r="F102" s="191"/>
      <c r="G102" s="893">
        <f>AVERAGE(G60:G88)</f>
        <v>9.3907586206896561</v>
      </c>
      <c r="H102" s="559"/>
      <c r="I102" s="893">
        <f>AVERAGE(I60:I88)</f>
        <v>7.8214827586206921</v>
      </c>
      <c r="J102" s="191"/>
      <c r="K102" s="893">
        <f>AVERAGE(K60:K88)</f>
        <v>0.10710344827586207</v>
      </c>
      <c r="L102" s="191"/>
      <c r="M102" s="893">
        <f>AVERAGE(M60:M88)</f>
        <v>2.4013793103448275</v>
      </c>
      <c r="N102" s="559"/>
      <c r="O102" s="893">
        <f>AVERAGE(O60:O88)</f>
        <v>200.92944827586206</v>
      </c>
      <c r="P102" s="191"/>
      <c r="Q102" s="893">
        <f>AVERAGE(Q60:Q88)</f>
        <v>196.51527586206896</v>
      </c>
      <c r="R102" s="559"/>
      <c r="S102" s="893">
        <f>AVERAGE(S60:S88)</f>
        <v>0.85975862068965514</v>
      </c>
      <c r="T102" s="191"/>
      <c r="U102" s="893">
        <f>AVERAGE(U60:U88)</f>
        <v>179.2636206896552</v>
      </c>
      <c r="V102" s="191"/>
      <c r="W102" s="893">
        <f>AVERAGE(W60:W88)</f>
        <v>174.12051724137928</v>
      </c>
      <c r="X102" s="191"/>
      <c r="Y102" s="893">
        <f>AVERAGE(Y60:Y88)</f>
        <v>1.4152758620689658</v>
      </c>
      <c r="Z102" s="191"/>
      <c r="AA102" s="559">
        <f t="shared" ref="AA102:AH102" si="24">AVERAGE(AA60:AA88)</f>
        <v>7.9344827586206895E-2</v>
      </c>
      <c r="AB102" s="565">
        <f t="shared" si="24"/>
        <v>0.12310965517241376</v>
      </c>
      <c r="AC102" s="559">
        <f t="shared" si="24"/>
        <v>36.1166551724138</v>
      </c>
      <c r="AD102" s="568">
        <f t="shared" si="24"/>
        <v>0.92256448275862102</v>
      </c>
      <c r="AE102" s="559">
        <f t="shared" si="24"/>
        <v>0.78665517241379324</v>
      </c>
      <c r="AF102" s="565">
        <f t="shared" si="24"/>
        <v>1.5823162068965517</v>
      </c>
      <c r="AG102" s="559">
        <f t="shared" si="24"/>
        <v>100.43593103448275</v>
      </c>
      <c r="AH102" s="565">
        <f t="shared" si="24"/>
        <v>0.94495862068965519</v>
      </c>
    </row>
    <row r="103" spans="2:34" ht="31.75" hidden="1">
      <c r="B103" s="191" t="s">
        <v>189</v>
      </c>
      <c r="C103" s="893" t="str">
        <f>ROUND( MIN(C60:C88),0) &amp; " - " &amp; ROUND(MAX(C60:C88),0)</f>
        <v>345 - 1061</v>
      </c>
      <c r="D103" s="559"/>
      <c r="E103" s="893" t="str">
        <f>ROUND( MIN(E60:E88),0) &amp; " - " &amp; ROUND(MAX(E60:E88),0)</f>
        <v>0 - 80</v>
      </c>
      <c r="F103" s="191"/>
      <c r="G103" s="893" t="str">
        <f>ROUND( MIN(G60:G88),0) &amp; " - " &amp; ROUND(MAX(G60:G88),0)</f>
        <v>0 - 16</v>
      </c>
      <c r="H103" s="559"/>
      <c r="I103" s="893" t="str">
        <f>ROUND( MIN(I60:I88),0) &amp; " - " &amp; ROUND(MAX(I60:I88),0)</f>
        <v>0 - 12</v>
      </c>
      <c r="J103" s="191"/>
      <c r="K103" s="893" t="str">
        <f>ROUND( MIN(K60:K88),0) &amp; " - " &amp; ROUND(MAX(K60:K88),0)</f>
        <v>0 - 2</v>
      </c>
      <c r="L103" s="191"/>
      <c r="M103" s="893" t="str">
        <f>ROUND( MIN(M60:M88),0) &amp; " - " &amp; ROUND(MAX(M60:M88),0)</f>
        <v>0 - 16</v>
      </c>
      <c r="N103" s="559"/>
      <c r="O103" s="893" t="str">
        <f>ROUND( MIN(O60:O88),0) &amp; " - " &amp; ROUND(MAX(O60:O88),0)</f>
        <v>70 - 500</v>
      </c>
      <c r="P103" s="191"/>
      <c r="Q103" s="893" t="str">
        <f>ROUND( MIN(Q60:Q88),0) &amp; " - " &amp; ROUND(MAX(Q60:Q88),0)</f>
        <v>121 - 243</v>
      </c>
      <c r="R103" s="559"/>
      <c r="S103" s="893" t="str">
        <f>ROUND( MIN(S60:S88),0) &amp; " - " &amp; ROUND(MAX(S60:S88),0)</f>
        <v>0 - 2</v>
      </c>
      <c r="T103" s="191"/>
      <c r="U103" s="893" t="str">
        <f>ROUND( MIN(U60:U88),0) &amp; " - " &amp; ROUND(MAX(U60:U88),0)</f>
        <v>0 - 229</v>
      </c>
      <c r="V103" s="191"/>
      <c r="W103" s="893" t="str">
        <f>ROUND( MIN(W60:W88),0) &amp; " - " &amp; ROUND(MAX(W60:W88),0)</f>
        <v>0 - 228</v>
      </c>
      <c r="X103" s="191"/>
      <c r="Y103" s="893" t="str">
        <f>ROUND( MIN(Y60:Y88),0) &amp; " - " &amp; ROUND(MAX(Y60:Y88),0)</f>
        <v>0 - 3</v>
      </c>
      <c r="Z103" s="191"/>
      <c r="AA103" s="559" t="str">
        <f t="shared" ref="AA103:AH103" si="25">ROUND( MIN(AA60:AA88),0) &amp; " - " &amp; ROUND(MAX(AA60:AA88),0)</f>
        <v>0 - 2</v>
      </c>
      <c r="AB103" s="565" t="str">
        <f t="shared" si="25"/>
        <v>0 - 3</v>
      </c>
      <c r="AC103" s="559" t="str">
        <f t="shared" si="25"/>
        <v>20 - 103</v>
      </c>
      <c r="AD103" s="568" t="str">
        <f t="shared" si="25"/>
        <v>0 - 4</v>
      </c>
      <c r="AE103" s="559" t="str">
        <f t="shared" si="25"/>
        <v>0 - 2</v>
      </c>
      <c r="AF103" s="565" t="str">
        <f t="shared" si="25"/>
        <v>0 - 13</v>
      </c>
      <c r="AG103" s="559" t="str">
        <f t="shared" si="25"/>
        <v>3 - 338</v>
      </c>
      <c r="AH103" s="565" t="str">
        <f t="shared" si="25"/>
        <v>0 - 8</v>
      </c>
    </row>
    <row r="104" spans="2:34" hidden="1">
      <c r="B104" s="191" t="s">
        <v>190</v>
      </c>
      <c r="C104" s="893">
        <f>AVERAGE(C89:C94)</f>
        <v>910.22416666666675</v>
      </c>
      <c r="D104" s="559"/>
      <c r="E104" s="893">
        <f>AVERAGE(E89:E94)</f>
        <v>72.831833333333336</v>
      </c>
      <c r="F104" s="191"/>
      <c r="G104" s="893">
        <f>AVERAGE(G89:G94)</f>
        <v>13.605833333333331</v>
      </c>
      <c r="H104" s="559"/>
      <c r="I104" s="893">
        <f>AVERAGE(I89:I94)</f>
        <v>8.6206666666666667</v>
      </c>
      <c r="J104" s="191"/>
      <c r="K104" s="893">
        <f>AVERAGE(K89:K94)</f>
        <v>0</v>
      </c>
      <c r="L104" s="191"/>
      <c r="M104" s="893">
        <f>AVERAGE(M89:M94)</f>
        <v>3.7681666666666662</v>
      </c>
      <c r="N104" s="559"/>
      <c r="O104" s="893">
        <f>AVERAGE(O89:O94)</f>
        <v>200.35133333333329</v>
      </c>
      <c r="P104" s="191"/>
      <c r="Q104" s="893">
        <f>AVERAGE(Q89:Q94)</f>
        <v>211.44500000000002</v>
      </c>
      <c r="R104" s="559"/>
      <c r="S104" s="893">
        <f>AVERAGE(S89:S94)</f>
        <v>1.9723333333333333</v>
      </c>
      <c r="T104" s="191"/>
      <c r="U104" s="893">
        <f>AVERAGE(U89:U94)</f>
        <v>196.4325</v>
      </c>
      <c r="V104" s="191"/>
      <c r="W104" s="893">
        <f>AVERAGE(W89:W94)</f>
        <v>187.20650000000001</v>
      </c>
      <c r="X104" s="191"/>
      <c r="Y104" s="893">
        <f>AVERAGE(Y89:Y94)</f>
        <v>3.0199999999999996</v>
      </c>
      <c r="Z104" s="191"/>
      <c r="AA104" s="559">
        <f t="shared" ref="AA104:AH104" si="26">AVERAGE(AA89:AA94)</f>
        <v>2.3666666666666669E-2</v>
      </c>
      <c r="AB104" s="565">
        <f t="shared" si="26"/>
        <v>0.11850000000000001</v>
      </c>
      <c r="AC104" s="559">
        <f t="shared" si="26"/>
        <v>43.417666666666662</v>
      </c>
      <c r="AD104" s="568">
        <f t="shared" si="26"/>
        <v>3.3398333333333335E-2</v>
      </c>
      <c r="AE104" s="559">
        <f t="shared" si="26"/>
        <v>1.6918333333333333</v>
      </c>
      <c r="AF104" s="565">
        <f t="shared" si="26"/>
        <v>9.3990000000000004E-2</v>
      </c>
      <c r="AG104" s="559">
        <f t="shared" si="26"/>
        <v>182.89133333333334</v>
      </c>
      <c r="AH104" s="565">
        <f t="shared" si="26"/>
        <v>3.8911666666666657E-2</v>
      </c>
    </row>
    <row r="105" spans="2:34" ht="31.75" hidden="1">
      <c r="B105" s="191" t="s">
        <v>191</v>
      </c>
      <c r="C105" s="893" t="str">
        <f>ROUND( MIN(C89:C94),0) &amp; " - " &amp;ROUND( MAX(C89:C94),0)</f>
        <v>592 - 1145</v>
      </c>
      <c r="D105" s="559"/>
      <c r="E105" s="893" t="str">
        <f>ROUND( MIN(E89:E94),0) &amp; " - " &amp;ROUND( MAX(E89:E94),0)</f>
        <v>0 - 162</v>
      </c>
      <c r="F105" s="191"/>
      <c r="G105" s="893" t="str">
        <f>ROUND( MIN(G89:G94),0) &amp; " - " &amp;ROUND( MAX(G89:G94),0)</f>
        <v>0 - 26</v>
      </c>
      <c r="H105" s="559"/>
      <c r="I105" s="893" t="str">
        <f>ROUND( MIN(I89:I94),0) &amp; " - " &amp;ROUND( MAX(I89:I94),0)</f>
        <v>0 - 16</v>
      </c>
      <c r="J105" s="191"/>
      <c r="K105" s="893" t="str">
        <f>ROUND( MIN(K89:K94),0) &amp; " - " &amp;ROUND( MAX(K89:K94),0)</f>
        <v>0 - 0</v>
      </c>
      <c r="L105" s="191"/>
      <c r="M105" s="893" t="str">
        <f>ROUND( MIN(M89:M94),0) &amp; " - " &amp;ROUND( MAX(M89:M94),0)</f>
        <v>0 - 16</v>
      </c>
      <c r="N105" s="559"/>
      <c r="O105" s="893" t="str">
        <f>ROUND( MIN(O89:O94),0) &amp; " - " &amp;ROUND( MAX(O89:O94),0)</f>
        <v>31 - 326</v>
      </c>
      <c r="P105" s="191"/>
      <c r="Q105" s="893" t="str">
        <f>ROUND( MIN(Q89:Q94),0) &amp; " - " &amp;ROUND( MAX(Q89:Q94),0)</f>
        <v>154 - 259</v>
      </c>
      <c r="R105" s="559"/>
      <c r="S105" s="893" t="str">
        <f>ROUND( MIN(S89:S94),0) &amp; " - " &amp;ROUND( MAX(S89:S94),0)</f>
        <v>0 - 5</v>
      </c>
      <c r="T105" s="191"/>
      <c r="U105" s="893" t="str">
        <f>ROUND( MIN(U89:U94),0) &amp; " - " &amp;ROUND( MAX(U89:U94),0)</f>
        <v>147 - 231</v>
      </c>
      <c r="V105" s="191"/>
      <c r="W105" s="893" t="str">
        <f>ROUND( MIN(W89:W94),0) &amp; " - " &amp;ROUND( MAX(W89:W94),0)</f>
        <v>146 - 213</v>
      </c>
      <c r="X105" s="191"/>
      <c r="Y105" s="893" t="str">
        <f>ROUND( MIN(Y89:Y94),0) &amp; " - " &amp;ROUND( MAX(Y89:Y94),0)</f>
        <v>0 - 7</v>
      </c>
      <c r="Z105" s="191"/>
      <c r="AA105" s="559" t="str">
        <f t="shared" ref="AA105:AH105" si="27">ROUND( MIN(AA89:AA94),0) &amp; " - " &amp;ROUND( MAX(AA89:AA94),0)</f>
        <v>0 - 0</v>
      </c>
      <c r="AB105" s="565" t="str">
        <f t="shared" si="27"/>
        <v>0 - 0</v>
      </c>
      <c r="AC105" s="559" t="str">
        <f t="shared" si="27"/>
        <v>21 - 64</v>
      </c>
      <c r="AD105" s="568" t="str">
        <f t="shared" si="27"/>
        <v>0 - 0</v>
      </c>
      <c r="AE105" s="559" t="str">
        <f t="shared" si="27"/>
        <v>0 - 3</v>
      </c>
      <c r="AF105" s="565" t="str">
        <f t="shared" si="27"/>
        <v>0 - 0</v>
      </c>
      <c r="AG105" s="559" t="str">
        <f t="shared" si="27"/>
        <v>4 - 392</v>
      </c>
      <c r="AH105" s="565" t="str">
        <f t="shared" si="27"/>
        <v>0 - 0</v>
      </c>
    </row>
  </sheetData>
  <autoFilter ref="A3:AL94" xr:uid="{00000000-0001-0000-0400-000000000000}">
    <filterColumn colId="0">
      <filters>
        <filter val="Sugar Free"/>
      </filters>
    </filterColumn>
    <sortState xmlns:xlrd2="http://schemas.microsoft.com/office/spreadsheetml/2017/richdata2" ref="A5:AL94">
      <sortCondition descending="1" ref="P3:P94"/>
    </sortState>
  </autoFilter>
  <mergeCells count="3">
    <mergeCell ref="B1:AH1"/>
    <mergeCell ref="B2:AH2"/>
    <mergeCell ref="B96:AH96"/>
  </mergeCells>
  <pageMargins left="0.7" right="0.7" top="0.75" bottom="0.75" header="0.3" footer="0.3"/>
  <pageSetup scale="43" fitToHeight="0" orientation="landscape" r:id="rId1"/>
  <headerFooter>
    <oddHeader xml:space="preserve">&amp;R&amp;14 2024 Nutrition Information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V212"/>
  <sheetViews>
    <sheetView view="pageLayout" topLeftCell="A89" zoomScale="77" zoomScaleNormal="80" zoomScalePageLayoutView="77" workbookViewId="0">
      <selection activeCell="I100" sqref="I100"/>
    </sheetView>
    <sheetView workbookViewId="1">
      <selection sqref="A1:V1"/>
    </sheetView>
    <sheetView workbookViewId="2">
      <selection sqref="A1:V1"/>
    </sheetView>
  </sheetViews>
  <sheetFormatPr defaultColWidth="8.84375" defaultRowHeight="15.9"/>
  <cols>
    <col min="1" max="1" width="6.53515625" style="179" customWidth="1"/>
    <col min="2" max="2" width="42.84375" style="179" customWidth="1"/>
    <col min="3" max="3" width="14" style="179" customWidth="1"/>
    <col min="4" max="4" width="10.53515625" style="179" customWidth="1"/>
    <col min="5" max="5" width="8.53515625" style="179" customWidth="1"/>
    <col min="6" max="6" width="11.53515625" style="179" customWidth="1"/>
    <col min="7" max="7" width="8.53515625" style="179" customWidth="1"/>
    <col min="8" max="8" width="13" style="179" customWidth="1"/>
    <col min="9" max="9" width="9" style="179" customWidth="1"/>
    <col min="10" max="10" width="16.84375" style="179" customWidth="1"/>
    <col min="11" max="11" width="9" style="179" customWidth="1"/>
    <col min="12" max="12" width="7.84375" style="179" customWidth="1"/>
    <col min="13" max="13" width="9" style="179" customWidth="1"/>
    <col min="14" max="16" width="11.53515625" style="179" customWidth="1"/>
    <col min="17" max="17" width="9" style="179" customWidth="1"/>
    <col min="18" max="16384" width="8.84375" style="179"/>
  </cols>
  <sheetData>
    <row r="1" spans="1:22" ht="22.5" customHeight="1">
      <c r="A1" s="1207" t="s">
        <v>177</v>
      </c>
      <c r="B1" s="1208"/>
      <c r="C1" s="1208"/>
      <c r="D1" s="1208"/>
      <c r="E1" s="1208"/>
      <c r="F1" s="1208"/>
      <c r="G1" s="1208"/>
      <c r="H1" s="1208"/>
      <c r="I1" s="1208"/>
      <c r="J1" s="1208"/>
      <c r="K1" s="1208"/>
      <c r="L1" s="1208"/>
      <c r="M1" s="1208"/>
      <c r="N1" s="1208"/>
      <c r="O1" s="1208"/>
      <c r="P1" s="1208"/>
      <c r="Q1" s="1208"/>
      <c r="R1" s="1208"/>
      <c r="S1" s="1208"/>
      <c r="T1" s="1208"/>
      <c r="U1" s="1208"/>
      <c r="V1" s="1208"/>
    </row>
    <row r="2" spans="1:22" ht="21.75" customHeight="1">
      <c r="A2" s="1214" t="s">
        <v>339</v>
      </c>
      <c r="B2" s="1215"/>
      <c r="C2" s="1215"/>
      <c r="D2" s="1215"/>
      <c r="E2" s="1215"/>
      <c r="F2" s="1215"/>
      <c r="G2" s="1215"/>
      <c r="H2" s="1215"/>
      <c r="I2" s="1215"/>
      <c r="J2" s="1215"/>
      <c r="K2" s="1215"/>
      <c r="L2" s="1215"/>
      <c r="M2" s="1215"/>
      <c r="N2" s="1215"/>
      <c r="O2" s="1215"/>
      <c r="P2" s="1215"/>
      <c r="Q2" s="1215"/>
      <c r="R2" s="1215"/>
      <c r="S2" s="1215"/>
      <c r="T2" s="1215"/>
      <c r="U2" s="1215"/>
      <c r="V2" s="1215"/>
    </row>
    <row r="3" spans="1:22" ht="21" customHeight="1" thickBot="1">
      <c r="A3" s="1209" t="s">
        <v>340</v>
      </c>
      <c r="B3" s="1210"/>
      <c r="C3" s="1210"/>
      <c r="D3" s="1210"/>
      <c r="E3" s="1210"/>
      <c r="F3" s="1210"/>
      <c r="G3" s="1210"/>
      <c r="H3" s="1210"/>
      <c r="I3" s="1210"/>
      <c r="J3" s="1210"/>
      <c r="K3" s="1210"/>
      <c r="L3" s="1210"/>
      <c r="M3" s="1210"/>
      <c r="N3" s="1210"/>
      <c r="O3" s="1210"/>
      <c r="P3" s="1210"/>
      <c r="Q3" s="1210"/>
      <c r="R3" s="1210"/>
      <c r="S3" s="1210"/>
      <c r="T3" s="1210"/>
      <c r="U3" s="1210"/>
      <c r="V3" s="1210"/>
    </row>
    <row r="4" spans="1:22" s="223" customFormat="1" ht="39.75" customHeight="1">
      <c r="A4" s="279"/>
      <c r="B4" s="193" t="s">
        <v>3</v>
      </c>
      <c r="C4" s="193" t="s">
        <v>4</v>
      </c>
      <c r="D4" s="193" t="s">
        <v>5</v>
      </c>
      <c r="E4" s="193" t="s">
        <v>6</v>
      </c>
      <c r="F4" s="193" t="s">
        <v>7</v>
      </c>
      <c r="G4" s="193" t="s">
        <v>8</v>
      </c>
      <c r="H4" s="193" t="s">
        <v>9</v>
      </c>
      <c r="I4" s="193" t="s">
        <v>10</v>
      </c>
      <c r="J4" s="193" t="s">
        <v>11</v>
      </c>
      <c r="K4" s="193" t="s">
        <v>12</v>
      </c>
      <c r="L4" s="193" t="s">
        <v>13</v>
      </c>
      <c r="M4" s="193" t="s">
        <v>14</v>
      </c>
      <c r="N4" s="193" t="s">
        <v>15</v>
      </c>
      <c r="O4" s="194" t="s">
        <v>16</v>
      </c>
      <c r="P4" s="194" t="s">
        <v>17</v>
      </c>
      <c r="Q4" s="194" t="s">
        <v>18</v>
      </c>
      <c r="R4" s="194" t="s">
        <v>19</v>
      </c>
      <c r="S4" s="194" t="s">
        <v>20</v>
      </c>
      <c r="T4" s="194" t="s">
        <v>21</v>
      </c>
      <c r="U4" s="194" t="s">
        <v>22</v>
      </c>
      <c r="V4" s="194" t="s">
        <v>23</v>
      </c>
    </row>
    <row r="5" spans="1:22" s="223" customFormat="1" ht="15.75" customHeight="1">
      <c r="A5" s="1199" t="s">
        <v>24</v>
      </c>
      <c r="B5" s="186" t="s">
        <v>25</v>
      </c>
      <c r="C5" s="254">
        <v>80</v>
      </c>
      <c r="D5" s="254">
        <v>0</v>
      </c>
      <c r="E5" s="254">
        <v>0</v>
      </c>
      <c r="F5" s="254">
        <v>0</v>
      </c>
      <c r="G5" s="254">
        <v>0</v>
      </c>
      <c r="H5" s="254">
        <v>0</v>
      </c>
      <c r="I5" s="254">
        <v>15</v>
      </c>
      <c r="J5" s="254">
        <v>19</v>
      </c>
      <c r="K5" s="254">
        <v>0</v>
      </c>
      <c r="L5" s="254">
        <v>19</v>
      </c>
      <c r="M5" s="254">
        <v>18</v>
      </c>
      <c r="N5" s="254">
        <v>0</v>
      </c>
      <c r="O5" s="254">
        <v>0</v>
      </c>
      <c r="P5" s="254">
        <v>0</v>
      </c>
      <c r="Q5" s="254">
        <v>3</v>
      </c>
      <c r="R5" s="254">
        <v>0</v>
      </c>
      <c r="S5" s="254">
        <v>0</v>
      </c>
      <c r="T5" s="254">
        <v>0</v>
      </c>
      <c r="U5" s="254">
        <v>7</v>
      </c>
      <c r="V5" s="254">
        <v>0</v>
      </c>
    </row>
    <row r="6" spans="1:22" s="223" customFormat="1" ht="15" customHeight="1">
      <c r="A6" s="1199"/>
      <c r="B6" s="186" t="s">
        <v>26</v>
      </c>
      <c r="C6" s="195">
        <v>90</v>
      </c>
      <c r="D6" s="195">
        <v>0</v>
      </c>
      <c r="E6" s="195">
        <v>0</v>
      </c>
      <c r="F6" s="195">
        <v>0</v>
      </c>
      <c r="G6" s="195">
        <v>0</v>
      </c>
      <c r="H6" s="195">
        <v>0</v>
      </c>
      <c r="I6" s="195">
        <v>10</v>
      </c>
      <c r="J6" s="195">
        <v>23</v>
      </c>
      <c r="K6" s="195">
        <v>0</v>
      </c>
      <c r="L6" s="195">
        <v>22</v>
      </c>
      <c r="M6" s="195">
        <v>21</v>
      </c>
      <c r="N6" s="195">
        <v>0</v>
      </c>
      <c r="O6" s="188">
        <v>0</v>
      </c>
      <c r="P6" s="188">
        <v>0</v>
      </c>
      <c r="Q6" s="188">
        <v>2</v>
      </c>
      <c r="R6" s="188">
        <v>0</v>
      </c>
      <c r="S6" s="188">
        <v>0</v>
      </c>
      <c r="T6" s="188">
        <v>0</v>
      </c>
      <c r="U6" s="188">
        <v>18</v>
      </c>
      <c r="V6" s="188">
        <v>0</v>
      </c>
    </row>
    <row r="7" spans="1:22" hidden="1">
      <c r="A7" s="1199"/>
      <c r="B7" s="186" t="s">
        <v>27</v>
      </c>
      <c r="C7" s="195">
        <v>60</v>
      </c>
      <c r="D7" s="195">
        <v>0</v>
      </c>
      <c r="E7" s="195">
        <v>0</v>
      </c>
      <c r="F7" s="195">
        <v>0</v>
      </c>
      <c r="G7" s="195">
        <v>0</v>
      </c>
      <c r="H7" s="195">
        <v>0</v>
      </c>
      <c r="I7" s="195">
        <v>10</v>
      </c>
      <c r="J7" s="195">
        <v>16</v>
      </c>
      <c r="K7" s="195">
        <v>0</v>
      </c>
      <c r="L7" s="195">
        <v>15</v>
      </c>
      <c r="M7" s="195">
        <v>15</v>
      </c>
      <c r="N7" s="195">
        <v>0</v>
      </c>
      <c r="O7" s="188">
        <v>0</v>
      </c>
      <c r="P7" s="188">
        <v>0</v>
      </c>
      <c r="Q7" s="195">
        <v>2.4495499999999999</v>
      </c>
      <c r="R7" s="195">
        <v>0</v>
      </c>
      <c r="S7" s="195">
        <v>2.9039999999999999E-3</v>
      </c>
      <c r="T7" s="195">
        <v>0</v>
      </c>
      <c r="U7" s="195">
        <v>0</v>
      </c>
      <c r="V7" s="195">
        <v>0</v>
      </c>
    </row>
    <row r="8" spans="1:22" hidden="1">
      <c r="A8" s="1199"/>
      <c r="B8" s="186" t="s">
        <v>28</v>
      </c>
      <c r="C8" s="195">
        <v>70</v>
      </c>
      <c r="D8" s="195">
        <v>0</v>
      </c>
      <c r="E8" s="195">
        <v>0</v>
      </c>
      <c r="F8" s="195">
        <v>0</v>
      </c>
      <c r="G8" s="195">
        <v>0</v>
      </c>
      <c r="H8" s="195">
        <v>0</v>
      </c>
      <c r="I8" s="195">
        <v>10</v>
      </c>
      <c r="J8" s="195">
        <v>19</v>
      </c>
      <c r="K8" s="195">
        <v>0</v>
      </c>
      <c r="L8" s="195">
        <v>18</v>
      </c>
      <c r="M8" s="195">
        <v>18</v>
      </c>
      <c r="N8" s="195">
        <v>0</v>
      </c>
      <c r="O8" s="188">
        <v>0</v>
      </c>
      <c r="P8" s="188">
        <v>0</v>
      </c>
      <c r="Q8" s="188">
        <v>3</v>
      </c>
      <c r="R8" s="188">
        <v>0</v>
      </c>
      <c r="S8" s="188">
        <v>0</v>
      </c>
      <c r="T8" s="188">
        <v>0</v>
      </c>
      <c r="U8" s="188">
        <v>4</v>
      </c>
      <c r="V8" s="188">
        <v>0</v>
      </c>
    </row>
    <row r="9" spans="1:22">
      <c r="A9" s="1199"/>
      <c r="B9" s="186" t="s">
        <v>29</v>
      </c>
      <c r="C9" s="195">
        <v>80</v>
      </c>
      <c r="D9" s="195">
        <v>0</v>
      </c>
      <c r="E9" s="195">
        <v>0</v>
      </c>
      <c r="F9" s="195">
        <v>0</v>
      </c>
      <c r="G9" s="195">
        <v>0</v>
      </c>
      <c r="H9" s="195">
        <v>0</v>
      </c>
      <c r="I9" s="195">
        <v>15</v>
      </c>
      <c r="J9" s="195">
        <v>22</v>
      </c>
      <c r="K9" s="195">
        <v>0</v>
      </c>
      <c r="L9" s="195">
        <v>21</v>
      </c>
      <c r="M9" s="195">
        <v>21</v>
      </c>
      <c r="N9" s="195">
        <v>0</v>
      </c>
      <c r="O9" s="188">
        <v>0</v>
      </c>
      <c r="P9" s="188">
        <v>0</v>
      </c>
      <c r="Q9" s="188">
        <v>2.64459</v>
      </c>
      <c r="R9" s="188">
        <v>0</v>
      </c>
      <c r="S9" s="188">
        <v>7.1669999999999998E-3</v>
      </c>
      <c r="T9" s="188">
        <v>0</v>
      </c>
      <c r="U9" s="188">
        <v>0</v>
      </c>
      <c r="V9" s="188">
        <v>0</v>
      </c>
    </row>
    <row r="10" spans="1:22">
      <c r="A10" s="1199"/>
      <c r="B10" s="186" t="s">
        <v>30</v>
      </c>
      <c r="C10" s="195">
        <v>120</v>
      </c>
      <c r="D10" s="195">
        <v>0</v>
      </c>
      <c r="E10" s="195">
        <v>0</v>
      </c>
      <c r="F10" s="195">
        <v>0</v>
      </c>
      <c r="G10" s="195">
        <v>0</v>
      </c>
      <c r="H10" s="195">
        <v>0</v>
      </c>
      <c r="I10" s="195">
        <v>15</v>
      </c>
      <c r="J10" s="195">
        <v>30</v>
      </c>
      <c r="K10" s="195">
        <v>0</v>
      </c>
      <c r="L10" s="195">
        <v>29</v>
      </c>
      <c r="M10" s="195">
        <v>29</v>
      </c>
      <c r="N10" s="195">
        <v>0</v>
      </c>
      <c r="O10" s="188">
        <v>0</v>
      </c>
      <c r="P10" s="188">
        <v>0</v>
      </c>
      <c r="Q10" s="188">
        <v>2.6991700000000001</v>
      </c>
      <c r="R10" s="188">
        <v>0</v>
      </c>
      <c r="S10" s="188">
        <v>1.7139000000000001E-2</v>
      </c>
      <c r="T10" s="188">
        <v>0</v>
      </c>
      <c r="U10" s="188">
        <v>0</v>
      </c>
      <c r="V10" s="188">
        <v>0</v>
      </c>
    </row>
    <row r="11" spans="1:22">
      <c r="A11" s="1199"/>
      <c r="B11" s="186" t="s">
        <v>300</v>
      </c>
      <c r="C11" s="512">
        <v>60</v>
      </c>
      <c r="D11" s="512">
        <v>0</v>
      </c>
      <c r="E11" s="512">
        <v>0</v>
      </c>
      <c r="F11" s="512">
        <v>0</v>
      </c>
      <c r="G11" s="512">
        <v>0</v>
      </c>
      <c r="H11" s="512">
        <v>0</v>
      </c>
      <c r="I11" s="512">
        <v>10</v>
      </c>
      <c r="J11" s="512">
        <v>17</v>
      </c>
      <c r="K11" s="512">
        <v>0</v>
      </c>
      <c r="L11" s="512">
        <v>15</v>
      </c>
      <c r="M11" s="512">
        <v>15</v>
      </c>
      <c r="N11" s="512">
        <v>0</v>
      </c>
      <c r="O11" s="512">
        <v>0</v>
      </c>
      <c r="P11" s="512">
        <v>0</v>
      </c>
      <c r="Q11" s="512">
        <v>4</v>
      </c>
      <c r="R11" s="512">
        <v>0</v>
      </c>
      <c r="S11" s="512">
        <v>0</v>
      </c>
      <c r="T11" s="512">
        <v>0</v>
      </c>
      <c r="U11" s="512">
        <v>11</v>
      </c>
      <c r="V11" s="512">
        <v>0</v>
      </c>
    </row>
    <row r="12" spans="1:22">
      <c r="A12" s="1199"/>
      <c r="B12" s="186" t="s">
        <v>302</v>
      </c>
      <c r="C12" s="512">
        <v>80</v>
      </c>
      <c r="D12" s="512">
        <v>0</v>
      </c>
      <c r="E12" s="512">
        <v>0</v>
      </c>
      <c r="F12" s="512">
        <v>0</v>
      </c>
      <c r="G12" s="512">
        <v>0</v>
      </c>
      <c r="H12" s="514">
        <v>0</v>
      </c>
      <c r="I12" s="512">
        <v>10</v>
      </c>
      <c r="J12" s="512">
        <v>21</v>
      </c>
      <c r="K12" s="512">
        <v>0</v>
      </c>
      <c r="L12" s="512">
        <v>20</v>
      </c>
      <c r="M12" s="512">
        <v>8</v>
      </c>
      <c r="N12" s="512">
        <v>0</v>
      </c>
      <c r="O12" s="512">
        <v>0</v>
      </c>
      <c r="P12" s="512">
        <v>0</v>
      </c>
      <c r="Q12" s="512">
        <v>2</v>
      </c>
      <c r="R12" s="513">
        <v>0</v>
      </c>
      <c r="S12" s="512">
        <v>0</v>
      </c>
      <c r="T12" s="513">
        <v>0</v>
      </c>
      <c r="U12" s="512">
        <v>0</v>
      </c>
      <c r="V12" s="512">
        <v>0</v>
      </c>
    </row>
    <row r="13" spans="1:22">
      <c r="A13" s="1199"/>
      <c r="B13" s="186" t="s">
        <v>31</v>
      </c>
      <c r="C13" s="195">
        <v>70</v>
      </c>
      <c r="D13" s="195">
        <v>0</v>
      </c>
      <c r="E13" s="195">
        <v>0</v>
      </c>
      <c r="F13" s="195">
        <v>0</v>
      </c>
      <c r="G13" s="195">
        <v>0</v>
      </c>
      <c r="H13" s="195">
        <v>0</v>
      </c>
      <c r="I13" s="195">
        <v>10</v>
      </c>
      <c r="J13" s="195">
        <v>17</v>
      </c>
      <c r="K13" s="195">
        <v>0</v>
      </c>
      <c r="L13" s="195">
        <v>16</v>
      </c>
      <c r="M13" s="195">
        <v>15</v>
      </c>
      <c r="N13" s="195">
        <v>0</v>
      </c>
      <c r="O13" s="188">
        <v>0</v>
      </c>
      <c r="P13" s="188">
        <v>0</v>
      </c>
      <c r="Q13" s="188">
        <v>4</v>
      </c>
      <c r="R13" s="188">
        <v>0</v>
      </c>
      <c r="S13" s="188">
        <v>0</v>
      </c>
      <c r="T13" s="188">
        <v>0</v>
      </c>
      <c r="U13" s="188">
        <v>0</v>
      </c>
      <c r="V13" s="188">
        <v>0</v>
      </c>
    </row>
    <row r="14" spans="1:22">
      <c r="A14" s="1199"/>
      <c r="B14" s="186" t="s">
        <v>32</v>
      </c>
      <c r="C14" s="195">
        <v>70</v>
      </c>
      <c r="D14" s="195">
        <v>0</v>
      </c>
      <c r="E14" s="195">
        <v>0</v>
      </c>
      <c r="F14" s="195">
        <v>0</v>
      </c>
      <c r="G14" s="195">
        <v>0</v>
      </c>
      <c r="H14" s="195">
        <v>0</v>
      </c>
      <c r="I14" s="195">
        <v>10</v>
      </c>
      <c r="J14" s="195">
        <v>19</v>
      </c>
      <c r="K14" s="195">
        <v>0</v>
      </c>
      <c r="L14" s="195">
        <v>18</v>
      </c>
      <c r="M14" s="195">
        <v>18</v>
      </c>
      <c r="N14" s="195">
        <v>0</v>
      </c>
      <c r="O14" s="188">
        <v>0</v>
      </c>
      <c r="P14" s="188">
        <v>0</v>
      </c>
      <c r="Q14" s="188">
        <v>3</v>
      </c>
      <c r="R14" s="188">
        <v>0</v>
      </c>
      <c r="S14" s="188">
        <v>0</v>
      </c>
      <c r="T14" s="188">
        <v>0</v>
      </c>
      <c r="U14" s="188">
        <v>6</v>
      </c>
      <c r="V14" s="188">
        <v>0</v>
      </c>
    </row>
    <row r="15" spans="1:22">
      <c r="A15" s="1199"/>
      <c r="B15" s="186" t="s">
        <v>33</v>
      </c>
      <c r="C15" s="195">
        <v>60</v>
      </c>
      <c r="D15" s="195">
        <v>0</v>
      </c>
      <c r="E15" s="195">
        <v>0</v>
      </c>
      <c r="F15" s="195">
        <v>0</v>
      </c>
      <c r="G15" s="195">
        <v>0</v>
      </c>
      <c r="H15" s="195">
        <v>0</v>
      </c>
      <c r="I15" s="195">
        <v>10</v>
      </c>
      <c r="J15" s="195">
        <v>16</v>
      </c>
      <c r="K15" s="195">
        <v>0</v>
      </c>
      <c r="L15" s="195">
        <v>15</v>
      </c>
      <c r="M15" s="195">
        <v>15</v>
      </c>
      <c r="N15" s="195">
        <v>0</v>
      </c>
      <c r="O15" s="188">
        <v>0</v>
      </c>
      <c r="P15" s="188">
        <v>0</v>
      </c>
      <c r="Q15" s="195">
        <v>2.8673299999999999</v>
      </c>
      <c r="R15" s="195">
        <v>0</v>
      </c>
      <c r="S15" s="195">
        <v>1.7506000000000001E-2</v>
      </c>
      <c r="T15" s="195">
        <v>0</v>
      </c>
      <c r="U15" s="195">
        <v>0</v>
      </c>
      <c r="V15" s="195">
        <v>0</v>
      </c>
    </row>
    <row r="16" spans="1:22">
      <c r="A16" s="1199"/>
      <c r="B16" s="186" t="s">
        <v>34</v>
      </c>
      <c r="C16" s="195">
        <v>100</v>
      </c>
      <c r="D16" s="195">
        <v>0</v>
      </c>
      <c r="E16" s="195">
        <v>0</v>
      </c>
      <c r="F16" s="195">
        <v>0</v>
      </c>
      <c r="G16" s="195">
        <v>0</v>
      </c>
      <c r="H16" s="195">
        <v>0</v>
      </c>
      <c r="I16" s="195">
        <v>20</v>
      </c>
      <c r="J16" s="195">
        <v>25</v>
      </c>
      <c r="K16" s="195">
        <v>0</v>
      </c>
      <c r="L16" s="195">
        <v>23</v>
      </c>
      <c r="M16" s="195">
        <v>23</v>
      </c>
      <c r="N16" s="195">
        <v>0</v>
      </c>
      <c r="O16" s="188">
        <v>0</v>
      </c>
      <c r="P16" s="188">
        <v>0</v>
      </c>
      <c r="Q16" s="188">
        <v>4</v>
      </c>
      <c r="R16" s="188">
        <v>0</v>
      </c>
      <c r="S16" s="188">
        <v>0</v>
      </c>
      <c r="T16" s="188">
        <v>0</v>
      </c>
      <c r="U16" s="188">
        <v>25</v>
      </c>
      <c r="V16" s="188">
        <v>0</v>
      </c>
    </row>
    <row r="17" spans="1:22">
      <c r="A17" s="1199"/>
      <c r="B17" s="186" t="s">
        <v>35</v>
      </c>
      <c r="C17" s="195">
        <v>110</v>
      </c>
      <c r="D17" s="195">
        <v>5</v>
      </c>
      <c r="E17" s="195">
        <v>1</v>
      </c>
      <c r="F17" s="195">
        <v>0</v>
      </c>
      <c r="G17" s="195">
        <v>0</v>
      </c>
      <c r="H17" s="195">
        <v>0</v>
      </c>
      <c r="I17" s="195">
        <v>20</v>
      </c>
      <c r="J17" s="195">
        <v>26</v>
      </c>
      <c r="K17" s="195">
        <v>0</v>
      </c>
      <c r="L17" s="195">
        <v>24</v>
      </c>
      <c r="M17" s="195">
        <v>24</v>
      </c>
      <c r="N17" s="195">
        <v>0</v>
      </c>
      <c r="O17" s="188">
        <v>0</v>
      </c>
      <c r="P17" s="188">
        <v>0</v>
      </c>
      <c r="Q17" s="195">
        <v>5.2257300000000004</v>
      </c>
      <c r="R17" s="195">
        <v>0</v>
      </c>
      <c r="S17" s="195">
        <v>0.40765600000000002</v>
      </c>
      <c r="T17" s="195">
        <v>2</v>
      </c>
      <c r="U17" s="195">
        <v>35</v>
      </c>
      <c r="V17" s="195">
        <v>1</v>
      </c>
    </row>
    <row r="18" spans="1:22">
      <c r="A18" s="1199"/>
      <c r="B18" s="186" t="s">
        <v>341</v>
      </c>
      <c r="C18" s="195">
        <v>90</v>
      </c>
      <c r="D18" s="195">
        <v>0</v>
      </c>
      <c r="E18" s="195">
        <v>0</v>
      </c>
      <c r="F18" s="195">
        <v>0</v>
      </c>
      <c r="G18" s="195">
        <v>0</v>
      </c>
      <c r="H18" s="195">
        <v>0</v>
      </c>
      <c r="I18" s="195">
        <v>15</v>
      </c>
      <c r="J18" s="195">
        <v>24</v>
      </c>
      <c r="K18" s="195">
        <v>0</v>
      </c>
      <c r="L18" s="195">
        <v>22</v>
      </c>
      <c r="M18" s="195">
        <v>22</v>
      </c>
      <c r="N18" s="195">
        <v>0</v>
      </c>
      <c r="O18" s="188">
        <v>0</v>
      </c>
      <c r="P18" s="188">
        <v>0</v>
      </c>
      <c r="Q18" s="195">
        <v>3</v>
      </c>
      <c r="R18" s="195">
        <v>0</v>
      </c>
      <c r="S18" s="195">
        <v>0</v>
      </c>
      <c r="T18" s="195">
        <v>0</v>
      </c>
      <c r="U18" s="195">
        <v>3</v>
      </c>
      <c r="V18" s="195">
        <v>0</v>
      </c>
    </row>
    <row r="19" spans="1:22">
      <c r="A19" s="1199"/>
      <c r="B19" s="186" t="s">
        <v>36</v>
      </c>
      <c r="C19" s="195">
        <v>90</v>
      </c>
      <c r="D19" s="195">
        <v>0</v>
      </c>
      <c r="E19" s="195">
        <v>0</v>
      </c>
      <c r="F19" s="195">
        <v>0</v>
      </c>
      <c r="G19" s="195">
        <v>0</v>
      </c>
      <c r="H19" s="195">
        <v>0</v>
      </c>
      <c r="I19" s="195">
        <v>5</v>
      </c>
      <c r="J19" s="195">
        <v>23</v>
      </c>
      <c r="K19" s="195">
        <v>0</v>
      </c>
      <c r="L19" s="195">
        <v>22</v>
      </c>
      <c r="M19" s="195">
        <v>9</v>
      </c>
      <c r="N19" s="195">
        <v>0</v>
      </c>
      <c r="O19" s="188">
        <v>0</v>
      </c>
      <c r="P19" s="188">
        <v>0</v>
      </c>
      <c r="Q19" s="188">
        <v>3</v>
      </c>
      <c r="R19" s="188">
        <v>0</v>
      </c>
      <c r="S19" s="188">
        <v>0</v>
      </c>
      <c r="T19" s="188">
        <v>0</v>
      </c>
      <c r="U19" s="188">
        <v>0</v>
      </c>
      <c r="V19" s="188">
        <v>0</v>
      </c>
    </row>
    <row r="20" spans="1:22">
      <c r="A20" s="1199"/>
      <c r="B20" s="186" t="s">
        <v>37</v>
      </c>
      <c r="C20" s="195">
        <v>90</v>
      </c>
      <c r="D20" s="195">
        <v>0</v>
      </c>
      <c r="E20" s="195">
        <v>0</v>
      </c>
      <c r="F20" s="195">
        <v>0</v>
      </c>
      <c r="G20" s="195">
        <v>0</v>
      </c>
      <c r="H20" s="195">
        <v>0</v>
      </c>
      <c r="I20" s="195">
        <v>10</v>
      </c>
      <c r="J20" s="195">
        <v>23</v>
      </c>
      <c r="K20" s="195">
        <v>0</v>
      </c>
      <c r="L20" s="195">
        <v>22</v>
      </c>
      <c r="M20" s="195">
        <v>9</v>
      </c>
      <c r="N20" s="195">
        <v>0</v>
      </c>
      <c r="O20" s="188">
        <v>0</v>
      </c>
      <c r="P20" s="188">
        <v>0</v>
      </c>
      <c r="Q20" s="188">
        <v>2</v>
      </c>
      <c r="R20" s="188">
        <v>0</v>
      </c>
      <c r="S20" s="188">
        <v>0</v>
      </c>
      <c r="T20" s="188">
        <v>0</v>
      </c>
      <c r="U20" s="188">
        <v>0</v>
      </c>
      <c r="V20" s="188">
        <v>0</v>
      </c>
    </row>
    <row r="21" spans="1:22">
      <c r="A21" s="1199"/>
      <c r="B21" s="186" t="s">
        <v>38</v>
      </c>
      <c r="C21" s="195">
        <v>80</v>
      </c>
      <c r="D21" s="195">
        <v>0</v>
      </c>
      <c r="E21" s="195">
        <v>0</v>
      </c>
      <c r="F21" s="195">
        <v>0</v>
      </c>
      <c r="G21" s="195">
        <v>0</v>
      </c>
      <c r="H21" s="195">
        <v>0</v>
      </c>
      <c r="I21" s="195">
        <v>15</v>
      </c>
      <c r="J21" s="195">
        <v>19</v>
      </c>
      <c r="K21" s="195">
        <v>0</v>
      </c>
      <c r="L21" s="195">
        <v>18</v>
      </c>
      <c r="M21" s="195">
        <v>17</v>
      </c>
      <c r="N21" s="195">
        <v>0</v>
      </c>
      <c r="O21" s="188">
        <v>0</v>
      </c>
      <c r="P21" s="188">
        <v>0</v>
      </c>
      <c r="Q21" s="188">
        <v>3</v>
      </c>
      <c r="R21" s="188">
        <v>0</v>
      </c>
      <c r="S21" s="188">
        <v>0</v>
      </c>
      <c r="T21" s="188">
        <v>0</v>
      </c>
      <c r="U21" s="188">
        <v>15</v>
      </c>
      <c r="V21" s="188">
        <v>0</v>
      </c>
    </row>
    <row r="22" spans="1:22">
      <c r="A22" s="1199"/>
      <c r="B22" s="186" t="s">
        <v>39</v>
      </c>
      <c r="C22" s="195">
        <v>60</v>
      </c>
      <c r="D22" s="195">
        <v>0</v>
      </c>
      <c r="E22" s="195">
        <v>0</v>
      </c>
      <c r="F22" s="195">
        <v>0</v>
      </c>
      <c r="G22" s="195">
        <v>0</v>
      </c>
      <c r="H22" s="195">
        <v>0</v>
      </c>
      <c r="I22" s="195">
        <v>10</v>
      </c>
      <c r="J22" s="195">
        <v>15</v>
      </c>
      <c r="K22" s="195">
        <v>0</v>
      </c>
      <c r="L22" s="195">
        <v>14</v>
      </c>
      <c r="M22" s="195">
        <v>14</v>
      </c>
      <c r="N22" s="195">
        <v>0</v>
      </c>
      <c r="O22" s="188">
        <v>0</v>
      </c>
      <c r="P22" s="188">
        <v>0</v>
      </c>
      <c r="Q22" s="188">
        <v>2.3288099999999998</v>
      </c>
      <c r="R22" s="188">
        <v>0</v>
      </c>
      <c r="S22" s="188">
        <v>1.7312000000000001E-2</v>
      </c>
      <c r="T22" s="188">
        <v>0</v>
      </c>
      <c r="U22" s="188">
        <v>0</v>
      </c>
      <c r="V22" s="188">
        <v>0</v>
      </c>
    </row>
    <row r="23" spans="1:22" s="212" customFormat="1">
      <c r="A23" s="1199"/>
      <c r="B23" s="186" t="s">
        <v>40</v>
      </c>
      <c r="C23" s="195">
        <v>80</v>
      </c>
      <c r="D23" s="195">
        <v>0</v>
      </c>
      <c r="E23" s="195">
        <v>0</v>
      </c>
      <c r="F23" s="195">
        <v>0</v>
      </c>
      <c r="G23" s="195">
        <v>0</v>
      </c>
      <c r="H23" s="195">
        <v>0</v>
      </c>
      <c r="I23" s="195">
        <v>10</v>
      </c>
      <c r="J23" s="195">
        <v>20</v>
      </c>
      <c r="K23" s="195">
        <v>0</v>
      </c>
      <c r="L23" s="195">
        <v>20</v>
      </c>
      <c r="M23" s="195">
        <v>19</v>
      </c>
      <c r="N23" s="195">
        <v>0</v>
      </c>
      <c r="O23" s="188">
        <v>0</v>
      </c>
      <c r="P23" s="188">
        <v>0</v>
      </c>
      <c r="Q23" s="188">
        <v>3</v>
      </c>
      <c r="R23" s="188">
        <v>0</v>
      </c>
      <c r="S23" s="188">
        <v>0</v>
      </c>
      <c r="T23" s="188">
        <v>0</v>
      </c>
      <c r="U23" s="188">
        <v>13</v>
      </c>
      <c r="V23" s="188">
        <v>0</v>
      </c>
    </row>
    <row r="24" spans="1:22" s="212" customFormat="1">
      <c r="A24" s="1199"/>
      <c r="B24" s="186" t="s">
        <v>342</v>
      </c>
      <c r="C24" s="512">
        <v>80</v>
      </c>
      <c r="D24" s="512">
        <v>0</v>
      </c>
      <c r="E24" s="512">
        <v>0</v>
      </c>
      <c r="F24" s="512">
        <v>0</v>
      </c>
      <c r="G24" s="512">
        <v>0</v>
      </c>
      <c r="H24" s="512">
        <v>0</v>
      </c>
      <c r="I24" s="512">
        <v>10</v>
      </c>
      <c r="J24" s="512">
        <v>21</v>
      </c>
      <c r="K24" s="512">
        <v>0</v>
      </c>
      <c r="L24" s="512">
        <v>10</v>
      </c>
      <c r="M24" s="512">
        <v>20</v>
      </c>
      <c r="N24" s="512">
        <v>0</v>
      </c>
      <c r="O24" s="512">
        <v>0</v>
      </c>
      <c r="P24" s="512">
        <v>0</v>
      </c>
      <c r="Q24" s="512">
        <v>3</v>
      </c>
      <c r="R24" s="512">
        <v>0</v>
      </c>
      <c r="S24" s="512">
        <v>0</v>
      </c>
      <c r="T24" s="512">
        <v>0</v>
      </c>
      <c r="U24" s="512">
        <v>15</v>
      </c>
      <c r="V24" s="512">
        <v>0</v>
      </c>
    </row>
    <row r="25" spans="1:22" hidden="1">
      <c r="A25" s="1199"/>
      <c r="B25" s="186" t="s">
        <v>41</v>
      </c>
      <c r="C25" s="195">
        <v>80</v>
      </c>
      <c r="D25" s="195">
        <v>0</v>
      </c>
      <c r="E25" s="195">
        <v>0</v>
      </c>
      <c r="F25" s="195">
        <v>0</v>
      </c>
      <c r="G25" s="195">
        <v>0</v>
      </c>
      <c r="H25" s="195">
        <v>0</v>
      </c>
      <c r="I25" s="195">
        <v>10</v>
      </c>
      <c r="J25" s="195">
        <v>22</v>
      </c>
      <c r="K25" s="195">
        <v>0</v>
      </c>
      <c r="L25" s="195">
        <v>21</v>
      </c>
      <c r="M25" s="195">
        <v>7</v>
      </c>
      <c r="N25" s="195">
        <v>0</v>
      </c>
      <c r="O25" s="188">
        <v>0</v>
      </c>
      <c r="P25" s="188">
        <v>0</v>
      </c>
      <c r="Q25" s="188">
        <v>2</v>
      </c>
      <c r="R25" s="188">
        <v>0</v>
      </c>
      <c r="S25" s="188">
        <v>0</v>
      </c>
      <c r="T25" s="188">
        <v>0</v>
      </c>
      <c r="U25" s="188">
        <v>0</v>
      </c>
      <c r="V25" s="188">
        <v>0</v>
      </c>
    </row>
    <row r="26" spans="1:22" hidden="1">
      <c r="A26" s="1199"/>
      <c r="B26" s="186" t="s">
        <v>306</v>
      </c>
      <c r="C26" s="195">
        <v>100</v>
      </c>
      <c r="D26" s="195">
        <v>0</v>
      </c>
      <c r="E26" s="195">
        <v>0</v>
      </c>
      <c r="F26" s="195">
        <v>0</v>
      </c>
      <c r="G26" s="195">
        <v>0</v>
      </c>
      <c r="H26" s="195">
        <v>0</v>
      </c>
      <c r="I26" s="195">
        <v>15</v>
      </c>
      <c r="J26" s="195">
        <v>26</v>
      </c>
      <c r="K26" s="195">
        <v>0</v>
      </c>
      <c r="L26" s="195">
        <v>24</v>
      </c>
      <c r="M26" s="195">
        <v>24</v>
      </c>
      <c r="N26" s="195">
        <v>0</v>
      </c>
      <c r="O26" s="188">
        <v>0</v>
      </c>
      <c r="P26" s="188">
        <v>0</v>
      </c>
      <c r="Q26" s="188">
        <v>2</v>
      </c>
      <c r="R26" s="188">
        <v>0</v>
      </c>
      <c r="S26" s="188">
        <v>0</v>
      </c>
      <c r="T26" s="188">
        <v>0</v>
      </c>
      <c r="U26" s="188">
        <v>5</v>
      </c>
      <c r="V26" s="188">
        <v>0</v>
      </c>
    </row>
    <row r="27" spans="1:22">
      <c r="A27" s="1199"/>
      <c r="B27" s="186" t="s">
        <v>42</v>
      </c>
      <c r="C27" s="195">
        <v>90</v>
      </c>
      <c r="D27" s="195">
        <v>0</v>
      </c>
      <c r="E27" s="195">
        <v>0</v>
      </c>
      <c r="F27" s="195">
        <v>0</v>
      </c>
      <c r="G27" s="195">
        <v>0</v>
      </c>
      <c r="H27" s="195">
        <v>0</v>
      </c>
      <c r="I27" s="195">
        <v>15</v>
      </c>
      <c r="J27" s="195">
        <v>22</v>
      </c>
      <c r="K27" s="195">
        <v>0</v>
      </c>
      <c r="L27" s="195">
        <v>21</v>
      </c>
      <c r="M27" s="195">
        <v>21</v>
      </c>
      <c r="N27" s="195">
        <v>0</v>
      </c>
      <c r="O27" s="188">
        <v>0</v>
      </c>
      <c r="P27" s="188">
        <v>0</v>
      </c>
      <c r="Q27" s="188">
        <v>3</v>
      </c>
      <c r="R27" s="188">
        <v>0</v>
      </c>
      <c r="S27" s="188">
        <v>0</v>
      </c>
      <c r="T27" s="188">
        <v>0</v>
      </c>
      <c r="U27" s="188">
        <v>12</v>
      </c>
      <c r="V27" s="188">
        <v>0</v>
      </c>
    </row>
    <row r="28" spans="1:22">
      <c r="A28" s="1199"/>
      <c r="B28" s="186" t="s">
        <v>45</v>
      </c>
      <c r="C28" s="188">
        <v>70</v>
      </c>
      <c r="D28" s="188">
        <v>0</v>
      </c>
      <c r="E28" s="188">
        <v>0</v>
      </c>
      <c r="F28" s="188">
        <v>0</v>
      </c>
      <c r="G28" s="195">
        <v>0</v>
      </c>
      <c r="H28" s="188">
        <v>0</v>
      </c>
      <c r="I28" s="188">
        <v>10</v>
      </c>
      <c r="J28" s="188">
        <v>19</v>
      </c>
      <c r="K28" s="188">
        <v>0</v>
      </c>
      <c r="L28" s="188">
        <v>18</v>
      </c>
      <c r="M28" s="188">
        <v>18</v>
      </c>
      <c r="N28" s="188">
        <v>0</v>
      </c>
      <c r="O28" s="188">
        <v>0</v>
      </c>
      <c r="P28" s="188">
        <v>0</v>
      </c>
      <c r="Q28" s="188">
        <v>3</v>
      </c>
      <c r="R28" s="188">
        <v>0</v>
      </c>
      <c r="S28" s="188">
        <v>0</v>
      </c>
      <c r="T28" s="188">
        <v>0</v>
      </c>
      <c r="U28" s="188">
        <v>0</v>
      </c>
      <c r="V28" s="188">
        <v>0</v>
      </c>
    </row>
    <row r="29" spans="1:22">
      <c r="A29" s="1199"/>
      <c r="B29" s="186" t="s">
        <v>343</v>
      </c>
      <c r="C29" s="512">
        <v>90</v>
      </c>
      <c r="D29" s="512">
        <v>0</v>
      </c>
      <c r="E29" s="512">
        <v>0</v>
      </c>
      <c r="F29" s="512">
        <v>0</v>
      </c>
      <c r="G29" s="512">
        <v>0</v>
      </c>
      <c r="H29" s="512">
        <v>0</v>
      </c>
      <c r="I29" s="512">
        <v>10</v>
      </c>
      <c r="J29" s="512">
        <v>22</v>
      </c>
      <c r="K29" s="512">
        <v>0</v>
      </c>
      <c r="L29" s="512">
        <v>22</v>
      </c>
      <c r="M29" s="512">
        <v>16</v>
      </c>
      <c r="N29" s="512">
        <v>0</v>
      </c>
      <c r="O29" s="512">
        <v>0</v>
      </c>
      <c r="P29" s="512">
        <v>0</v>
      </c>
      <c r="Q29" s="512">
        <v>3</v>
      </c>
      <c r="R29" s="512">
        <v>0</v>
      </c>
      <c r="S29" s="512">
        <v>0</v>
      </c>
      <c r="T29" s="512">
        <v>0</v>
      </c>
      <c r="U29" s="512">
        <v>0</v>
      </c>
      <c r="V29" s="512">
        <v>0</v>
      </c>
    </row>
    <row r="30" spans="1:22">
      <c r="A30" s="1199"/>
      <c r="B30" s="186" t="s">
        <v>46</v>
      </c>
      <c r="C30" s="195">
        <v>70</v>
      </c>
      <c r="D30" s="195">
        <v>0</v>
      </c>
      <c r="E30" s="195">
        <v>0</v>
      </c>
      <c r="F30" s="195">
        <v>0</v>
      </c>
      <c r="G30" s="195">
        <v>0</v>
      </c>
      <c r="H30" s="195">
        <v>0</v>
      </c>
      <c r="I30" s="195">
        <v>20</v>
      </c>
      <c r="J30" s="195">
        <v>19</v>
      </c>
      <c r="K30" s="195">
        <v>0</v>
      </c>
      <c r="L30" s="195">
        <v>18</v>
      </c>
      <c r="M30" s="195">
        <v>18</v>
      </c>
      <c r="N30" s="195">
        <v>0</v>
      </c>
      <c r="O30" s="188">
        <v>0</v>
      </c>
      <c r="P30" s="188">
        <v>0</v>
      </c>
      <c r="Q30" s="195">
        <v>2.5748600000000001</v>
      </c>
      <c r="R30" s="195">
        <v>0</v>
      </c>
      <c r="S30" s="195">
        <v>1.6910999999999999E-2</v>
      </c>
      <c r="T30" s="195">
        <v>0</v>
      </c>
      <c r="U30" s="195">
        <v>0</v>
      </c>
      <c r="V30" s="195">
        <v>0</v>
      </c>
    </row>
    <row r="31" spans="1:22" hidden="1">
      <c r="A31" s="1199"/>
      <c r="B31" s="186" t="s">
        <v>47</v>
      </c>
      <c r="C31" s="195">
        <v>80</v>
      </c>
      <c r="D31" s="195">
        <v>0</v>
      </c>
      <c r="E31" s="195">
        <v>0</v>
      </c>
      <c r="F31" s="195">
        <v>0</v>
      </c>
      <c r="G31" s="195">
        <v>0</v>
      </c>
      <c r="H31" s="195">
        <v>0</v>
      </c>
      <c r="I31" s="195">
        <v>15</v>
      </c>
      <c r="J31" s="195">
        <v>20</v>
      </c>
      <c r="K31" s="195">
        <v>0</v>
      </c>
      <c r="L31" s="195">
        <v>19</v>
      </c>
      <c r="M31" s="195">
        <v>19</v>
      </c>
      <c r="N31" s="195">
        <v>0</v>
      </c>
      <c r="O31" s="188">
        <v>0</v>
      </c>
      <c r="P31" s="188">
        <v>0</v>
      </c>
      <c r="Q31" s="188">
        <v>3</v>
      </c>
      <c r="R31" s="188">
        <v>0</v>
      </c>
      <c r="S31" s="188">
        <v>0</v>
      </c>
      <c r="T31" s="188">
        <v>0</v>
      </c>
      <c r="U31" s="188">
        <v>3</v>
      </c>
      <c r="V31" s="188">
        <v>0</v>
      </c>
    </row>
    <row r="32" spans="1:22">
      <c r="A32" s="1199"/>
      <c r="B32" s="186" t="s">
        <v>48</v>
      </c>
      <c r="C32" s="195">
        <v>60</v>
      </c>
      <c r="D32" s="195">
        <v>0</v>
      </c>
      <c r="E32" s="195">
        <v>0</v>
      </c>
      <c r="F32" s="195">
        <v>0</v>
      </c>
      <c r="G32" s="195">
        <v>0</v>
      </c>
      <c r="H32" s="195">
        <v>0</v>
      </c>
      <c r="I32" s="195">
        <v>10</v>
      </c>
      <c r="J32" s="195">
        <v>17</v>
      </c>
      <c r="K32" s="195">
        <v>0</v>
      </c>
      <c r="L32" s="195">
        <v>16</v>
      </c>
      <c r="M32" s="195">
        <v>16</v>
      </c>
      <c r="N32" s="195">
        <v>0</v>
      </c>
      <c r="O32" s="188">
        <v>0</v>
      </c>
      <c r="P32" s="188">
        <v>0</v>
      </c>
      <c r="Q32" s="188">
        <v>3</v>
      </c>
      <c r="R32" s="188">
        <v>0</v>
      </c>
      <c r="S32" s="188">
        <v>0</v>
      </c>
      <c r="T32" s="188">
        <v>0</v>
      </c>
      <c r="U32" s="188">
        <v>3</v>
      </c>
      <c r="V32" s="188">
        <v>0</v>
      </c>
    </row>
    <row r="33" spans="1:22">
      <c r="A33" s="1199"/>
      <c r="B33" s="186" t="s">
        <v>50</v>
      </c>
      <c r="C33" s="195">
        <v>80</v>
      </c>
      <c r="D33" s="195">
        <v>0</v>
      </c>
      <c r="E33" s="195">
        <v>0</v>
      </c>
      <c r="F33" s="195">
        <v>0</v>
      </c>
      <c r="G33" s="195">
        <v>0</v>
      </c>
      <c r="H33" s="195">
        <v>0</v>
      </c>
      <c r="I33" s="195">
        <v>10</v>
      </c>
      <c r="J33" s="195">
        <v>21</v>
      </c>
      <c r="K33" s="195">
        <v>0</v>
      </c>
      <c r="L33" s="195">
        <v>20</v>
      </c>
      <c r="M33" s="195">
        <v>20</v>
      </c>
      <c r="N33" s="195">
        <v>0</v>
      </c>
      <c r="O33" s="188">
        <v>0</v>
      </c>
      <c r="P33" s="188">
        <v>0</v>
      </c>
      <c r="Q33" s="188">
        <v>3</v>
      </c>
      <c r="R33" s="188">
        <v>0</v>
      </c>
      <c r="S33" s="188">
        <v>0</v>
      </c>
      <c r="T33" s="188">
        <v>0</v>
      </c>
      <c r="U33" s="188">
        <v>6</v>
      </c>
      <c r="V33" s="188">
        <v>0</v>
      </c>
    </row>
    <row r="34" spans="1:22">
      <c r="A34" s="1199"/>
      <c r="B34" s="186" t="s">
        <v>51</v>
      </c>
      <c r="C34" s="195">
        <v>80</v>
      </c>
      <c r="D34" s="195">
        <v>0</v>
      </c>
      <c r="E34" s="195">
        <v>0</v>
      </c>
      <c r="F34" s="195">
        <v>0</v>
      </c>
      <c r="G34" s="195">
        <v>0</v>
      </c>
      <c r="H34" s="195">
        <v>0</v>
      </c>
      <c r="I34" s="195">
        <v>10</v>
      </c>
      <c r="J34" s="195">
        <v>21</v>
      </c>
      <c r="K34" s="195">
        <v>0</v>
      </c>
      <c r="L34" s="195">
        <v>19</v>
      </c>
      <c r="M34" s="195">
        <v>15</v>
      </c>
      <c r="N34" s="195">
        <v>0</v>
      </c>
      <c r="O34" s="188">
        <v>0</v>
      </c>
      <c r="P34" s="188">
        <v>0</v>
      </c>
      <c r="Q34" s="260">
        <v>3</v>
      </c>
      <c r="R34" s="260">
        <v>0</v>
      </c>
      <c r="S34" s="260">
        <v>0</v>
      </c>
      <c r="T34" s="260">
        <v>0</v>
      </c>
      <c r="U34" s="260">
        <v>3</v>
      </c>
      <c r="V34" s="260">
        <v>0</v>
      </c>
    </row>
    <row r="35" spans="1:22">
      <c r="A35" s="1199"/>
      <c r="B35" s="186" t="s">
        <v>52</v>
      </c>
      <c r="C35" s="195">
        <v>70</v>
      </c>
      <c r="D35" s="195">
        <v>0</v>
      </c>
      <c r="E35" s="195">
        <v>0</v>
      </c>
      <c r="F35" s="195">
        <v>0</v>
      </c>
      <c r="G35" s="195">
        <v>0</v>
      </c>
      <c r="H35" s="195">
        <v>0</v>
      </c>
      <c r="I35" s="195">
        <v>10</v>
      </c>
      <c r="J35" s="195">
        <v>17</v>
      </c>
      <c r="K35" s="195">
        <v>0</v>
      </c>
      <c r="L35" s="195">
        <v>16</v>
      </c>
      <c r="M35" s="195">
        <v>16</v>
      </c>
      <c r="N35" s="195">
        <v>0</v>
      </c>
      <c r="O35" s="188">
        <v>0</v>
      </c>
      <c r="P35" s="188">
        <v>0</v>
      </c>
      <c r="Q35" s="260">
        <v>3</v>
      </c>
      <c r="R35" s="260">
        <v>0</v>
      </c>
      <c r="S35" s="260">
        <v>0</v>
      </c>
      <c r="T35" s="260">
        <v>0</v>
      </c>
      <c r="U35" s="260">
        <v>3</v>
      </c>
      <c r="V35" s="260">
        <v>0</v>
      </c>
    </row>
    <row r="36" spans="1:22">
      <c r="A36" s="1199"/>
      <c r="B36" s="186" t="s">
        <v>53</v>
      </c>
      <c r="C36" s="195">
        <v>80</v>
      </c>
      <c r="D36" s="195">
        <v>0</v>
      </c>
      <c r="E36" s="195">
        <v>0</v>
      </c>
      <c r="F36" s="195">
        <v>0</v>
      </c>
      <c r="G36" s="195">
        <v>0</v>
      </c>
      <c r="H36" s="195">
        <v>0</v>
      </c>
      <c r="I36" s="195">
        <v>10</v>
      </c>
      <c r="J36" s="195">
        <v>21</v>
      </c>
      <c r="K36" s="195">
        <v>0</v>
      </c>
      <c r="L36" s="195">
        <v>20</v>
      </c>
      <c r="M36" s="195">
        <v>20</v>
      </c>
      <c r="N36" s="195">
        <v>0</v>
      </c>
      <c r="O36" s="188">
        <v>0</v>
      </c>
      <c r="P36" s="188">
        <v>0</v>
      </c>
      <c r="Q36" s="195">
        <v>3</v>
      </c>
      <c r="R36" s="195">
        <v>0</v>
      </c>
      <c r="S36" s="195">
        <v>0</v>
      </c>
      <c r="T36" s="195">
        <v>0</v>
      </c>
      <c r="U36" s="195">
        <v>5</v>
      </c>
      <c r="V36" s="195">
        <v>0</v>
      </c>
    </row>
    <row r="37" spans="1:22">
      <c r="A37" s="1199"/>
      <c r="B37" s="186" t="s">
        <v>54</v>
      </c>
      <c r="C37" s="195">
        <v>80</v>
      </c>
      <c r="D37" s="195">
        <v>0</v>
      </c>
      <c r="E37" s="195">
        <v>0</v>
      </c>
      <c r="F37" s="195">
        <v>0</v>
      </c>
      <c r="G37" s="195">
        <v>0</v>
      </c>
      <c r="H37" s="195">
        <v>0</v>
      </c>
      <c r="I37" s="195">
        <v>10</v>
      </c>
      <c r="J37" s="195">
        <v>21</v>
      </c>
      <c r="K37" s="195">
        <v>0</v>
      </c>
      <c r="L37" s="195">
        <v>21</v>
      </c>
      <c r="M37" s="195">
        <v>20</v>
      </c>
      <c r="N37" s="195">
        <v>0</v>
      </c>
      <c r="O37" s="188">
        <v>0</v>
      </c>
      <c r="P37" s="188">
        <v>0</v>
      </c>
      <c r="Q37" s="188">
        <v>3</v>
      </c>
      <c r="R37" s="188">
        <v>0</v>
      </c>
      <c r="S37" s="188">
        <v>0</v>
      </c>
      <c r="T37" s="188">
        <v>0</v>
      </c>
      <c r="U37" s="188">
        <v>4</v>
      </c>
      <c r="V37" s="188">
        <v>0</v>
      </c>
    </row>
    <row r="38" spans="1:22">
      <c r="A38" s="1199"/>
      <c r="B38" s="186" t="s">
        <v>56</v>
      </c>
      <c r="C38" s="195">
        <v>60</v>
      </c>
      <c r="D38" s="195">
        <v>0</v>
      </c>
      <c r="E38" s="195">
        <v>0</v>
      </c>
      <c r="F38" s="195">
        <v>0</v>
      </c>
      <c r="G38" s="195">
        <v>0</v>
      </c>
      <c r="H38" s="195">
        <v>0</v>
      </c>
      <c r="I38" s="195">
        <v>15</v>
      </c>
      <c r="J38" s="195">
        <v>14</v>
      </c>
      <c r="K38" s="195">
        <v>0</v>
      </c>
      <c r="L38" s="195">
        <v>13</v>
      </c>
      <c r="M38" s="195">
        <v>13</v>
      </c>
      <c r="N38" s="195">
        <v>0</v>
      </c>
      <c r="O38" s="195">
        <v>0</v>
      </c>
      <c r="P38" s="195">
        <v>0</v>
      </c>
      <c r="Q38" s="195">
        <v>3</v>
      </c>
      <c r="R38" s="195">
        <v>0</v>
      </c>
      <c r="S38" s="195">
        <v>0</v>
      </c>
      <c r="T38" s="195">
        <v>0</v>
      </c>
      <c r="U38" s="195">
        <v>6</v>
      </c>
      <c r="V38" s="195">
        <v>0</v>
      </c>
    </row>
    <row r="39" spans="1:22">
      <c r="A39" s="1199"/>
      <c r="B39" s="186" t="s">
        <v>55</v>
      </c>
      <c r="C39" s="195">
        <v>70</v>
      </c>
      <c r="D39" s="195">
        <v>0</v>
      </c>
      <c r="E39" s="195">
        <v>0</v>
      </c>
      <c r="F39" s="195">
        <v>0</v>
      </c>
      <c r="G39" s="195">
        <v>0</v>
      </c>
      <c r="H39" s="195">
        <v>0</v>
      </c>
      <c r="I39" s="195">
        <v>15</v>
      </c>
      <c r="J39" s="195">
        <v>18</v>
      </c>
      <c r="K39" s="195">
        <v>0</v>
      </c>
      <c r="L39" s="195">
        <v>17</v>
      </c>
      <c r="M39" s="195">
        <v>17</v>
      </c>
      <c r="N39" s="195">
        <v>0</v>
      </c>
      <c r="O39" s="195">
        <v>0</v>
      </c>
      <c r="P39" s="195">
        <v>0</v>
      </c>
      <c r="Q39" s="195">
        <v>3.0331600000000001</v>
      </c>
      <c r="R39" s="195">
        <v>0</v>
      </c>
      <c r="S39" s="195">
        <v>2.0795000000000001E-2</v>
      </c>
      <c r="T39" s="195">
        <v>0</v>
      </c>
      <c r="U39" s="195">
        <v>5</v>
      </c>
      <c r="V39" s="195">
        <v>0</v>
      </c>
    </row>
    <row r="40" spans="1:22">
      <c r="A40" s="1199"/>
      <c r="B40" s="186" t="s">
        <v>344</v>
      </c>
      <c r="C40" s="511">
        <v>80</v>
      </c>
      <c r="D40" s="511">
        <v>0</v>
      </c>
      <c r="E40" s="511">
        <v>0</v>
      </c>
      <c r="F40" s="511">
        <v>0</v>
      </c>
      <c r="G40" s="511">
        <v>0</v>
      </c>
      <c r="H40" s="511">
        <v>0</v>
      </c>
      <c r="I40" s="511">
        <v>10</v>
      </c>
      <c r="J40" s="511">
        <v>16</v>
      </c>
      <c r="K40" s="511">
        <v>0</v>
      </c>
      <c r="L40" s="511">
        <v>19</v>
      </c>
      <c r="M40" s="511">
        <v>19</v>
      </c>
      <c r="N40" s="511">
        <v>0</v>
      </c>
      <c r="O40" s="511">
        <v>0</v>
      </c>
      <c r="P40" s="511">
        <v>0</v>
      </c>
      <c r="Q40" s="511">
        <v>3</v>
      </c>
      <c r="R40" s="511">
        <v>0</v>
      </c>
      <c r="S40" s="511">
        <v>0</v>
      </c>
      <c r="T40" s="511">
        <v>0</v>
      </c>
      <c r="U40" s="511">
        <v>3</v>
      </c>
      <c r="V40" s="511">
        <v>0</v>
      </c>
    </row>
    <row r="41" spans="1:22" hidden="1">
      <c r="A41" s="1199"/>
      <c r="B41" s="186" t="s">
        <v>57</v>
      </c>
      <c r="C41" s="195">
        <v>110</v>
      </c>
      <c r="D41" s="195">
        <v>0</v>
      </c>
      <c r="E41" s="195">
        <v>0</v>
      </c>
      <c r="F41" s="195">
        <v>0</v>
      </c>
      <c r="G41" s="195">
        <v>0</v>
      </c>
      <c r="H41" s="195">
        <v>0</v>
      </c>
      <c r="I41" s="195">
        <v>15</v>
      </c>
      <c r="J41" s="195">
        <v>28</v>
      </c>
      <c r="K41" s="195">
        <v>0</v>
      </c>
      <c r="L41" s="195">
        <v>27</v>
      </c>
      <c r="M41" s="195">
        <v>26</v>
      </c>
      <c r="N41" s="195">
        <v>0</v>
      </c>
      <c r="O41" s="188">
        <v>0</v>
      </c>
      <c r="P41" s="188">
        <v>0</v>
      </c>
      <c r="Q41" s="188">
        <v>3</v>
      </c>
      <c r="R41" s="188">
        <v>0</v>
      </c>
      <c r="S41" s="188">
        <v>0</v>
      </c>
      <c r="T41" s="188">
        <v>0</v>
      </c>
      <c r="U41" s="188">
        <v>17</v>
      </c>
      <c r="V41" s="188">
        <v>0</v>
      </c>
    </row>
    <row r="42" spans="1:22" hidden="1">
      <c r="A42" s="1199"/>
      <c r="B42" s="186" t="s">
        <v>311</v>
      </c>
      <c r="C42" s="195">
        <v>70</v>
      </c>
      <c r="D42" s="195">
        <v>0</v>
      </c>
      <c r="E42" s="195">
        <v>0</v>
      </c>
      <c r="F42" s="195">
        <v>0</v>
      </c>
      <c r="G42" s="195">
        <v>0</v>
      </c>
      <c r="H42" s="195">
        <v>0</v>
      </c>
      <c r="I42" s="195">
        <v>10</v>
      </c>
      <c r="J42" s="195">
        <v>19</v>
      </c>
      <c r="K42" s="195">
        <v>0</v>
      </c>
      <c r="L42" s="195">
        <v>18</v>
      </c>
      <c r="M42" s="195">
        <v>18</v>
      </c>
      <c r="N42" s="195">
        <v>0</v>
      </c>
      <c r="O42" s="188">
        <v>0</v>
      </c>
      <c r="P42" s="188">
        <v>0</v>
      </c>
      <c r="Q42" s="188">
        <v>2</v>
      </c>
      <c r="R42" s="188">
        <v>0</v>
      </c>
      <c r="S42" s="188">
        <v>0</v>
      </c>
      <c r="T42" s="188">
        <v>0</v>
      </c>
      <c r="U42" s="188">
        <v>0</v>
      </c>
      <c r="V42" s="188">
        <v>0</v>
      </c>
    </row>
    <row r="43" spans="1:22">
      <c r="A43" s="1199"/>
      <c r="B43" s="186" t="s">
        <v>58</v>
      </c>
      <c r="C43" s="195">
        <v>80</v>
      </c>
      <c r="D43" s="195">
        <v>0</v>
      </c>
      <c r="E43" s="195">
        <v>0</v>
      </c>
      <c r="F43" s="195">
        <v>0</v>
      </c>
      <c r="G43" s="195">
        <v>0</v>
      </c>
      <c r="H43" s="195">
        <v>0</v>
      </c>
      <c r="I43" s="195">
        <v>10</v>
      </c>
      <c r="J43" s="195">
        <v>21</v>
      </c>
      <c r="K43" s="195">
        <v>0</v>
      </c>
      <c r="L43" s="195">
        <v>20</v>
      </c>
      <c r="M43" s="195">
        <v>20</v>
      </c>
      <c r="N43" s="195">
        <v>0</v>
      </c>
      <c r="O43" s="188">
        <v>0</v>
      </c>
      <c r="P43" s="188">
        <v>0</v>
      </c>
      <c r="Q43" s="188">
        <v>3</v>
      </c>
      <c r="R43" s="188">
        <v>0</v>
      </c>
      <c r="S43" s="188">
        <v>0</v>
      </c>
      <c r="T43" s="188">
        <v>0</v>
      </c>
      <c r="U43" s="188">
        <v>0</v>
      </c>
      <c r="V43" s="188">
        <v>0</v>
      </c>
    </row>
    <row r="44" spans="1:22">
      <c r="A44" s="1199"/>
      <c r="B44" s="186" t="s">
        <v>59</v>
      </c>
      <c r="C44" s="195">
        <v>70</v>
      </c>
      <c r="D44" s="195">
        <v>0</v>
      </c>
      <c r="E44" s="195">
        <v>0</v>
      </c>
      <c r="F44" s="195">
        <v>0</v>
      </c>
      <c r="G44" s="195">
        <v>0</v>
      </c>
      <c r="H44" s="195">
        <v>0</v>
      </c>
      <c r="I44" s="195">
        <v>10</v>
      </c>
      <c r="J44" s="195">
        <v>19</v>
      </c>
      <c r="K44" s="195">
        <v>0</v>
      </c>
      <c r="L44" s="195">
        <v>18</v>
      </c>
      <c r="M44" s="195">
        <v>18</v>
      </c>
      <c r="N44" s="195">
        <v>0</v>
      </c>
      <c r="O44" s="188">
        <v>0</v>
      </c>
      <c r="P44" s="188">
        <v>0</v>
      </c>
      <c r="Q44" s="188">
        <v>3</v>
      </c>
      <c r="R44" s="188">
        <v>0</v>
      </c>
      <c r="S44" s="188">
        <v>0</v>
      </c>
      <c r="T44" s="188">
        <v>0</v>
      </c>
      <c r="U44" s="188">
        <v>4</v>
      </c>
      <c r="V44" s="188">
        <v>0</v>
      </c>
    </row>
    <row r="45" spans="1:22">
      <c r="A45" s="1199"/>
      <c r="B45" s="186" t="s">
        <v>60</v>
      </c>
      <c r="C45" s="195">
        <v>80</v>
      </c>
      <c r="D45" s="195">
        <v>0</v>
      </c>
      <c r="E45" s="195">
        <v>0</v>
      </c>
      <c r="F45" s="195">
        <v>0</v>
      </c>
      <c r="G45" s="195">
        <v>0</v>
      </c>
      <c r="H45" s="195">
        <v>0</v>
      </c>
      <c r="I45" s="195">
        <v>10</v>
      </c>
      <c r="J45" s="195">
        <v>20</v>
      </c>
      <c r="K45" s="195">
        <v>0</v>
      </c>
      <c r="L45" s="195">
        <v>19</v>
      </c>
      <c r="M45" s="195">
        <v>19</v>
      </c>
      <c r="N45" s="195">
        <v>0</v>
      </c>
      <c r="O45" s="188">
        <v>0</v>
      </c>
      <c r="P45" s="188">
        <v>0</v>
      </c>
      <c r="Q45" s="188">
        <v>3</v>
      </c>
      <c r="R45" s="188">
        <v>0</v>
      </c>
      <c r="S45" s="188">
        <v>0</v>
      </c>
      <c r="T45" s="188">
        <v>0</v>
      </c>
      <c r="U45" s="188">
        <v>8</v>
      </c>
      <c r="V45" s="188">
        <v>0</v>
      </c>
    </row>
    <row r="46" spans="1:22">
      <c r="A46" s="1199"/>
      <c r="B46" s="186" t="s">
        <v>61</v>
      </c>
      <c r="C46" s="195">
        <v>80</v>
      </c>
      <c r="D46" s="195">
        <v>0</v>
      </c>
      <c r="E46" s="195">
        <v>0</v>
      </c>
      <c r="F46" s="195">
        <v>0</v>
      </c>
      <c r="G46" s="195">
        <v>0</v>
      </c>
      <c r="H46" s="195">
        <v>0</v>
      </c>
      <c r="I46" s="195">
        <v>15</v>
      </c>
      <c r="J46" s="195">
        <v>21</v>
      </c>
      <c r="K46" s="195">
        <v>0</v>
      </c>
      <c r="L46" s="195">
        <v>20</v>
      </c>
      <c r="M46" s="195">
        <v>18</v>
      </c>
      <c r="N46" s="195">
        <v>0</v>
      </c>
      <c r="O46" s="188">
        <v>0</v>
      </c>
      <c r="P46" s="188">
        <v>0</v>
      </c>
      <c r="Q46" s="188">
        <v>4</v>
      </c>
      <c r="R46" s="188">
        <v>0</v>
      </c>
      <c r="S46" s="188">
        <v>0</v>
      </c>
      <c r="T46" s="188">
        <v>0</v>
      </c>
      <c r="U46" s="188">
        <v>12</v>
      </c>
      <c r="V46" s="188">
        <v>0</v>
      </c>
    </row>
    <row r="47" spans="1:22" ht="14.25" customHeight="1">
      <c r="A47" s="1199"/>
      <c r="B47" s="186" t="s">
        <v>62</v>
      </c>
      <c r="C47" s="195">
        <v>120</v>
      </c>
      <c r="D47" s="195">
        <v>15</v>
      </c>
      <c r="E47" s="195">
        <v>2</v>
      </c>
      <c r="F47" s="195">
        <v>0</v>
      </c>
      <c r="G47" s="195">
        <v>0</v>
      </c>
      <c r="H47" s="195">
        <v>0</v>
      </c>
      <c r="I47" s="195">
        <v>40</v>
      </c>
      <c r="J47" s="195">
        <v>25</v>
      </c>
      <c r="K47" s="195">
        <v>0</v>
      </c>
      <c r="L47" s="195">
        <v>24</v>
      </c>
      <c r="M47" s="195">
        <v>23</v>
      </c>
      <c r="N47" s="195">
        <v>1</v>
      </c>
      <c r="O47" s="188">
        <v>0</v>
      </c>
      <c r="P47" s="188">
        <v>0</v>
      </c>
      <c r="Q47" s="188">
        <v>4</v>
      </c>
      <c r="R47" s="188">
        <v>0</v>
      </c>
      <c r="S47" s="188">
        <v>0</v>
      </c>
      <c r="T47" s="188">
        <v>0</v>
      </c>
      <c r="U47" s="188">
        <v>25</v>
      </c>
      <c r="V47" s="188">
        <v>0</v>
      </c>
    </row>
    <row r="48" spans="1:22" ht="14.25" customHeight="1">
      <c r="A48" s="1199"/>
      <c r="B48" s="186" t="s">
        <v>63</v>
      </c>
      <c r="C48" s="195">
        <v>120</v>
      </c>
      <c r="D48" s="195">
        <v>25</v>
      </c>
      <c r="E48" s="195">
        <v>3</v>
      </c>
      <c r="F48" s="195">
        <v>0</v>
      </c>
      <c r="G48" s="195">
        <v>0</v>
      </c>
      <c r="H48" s="195">
        <v>0</v>
      </c>
      <c r="I48" s="195">
        <v>35</v>
      </c>
      <c r="J48" s="195">
        <v>23</v>
      </c>
      <c r="K48" s="195">
        <v>0</v>
      </c>
      <c r="L48" s="195">
        <v>21</v>
      </c>
      <c r="M48" s="195">
        <v>21</v>
      </c>
      <c r="N48" s="195">
        <v>1</v>
      </c>
      <c r="O48" s="188">
        <v>0</v>
      </c>
      <c r="P48" s="188">
        <v>0</v>
      </c>
      <c r="Q48" s="188">
        <v>6</v>
      </c>
      <c r="R48" s="188">
        <v>0</v>
      </c>
      <c r="S48" s="188">
        <v>0</v>
      </c>
      <c r="T48" s="188">
        <v>0</v>
      </c>
      <c r="U48" s="188">
        <v>1</v>
      </c>
      <c r="V48" s="188">
        <v>0</v>
      </c>
    </row>
    <row r="49" spans="1:22">
      <c r="A49" s="1199"/>
      <c r="B49" s="186" t="s">
        <v>64</v>
      </c>
      <c r="C49" s="195">
        <v>80</v>
      </c>
      <c r="D49" s="195">
        <v>0</v>
      </c>
      <c r="E49" s="195">
        <v>0</v>
      </c>
      <c r="F49" s="195">
        <v>0</v>
      </c>
      <c r="G49" s="195">
        <v>0</v>
      </c>
      <c r="H49" s="195">
        <v>0</v>
      </c>
      <c r="I49" s="195">
        <v>10</v>
      </c>
      <c r="J49" s="195">
        <v>20</v>
      </c>
      <c r="K49" s="195">
        <v>0</v>
      </c>
      <c r="L49" s="195">
        <v>19</v>
      </c>
      <c r="M49" s="195">
        <v>19</v>
      </c>
      <c r="N49" s="195">
        <v>0</v>
      </c>
      <c r="O49" s="188">
        <v>0</v>
      </c>
      <c r="P49" s="188">
        <v>0</v>
      </c>
      <c r="Q49" s="188">
        <v>3</v>
      </c>
      <c r="R49" s="188">
        <v>0</v>
      </c>
      <c r="S49" s="188">
        <v>0</v>
      </c>
      <c r="T49" s="188">
        <v>0</v>
      </c>
      <c r="U49" s="188">
        <v>6</v>
      </c>
      <c r="V49" s="188">
        <v>0</v>
      </c>
    </row>
    <row r="50" spans="1:22">
      <c r="A50" s="1199"/>
      <c r="B50" s="186" t="s">
        <v>65</v>
      </c>
      <c r="C50" s="195">
        <v>80</v>
      </c>
      <c r="D50" s="195">
        <v>0</v>
      </c>
      <c r="E50" s="195">
        <v>0</v>
      </c>
      <c r="F50" s="195">
        <v>0</v>
      </c>
      <c r="G50" s="195">
        <v>0</v>
      </c>
      <c r="H50" s="195">
        <v>0</v>
      </c>
      <c r="I50" s="195">
        <v>10</v>
      </c>
      <c r="J50" s="195">
        <v>21</v>
      </c>
      <c r="K50" s="195">
        <v>0</v>
      </c>
      <c r="L50" s="195">
        <v>20</v>
      </c>
      <c r="M50" s="195">
        <v>20</v>
      </c>
      <c r="N50" s="195">
        <v>0</v>
      </c>
      <c r="O50" s="188">
        <v>0</v>
      </c>
      <c r="P50" s="188">
        <v>0</v>
      </c>
      <c r="Q50" s="188">
        <v>2</v>
      </c>
      <c r="R50" s="188">
        <v>0</v>
      </c>
      <c r="S50" s="188">
        <v>0</v>
      </c>
      <c r="T50" s="188">
        <v>0</v>
      </c>
      <c r="U50" s="188">
        <v>0</v>
      </c>
      <c r="V50" s="188">
        <v>0</v>
      </c>
    </row>
    <row r="51" spans="1:22">
      <c r="A51" s="1199"/>
      <c r="B51" s="186" t="s">
        <v>66</v>
      </c>
      <c r="C51" s="195">
        <v>100</v>
      </c>
      <c r="D51" s="195">
        <v>0</v>
      </c>
      <c r="E51" s="195">
        <v>0</v>
      </c>
      <c r="F51" s="195">
        <v>0</v>
      </c>
      <c r="G51" s="195">
        <v>0</v>
      </c>
      <c r="H51" s="195">
        <v>0</v>
      </c>
      <c r="I51" s="195">
        <v>10</v>
      </c>
      <c r="J51" s="195">
        <v>25</v>
      </c>
      <c r="K51" s="195">
        <v>0</v>
      </c>
      <c r="L51" s="195">
        <v>24</v>
      </c>
      <c r="M51" s="195">
        <v>11</v>
      </c>
      <c r="N51" s="195">
        <v>0</v>
      </c>
      <c r="O51" s="188">
        <v>0</v>
      </c>
      <c r="P51" s="188">
        <v>0</v>
      </c>
      <c r="Q51" s="188">
        <v>2</v>
      </c>
      <c r="R51" s="188">
        <v>0</v>
      </c>
      <c r="S51" s="188">
        <v>0</v>
      </c>
      <c r="T51" s="188">
        <v>0</v>
      </c>
      <c r="U51" s="188">
        <v>0</v>
      </c>
      <c r="V51" s="188">
        <v>0</v>
      </c>
    </row>
    <row r="52" spans="1:22">
      <c r="A52" s="1199"/>
      <c r="B52" s="186" t="s">
        <v>67</v>
      </c>
      <c r="C52" s="195">
        <v>90</v>
      </c>
      <c r="D52" s="195">
        <v>0</v>
      </c>
      <c r="E52" s="195">
        <v>0</v>
      </c>
      <c r="F52" s="195">
        <v>0</v>
      </c>
      <c r="G52" s="195">
        <v>0</v>
      </c>
      <c r="H52" s="195">
        <v>0</v>
      </c>
      <c r="I52" s="195">
        <v>10</v>
      </c>
      <c r="J52" s="195">
        <v>22</v>
      </c>
      <c r="K52" s="195">
        <v>0</v>
      </c>
      <c r="L52" s="195">
        <v>21</v>
      </c>
      <c r="M52" s="195">
        <v>21</v>
      </c>
      <c r="N52" s="195">
        <v>0</v>
      </c>
      <c r="O52" s="188">
        <v>0</v>
      </c>
      <c r="P52" s="188">
        <v>0</v>
      </c>
      <c r="Q52" s="188">
        <v>3</v>
      </c>
      <c r="R52" s="188">
        <v>0</v>
      </c>
      <c r="S52" s="188">
        <v>0</v>
      </c>
      <c r="T52" s="188">
        <v>0</v>
      </c>
      <c r="U52" s="188">
        <v>1</v>
      </c>
      <c r="V52" s="188">
        <v>0</v>
      </c>
    </row>
    <row r="53" spans="1:22">
      <c r="A53" s="1199"/>
      <c r="B53" s="186" t="s">
        <v>68</v>
      </c>
      <c r="C53" s="195">
        <v>70</v>
      </c>
      <c r="D53" s="195">
        <v>0</v>
      </c>
      <c r="E53" s="195">
        <v>0</v>
      </c>
      <c r="F53" s="195">
        <v>0</v>
      </c>
      <c r="G53" s="195">
        <v>0</v>
      </c>
      <c r="H53" s="195">
        <v>0</v>
      </c>
      <c r="I53" s="195">
        <v>10</v>
      </c>
      <c r="J53" s="195">
        <v>19</v>
      </c>
      <c r="K53" s="195">
        <v>0</v>
      </c>
      <c r="L53" s="195">
        <v>18</v>
      </c>
      <c r="M53" s="195">
        <v>18</v>
      </c>
      <c r="N53" s="195">
        <v>0</v>
      </c>
      <c r="O53" s="188">
        <v>0</v>
      </c>
      <c r="P53" s="188">
        <v>0</v>
      </c>
      <c r="Q53" s="260">
        <v>3</v>
      </c>
      <c r="R53" s="260">
        <v>0</v>
      </c>
      <c r="S53" s="260">
        <v>0</v>
      </c>
      <c r="T53" s="260">
        <v>0</v>
      </c>
      <c r="U53" s="260">
        <v>8</v>
      </c>
      <c r="V53" s="260">
        <v>0</v>
      </c>
    </row>
    <row r="54" spans="1:22">
      <c r="A54" s="1199"/>
      <c r="B54" s="186" t="s">
        <v>69</v>
      </c>
      <c r="C54" s="195">
        <v>70</v>
      </c>
      <c r="D54" s="195">
        <v>0</v>
      </c>
      <c r="E54" s="195">
        <v>0</v>
      </c>
      <c r="F54" s="195">
        <v>0</v>
      </c>
      <c r="G54" s="195">
        <v>0</v>
      </c>
      <c r="H54" s="195">
        <v>0</v>
      </c>
      <c r="I54" s="195">
        <v>15</v>
      </c>
      <c r="J54" s="195">
        <v>19</v>
      </c>
      <c r="K54" s="195">
        <v>0</v>
      </c>
      <c r="L54" s="195">
        <v>18</v>
      </c>
      <c r="M54" s="195">
        <v>17</v>
      </c>
      <c r="N54" s="195">
        <v>0</v>
      </c>
      <c r="O54" s="195">
        <v>0</v>
      </c>
      <c r="P54" s="195">
        <v>0</v>
      </c>
      <c r="Q54" s="195">
        <v>2.8421099999999999</v>
      </c>
      <c r="R54" s="195">
        <v>0</v>
      </c>
      <c r="S54" s="195">
        <v>2.2204999999999999E-2</v>
      </c>
      <c r="T54" s="195">
        <v>0</v>
      </c>
      <c r="U54" s="195">
        <v>0</v>
      </c>
      <c r="V54" s="195">
        <v>0</v>
      </c>
    </row>
    <row r="55" spans="1:22" s="248" customFormat="1">
      <c r="A55" s="1199"/>
      <c r="B55" s="186" t="s">
        <v>71</v>
      </c>
      <c r="C55" s="195">
        <v>80</v>
      </c>
      <c r="D55" s="195">
        <v>0</v>
      </c>
      <c r="E55" s="195">
        <v>0</v>
      </c>
      <c r="F55" s="195">
        <v>0</v>
      </c>
      <c r="G55" s="195">
        <v>0</v>
      </c>
      <c r="H55" s="195">
        <v>0</v>
      </c>
      <c r="I55" s="195">
        <v>10</v>
      </c>
      <c r="J55" s="195">
        <v>20</v>
      </c>
      <c r="K55" s="195">
        <v>0</v>
      </c>
      <c r="L55" s="195">
        <v>20</v>
      </c>
      <c r="M55" s="195">
        <v>19</v>
      </c>
      <c r="N55" s="195">
        <v>0</v>
      </c>
      <c r="O55" s="188">
        <v>0</v>
      </c>
      <c r="P55" s="188">
        <v>0</v>
      </c>
      <c r="Q55" s="188">
        <v>3</v>
      </c>
      <c r="R55" s="188">
        <v>0</v>
      </c>
      <c r="S55" s="188">
        <v>0</v>
      </c>
      <c r="T55" s="188">
        <v>0</v>
      </c>
      <c r="U55" s="188">
        <v>5</v>
      </c>
      <c r="V55" s="188">
        <v>0</v>
      </c>
    </row>
    <row r="56" spans="1:22" s="248" customFormat="1">
      <c r="A56" s="1199"/>
      <c r="B56" s="186" t="s">
        <v>72</v>
      </c>
      <c r="C56" s="195">
        <v>90</v>
      </c>
      <c r="D56" s="195">
        <v>0</v>
      </c>
      <c r="E56" s="195">
        <v>0</v>
      </c>
      <c r="F56" s="195">
        <v>0</v>
      </c>
      <c r="G56" s="195">
        <v>0</v>
      </c>
      <c r="H56" s="195">
        <v>0</v>
      </c>
      <c r="I56" s="195">
        <v>20</v>
      </c>
      <c r="J56" s="195">
        <v>24</v>
      </c>
      <c r="K56" s="195">
        <v>0</v>
      </c>
      <c r="L56" s="195">
        <v>23</v>
      </c>
      <c r="M56" s="195">
        <v>23</v>
      </c>
      <c r="N56" s="195">
        <v>0</v>
      </c>
      <c r="O56" s="188">
        <v>0</v>
      </c>
      <c r="P56" s="188">
        <v>0</v>
      </c>
      <c r="Q56" s="188">
        <v>3</v>
      </c>
      <c r="R56" s="188">
        <v>0</v>
      </c>
      <c r="S56" s="188">
        <v>0</v>
      </c>
      <c r="T56" s="188">
        <v>0</v>
      </c>
      <c r="U56" s="188">
        <v>0</v>
      </c>
      <c r="V56" s="188">
        <v>0</v>
      </c>
    </row>
    <row r="57" spans="1:22" s="248" customFormat="1">
      <c r="A57" s="1199"/>
      <c r="B57" s="186" t="s">
        <v>345</v>
      </c>
      <c r="C57" s="195">
        <v>60</v>
      </c>
      <c r="D57" s="195">
        <v>0</v>
      </c>
      <c r="E57" s="195">
        <v>0</v>
      </c>
      <c r="F57" s="195">
        <v>0</v>
      </c>
      <c r="G57" s="195">
        <v>0</v>
      </c>
      <c r="H57" s="195">
        <v>0</v>
      </c>
      <c r="I57" s="195">
        <v>10</v>
      </c>
      <c r="J57" s="195">
        <v>15</v>
      </c>
      <c r="K57" s="195">
        <v>0</v>
      </c>
      <c r="L57" s="195">
        <v>15</v>
      </c>
      <c r="M57" s="195">
        <v>15</v>
      </c>
      <c r="N57" s="195">
        <v>0</v>
      </c>
      <c r="O57" s="188">
        <v>0</v>
      </c>
      <c r="P57" s="188">
        <v>0</v>
      </c>
      <c r="Q57" s="188">
        <v>3</v>
      </c>
      <c r="R57" s="188">
        <v>0</v>
      </c>
      <c r="S57" s="188">
        <v>0</v>
      </c>
      <c r="T57" s="188">
        <v>0</v>
      </c>
      <c r="U57" s="188">
        <v>1</v>
      </c>
      <c r="V57" s="188">
        <v>0</v>
      </c>
    </row>
    <row r="58" spans="1:22" s="248" customFormat="1">
      <c r="A58" s="1199"/>
      <c r="B58" s="186" t="s">
        <v>73</v>
      </c>
      <c r="C58" s="195">
        <v>90</v>
      </c>
      <c r="D58" s="195">
        <v>0</v>
      </c>
      <c r="E58" s="195">
        <v>0</v>
      </c>
      <c r="F58" s="195">
        <v>0</v>
      </c>
      <c r="G58" s="195">
        <v>0</v>
      </c>
      <c r="H58" s="195">
        <v>0</v>
      </c>
      <c r="I58" s="195">
        <v>15</v>
      </c>
      <c r="J58" s="195">
        <v>23</v>
      </c>
      <c r="K58" s="195">
        <v>0</v>
      </c>
      <c r="L58" s="195">
        <v>22</v>
      </c>
      <c r="M58" s="195">
        <v>21</v>
      </c>
      <c r="N58" s="195">
        <v>0</v>
      </c>
      <c r="O58" s="195">
        <v>0</v>
      </c>
      <c r="P58" s="195">
        <v>0</v>
      </c>
      <c r="Q58" s="195">
        <v>2</v>
      </c>
      <c r="R58" s="195">
        <v>0</v>
      </c>
      <c r="S58" s="195">
        <v>0</v>
      </c>
      <c r="T58" s="195">
        <v>0</v>
      </c>
      <c r="U58" s="195">
        <v>2</v>
      </c>
      <c r="V58" s="195">
        <v>0</v>
      </c>
    </row>
    <row r="59" spans="1:22" s="248" customFormat="1" ht="15" customHeight="1">
      <c r="A59" s="1199"/>
      <c r="B59" s="186" t="s">
        <v>346</v>
      </c>
      <c r="C59" s="512">
        <v>80</v>
      </c>
      <c r="D59" s="512">
        <v>0</v>
      </c>
      <c r="E59" s="512">
        <v>0</v>
      </c>
      <c r="F59" s="512">
        <v>0</v>
      </c>
      <c r="G59" s="512">
        <v>0</v>
      </c>
      <c r="H59" s="512">
        <v>0</v>
      </c>
      <c r="I59" s="512">
        <v>10</v>
      </c>
      <c r="J59" s="512">
        <v>21</v>
      </c>
      <c r="K59" s="512">
        <v>0</v>
      </c>
      <c r="L59" s="512">
        <v>16</v>
      </c>
      <c r="M59" s="512">
        <v>20</v>
      </c>
      <c r="N59" s="512">
        <v>0</v>
      </c>
      <c r="O59" s="512">
        <v>0</v>
      </c>
      <c r="P59" s="512">
        <v>0</v>
      </c>
      <c r="Q59" s="512">
        <v>3</v>
      </c>
      <c r="R59" s="512">
        <v>0</v>
      </c>
      <c r="S59" s="512">
        <v>0</v>
      </c>
      <c r="T59" s="512">
        <v>0</v>
      </c>
      <c r="U59" s="512">
        <v>8</v>
      </c>
      <c r="V59" s="512">
        <v>0</v>
      </c>
    </row>
    <row r="60" spans="1:22" s="248" customFormat="1">
      <c r="A60" s="1199"/>
      <c r="B60" s="186" t="s">
        <v>75</v>
      </c>
      <c r="C60" s="195">
        <v>80</v>
      </c>
      <c r="D60" s="195">
        <v>0</v>
      </c>
      <c r="E60" s="195">
        <v>0</v>
      </c>
      <c r="F60" s="195">
        <v>0</v>
      </c>
      <c r="G60" s="195">
        <v>0</v>
      </c>
      <c r="H60" s="195">
        <v>0</v>
      </c>
      <c r="I60" s="195">
        <v>15</v>
      </c>
      <c r="J60" s="195">
        <v>19</v>
      </c>
      <c r="K60" s="195">
        <v>0</v>
      </c>
      <c r="L60" s="195">
        <v>18</v>
      </c>
      <c r="M60" s="195">
        <v>18</v>
      </c>
      <c r="N60" s="195">
        <v>0</v>
      </c>
      <c r="O60" s="188">
        <v>0</v>
      </c>
      <c r="P60" s="188">
        <v>0</v>
      </c>
      <c r="Q60" s="188">
        <v>3</v>
      </c>
      <c r="R60" s="188">
        <v>0</v>
      </c>
      <c r="S60" s="188">
        <v>0</v>
      </c>
      <c r="T60" s="188">
        <v>0</v>
      </c>
      <c r="U60" s="188">
        <v>6</v>
      </c>
      <c r="V60" s="188">
        <v>0</v>
      </c>
    </row>
    <row r="61" spans="1:22" s="248" customFormat="1">
      <c r="A61" s="1199"/>
      <c r="B61" s="186" t="s">
        <v>76</v>
      </c>
      <c r="C61" s="195">
        <v>90</v>
      </c>
      <c r="D61" s="195">
        <v>0</v>
      </c>
      <c r="E61" s="195">
        <v>0</v>
      </c>
      <c r="F61" s="195">
        <v>0</v>
      </c>
      <c r="G61" s="195">
        <v>0</v>
      </c>
      <c r="H61" s="195">
        <v>0</v>
      </c>
      <c r="I61" s="195">
        <v>10</v>
      </c>
      <c r="J61" s="195">
        <v>22</v>
      </c>
      <c r="K61" s="195">
        <v>0</v>
      </c>
      <c r="L61" s="195">
        <v>21</v>
      </c>
      <c r="M61" s="195">
        <v>21</v>
      </c>
      <c r="N61" s="195">
        <v>0</v>
      </c>
      <c r="O61" s="188">
        <v>0</v>
      </c>
      <c r="P61" s="188">
        <v>0</v>
      </c>
      <c r="Q61" s="195">
        <v>3</v>
      </c>
      <c r="R61" s="195">
        <v>0</v>
      </c>
      <c r="S61" s="195">
        <v>0</v>
      </c>
      <c r="T61" s="195">
        <v>0</v>
      </c>
      <c r="U61" s="195">
        <v>3</v>
      </c>
      <c r="V61" s="195">
        <v>0</v>
      </c>
    </row>
    <row r="62" spans="1:22" s="248" customFormat="1">
      <c r="A62" s="1199"/>
      <c r="B62" s="186" t="s">
        <v>77</v>
      </c>
      <c r="C62" s="195">
        <v>90</v>
      </c>
      <c r="D62" s="195">
        <v>0</v>
      </c>
      <c r="E62" s="195">
        <v>0</v>
      </c>
      <c r="F62" s="195">
        <v>0</v>
      </c>
      <c r="G62" s="195">
        <v>0</v>
      </c>
      <c r="H62" s="195">
        <v>0</v>
      </c>
      <c r="I62" s="195">
        <v>10</v>
      </c>
      <c r="J62" s="195">
        <v>22</v>
      </c>
      <c r="K62" s="195">
        <v>0</v>
      </c>
      <c r="L62" s="195">
        <v>21</v>
      </c>
      <c r="M62" s="195">
        <v>21</v>
      </c>
      <c r="N62" s="195">
        <v>0</v>
      </c>
      <c r="O62" s="188">
        <v>0</v>
      </c>
      <c r="P62" s="188">
        <v>0</v>
      </c>
      <c r="Q62" s="188">
        <v>3</v>
      </c>
      <c r="R62" s="188">
        <v>0</v>
      </c>
      <c r="S62" s="188">
        <v>0</v>
      </c>
      <c r="T62" s="188">
        <v>0</v>
      </c>
      <c r="U62" s="188">
        <v>3</v>
      </c>
      <c r="V62" s="188">
        <v>0</v>
      </c>
    </row>
    <row r="63" spans="1:22" s="248" customFormat="1">
      <c r="A63" s="1199"/>
      <c r="B63" s="186" t="s">
        <v>78</v>
      </c>
      <c r="C63" s="188">
        <v>90</v>
      </c>
      <c r="D63" s="188">
        <v>0</v>
      </c>
      <c r="E63" s="188">
        <v>0</v>
      </c>
      <c r="F63" s="188">
        <v>0</v>
      </c>
      <c r="G63" s="188">
        <v>0</v>
      </c>
      <c r="H63" s="188">
        <v>0</v>
      </c>
      <c r="I63" s="188">
        <v>10</v>
      </c>
      <c r="J63" s="188">
        <v>22</v>
      </c>
      <c r="K63" s="188">
        <v>0</v>
      </c>
      <c r="L63" s="188">
        <v>20</v>
      </c>
      <c r="M63" s="188">
        <v>20</v>
      </c>
      <c r="N63" s="188">
        <v>0</v>
      </c>
      <c r="O63" s="188">
        <v>0</v>
      </c>
      <c r="P63" s="188">
        <v>0</v>
      </c>
      <c r="Q63" s="188">
        <v>5</v>
      </c>
      <c r="R63" s="188">
        <v>0</v>
      </c>
      <c r="S63" s="188">
        <v>0</v>
      </c>
      <c r="T63" s="188">
        <v>0</v>
      </c>
      <c r="U63" s="188">
        <v>7</v>
      </c>
      <c r="V63" s="188">
        <v>0</v>
      </c>
    </row>
    <row r="64" spans="1:22" s="248" customFormat="1">
      <c r="A64" s="1199"/>
      <c r="B64" s="186" t="s">
        <v>180</v>
      </c>
      <c r="C64" s="188">
        <v>80</v>
      </c>
      <c r="D64" s="188">
        <v>0</v>
      </c>
      <c r="E64" s="188">
        <v>0</v>
      </c>
      <c r="F64" s="188">
        <v>0</v>
      </c>
      <c r="G64" s="188">
        <v>0</v>
      </c>
      <c r="H64" s="188">
        <v>0</v>
      </c>
      <c r="I64" s="188">
        <v>35</v>
      </c>
      <c r="J64" s="188">
        <v>21</v>
      </c>
      <c r="K64" s="188">
        <v>0</v>
      </c>
      <c r="L64" s="188">
        <v>19</v>
      </c>
      <c r="M64" s="188">
        <v>19</v>
      </c>
      <c r="N64" s="188">
        <v>0</v>
      </c>
      <c r="O64" s="188">
        <v>0</v>
      </c>
      <c r="P64" s="188">
        <v>0</v>
      </c>
      <c r="Q64" s="188">
        <v>3</v>
      </c>
      <c r="R64" s="188">
        <v>0</v>
      </c>
      <c r="S64" s="188">
        <v>0</v>
      </c>
      <c r="T64" s="188">
        <v>0</v>
      </c>
      <c r="U64" s="188">
        <v>7</v>
      </c>
      <c r="V64" s="188">
        <v>0</v>
      </c>
    </row>
    <row r="65" spans="1:22" s="248" customFormat="1" ht="16.3" thickBot="1">
      <c r="A65" s="1200"/>
      <c r="B65" s="186" t="s">
        <v>315</v>
      </c>
      <c r="C65" s="508">
        <v>60</v>
      </c>
      <c r="D65" s="508">
        <v>0</v>
      </c>
      <c r="E65" s="508">
        <v>0</v>
      </c>
      <c r="F65" s="508">
        <v>0</v>
      </c>
      <c r="G65" s="508">
        <v>0</v>
      </c>
      <c r="H65" s="508">
        <v>0</v>
      </c>
      <c r="I65" s="508">
        <v>10</v>
      </c>
      <c r="J65" s="508">
        <v>16</v>
      </c>
      <c r="K65" s="508">
        <v>0</v>
      </c>
      <c r="L65" s="508">
        <v>15</v>
      </c>
      <c r="M65" s="508">
        <v>15</v>
      </c>
      <c r="N65" s="508">
        <v>0</v>
      </c>
      <c r="O65" s="508">
        <v>0</v>
      </c>
      <c r="P65" s="508">
        <v>0</v>
      </c>
      <c r="Q65" s="508">
        <v>3</v>
      </c>
      <c r="R65" s="508">
        <v>0</v>
      </c>
      <c r="S65" s="508">
        <v>0</v>
      </c>
      <c r="T65" s="508">
        <v>0</v>
      </c>
      <c r="U65" s="508">
        <v>3</v>
      </c>
      <c r="V65" s="508">
        <v>0</v>
      </c>
    </row>
    <row r="66" spans="1:22" hidden="1">
      <c r="A66" s="1216" t="s">
        <v>347</v>
      </c>
      <c r="B66" s="186" t="s">
        <v>88</v>
      </c>
      <c r="C66" s="195">
        <v>70</v>
      </c>
      <c r="D66" s="195">
        <v>0</v>
      </c>
      <c r="E66" s="195">
        <v>0</v>
      </c>
      <c r="F66" s="195">
        <v>0</v>
      </c>
      <c r="G66" s="195">
        <v>0</v>
      </c>
      <c r="H66" s="195">
        <v>0</v>
      </c>
      <c r="I66" s="195">
        <v>0</v>
      </c>
      <c r="J66" s="195">
        <v>18</v>
      </c>
      <c r="K66" s="195">
        <v>0</v>
      </c>
      <c r="L66" s="195">
        <v>18</v>
      </c>
      <c r="M66" s="195">
        <v>16</v>
      </c>
      <c r="N66" s="195">
        <v>0</v>
      </c>
      <c r="O66" s="188">
        <v>0</v>
      </c>
      <c r="P66" s="188">
        <v>0</v>
      </c>
      <c r="Q66" s="188">
        <v>5</v>
      </c>
      <c r="R66" s="188">
        <v>0</v>
      </c>
      <c r="S66" s="188">
        <v>0</v>
      </c>
      <c r="T66" s="188">
        <v>0</v>
      </c>
      <c r="U66" s="188">
        <v>16</v>
      </c>
      <c r="V66" s="188">
        <v>0</v>
      </c>
    </row>
    <row r="67" spans="1:22" hidden="1">
      <c r="A67" s="1216"/>
      <c r="B67" s="186" t="s">
        <v>89</v>
      </c>
      <c r="C67" s="195">
        <v>90</v>
      </c>
      <c r="D67" s="195">
        <v>0</v>
      </c>
      <c r="E67" s="195">
        <v>0</v>
      </c>
      <c r="F67" s="195">
        <v>0</v>
      </c>
      <c r="G67" s="195">
        <v>0</v>
      </c>
      <c r="H67" s="195">
        <v>0</v>
      </c>
      <c r="I67" s="195">
        <v>0</v>
      </c>
      <c r="J67" s="195">
        <v>14</v>
      </c>
      <c r="K67" s="195">
        <v>1</v>
      </c>
      <c r="L67" s="195">
        <v>13</v>
      </c>
      <c r="M67" s="195">
        <v>13</v>
      </c>
      <c r="N67" s="195">
        <v>0</v>
      </c>
      <c r="O67" s="188">
        <v>0</v>
      </c>
      <c r="P67" s="188">
        <v>0</v>
      </c>
      <c r="Q67" s="188">
        <v>11</v>
      </c>
      <c r="R67" s="188">
        <v>0</v>
      </c>
      <c r="S67" s="188">
        <v>0</v>
      </c>
      <c r="T67" s="188">
        <v>0</v>
      </c>
      <c r="U67" s="188">
        <v>84</v>
      </c>
      <c r="V67" s="188">
        <v>2</v>
      </c>
    </row>
    <row r="68" spans="1:22" s="212" customFormat="1" ht="14.25" hidden="1" customHeight="1" thickBot="1">
      <c r="A68" s="1216"/>
      <c r="B68" s="186" t="s">
        <v>91</v>
      </c>
      <c r="C68" s="188">
        <v>70</v>
      </c>
      <c r="D68" s="188">
        <v>0</v>
      </c>
      <c r="E68" s="188">
        <v>0</v>
      </c>
      <c r="F68" s="188">
        <v>0</v>
      </c>
      <c r="G68" s="188">
        <v>0</v>
      </c>
      <c r="H68" s="188">
        <v>0</v>
      </c>
      <c r="I68" s="188">
        <v>0</v>
      </c>
      <c r="J68" s="188">
        <v>14</v>
      </c>
      <c r="K68" s="188">
        <v>1</v>
      </c>
      <c r="L68" s="188">
        <v>13</v>
      </c>
      <c r="M68" s="188">
        <v>12</v>
      </c>
      <c r="N68" s="188">
        <v>0</v>
      </c>
      <c r="O68" s="188">
        <v>0</v>
      </c>
      <c r="P68" s="188">
        <v>0</v>
      </c>
      <c r="Q68" s="188">
        <v>8</v>
      </c>
      <c r="R68" s="188">
        <v>0</v>
      </c>
      <c r="S68" s="188">
        <v>0</v>
      </c>
      <c r="T68" s="188">
        <v>0</v>
      </c>
      <c r="U68" s="188">
        <v>52</v>
      </c>
      <c r="V68" s="188">
        <v>2</v>
      </c>
    </row>
    <row r="69" spans="1:22" s="212" customFormat="1" ht="14.25" customHeight="1">
      <c r="A69" s="1189" t="s">
        <v>348</v>
      </c>
      <c r="B69" s="186" t="s">
        <v>94</v>
      </c>
      <c r="C69" s="195">
        <v>100</v>
      </c>
      <c r="D69" s="195">
        <v>10</v>
      </c>
      <c r="E69" s="195">
        <v>1</v>
      </c>
      <c r="F69" s="195">
        <v>1</v>
      </c>
      <c r="G69" s="195">
        <v>0</v>
      </c>
      <c r="H69" s="195">
        <v>0</v>
      </c>
      <c r="I69" s="195">
        <v>50</v>
      </c>
      <c r="J69" s="195">
        <v>22</v>
      </c>
      <c r="K69" s="195">
        <v>0</v>
      </c>
      <c r="L69" s="195">
        <v>20</v>
      </c>
      <c r="M69" s="195">
        <v>17</v>
      </c>
      <c r="N69" s="195">
        <v>0</v>
      </c>
      <c r="O69" s="188">
        <v>0</v>
      </c>
      <c r="P69" s="188">
        <v>0</v>
      </c>
      <c r="Q69" s="188">
        <v>11</v>
      </c>
      <c r="R69" s="188">
        <v>0</v>
      </c>
      <c r="S69" s="188">
        <v>0</v>
      </c>
      <c r="T69" s="188">
        <v>0</v>
      </c>
      <c r="U69" s="188">
        <v>2</v>
      </c>
      <c r="V69" s="188">
        <v>0</v>
      </c>
    </row>
    <row r="70" spans="1:22" s="212" customFormat="1">
      <c r="A70" s="1190"/>
      <c r="B70" s="186" t="s">
        <v>93</v>
      </c>
      <c r="C70" s="195">
        <v>100</v>
      </c>
      <c r="D70" s="195">
        <v>15</v>
      </c>
      <c r="E70" s="195">
        <v>1.5</v>
      </c>
      <c r="F70" s="195">
        <v>1</v>
      </c>
      <c r="G70" s="195">
        <v>0</v>
      </c>
      <c r="H70" s="195">
        <v>0</v>
      </c>
      <c r="I70" s="195">
        <v>15</v>
      </c>
      <c r="J70" s="195">
        <v>22</v>
      </c>
      <c r="K70" s="195">
        <v>0</v>
      </c>
      <c r="L70" s="195">
        <v>21</v>
      </c>
      <c r="M70" s="195">
        <v>9</v>
      </c>
      <c r="N70" s="195">
        <v>0</v>
      </c>
      <c r="O70" s="188">
        <v>0</v>
      </c>
      <c r="P70" s="188">
        <v>0</v>
      </c>
      <c r="Q70" s="195">
        <v>4.2625900000000003</v>
      </c>
      <c r="R70" s="195">
        <v>0</v>
      </c>
      <c r="S70" s="195">
        <v>0.165184</v>
      </c>
      <c r="T70" s="195">
        <v>0</v>
      </c>
      <c r="U70" s="195">
        <v>10</v>
      </c>
      <c r="V70" s="195">
        <v>0</v>
      </c>
    </row>
    <row r="71" spans="1:22">
      <c r="A71" s="1190"/>
      <c r="B71" s="186" t="s">
        <v>95</v>
      </c>
      <c r="C71" s="195">
        <v>100</v>
      </c>
      <c r="D71" s="195">
        <v>10</v>
      </c>
      <c r="E71" s="195">
        <v>1</v>
      </c>
      <c r="F71" s="195">
        <v>1</v>
      </c>
      <c r="G71" s="195">
        <v>0</v>
      </c>
      <c r="H71" s="195">
        <v>0</v>
      </c>
      <c r="I71" s="195">
        <v>20</v>
      </c>
      <c r="J71" s="195">
        <v>22</v>
      </c>
      <c r="K71" s="195">
        <v>0</v>
      </c>
      <c r="L71" s="195">
        <v>20</v>
      </c>
      <c r="M71" s="195">
        <v>8</v>
      </c>
      <c r="N71" s="195">
        <v>0</v>
      </c>
      <c r="O71" s="188">
        <v>0</v>
      </c>
      <c r="P71" s="188">
        <v>0</v>
      </c>
      <c r="Q71" s="188">
        <v>5</v>
      </c>
      <c r="R71" s="188">
        <v>0</v>
      </c>
      <c r="S71" s="188">
        <v>0</v>
      </c>
      <c r="T71" s="188">
        <v>0</v>
      </c>
      <c r="U71" s="188">
        <v>2</v>
      </c>
      <c r="V71" s="188">
        <v>0</v>
      </c>
    </row>
    <row r="72" spans="1:22">
      <c r="A72" s="1190"/>
      <c r="B72" s="186" t="s">
        <v>182</v>
      </c>
      <c r="C72" s="195">
        <v>110</v>
      </c>
      <c r="D72" s="195">
        <v>15</v>
      </c>
      <c r="E72" s="195">
        <v>2</v>
      </c>
      <c r="F72" s="195">
        <v>1.5</v>
      </c>
      <c r="G72" s="195">
        <v>0</v>
      </c>
      <c r="H72" s="195">
        <v>0</v>
      </c>
      <c r="I72" s="195">
        <v>35</v>
      </c>
      <c r="J72" s="195">
        <v>23</v>
      </c>
      <c r="K72" s="195">
        <v>0</v>
      </c>
      <c r="L72" s="195">
        <v>20</v>
      </c>
      <c r="M72" s="195">
        <v>19</v>
      </c>
      <c r="N72" s="195">
        <v>0</v>
      </c>
      <c r="O72" s="188">
        <v>0</v>
      </c>
      <c r="P72" s="188">
        <v>0</v>
      </c>
      <c r="Q72" s="188">
        <v>5</v>
      </c>
      <c r="R72" s="188">
        <v>0</v>
      </c>
      <c r="S72" s="188">
        <v>0</v>
      </c>
      <c r="T72" s="188">
        <v>0</v>
      </c>
      <c r="U72" s="188">
        <v>17</v>
      </c>
      <c r="V72" s="188">
        <v>0</v>
      </c>
    </row>
    <row r="73" spans="1:22">
      <c r="A73" s="1190"/>
      <c r="B73" s="186" t="s">
        <v>98</v>
      </c>
      <c r="C73" s="195">
        <v>90</v>
      </c>
      <c r="D73" s="195">
        <v>10</v>
      </c>
      <c r="E73" s="195">
        <v>1</v>
      </c>
      <c r="F73" s="195">
        <v>1</v>
      </c>
      <c r="G73" s="195">
        <v>0</v>
      </c>
      <c r="H73" s="195">
        <v>0</v>
      </c>
      <c r="I73" s="195">
        <v>20</v>
      </c>
      <c r="J73" s="195">
        <v>21</v>
      </c>
      <c r="K73" s="195">
        <v>0</v>
      </c>
      <c r="L73" s="195">
        <v>20</v>
      </c>
      <c r="M73" s="195">
        <v>9</v>
      </c>
      <c r="N73" s="195">
        <v>0</v>
      </c>
      <c r="O73" s="188">
        <v>0</v>
      </c>
      <c r="P73" s="188">
        <v>0</v>
      </c>
      <c r="Q73" s="188">
        <v>3</v>
      </c>
      <c r="R73" s="188">
        <v>0</v>
      </c>
      <c r="S73" s="188">
        <v>0</v>
      </c>
      <c r="T73" s="188">
        <v>0</v>
      </c>
      <c r="U73" s="188">
        <v>2</v>
      </c>
      <c r="V73" s="188">
        <v>0</v>
      </c>
    </row>
    <row r="74" spans="1:22">
      <c r="A74" s="1190"/>
      <c r="B74" s="186" t="s">
        <v>100</v>
      </c>
      <c r="C74" s="195">
        <v>110</v>
      </c>
      <c r="D74" s="195">
        <v>15</v>
      </c>
      <c r="E74" s="195">
        <v>1.5</v>
      </c>
      <c r="F74" s="195">
        <v>1.5</v>
      </c>
      <c r="G74" s="195">
        <v>0</v>
      </c>
      <c r="H74" s="195">
        <v>0</v>
      </c>
      <c r="I74" s="195">
        <v>25</v>
      </c>
      <c r="J74" s="195">
        <v>23</v>
      </c>
      <c r="K74" s="195">
        <v>0</v>
      </c>
      <c r="L74" s="195">
        <v>22</v>
      </c>
      <c r="M74" s="195">
        <v>9</v>
      </c>
      <c r="N74" s="195">
        <v>0</v>
      </c>
      <c r="O74" s="195">
        <v>0</v>
      </c>
      <c r="P74" s="195">
        <v>0</v>
      </c>
      <c r="Q74" s="195">
        <v>7</v>
      </c>
      <c r="R74" s="195">
        <v>0</v>
      </c>
      <c r="S74" s="195">
        <v>0</v>
      </c>
      <c r="T74" s="195">
        <v>0</v>
      </c>
      <c r="U74" s="195">
        <v>12</v>
      </c>
      <c r="V74" s="195">
        <v>0</v>
      </c>
    </row>
    <row r="75" spans="1:22">
      <c r="A75" s="1190"/>
      <c r="B75" s="186" t="s">
        <v>99</v>
      </c>
      <c r="C75" s="195">
        <v>100</v>
      </c>
      <c r="D75" s="195">
        <v>15</v>
      </c>
      <c r="E75" s="195">
        <v>2</v>
      </c>
      <c r="F75" s="195">
        <v>1.5</v>
      </c>
      <c r="G75" s="195">
        <v>0</v>
      </c>
      <c r="H75" s="195">
        <v>0</v>
      </c>
      <c r="I75" s="195">
        <v>20</v>
      </c>
      <c r="J75" s="195">
        <v>22</v>
      </c>
      <c r="K75" s="195">
        <v>0</v>
      </c>
      <c r="L75" s="195">
        <v>21</v>
      </c>
      <c r="M75" s="195">
        <v>10</v>
      </c>
      <c r="N75" s="195">
        <v>0</v>
      </c>
      <c r="O75" s="188">
        <v>0</v>
      </c>
      <c r="P75" s="188">
        <v>0</v>
      </c>
      <c r="Q75" s="195">
        <v>3.6038999999999999</v>
      </c>
      <c r="R75" s="195">
        <v>0</v>
      </c>
      <c r="S75" s="195">
        <v>0.25319000000000003</v>
      </c>
      <c r="T75" s="195">
        <v>2</v>
      </c>
      <c r="U75" s="195">
        <v>15</v>
      </c>
      <c r="V75" s="195">
        <v>0</v>
      </c>
    </row>
    <row r="76" spans="1:22" ht="14.25" customHeight="1">
      <c r="A76" s="1190"/>
      <c r="B76" s="186" t="s">
        <v>101</v>
      </c>
      <c r="C76" s="195">
        <v>110</v>
      </c>
      <c r="D76" s="195">
        <v>15</v>
      </c>
      <c r="E76" s="195">
        <v>2</v>
      </c>
      <c r="F76" s="195">
        <v>1.5</v>
      </c>
      <c r="G76" s="195">
        <v>0</v>
      </c>
      <c r="H76" s="195">
        <v>0</v>
      </c>
      <c r="I76" s="195">
        <v>25</v>
      </c>
      <c r="J76" s="195">
        <v>23</v>
      </c>
      <c r="K76" s="195">
        <v>0</v>
      </c>
      <c r="L76" s="195">
        <v>21</v>
      </c>
      <c r="M76" s="195">
        <v>20</v>
      </c>
      <c r="N76" s="195">
        <v>0</v>
      </c>
      <c r="O76" s="188">
        <v>0</v>
      </c>
      <c r="P76" s="188">
        <v>0</v>
      </c>
      <c r="Q76" s="195">
        <v>7.0143199999999997</v>
      </c>
      <c r="R76" s="195">
        <v>0</v>
      </c>
      <c r="S76" s="195">
        <v>0.29600199999999999</v>
      </c>
      <c r="T76" s="195">
        <v>2</v>
      </c>
      <c r="U76" s="195">
        <v>15</v>
      </c>
      <c r="V76" s="195">
        <v>0</v>
      </c>
    </row>
    <row r="77" spans="1:22">
      <c r="A77" s="1190"/>
      <c r="B77" s="186" t="s">
        <v>102</v>
      </c>
      <c r="C77" s="195">
        <v>90</v>
      </c>
      <c r="D77" s="195">
        <v>10</v>
      </c>
      <c r="E77" s="195">
        <v>1</v>
      </c>
      <c r="F77" s="195">
        <v>1</v>
      </c>
      <c r="G77" s="195">
        <v>0</v>
      </c>
      <c r="H77" s="195">
        <v>0</v>
      </c>
      <c r="I77" s="195">
        <v>20</v>
      </c>
      <c r="J77" s="195">
        <v>21</v>
      </c>
      <c r="K77" s="195">
        <v>0</v>
      </c>
      <c r="L77" s="195">
        <v>19</v>
      </c>
      <c r="M77" s="195">
        <v>19</v>
      </c>
      <c r="N77" s="195">
        <v>0</v>
      </c>
      <c r="O77" s="188">
        <v>0</v>
      </c>
      <c r="P77" s="188">
        <v>0</v>
      </c>
      <c r="Q77" s="188">
        <v>3</v>
      </c>
      <c r="R77" s="188">
        <v>0</v>
      </c>
      <c r="S77" s="188">
        <v>0</v>
      </c>
      <c r="T77" s="188">
        <v>0</v>
      </c>
      <c r="U77" s="188">
        <v>3</v>
      </c>
      <c r="V77" s="188">
        <v>0</v>
      </c>
    </row>
    <row r="78" spans="1:22">
      <c r="A78" s="1190"/>
      <c r="B78" s="186" t="s">
        <v>104</v>
      </c>
      <c r="C78" s="195">
        <v>100</v>
      </c>
      <c r="D78" s="195">
        <v>15</v>
      </c>
      <c r="E78" s="195">
        <v>1.5</v>
      </c>
      <c r="F78" s="195">
        <v>1</v>
      </c>
      <c r="G78" s="195">
        <v>0</v>
      </c>
      <c r="H78" s="195">
        <v>0</v>
      </c>
      <c r="I78" s="195">
        <v>30</v>
      </c>
      <c r="J78" s="195">
        <v>22</v>
      </c>
      <c r="K78" s="195">
        <v>0</v>
      </c>
      <c r="L78" s="195">
        <v>20</v>
      </c>
      <c r="M78" s="195">
        <v>20</v>
      </c>
      <c r="N78" s="195">
        <v>0</v>
      </c>
      <c r="O78" s="188">
        <v>0</v>
      </c>
      <c r="P78" s="188">
        <v>0</v>
      </c>
      <c r="Q78" s="195">
        <v>3.24444</v>
      </c>
      <c r="R78" s="195">
        <v>0</v>
      </c>
      <c r="S78" s="195">
        <v>0.13075600000000001</v>
      </c>
      <c r="T78" s="195">
        <v>0</v>
      </c>
      <c r="U78" s="195">
        <v>15</v>
      </c>
      <c r="V78" s="195">
        <v>0</v>
      </c>
    </row>
    <row r="79" spans="1:22">
      <c r="A79" s="1190"/>
      <c r="B79" s="186" t="s">
        <v>103</v>
      </c>
      <c r="C79" s="195">
        <v>110</v>
      </c>
      <c r="D79" s="195">
        <v>10</v>
      </c>
      <c r="E79" s="195">
        <v>1</v>
      </c>
      <c r="F79" s="195">
        <v>1</v>
      </c>
      <c r="G79" s="195">
        <v>0</v>
      </c>
      <c r="H79" s="195">
        <v>0</v>
      </c>
      <c r="I79" s="195">
        <v>30</v>
      </c>
      <c r="J79" s="195">
        <v>26</v>
      </c>
      <c r="K79" s="195">
        <v>0</v>
      </c>
      <c r="L79" s="195">
        <v>25</v>
      </c>
      <c r="M79" s="195">
        <v>24</v>
      </c>
      <c r="N79" s="195">
        <v>0</v>
      </c>
      <c r="O79" s="188">
        <v>0</v>
      </c>
      <c r="P79" s="188">
        <v>0</v>
      </c>
      <c r="Q79" s="188">
        <v>2</v>
      </c>
      <c r="R79" s="188">
        <v>0</v>
      </c>
      <c r="S79" s="188">
        <v>0</v>
      </c>
      <c r="T79" s="188">
        <v>0</v>
      </c>
      <c r="U79" s="188">
        <v>6</v>
      </c>
      <c r="V79" s="188">
        <v>0</v>
      </c>
    </row>
    <row r="80" spans="1:22" hidden="1">
      <c r="A80" s="1190"/>
      <c r="B80" s="186" t="s">
        <v>318</v>
      </c>
      <c r="C80" s="308">
        <v>110</v>
      </c>
      <c r="D80" s="308">
        <v>10</v>
      </c>
      <c r="E80" s="308">
        <v>1</v>
      </c>
      <c r="F80" s="308">
        <v>1</v>
      </c>
      <c r="G80" s="308">
        <v>0</v>
      </c>
      <c r="H80" s="308">
        <v>0</v>
      </c>
      <c r="I80" s="308">
        <v>25</v>
      </c>
      <c r="J80" s="308">
        <v>25</v>
      </c>
      <c r="K80" s="308">
        <v>0</v>
      </c>
      <c r="L80" s="308">
        <v>23</v>
      </c>
      <c r="M80" s="308">
        <v>23</v>
      </c>
      <c r="N80" s="308">
        <v>0</v>
      </c>
      <c r="O80" s="308">
        <v>0</v>
      </c>
      <c r="P80" s="308">
        <v>0</v>
      </c>
      <c r="Q80" s="308">
        <v>4</v>
      </c>
      <c r="R80" s="308">
        <v>0</v>
      </c>
      <c r="S80" s="308">
        <v>0</v>
      </c>
      <c r="T80" s="308">
        <v>0</v>
      </c>
      <c r="U80" s="308">
        <v>22</v>
      </c>
      <c r="V80" s="308">
        <v>0</v>
      </c>
    </row>
    <row r="81" spans="1:22">
      <c r="A81" s="1190"/>
      <c r="B81" s="186" t="s">
        <v>105</v>
      </c>
      <c r="C81" s="195">
        <v>120</v>
      </c>
      <c r="D81" s="195">
        <v>15</v>
      </c>
      <c r="E81" s="195">
        <v>1.5</v>
      </c>
      <c r="F81" s="195">
        <v>1</v>
      </c>
      <c r="G81" s="195">
        <v>0</v>
      </c>
      <c r="H81" s="195">
        <v>0</v>
      </c>
      <c r="I81" s="195">
        <v>35</v>
      </c>
      <c r="J81" s="195">
        <v>28</v>
      </c>
      <c r="K81" s="195">
        <v>0</v>
      </c>
      <c r="L81" s="195">
        <v>25</v>
      </c>
      <c r="M81" s="195">
        <v>25</v>
      </c>
      <c r="N81" s="195">
        <v>1</v>
      </c>
      <c r="O81" s="188">
        <v>0</v>
      </c>
      <c r="P81" s="188">
        <v>0</v>
      </c>
      <c r="Q81" s="195">
        <v>5.2807700000000004</v>
      </c>
      <c r="R81" s="195">
        <v>0</v>
      </c>
      <c r="S81" s="195">
        <v>0.35461799999999999</v>
      </c>
      <c r="T81" s="195">
        <v>2</v>
      </c>
      <c r="U81" s="195">
        <v>40</v>
      </c>
      <c r="V81" s="195">
        <v>1</v>
      </c>
    </row>
    <row r="82" spans="1:22" hidden="1">
      <c r="A82" s="1190"/>
      <c r="B82" s="186" t="s">
        <v>106</v>
      </c>
      <c r="C82" s="195">
        <v>80</v>
      </c>
      <c r="D82" s="195">
        <v>10</v>
      </c>
      <c r="E82" s="195">
        <v>1</v>
      </c>
      <c r="F82" s="195">
        <v>1</v>
      </c>
      <c r="G82" s="195">
        <v>0</v>
      </c>
      <c r="H82" s="195">
        <v>0</v>
      </c>
      <c r="I82" s="195">
        <v>20</v>
      </c>
      <c r="J82" s="195">
        <v>19</v>
      </c>
      <c r="K82" s="195">
        <v>0</v>
      </c>
      <c r="L82" s="195">
        <v>18</v>
      </c>
      <c r="M82" s="195">
        <v>18</v>
      </c>
      <c r="N82" s="195">
        <v>0</v>
      </c>
      <c r="O82" s="188">
        <v>0</v>
      </c>
      <c r="P82" s="188">
        <v>0</v>
      </c>
      <c r="Q82" s="195">
        <v>3</v>
      </c>
      <c r="R82" s="195">
        <v>0</v>
      </c>
      <c r="S82" s="195">
        <v>0</v>
      </c>
      <c r="T82" s="195">
        <v>0</v>
      </c>
      <c r="U82" s="195">
        <v>4</v>
      </c>
      <c r="V82" s="195">
        <v>0</v>
      </c>
    </row>
    <row r="83" spans="1:22" hidden="1">
      <c r="A83" s="1190"/>
      <c r="B83" s="186" t="s">
        <v>107</v>
      </c>
      <c r="C83" s="195">
        <v>90</v>
      </c>
      <c r="D83" s="195">
        <v>10</v>
      </c>
      <c r="E83" s="195">
        <v>1</v>
      </c>
      <c r="F83" s="195">
        <v>1</v>
      </c>
      <c r="G83" s="195">
        <v>0</v>
      </c>
      <c r="H83" s="195">
        <v>0</v>
      </c>
      <c r="I83" s="195">
        <v>55</v>
      </c>
      <c r="J83" s="195">
        <v>21</v>
      </c>
      <c r="K83" s="195">
        <v>0</v>
      </c>
      <c r="L83" s="195">
        <v>19</v>
      </c>
      <c r="M83" s="195">
        <v>19</v>
      </c>
      <c r="N83" s="195">
        <v>0</v>
      </c>
      <c r="O83" s="188">
        <v>0</v>
      </c>
      <c r="P83" s="188">
        <v>0</v>
      </c>
      <c r="Q83" s="188">
        <v>4</v>
      </c>
      <c r="R83" s="188">
        <v>0</v>
      </c>
      <c r="S83" s="188">
        <v>0</v>
      </c>
      <c r="T83" s="188">
        <v>0</v>
      </c>
      <c r="U83" s="188">
        <v>36</v>
      </c>
      <c r="V83" s="188">
        <v>0</v>
      </c>
    </row>
    <row r="84" spans="1:22">
      <c r="A84" s="1190"/>
      <c r="B84" s="186" t="s">
        <v>108</v>
      </c>
      <c r="C84" s="195">
        <v>100</v>
      </c>
      <c r="D84" s="195">
        <v>15</v>
      </c>
      <c r="E84" s="195">
        <v>1.5</v>
      </c>
      <c r="F84" s="195">
        <v>1.5</v>
      </c>
      <c r="G84" s="195">
        <v>0</v>
      </c>
      <c r="H84" s="195">
        <v>0</v>
      </c>
      <c r="I84" s="195">
        <v>20</v>
      </c>
      <c r="J84" s="195">
        <v>22</v>
      </c>
      <c r="K84" s="195">
        <v>0</v>
      </c>
      <c r="L84" s="195">
        <v>21</v>
      </c>
      <c r="M84" s="195">
        <v>20</v>
      </c>
      <c r="N84" s="195">
        <v>0</v>
      </c>
      <c r="O84" s="188">
        <v>0</v>
      </c>
      <c r="P84" s="188">
        <v>0</v>
      </c>
      <c r="Q84" s="195">
        <v>3.5853999999999999</v>
      </c>
      <c r="R84" s="195">
        <v>0</v>
      </c>
      <c r="S84" s="195">
        <v>0.27102100000000001</v>
      </c>
      <c r="T84" s="195">
        <v>2</v>
      </c>
      <c r="U84" s="195">
        <v>15</v>
      </c>
      <c r="V84" s="195">
        <v>0</v>
      </c>
    </row>
    <row r="85" spans="1:22" s="248" customFormat="1">
      <c r="A85" s="1190"/>
      <c r="B85" s="186" t="s">
        <v>109</v>
      </c>
      <c r="C85" s="195">
        <v>100</v>
      </c>
      <c r="D85" s="195">
        <v>10</v>
      </c>
      <c r="E85" s="195">
        <v>1</v>
      </c>
      <c r="F85" s="195">
        <v>1</v>
      </c>
      <c r="G85" s="195">
        <v>0</v>
      </c>
      <c r="H85" s="195">
        <v>0</v>
      </c>
      <c r="I85" s="195">
        <v>25</v>
      </c>
      <c r="J85" s="195">
        <v>22</v>
      </c>
      <c r="K85" s="195">
        <v>0</v>
      </c>
      <c r="L85" s="195">
        <v>20</v>
      </c>
      <c r="M85" s="195">
        <v>14</v>
      </c>
      <c r="N85" s="195">
        <v>0</v>
      </c>
      <c r="O85" s="188">
        <v>0</v>
      </c>
      <c r="P85" s="188">
        <v>0</v>
      </c>
      <c r="Q85" s="188">
        <v>2</v>
      </c>
      <c r="R85" s="188">
        <v>0</v>
      </c>
      <c r="S85" s="188">
        <v>0</v>
      </c>
      <c r="T85" s="188">
        <v>0</v>
      </c>
      <c r="U85" s="188">
        <v>2</v>
      </c>
      <c r="V85" s="188">
        <v>0</v>
      </c>
    </row>
    <row r="86" spans="1:22" ht="15" hidden="1" customHeight="1">
      <c r="A86" s="1190"/>
      <c r="B86" s="186" t="s">
        <v>110</v>
      </c>
      <c r="C86" s="195">
        <v>90</v>
      </c>
      <c r="D86" s="195">
        <v>10</v>
      </c>
      <c r="E86" s="195">
        <v>1</v>
      </c>
      <c r="F86" s="195">
        <v>1</v>
      </c>
      <c r="G86" s="195">
        <v>0</v>
      </c>
      <c r="H86" s="195">
        <v>0</v>
      </c>
      <c r="I86" s="195">
        <v>40</v>
      </c>
      <c r="J86" s="195">
        <v>21</v>
      </c>
      <c r="K86" s="195">
        <v>0</v>
      </c>
      <c r="L86" s="195">
        <v>19</v>
      </c>
      <c r="M86" s="195">
        <v>19</v>
      </c>
      <c r="N86" s="195">
        <v>0</v>
      </c>
      <c r="O86" s="188">
        <v>0</v>
      </c>
      <c r="P86" s="188">
        <v>0</v>
      </c>
      <c r="Q86" s="195">
        <v>4</v>
      </c>
      <c r="R86" s="195">
        <v>0</v>
      </c>
      <c r="S86" s="195">
        <v>0</v>
      </c>
      <c r="T86" s="195">
        <v>0</v>
      </c>
      <c r="U86" s="195">
        <v>32</v>
      </c>
      <c r="V86" s="195">
        <v>0</v>
      </c>
    </row>
    <row r="87" spans="1:22" ht="15" customHeight="1">
      <c r="A87" s="1190"/>
      <c r="B87" s="186" t="s">
        <v>349</v>
      </c>
      <c r="C87" s="512">
        <v>90</v>
      </c>
      <c r="D87" s="512">
        <v>10</v>
      </c>
      <c r="E87" s="512">
        <v>1</v>
      </c>
      <c r="F87" s="512">
        <v>1</v>
      </c>
      <c r="G87" s="512">
        <v>0</v>
      </c>
      <c r="H87" s="512">
        <v>0</v>
      </c>
      <c r="I87" s="512">
        <v>20</v>
      </c>
      <c r="J87" s="512">
        <v>21</v>
      </c>
      <c r="K87" s="512">
        <v>0</v>
      </c>
      <c r="L87" s="512">
        <v>19</v>
      </c>
      <c r="M87" s="512">
        <v>13</v>
      </c>
      <c r="N87" s="512">
        <v>0</v>
      </c>
      <c r="O87" s="512">
        <v>0</v>
      </c>
      <c r="P87" s="512">
        <v>0</v>
      </c>
      <c r="Q87" s="512">
        <v>3</v>
      </c>
      <c r="R87" s="512">
        <v>0</v>
      </c>
      <c r="S87" s="512">
        <v>0</v>
      </c>
      <c r="T87" s="512">
        <v>0</v>
      </c>
      <c r="U87" s="512">
        <v>10</v>
      </c>
      <c r="V87" s="512">
        <v>0</v>
      </c>
    </row>
    <row r="88" spans="1:22">
      <c r="A88" s="1190"/>
      <c r="B88" s="186" t="s">
        <v>111</v>
      </c>
      <c r="C88" s="195">
        <v>80</v>
      </c>
      <c r="D88" s="195">
        <v>10</v>
      </c>
      <c r="E88" s="195">
        <v>1</v>
      </c>
      <c r="F88" s="195">
        <v>1</v>
      </c>
      <c r="G88" s="195">
        <v>0</v>
      </c>
      <c r="H88" s="195">
        <v>0</v>
      </c>
      <c r="I88" s="195">
        <v>15</v>
      </c>
      <c r="J88" s="195">
        <v>19</v>
      </c>
      <c r="K88" s="195">
        <v>0</v>
      </c>
      <c r="L88" s="195">
        <v>18</v>
      </c>
      <c r="M88" s="195">
        <v>8</v>
      </c>
      <c r="N88" s="195">
        <v>0</v>
      </c>
      <c r="O88" s="188">
        <v>0</v>
      </c>
      <c r="P88" s="188">
        <v>0</v>
      </c>
      <c r="Q88" s="188">
        <v>4</v>
      </c>
      <c r="R88" s="188">
        <v>0</v>
      </c>
      <c r="S88" s="188">
        <v>0</v>
      </c>
      <c r="T88" s="188">
        <v>0</v>
      </c>
      <c r="U88" s="188">
        <v>3</v>
      </c>
      <c r="V88" s="188">
        <v>0</v>
      </c>
    </row>
    <row r="89" spans="1:22">
      <c r="A89" s="1190"/>
      <c r="B89" s="186" t="s">
        <v>112</v>
      </c>
      <c r="C89" s="195">
        <v>80</v>
      </c>
      <c r="D89" s="195">
        <v>10</v>
      </c>
      <c r="E89" s="195">
        <v>1</v>
      </c>
      <c r="F89" s="195">
        <v>1</v>
      </c>
      <c r="G89" s="195">
        <v>0</v>
      </c>
      <c r="H89" s="195">
        <v>0</v>
      </c>
      <c r="I89" s="195">
        <v>20</v>
      </c>
      <c r="J89" s="195">
        <v>17</v>
      </c>
      <c r="K89" s="195">
        <v>0</v>
      </c>
      <c r="L89" s="195">
        <v>16</v>
      </c>
      <c r="M89" s="195">
        <v>16</v>
      </c>
      <c r="N89" s="195">
        <v>0</v>
      </c>
      <c r="O89" s="188">
        <v>0</v>
      </c>
      <c r="P89" s="188">
        <v>0</v>
      </c>
      <c r="Q89" s="260">
        <v>5</v>
      </c>
      <c r="R89" s="260">
        <v>0</v>
      </c>
      <c r="S89" s="260">
        <v>0</v>
      </c>
      <c r="T89" s="260">
        <v>0</v>
      </c>
      <c r="U89" s="260">
        <v>9</v>
      </c>
      <c r="V89" s="260">
        <v>0</v>
      </c>
    </row>
    <row r="90" spans="1:22" hidden="1">
      <c r="A90" s="1190"/>
      <c r="B90" s="186" t="s">
        <v>113</v>
      </c>
      <c r="C90" s="195">
        <v>80</v>
      </c>
      <c r="D90" s="195">
        <v>10</v>
      </c>
      <c r="E90" s="195">
        <v>1</v>
      </c>
      <c r="F90" s="195">
        <v>1</v>
      </c>
      <c r="G90" s="195">
        <v>0</v>
      </c>
      <c r="H90" s="195">
        <v>0</v>
      </c>
      <c r="I90" s="195">
        <v>35</v>
      </c>
      <c r="J90" s="195">
        <v>18</v>
      </c>
      <c r="K90" s="195">
        <v>0</v>
      </c>
      <c r="L90" s="195">
        <v>17</v>
      </c>
      <c r="M90" s="195">
        <v>17</v>
      </c>
      <c r="N90" s="195">
        <v>0</v>
      </c>
      <c r="O90" s="188">
        <v>0</v>
      </c>
      <c r="P90" s="188">
        <v>0</v>
      </c>
      <c r="Q90" s="188">
        <v>4</v>
      </c>
      <c r="R90" s="188">
        <v>0</v>
      </c>
      <c r="S90" s="188">
        <v>0</v>
      </c>
      <c r="T90" s="188">
        <v>0</v>
      </c>
      <c r="U90" s="188">
        <v>26</v>
      </c>
      <c r="V90" s="188">
        <v>0</v>
      </c>
    </row>
    <row r="91" spans="1:22" ht="14.25" customHeight="1">
      <c r="A91" s="1190"/>
      <c r="B91" s="186" t="s">
        <v>114</v>
      </c>
      <c r="C91" s="195">
        <v>120</v>
      </c>
      <c r="D91" s="195">
        <v>25</v>
      </c>
      <c r="E91" s="195">
        <v>3</v>
      </c>
      <c r="F91" s="195">
        <v>1</v>
      </c>
      <c r="G91" s="195">
        <v>0</v>
      </c>
      <c r="H91" s="195">
        <v>0</v>
      </c>
      <c r="I91" s="195">
        <v>35</v>
      </c>
      <c r="J91" s="195">
        <v>24</v>
      </c>
      <c r="K91" s="195">
        <v>0</v>
      </c>
      <c r="L91" s="195">
        <v>23</v>
      </c>
      <c r="M91" s="195">
        <v>23</v>
      </c>
      <c r="N91" s="195">
        <v>1</v>
      </c>
      <c r="O91" s="188">
        <v>0</v>
      </c>
      <c r="P91" s="188">
        <v>0</v>
      </c>
      <c r="Q91" s="260">
        <v>5</v>
      </c>
      <c r="R91" s="260">
        <v>0</v>
      </c>
      <c r="S91" s="260">
        <v>0</v>
      </c>
      <c r="T91" s="260">
        <v>0</v>
      </c>
      <c r="U91" s="260">
        <v>6</v>
      </c>
      <c r="V91" s="260">
        <v>0</v>
      </c>
    </row>
    <row r="92" spans="1:22">
      <c r="A92" s="1190"/>
      <c r="B92" s="186" t="s">
        <v>115</v>
      </c>
      <c r="C92" s="195">
        <v>80</v>
      </c>
      <c r="D92" s="195">
        <v>5</v>
      </c>
      <c r="E92" s="195">
        <v>0</v>
      </c>
      <c r="F92" s="195">
        <v>0</v>
      </c>
      <c r="G92" s="195">
        <v>0</v>
      </c>
      <c r="H92" s="195">
        <v>0</v>
      </c>
      <c r="I92" s="195">
        <v>15</v>
      </c>
      <c r="J92" s="195">
        <v>20</v>
      </c>
      <c r="K92" s="195">
        <v>0</v>
      </c>
      <c r="L92" s="195">
        <v>19</v>
      </c>
      <c r="M92" s="195">
        <v>15</v>
      </c>
      <c r="N92" s="195">
        <v>0</v>
      </c>
      <c r="O92" s="188">
        <v>0</v>
      </c>
      <c r="P92" s="188">
        <v>0</v>
      </c>
      <c r="Q92" s="188">
        <v>3</v>
      </c>
      <c r="R92" s="188">
        <v>0</v>
      </c>
      <c r="S92" s="188">
        <v>0</v>
      </c>
      <c r="T92" s="188">
        <v>0</v>
      </c>
      <c r="U92" s="188">
        <v>5</v>
      </c>
      <c r="V92" s="188">
        <v>0</v>
      </c>
    </row>
    <row r="93" spans="1:22" ht="15" customHeight="1">
      <c r="A93" s="1190"/>
      <c r="B93" s="186" t="s">
        <v>116</v>
      </c>
      <c r="C93" s="195">
        <v>110</v>
      </c>
      <c r="D93" s="195">
        <v>10</v>
      </c>
      <c r="E93" s="195">
        <v>1.5</v>
      </c>
      <c r="F93" s="195">
        <v>1</v>
      </c>
      <c r="G93" s="195">
        <v>0</v>
      </c>
      <c r="H93" s="195">
        <v>0</v>
      </c>
      <c r="I93" s="195">
        <v>20</v>
      </c>
      <c r="J93" s="195">
        <v>25</v>
      </c>
      <c r="K93" s="195">
        <v>0</v>
      </c>
      <c r="L93" s="195">
        <v>24</v>
      </c>
      <c r="M93" s="195">
        <v>23</v>
      </c>
      <c r="N93" s="195">
        <v>0</v>
      </c>
      <c r="O93" s="188">
        <v>0</v>
      </c>
      <c r="P93" s="188">
        <v>0</v>
      </c>
      <c r="Q93" s="188">
        <v>3</v>
      </c>
      <c r="R93" s="188">
        <v>0</v>
      </c>
      <c r="S93" s="188">
        <v>0</v>
      </c>
      <c r="T93" s="188">
        <v>0</v>
      </c>
      <c r="U93" s="188">
        <v>6</v>
      </c>
      <c r="V93" s="188">
        <v>0</v>
      </c>
    </row>
    <row r="94" spans="1:22" ht="15" customHeight="1">
      <c r="A94" s="1190"/>
      <c r="B94" s="186" t="s">
        <v>322</v>
      </c>
      <c r="C94" s="512">
        <v>100</v>
      </c>
      <c r="D94" s="512">
        <v>10</v>
      </c>
      <c r="E94" s="512">
        <v>1</v>
      </c>
      <c r="F94" s="512">
        <v>1</v>
      </c>
      <c r="G94" s="512">
        <v>0</v>
      </c>
      <c r="H94" s="512">
        <v>0</v>
      </c>
      <c r="I94" s="512">
        <v>20</v>
      </c>
      <c r="J94" s="512">
        <v>23</v>
      </c>
      <c r="K94" s="512">
        <v>0</v>
      </c>
      <c r="L94" s="512">
        <v>22</v>
      </c>
      <c r="M94" s="512">
        <v>22</v>
      </c>
      <c r="N94" s="512">
        <v>0</v>
      </c>
      <c r="O94" s="512">
        <v>0</v>
      </c>
      <c r="P94" s="512">
        <v>0</v>
      </c>
      <c r="Q94" s="512">
        <v>3</v>
      </c>
      <c r="R94" s="512">
        <v>0</v>
      </c>
      <c r="S94" s="512">
        <v>0</v>
      </c>
      <c r="T94" s="512">
        <v>0</v>
      </c>
      <c r="U94" s="512">
        <v>6</v>
      </c>
      <c r="V94" s="512">
        <v>0</v>
      </c>
    </row>
    <row r="95" spans="1:22" ht="14.25" customHeight="1">
      <c r="A95" s="1190"/>
      <c r="B95" s="186" t="s">
        <v>117</v>
      </c>
      <c r="C95" s="195">
        <v>100</v>
      </c>
      <c r="D95" s="195">
        <v>10</v>
      </c>
      <c r="E95" s="195">
        <v>1</v>
      </c>
      <c r="F95" s="195">
        <v>1</v>
      </c>
      <c r="G95" s="195">
        <v>0</v>
      </c>
      <c r="H95" s="195">
        <v>0</v>
      </c>
      <c r="I95" s="195">
        <v>20</v>
      </c>
      <c r="J95" s="195">
        <v>23</v>
      </c>
      <c r="K95" s="195">
        <v>0</v>
      </c>
      <c r="L95" s="195">
        <v>22</v>
      </c>
      <c r="M95" s="195">
        <v>21</v>
      </c>
      <c r="N95" s="195">
        <v>0</v>
      </c>
      <c r="O95" s="188">
        <v>0</v>
      </c>
      <c r="P95" s="188">
        <v>0</v>
      </c>
      <c r="Q95" s="195">
        <v>3</v>
      </c>
      <c r="R95" s="195">
        <v>0</v>
      </c>
      <c r="S95" s="195">
        <v>0</v>
      </c>
      <c r="T95" s="195">
        <v>0</v>
      </c>
      <c r="U95" s="195">
        <v>12</v>
      </c>
      <c r="V95" s="195">
        <v>0</v>
      </c>
    </row>
    <row r="96" spans="1:22" ht="14.25" customHeight="1">
      <c r="A96" s="1190"/>
      <c r="B96" s="186" t="s">
        <v>118</v>
      </c>
      <c r="C96" s="195">
        <v>100</v>
      </c>
      <c r="D96" s="195">
        <v>10</v>
      </c>
      <c r="E96" s="195">
        <v>1</v>
      </c>
      <c r="F96" s="195">
        <v>1</v>
      </c>
      <c r="G96" s="195">
        <v>0</v>
      </c>
      <c r="H96" s="195">
        <v>0</v>
      </c>
      <c r="I96" s="195">
        <v>25</v>
      </c>
      <c r="J96" s="195">
        <v>22</v>
      </c>
      <c r="K96" s="195">
        <v>0</v>
      </c>
      <c r="L96" s="195">
        <v>21</v>
      </c>
      <c r="M96" s="195">
        <v>9</v>
      </c>
      <c r="N96" s="195">
        <v>0</v>
      </c>
      <c r="O96" s="188">
        <v>0</v>
      </c>
      <c r="P96" s="188">
        <v>0</v>
      </c>
      <c r="Q96" s="188">
        <v>3</v>
      </c>
      <c r="R96" s="188">
        <v>0</v>
      </c>
      <c r="S96" s="188">
        <v>0</v>
      </c>
      <c r="T96" s="188">
        <v>0</v>
      </c>
      <c r="U96" s="188">
        <v>6</v>
      </c>
      <c r="V96" s="188">
        <v>0</v>
      </c>
    </row>
    <row r="97" spans="1:22" ht="14.25" customHeight="1">
      <c r="A97" s="1190"/>
      <c r="B97" s="186" t="s">
        <v>323</v>
      </c>
      <c r="C97" s="512">
        <v>100</v>
      </c>
      <c r="D97" s="512">
        <v>10</v>
      </c>
      <c r="E97" s="512">
        <v>1</v>
      </c>
      <c r="F97" s="512">
        <v>1</v>
      </c>
      <c r="G97" s="512">
        <v>0</v>
      </c>
      <c r="H97" s="512">
        <v>0</v>
      </c>
      <c r="I97" s="512">
        <v>20</v>
      </c>
      <c r="J97" s="512">
        <v>24</v>
      </c>
      <c r="K97" s="512">
        <v>0</v>
      </c>
      <c r="L97" s="512">
        <v>23</v>
      </c>
      <c r="M97" s="512">
        <v>12</v>
      </c>
      <c r="N97" s="512">
        <v>0</v>
      </c>
      <c r="O97" s="512">
        <v>0</v>
      </c>
      <c r="P97" s="512">
        <v>0</v>
      </c>
      <c r="Q97" s="512">
        <v>3</v>
      </c>
      <c r="R97" s="512">
        <v>0</v>
      </c>
      <c r="S97" s="512">
        <v>0</v>
      </c>
      <c r="T97" s="512">
        <v>0</v>
      </c>
      <c r="U97" s="512">
        <v>5</v>
      </c>
      <c r="V97" s="512">
        <v>0</v>
      </c>
    </row>
    <row r="98" spans="1:22">
      <c r="A98" s="1190"/>
      <c r="B98" s="186" t="s">
        <v>119</v>
      </c>
      <c r="C98" s="195">
        <v>90</v>
      </c>
      <c r="D98" s="195">
        <v>10</v>
      </c>
      <c r="E98" s="195">
        <v>1</v>
      </c>
      <c r="F98" s="195">
        <v>1</v>
      </c>
      <c r="G98" s="195">
        <v>0</v>
      </c>
      <c r="H98" s="195">
        <v>0</v>
      </c>
      <c r="I98" s="195">
        <v>20</v>
      </c>
      <c r="J98" s="195">
        <v>20</v>
      </c>
      <c r="K98" s="195">
        <v>0</v>
      </c>
      <c r="L98" s="195">
        <v>19</v>
      </c>
      <c r="M98" s="195">
        <v>19</v>
      </c>
      <c r="N98" s="195">
        <v>0</v>
      </c>
      <c r="O98" s="188">
        <v>0</v>
      </c>
      <c r="P98" s="188">
        <v>0</v>
      </c>
      <c r="Q98" s="260">
        <v>3</v>
      </c>
      <c r="R98" s="260">
        <v>0</v>
      </c>
      <c r="S98" s="260">
        <v>0</v>
      </c>
      <c r="T98" s="260">
        <v>0</v>
      </c>
      <c r="U98" s="260">
        <v>8</v>
      </c>
      <c r="V98" s="260">
        <v>0</v>
      </c>
    </row>
    <row r="99" spans="1:22" s="248" customFormat="1" ht="16.3" thickBot="1">
      <c r="A99" s="1198"/>
      <c r="B99" s="186" t="s">
        <v>120</v>
      </c>
      <c r="C99" s="195">
        <v>110</v>
      </c>
      <c r="D99" s="195">
        <v>15</v>
      </c>
      <c r="E99" s="195">
        <v>1.5</v>
      </c>
      <c r="F99" s="195">
        <v>1.5</v>
      </c>
      <c r="G99" s="195">
        <v>0</v>
      </c>
      <c r="H99" s="195">
        <v>0</v>
      </c>
      <c r="I99" s="195">
        <v>20</v>
      </c>
      <c r="J99" s="195">
        <v>25</v>
      </c>
      <c r="K99" s="195">
        <v>0</v>
      </c>
      <c r="L99" s="195">
        <v>23</v>
      </c>
      <c r="M99" s="195">
        <v>23</v>
      </c>
      <c r="N99" s="195">
        <v>0</v>
      </c>
      <c r="O99" s="188">
        <v>0</v>
      </c>
      <c r="P99" s="188">
        <v>0</v>
      </c>
      <c r="Q99" s="195">
        <v>3.6768200000000002</v>
      </c>
      <c r="R99" s="195">
        <v>0</v>
      </c>
      <c r="S99" s="195">
        <v>0.27834199999999998</v>
      </c>
      <c r="T99" s="195">
        <v>2</v>
      </c>
      <c r="U99" s="195">
        <v>20</v>
      </c>
      <c r="V99" s="195">
        <v>1</v>
      </c>
    </row>
    <row r="100" spans="1:22" s="344" customFormat="1" ht="18" customHeight="1">
      <c r="A100" s="1217" t="s">
        <v>350</v>
      </c>
      <c r="B100" s="349" t="s">
        <v>351</v>
      </c>
      <c r="C100" s="288">
        <v>90</v>
      </c>
      <c r="D100" s="288">
        <v>0</v>
      </c>
      <c r="E100" s="288">
        <v>0</v>
      </c>
      <c r="F100" s="288">
        <v>0</v>
      </c>
      <c r="G100" s="288">
        <v>0</v>
      </c>
      <c r="H100" s="288">
        <v>0</v>
      </c>
      <c r="I100" s="288">
        <v>15</v>
      </c>
      <c r="J100" s="288">
        <v>22</v>
      </c>
      <c r="K100" s="288">
        <v>0</v>
      </c>
      <c r="L100" s="288">
        <v>21</v>
      </c>
      <c r="M100" s="288">
        <v>4</v>
      </c>
      <c r="N100" s="288">
        <v>0</v>
      </c>
      <c r="O100" s="288">
        <v>0</v>
      </c>
      <c r="P100" s="288">
        <v>0</v>
      </c>
      <c r="Q100" s="288">
        <v>3</v>
      </c>
      <c r="R100" s="288">
        <v>0</v>
      </c>
      <c r="S100" s="288">
        <v>0</v>
      </c>
      <c r="T100" s="288">
        <v>0</v>
      </c>
      <c r="U100" s="288">
        <v>17</v>
      </c>
      <c r="V100" s="288">
        <v>0</v>
      </c>
    </row>
    <row r="101" spans="1:22" s="344" customFormat="1">
      <c r="A101" s="1217"/>
      <c r="B101" s="349" t="s">
        <v>352</v>
      </c>
      <c r="C101" s="288">
        <v>120</v>
      </c>
      <c r="D101" s="288">
        <v>0</v>
      </c>
      <c r="E101" s="288">
        <v>0</v>
      </c>
      <c r="F101" s="288">
        <v>0</v>
      </c>
      <c r="G101" s="288">
        <v>0</v>
      </c>
      <c r="H101" s="288">
        <v>0</v>
      </c>
      <c r="I101" s="288">
        <v>5</v>
      </c>
      <c r="J101" s="288">
        <v>30</v>
      </c>
      <c r="K101" s="288">
        <v>0</v>
      </c>
      <c r="L101" s="288">
        <v>29</v>
      </c>
      <c r="M101" s="288">
        <v>11</v>
      </c>
      <c r="N101" s="288">
        <v>0</v>
      </c>
      <c r="O101" s="288">
        <v>0</v>
      </c>
      <c r="P101" s="288">
        <v>0</v>
      </c>
      <c r="Q101" s="288">
        <v>2</v>
      </c>
      <c r="R101" s="288">
        <v>0</v>
      </c>
      <c r="S101" s="288">
        <v>0</v>
      </c>
      <c r="T101" s="288">
        <v>0</v>
      </c>
      <c r="U101" s="288">
        <v>0</v>
      </c>
      <c r="V101" s="288">
        <v>0</v>
      </c>
    </row>
    <row r="102" spans="1:22" s="344" customFormat="1" ht="16.3" thickBot="1">
      <c r="A102" s="1218"/>
      <c r="B102" s="349" t="s">
        <v>353</v>
      </c>
      <c r="C102" s="288">
        <v>100</v>
      </c>
      <c r="D102" s="288">
        <v>0</v>
      </c>
      <c r="E102" s="288">
        <v>0</v>
      </c>
      <c r="F102" s="288">
        <v>0</v>
      </c>
      <c r="G102" s="288">
        <v>0</v>
      </c>
      <c r="H102" s="288">
        <v>0</v>
      </c>
      <c r="I102" s="288">
        <v>5</v>
      </c>
      <c r="J102" s="288">
        <v>25</v>
      </c>
      <c r="K102" s="288">
        <v>0</v>
      </c>
      <c r="L102" s="288">
        <v>24</v>
      </c>
      <c r="M102" s="288">
        <v>14</v>
      </c>
      <c r="N102" s="288">
        <v>0</v>
      </c>
      <c r="O102" s="288">
        <v>0</v>
      </c>
      <c r="P102" s="288">
        <v>0</v>
      </c>
      <c r="Q102" s="288">
        <v>3</v>
      </c>
      <c r="R102" s="288">
        <v>0</v>
      </c>
      <c r="S102" s="288">
        <v>0</v>
      </c>
      <c r="T102" s="288">
        <v>0</v>
      </c>
      <c r="U102" s="288">
        <v>1</v>
      </c>
      <c r="V102" s="288">
        <v>0</v>
      </c>
    </row>
    <row r="103" spans="1:22" s="212" customFormat="1" ht="14.25" customHeight="1">
      <c r="A103" s="1189" t="s">
        <v>121</v>
      </c>
      <c r="B103" s="186" t="s">
        <v>122</v>
      </c>
      <c r="C103" s="195">
        <v>40</v>
      </c>
      <c r="D103" s="195">
        <v>0</v>
      </c>
      <c r="E103" s="195">
        <v>0</v>
      </c>
      <c r="F103" s="195">
        <v>0</v>
      </c>
      <c r="G103" s="195">
        <v>0</v>
      </c>
      <c r="H103" s="195">
        <v>0</v>
      </c>
      <c r="I103" s="195">
        <v>10</v>
      </c>
      <c r="J103" s="195">
        <v>13</v>
      </c>
      <c r="K103" s="195">
        <v>0</v>
      </c>
      <c r="L103" s="195">
        <v>0</v>
      </c>
      <c r="M103" s="195">
        <v>0</v>
      </c>
      <c r="N103" s="195">
        <v>0</v>
      </c>
      <c r="O103" s="188">
        <v>0</v>
      </c>
      <c r="P103" s="188">
        <v>0</v>
      </c>
      <c r="Q103" s="188">
        <v>4</v>
      </c>
      <c r="R103" s="188">
        <v>0</v>
      </c>
      <c r="S103" s="188">
        <v>0</v>
      </c>
      <c r="T103" s="188">
        <v>0</v>
      </c>
      <c r="U103" s="188">
        <v>5</v>
      </c>
      <c r="V103" s="188">
        <v>0</v>
      </c>
    </row>
    <row r="104" spans="1:22">
      <c r="A104" s="1190"/>
      <c r="B104" s="186" t="s">
        <v>123</v>
      </c>
      <c r="C104" s="195">
        <v>50</v>
      </c>
      <c r="D104" s="195">
        <v>0</v>
      </c>
      <c r="E104" s="195">
        <v>0</v>
      </c>
      <c r="F104" s="195">
        <v>0</v>
      </c>
      <c r="G104" s="195">
        <v>0</v>
      </c>
      <c r="H104" s="195">
        <v>0</v>
      </c>
      <c r="I104" s="195">
        <v>10</v>
      </c>
      <c r="J104" s="195">
        <v>18</v>
      </c>
      <c r="K104" s="195">
        <v>0</v>
      </c>
      <c r="L104" s="195">
        <v>0</v>
      </c>
      <c r="M104" s="195">
        <v>0</v>
      </c>
      <c r="N104" s="195">
        <v>0</v>
      </c>
      <c r="O104" s="188">
        <v>0</v>
      </c>
      <c r="P104" s="188">
        <v>0</v>
      </c>
      <c r="Q104" s="188">
        <v>4</v>
      </c>
      <c r="R104" s="188">
        <v>0</v>
      </c>
      <c r="S104" s="188">
        <v>0</v>
      </c>
      <c r="T104" s="188">
        <v>0</v>
      </c>
      <c r="U104" s="188">
        <v>10</v>
      </c>
      <c r="V104" s="188">
        <v>0</v>
      </c>
    </row>
    <row r="105" spans="1:22">
      <c r="A105" s="1190"/>
      <c r="B105" s="186" t="s">
        <v>124</v>
      </c>
      <c r="C105" s="195">
        <v>35</v>
      </c>
      <c r="D105" s="195">
        <v>0</v>
      </c>
      <c r="E105" s="195">
        <v>0</v>
      </c>
      <c r="F105" s="195">
        <v>0</v>
      </c>
      <c r="G105" s="195">
        <v>0</v>
      </c>
      <c r="H105" s="195">
        <v>0</v>
      </c>
      <c r="I105" s="195">
        <v>5</v>
      </c>
      <c r="J105" s="195">
        <v>13</v>
      </c>
      <c r="K105" s="195">
        <v>0</v>
      </c>
      <c r="L105" s="195">
        <v>0</v>
      </c>
      <c r="M105" s="195">
        <v>0</v>
      </c>
      <c r="N105" s="195">
        <v>0</v>
      </c>
      <c r="O105" s="188">
        <v>0</v>
      </c>
      <c r="P105" s="188">
        <v>0</v>
      </c>
      <c r="Q105" s="188">
        <v>4</v>
      </c>
      <c r="R105" s="188">
        <v>0</v>
      </c>
      <c r="S105" s="188">
        <v>0</v>
      </c>
      <c r="T105" s="188">
        <v>0</v>
      </c>
      <c r="U105" s="188">
        <v>7</v>
      </c>
      <c r="V105" s="188">
        <v>0</v>
      </c>
    </row>
    <row r="106" spans="1:22" hidden="1">
      <c r="A106" s="1190"/>
      <c r="B106" s="186" t="s">
        <v>125</v>
      </c>
      <c r="C106" s="195">
        <v>40</v>
      </c>
      <c r="D106" s="195">
        <v>0</v>
      </c>
      <c r="E106" s="195">
        <v>0</v>
      </c>
      <c r="F106" s="195">
        <v>0</v>
      </c>
      <c r="G106" s="195">
        <v>0</v>
      </c>
      <c r="H106" s="195">
        <v>0</v>
      </c>
      <c r="I106" s="195">
        <v>10</v>
      </c>
      <c r="J106" s="195">
        <v>12</v>
      </c>
      <c r="K106" s="195">
        <v>0</v>
      </c>
      <c r="L106" s="195">
        <v>0</v>
      </c>
      <c r="M106" s="195">
        <v>0</v>
      </c>
      <c r="N106" s="195">
        <v>0</v>
      </c>
      <c r="O106" s="188">
        <v>0</v>
      </c>
      <c r="P106" s="188">
        <v>0</v>
      </c>
      <c r="Q106" s="188">
        <v>3</v>
      </c>
      <c r="R106" s="188">
        <v>0</v>
      </c>
      <c r="S106" s="188">
        <v>0</v>
      </c>
      <c r="T106" s="188">
        <v>0</v>
      </c>
      <c r="U106" s="188">
        <v>7</v>
      </c>
      <c r="V106" s="188">
        <v>0</v>
      </c>
    </row>
    <row r="107" spans="1:22" hidden="1">
      <c r="A107" s="1190"/>
      <c r="B107" s="262" t="s">
        <v>126</v>
      </c>
      <c r="C107" s="195">
        <v>40</v>
      </c>
      <c r="D107" s="195">
        <v>0</v>
      </c>
      <c r="E107" s="195">
        <v>0</v>
      </c>
      <c r="F107" s="195">
        <v>0</v>
      </c>
      <c r="G107" s="195">
        <v>0</v>
      </c>
      <c r="H107" s="195">
        <v>0</v>
      </c>
      <c r="I107" s="195">
        <v>10</v>
      </c>
      <c r="J107" s="195">
        <v>13</v>
      </c>
      <c r="K107" s="195">
        <v>0</v>
      </c>
      <c r="L107" s="195">
        <v>0</v>
      </c>
      <c r="M107" s="195">
        <v>0</v>
      </c>
      <c r="N107" s="195">
        <v>0</v>
      </c>
      <c r="O107" s="188">
        <v>0</v>
      </c>
      <c r="P107" s="188">
        <v>0</v>
      </c>
      <c r="Q107" s="188">
        <v>2</v>
      </c>
      <c r="R107" s="188">
        <v>0</v>
      </c>
      <c r="S107" s="188">
        <v>0</v>
      </c>
      <c r="T107" s="188">
        <v>0</v>
      </c>
      <c r="U107" s="188">
        <v>6</v>
      </c>
      <c r="V107" s="188">
        <v>0</v>
      </c>
    </row>
    <row r="108" spans="1:22" ht="16.3" thickBot="1">
      <c r="A108" s="1198"/>
      <c r="B108" s="263" t="s">
        <v>127</v>
      </c>
      <c r="C108" s="195">
        <v>40</v>
      </c>
      <c r="D108" s="195">
        <v>0</v>
      </c>
      <c r="E108" s="195">
        <v>0</v>
      </c>
      <c r="F108" s="195">
        <v>0</v>
      </c>
      <c r="G108" s="195">
        <v>0</v>
      </c>
      <c r="H108" s="195">
        <v>0</v>
      </c>
      <c r="I108" s="195">
        <v>10</v>
      </c>
      <c r="J108" s="195">
        <v>13</v>
      </c>
      <c r="K108" s="195">
        <v>0</v>
      </c>
      <c r="L108" s="195">
        <v>0</v>
      </c>
      <c r="M108" s="195">
        <v>0</v>
      </c>
      <c r="N108" s="195">
        <v>0</v>
      </c>
      <c r="O108" s="188">
        <v>0</v>
      </c>
      <c r="P108" s="188">
        <v>0</v>
      </c>
      <c r="Q108" s="188">
        <v>3</v>
      </c>
      <c r="R108" s="188">
        <v>0</v>
      </c>
      <c r="S108" s="188">
        <v>0</v>
      </c>
      <c r="T108" s="188">
        <v>0</v>
      </c>
      <c r="U108" s="188">
        <v>7</v>
      </c>
      <c r="V108" s="188">
        <v>0</v>
      </c>
    </row>
    <row r="109" spans="1:22" ht="14.25" customHeight="1">
      <c r="A109" s="227"/>
      <c r="B109" s="280"/>
      <c r="O109" s="212"/>
      <c r="P109" s="212"/>
      <c r="Q109" s="212"/>
      <c r="R109" s="212"/>
      <c r="S109" s="212"/>
      <c r="T109" s="212"/>
      <c r="U109" s="212"/>
      <c r="V109" s="212"/>
    </row>
    <row r="110" spans="1:22" ht="46.5" customHeight="1">
      <c r="A110" s="212"/>
      <c r="B110" s="1193" t="s">
        <v>168</v>
      </c>
      <c r="C110" s="1194"/>
      <c r="D110" s="1194"/>
      <c r="E110" s="1194"/>
      <c r="F110" s="1194"/>
      <c r="G110" s="1194"/>
      <c r="H110" s="1194"/>
      <c r="I110" s="1194"/>
      <c r="J110" s="1194"/>
      <c r="K110" s="1194"/>
      <c r="L110" s="1194"/>
      <c r="M110" s="1194"/>
      <c r="N110" s="1194"/>
      <c r="O110" s="1194"/>
      <c r="P110" s="1194"/>
      <c r="Q110" s="1194"/>
      <c r="R110" s="1194"/>
      <c r="S110" s="1194"/>
      <c r="T110" s="1194"/>
      <c r="U110" s="1194"/>
      <c r="V110" s="1194"/>
    </row>
    <row r="112" spans="1:22" hidden="1">
      <c r="B112" s="191" t="s">
        <v>184</v>
      </c>
      <c r="C112" s="191">
        <f t="shared" ref="C112:V112" si="0">(AVERAGE(C5:C65)*4)</f>
        <v>325.90163934426232</v>
      </c>
      <c r="D112" s="191">
        <f t="shared" si="0"/>
        <v>2.9508196721311477</v>
      </c>
      <c r="E112" s="191">
        <f t="shared" si="0"/>
        <v>0.39344262295081966</v>
      </c>
      <c r="F112" s="191">
        <f t="shared" si="0"/>
        <v>0</v>
      </c>
      <c r="G112" s="191">
        <f t="shared" si="0"/>
        <v>0</v>
      </c>
      <c r="H112" s="191">
        <f t="shared" si="0"/>
        <v>0</v>
      </c>
      <c r="I112" s="191">
        <f t="shared" si="0"/>
        <v>52.459016393442624</v>
      </c>
      <c r="J112" s="191">
        <f t="shared" si="0"/>
        <v>82.491803278688522</v>
      </c>
      <c r="K112" s="191">
        <f t="shared" si="0"/>
        <v>0</v>
      </c>
      <c r="L112" s="191">
        <f t="shared" si="0"/>
        <v>77.639344262295083</v>
      </c>
      <c r="M112" s="191">
        <f t="shared" si="0"/>
        <v>72.786885245901644</v>
      </c>
      <c r="N112" s="191">
        <f t="shared" si="0"/>
        <v>0.13114754098360656</v>
      </c>
      <c r="O112" s="191">
        <f t="shared" si="0"/>
        <v>0</v>
      </c>
      <c r="P112" s="191">
        <f t="shared" si="0"/>
        <v>0</v>
      </c>
      <c r="Q112" s="191">
        <f t="shared" si="0"/>
        <v>12.043626885245899</v>
      </c>
      <c r="R112" s="191">
        <f t="shared" si="0"/>
        <v>0</v>
      </c>
      <c r="S112" s="191">
        <f t="shared" si="0"/>
        <v>3.4727540983606559E-2</v>
      </c>
      <c r="T112" s="191">
        <f t="shared" si="0"/>
        <v>0.13114754098360656</v>
      </c>
      <c r="U112" s="191">
        <f t="shared" si="0"/>
        <v>22.098360655737704</v>
      </c>
      <c r="V112" s="191">
        <f t="shared" si="0"/>
        <v>6.5573770491803282E-2</v>
      </c>
    </row>
    <row r="113" spans="1:22" ht="31.75" hidden="1">
      <c r="A113" s="212"/>
      <c r="B113" s="191" t="s">
        <v>185</v>
      </c>
      <c r="C113" s="191" t="str">
        <f t="shared" ref="C113:V113" si="1" xml:space="preserve"> (ROUND(MIN(C5:C65),0)*4) &amp; " - " &amp; (ROUND(MAX(C5:C65),0)*4)</f>
        <v>240 - 480</v>
      </c>
      <c r="D113" s="191" t="str">
        <f t="shared" si="1"/>
        <v>0 - 100</v>
      </c>
      <c r="E113" s="191" t="str">
        <f t="shared" si="1"/>
        <v>0 - 12</v>
      </c>
      <c r="F113" s="191" t="str">
        <f t="shared" si="1"/>
        <v>0 - 0</v>
      </c>
      <c r="G113" s="191" t="str">
        <f t="shared" si="1"/>
        <v>0 - 0</v>
      </c>
      <c r="H113" s="191" t="str">
        <f t="shared" si="1"/>
        <v>0 - 0</v>
      </c>
      <c r="I113" s="191" t="str">
        <f t="shared" si="1"/>
        <v>20 - 160</v>
      </c>
      <c r="J113" s="191" t="str">
        <f t="shared" si="1"/>
        <v>56 - 120</v>
      </c>
      <c r="K113" s="191" t="str">
        <f t="shared" si="1"/>
        <v>0 - 0</v>
      </c>
      <c r="L113" s="191" t="str">
        <f t="shared" si="1"/>
        <v>40 - 116</v>
      </c>
      <c r="M113" s="191" t="str">
        <f t="shared" si="1"/>
        <v>28 - 116</v>
      </c>
      <c r="N113" s="191" t="str">
        <f t="shared" si="1"/>
        <v>0 - 4</v>
      </c>
      <c r="O113" s="191" t="str">
        <f t="shared" si="1"/>
        <v>0 - 0</v>
      </c>
      <c r="P113" s="191" t="str">
        <f t="shared" si="1"/>
        <v>0 - 0</v>
      </c>
      <c r="Q113" s="191" t="str">
        <f t="shared" si="1"/>
        <v>8 - 24</v>
      </c>
      <c r="R113" s="191" t="str">
        <f t="shared" si="1"/>
        <v>0 - 0</v>
      </c>
      <c r="S113" s="191" t="str">
        <f t="shared" si="1"/>
        <v>0 - 0</v>
      </c>
      <c r="T113" s="191" t="str">
        <f t="shared" si="1"/>
        <v>0 - 8</v>
      </c>
      <c r="U113" s="191" t="str">
        <f t="shared" si="1"/>
        <v>0 - 140</v>
      </c>
      <c r="V113" s="191" t="str">
        <f t="shared" si="1"/>
        <v>0 - 4</v>
      </c>
    </row>
    <row r="114" spans="1:22" hidden="1">
      <c r="B114" s="191" t="s">
        <v>186</v>
      </c>
      <c r="C114" s="191">
        <f t="shared" ref="C114:V114" si="2">(AVERAGE(C66:C68)*4)</f>
        <v>306.66666666666669</v>
      </c>
      <c r="D114" s="191">
        <f t="shared" si="2"/>
        <v>0</v>
      </c>
      <c r="E114" s="191">
        <f t="shared" si="2"/>
        <v>0</v>
      </c>
      <c r="F114" s="191">
        <f t="shared" si="2"/>
        <v>0</v>
      </c>
      <c r="G114" s="191">
        <f t="shared" si="2"/>
        <v>0</v>
      </c>
      <c r="H114" s="191">
        <f t="shared" si="2"/>
        <v>0</v>
      </c>
      <c r="I114" s="191">
        <f t="shared" si="2"/>
        <v>0</v>
      </c>
      <c r="J114" s="191">
        <f t="shared" si="2"/>
        <v>61.333333333333336</v>
      </c>
      <c r="K114" s="191">
        <f t="shared" si="2"/>
        <v>2.6666666666666665</v>
      </c>
      <c r="L114" s="191">
        <f t="shared" si="2"/>
        <v>58.666666666666664</v>
      </c>
      <c r="M114" s="191">
        <f t="shared" si="2"/>
        <v>54.666666666666664</v>
      </c>
      <c r="N114" s="191">
        <f t="shared" si="2"/>
        <v>0</v>
      </c>
      <c r="O114" s="191">
        <f t="shared" si="2"/>
        <v>0</v>
      </c>
      <c r="P114" s="191">
        <f t="shared" si="2"/>
        <v>0</v>
      </c>
      <c r="Q114" s="191">
        <f t="shared" si="2"/>
        <v>32</v>
      </c>
      <c r="R114" s="191">
        <f t="shared" si="2"/>
        <v>0</v>
      </c>
      <c r="S114" s="191">
        <f t="shared" si="2"/>
        <v>0</v>
      </c>
      <c r="T114" s="191">
        <f t="shared" si="2"/>
        <v>0</v>
      </c>
      <c r="U114" s="191">
        <f t="shared" si="2"/>
        <v>202.66666666666666</v>
      </c>
      <c r="V114" s="191">
        <f t="shared" si="2"/>
        <v>5.333333333333333</v>
      </c>
    </row>
    <row r="115" spans="1:22" hidden="1">
      <c r="B115" s="191" t="s">
        <v>187</v>
      </c>
      <c r="C115" s="191" t="str">
        <f t="shared" ref="C115:V115" si="3">(ROUND( MIN(C66:C68),0)*4) &amp; " - " &amp; (ROUND(MAX(C66:C68),0)*4)</f>
        <v>280 - 360</v>
      </c>
      <c r="D115" s="191" t="str">
        <f t="shared" si="3"/>
        <v>0 - 0</v>
      </c>
      <c r="E115" s="191" t="str">
        <f t="shared" si="3"/>
        <v>0 - 0</v>
      </c>
      <c r="F115" s="191" t="str">
        <f t="shared" si="3"/>
        <v>0 - 0</v>
      </c>
      <c r="G115" s="191" t="str">
        <f t="shared" si="3"/>
        <v>0 - 0</v>
      </c>
      <c r="H115" s="191" t="str">
        <f t="shared" si="3"/>
        <v>0 - 0</v>
      </c>
      <c r="I115" s="191" t="str">
        <f t="shared" si="3"/>
        <v>0 - 0</v>
      </c>
      <c r="J115" s="191" t="str">
        <f t="shared" si="3"/>
        <v>56 - 72</v>
      </c>
      <c r="K115" s="191" t="str">
        <f t="shared" si="3"/>
        <v>0 - 4</v>
      </c>
      <c r="L115" s="191" t="str">
        <f t="shared" si="3"/>
        <v>52 - 72</v>
      </c>
      <c r="M115" s="191" t="str">
        <f t="shared" si="3"/>
        <v>48 - 64</v>
      </c>
      <c r="N115" s="191" t="str">
        <f t="shared" si="3"/>
        <v>0 - 0</v>
      </c>
      <c r="O115" s="191" t="str">
        <f t="shared" si="3"/>
        <v>0 - 0</v>
      </c>
      <c r="P115" s="191" t="str">
        <f t="shared" si="3"/>
        <v>0 - 0</v>
      </c>
      <c r="Q115" s="191" t="str">
        <f t="shared" si="3"/>
        <v>20 - 44</v>
      </c>
      <c r="R115" s="191" t="str">
        <f t="shared" si="3"/>
        <v>0 - 0</v>
      </c>
      <c r="S115" s="191" t="str">
        <f t="shared" si="3"/>
        <v>0 - 0</v>
      </c>
      <c r="T115" s="191" t="str">
        <f t="shared" si="3"/>
        <v>0 - 0</v>
      </c>
      <c r="U115" s="191" t="str">
        <f t="shared" si="3"/>
        <v>64 - 336</v>
      </c>
      <c r="V115" s="191" t="str">
        <f t="shared" si="3"/>
        <v>0 - 8</v>
      </c>
    </row>
    <row r="116" spans="1:22" hidden="1">
      <c r="B116" s="191" t="s">
        <v>188</v>
      </c>
      <c r="C116" s="191">
        <f t="shared" ref="C116:V116" si="4">(AVERAGE(C69:C99)*4)</f>
        <v>393.54838709677421</v>
      </c>
      <c r="D116" s="191">
        <f t="shared" si="4"/>
        <v>47.096774193548384</v>
      </c>
      <c r="E116" s="191">
        <f t="shared" si="4"/>
        <v>4.967741935483871</v>
      </c>
      <c r="F116" s="191">
        <f t="shared" si="4"/>
        <v>4.258064516129032</v>
      </c>
      <c r="G116" s="191">
        <f t="shared" si="4"/>
        <v>0</v>
      </c>
      <c r="H116" s="191">
        <f t="shared" si="4"/>
        <v>0</v>
      </c>
      <c r="I116" s="191">
        <f t="shared" si="4"/>
        <v>102.58064516129032</v>
      </c>
      <c r="J116" s="191">
        <f t="shared" si="4"/>
        <v>88.516129032258064</v>
      </c>
      <c r="K116" s="191">
        <f t="shared" si="4"/>
        <v>0</v>
      </c>
      <c r="L116" s="191">
        <f t="shared" si="4"/>
        <v>82.58064516129032</v>
      </c>
      <c r="M116" s="191">
        <f t="shared" si="4"/>
        <v>67.483870967741936</v>
      </c>
      <c r="N116" s="191">
        <f t="shared" si="4"/>
        <v>0.25806451612903225</v>
      </c>
      <c r="O116" s="191">
        <f t="shared" si="4"/>
        <v>0</v>
      </c>
      <c r="P116" s="191">
        <f t="shared" si="4"/>
        <v>0</v>
      </c>
      <c r="Q116" s="191">
        <f t="shared" si="4"/>
        <v>16.215256774193548</v>
      </c>
      <c r="R116" s="191">
        <f t="shared" si="4"/>
        <v>0</v>
      </c>
      <c r="S116" s="191">
        <f t="shared" si="4"/>
        <v>0.22569199999999998</v>
      </c>
      <c r="T116" s="191">
        <f t="shared" si="4"/>
        <v>1.2903225806451613</v>
      </c>
      <c r="U116" s="191">
        <f t="shared" si="4"/>
        <v>48</v>
      </c>
      <c r="V116" s="191">
        <f t="shared" si="4"/>
        <v>0.25806451612903225</v>
      </c>
    </row>
    <row r="117" spans="1:22" ht="31.75" hidden="1">
      <c r="B117" s="191" t="s">
        <v>189</v>
      </c>
      <c r="C117" s="191" t="str">
        <f t="shared" ref="C117:V117" si="5">(ROUND( MIN(C69:C99),0)*4) &amp; " - " &amp; (ROUND(MAX(C69:C99),0)*4)</f>
        <v>320 - 480</v>
      </c>
      <c r="D117" s="191" t="str">
        <f t="shared" si="5"/>
        <v>20 - 100</v>
      </c>
      <c r="E117" s="191" t="str">
        <f t="shared" si="5"/>
        <v>0 - 12</v>
      </c>
      <c r="F117" s="191" t="str">
        <f t="shared" si="5"/>
        <v>0 - 8</v>
      </c>
      <c r="G117" s="191" t="str">
        <f t="shared" si="5"/>
        <v>0 - 0</v>
      </c>
      <c r="H117" s="191" t="str">
        <f t="shared" si="5"/>
        <v>0 - 0</v>
      </c>
      <c r="I117" s="191" t="str">
        <f t="shared" si="5"/>
        <v>60 - 220</v>
      </c>
      <c r="J117" s="191" t="str">
        <f t="shared" si="5"/>
        <v>68 - 112</v>
      </c>
      <c r="K117" s="191" t="str">
        <f t="shared" si="5"/>
        <v>0 - 0</v>
      </c>
      <c r="L117" s="191" t="str">
        <f t="shared" si="5"/>
        <v>64 - 100</v>
      </c>
      <c r="M117" s="191" t="str">
        <f t="shared" si="5"/>
        <v>32 - 100</v>
      </c>
      <c r="N117" s="191" t="str">
        <f t="shared" si="5"/>
        <v>0 - 4</v>
      </c>
      <c r="O117" s="191" t="str">
        <f t="shared" si="5"/>
        <v>0 - 0</v>
      </c>
      <c r="P117" s="191" t="str">
        <f t="shared" si="5"/>
        <v>0 - 0</v>
      </c>
      <c r="Q117" s="191" t="str">
        <f t="shared" si="5"/>
        <v>8 - 44</v>
      </c>
      <c r="R117" s="191" t="str">
        <f t="shared" si="5"/>
        <v>0 - 0</v>
      </c>
      <c r="S117" s="191" t="str">
        <f t="shared" si="5"/>
        <v>0 - 0</v>
      </c>
      <c r="T117" s="191" t="str">
        <f t="shared" si="5"/>
        <v>0 - 8</v>
      </c>
      <c r="U117" s="191" t="str">
        <f t="shared" si="5"/>
        <v>8 - 160</v>
      </c>
      <c r="V117" s="191" t="str">
        <f t="shared" si="5"/>
        <v>0 - 4</v>
      </c>
    </row>
    <row r="118" spans="1:22" hidden="1">
      <c r="B118" s="191"/>
      <c r="C118" s="191"/>
      <c r="D118" s="191"/>
      <c r="E118" s="191"/>
      <c r="F118" s="191"/>
      <c r="G118" s="191"/>
      <c r="H118" s="191"/>
      <c r="I118" s="191"/>
      <c r="J118" s="191"/>
      <c r="K118" s="191"/>
      <c r="L118" s="191"/>
      <c r="M118" s="191"/>
      <c r="N118" s="191"/>
      <c r="O118" s="191"/>
      <c r="P118" s="191"/>
      <c r="Q118" s="191"/>
      <c r="R118" s="191"/>
      <c r="S118" s="191"/>
      <c r="T118" s="191"/>
      <c r="U118" s="191"/>
      <c r="V118" s="191"/>
    </row>
    <row r="119" spans="1:22" hidden="1">
      <c r="B119" s="191"/>
      <c r="C119" s="191"/>
      <c r="D119" s="191"/>
      <c r="E119" s="191"/>
      <c r="F119" s="191"/>
      <c r="G119" s="191"/>
      <c r="H119" s="191"/>
      <c r="I119" s="191"/>
      <c r="J119" s="191"/>
      <c r="K119" s="191"/>
      <c r="L119" s="191"/>
      <c r="M119" s="191"/>
      <c r="N119" s="191"/>
      <c r="O119" s="191"/>
      <c r="P119" s="191"/>
      <c r="Q119" s="191"/>
      <c r="R119" s="191"/>
      <c r="S119" s="191"/>
      <c r="T119" s="191"/>
      <c r="U119" s="191"/>
      <c r="V119" s="191"/>
    </row>
    <row r="122" spans="1:22">
      <c r="B122"/>
      <c r="C122"/>
      <c r="D122"/>
      <c r="E122"/>
      <c r="F122"/>
      <c r="G122"/>
      <c r="H122"/>
      <c r="I122"/>
      <c r="J122"/>
      <c r="K122"/>
      <c r="L122"/>
      <c r="M122"/>
      <c r="N122"/>
      <c r="O122"/>
      <c r="P122"/>
      <c r="Q122"/>
      <c r="R122"/>
      <c r="S122"/>
      <c r="T122"/>
      <c r="U122"/>
      <c r="V122"/>
    </row>
    <row r="123" spans="1:22">
      <c r="B123"/>
      <c r="C123"/>
      <c r="D123"/>
      <c r="E123"/>
      <c r="F123"/>
      <c r="G123"/>
      <c r="H123"/>
      <c r="I123"/>
      <c r="J123"/>
      <c r="K123"/>
      <c r="L123"/>
      <c r="M123"/>
      <c r="N123"/>
      <c r="O123"/>
      <c r="P123"/>
      <c r="Q123"/>
      <c r="R123"/>
      <c r="S123"/>
      <c r="T123"/>
      <c r="U123"/>
      <c r="V123"/>
    </row>
    <row r="124" spans="1:22">
      <c r="B124"/>
      <c r="C124"/>
      <c r="D124"/>
      <c r="E124"/>
      <c r="F124"/>
      <c r="G124"/>
      <c r="H124"/>
      <c r="I124"/>
      <c r="J124"/>
      <c r="K124"/>
      <c r="L124"/>
      <c r="M124"/>
      <c r="N124"/>
      <c r="O124"/>
      <c r="P124"/>
      <c r="Q124"/>
      <c r="R124"/>
      <c r="S124"/>
      <c r="T124"/>
      <c r="U124"/>
      <c r="V124"/>
    </row>
    <row r="125" spans="1:22">
      <c r="B125"/>
      <c r="C125"/>
      <c r="D125"/>
      <c r="E125"/>
      <c r="F125"/>
      <c r="G125"/>
      <c r="H125"/>
      <c r="I125"/>
      <c r="J125"/>
      <c r="K125"/>
      <c r="L125"/>
      <c r="M125"/>
      <c r="N125"/>
      <c r="O125"/>
      <c r="P125"/>
      <c r="Q125"/>
      <c r="R125"/>
      <c r="S125"/>
      <c r="T125"/>
      <c r="U125"/>
      <c r="V125"/>
    </row>
    <row r="126" spans="1:22">
      <c r="B126"/>
      <c r="C126"/>
      <c r="D126"/>
      <c r="E126"/>
      <c r="F126"/>
      <c r="G126"/>
      <c r="H126"/>
      <c r="I126"/>
      <c r="J126"/>
      <c r="K126"/>
      <c r="L126"/>
      <c r="M126"/>
      <c r="N126"/>
      <c r="O126"/>
      <c r="P126"/>
      <c r="Q126"/>
      <c r="R126"/>
      <c r="S126"/>
      <c r="T126"/>
      <c r="U126"/>
      <c r="V126"/>
    </row>
    <row r="127" spans="1:22">
      <c r="B127"/>
      <c r="C127"/>
      <c r="D127"/>
      <c r="E127"/>
      <c r="F127"/>
      <c r="G127"/>
      <c r="H127"/>
      <c r="I127"/>
      <c r="J127"/>
      <c r="K127"/>
      <c r="L127"/>
      <c r="M127"/>
      <c r="N127"/>
      <c r="O127"/>
      <c r="P127"/>
      <c r="Q127"/>
      <c r="R127"/>
      <c r="S127"/>
      <c r="T127"/>
      <c r="U127"/>
      <c r="V127"/>
    </row>
    <row r="128" spans="1:22">
      <c r="B128"/>
      <c r="C128"/>
      <c r="D128"/>
      <c r="E128"/>
      <c r="F128"/>
      <c r="G128"/>
      <c r="H128"/>
      <c r="I128"/>
      <c r="J128"/>
      <c r="K128"/>
      <c r="L128"/>
      <c r="M128"/>
      <c r="N128"/>
      <c r="O128"/>
      <c r="P128"/>
      <c r="Q128"/>
      <c r="R128"/>
      <c r="S128"/>
      <c r="T128"/>
      <c r="U128"/>
      <c r="V128"/>
    </row>
    <row r="129" spans="2:22">
      <c r="B129"/>
      <c r="C129"/>
      <c r="D129"/>
      <c r="E129"/>
      <c r="F129"/>
      <c r="G129"/>
      <c r="H129"/>
      <c r="I129"/>
      <c r="J129"/>
      <c r="K129"/>
      <c r="L129"/>
      <c r="M129"/>
      <c r="N129"/>
      <c r="O129"/>
      <c r="P129"/>
      <c r="Q129"/>
      <c r="R129"/>
      <c r="S129"/>
      <c r="T129"/>
      <c r="U129"/>
      <c r="V129"/>
    </row>
    <row r="130" spans="2:22">
      <c r="B130"/>
      <c r="C130"/>
      <c r="D130"/>
      <c r="E130"/>
      <c r="F130"/>
      <c r="G130"/>
      <c r="H130"/>
      <c r="I130"/>
      <c r="J130"/>
      <c r="K130"/>
      <c r="L130"/>
      <c r="M130"/>
      <c r="N130"/>
      <c r="O130"/>
      <c r="P130"/>
      <c r="Q130"/>
      <c r="R130"/>
      <c r="S130"/>
      <c r="T130"/>
      <c r="U130"/>
      <c r="V130"/>
    </row>
    <row r="131" spans="2:22">
      <c r="B131"/>
      <c r="C131"/>
      <c r="D131"/>
      <c r="E131"/>
      <c r="F131"/>
      <c r="G131"/>
      <c r="H131"/>
      <c r="I131"/>
      <c r="J131"/>
      <c r="K131"/>
      <c r="L131"/>
      <c r="M131"/>
      <c r="N131"/>
      <c r="O131"/>
      <c r="P131"/>
      <c r="Q131"/>
      <c r="R131"/>
      <c r="S131"/>
      <c r="T131"/>
      <c r="U131"/>
      <c r="V131"/>
    </row>
    <row r="132" spans="2:22">
      <c r="B132"/>
      <c r="C132"/>
      <c r="D132"/>
      <c r="E132"/>
      <c r="F132"/>
      <c r="G132"/>
      <c r="H132"/>
      <c r="I132"/>
      <c r="J132"/>
      <c r="K132"/>
      <c r="L132"/>
      <c r="M132"/>
      <c r="N132"/>
      <c r="O132"/>
      <c r="P132"/>
      <c r="Q132"/>
      <c r="R132"/>
      <c r="S132"/>
      <c r="T132"/>
      <c r="U132"/>
      <c r="V132"/>
    </row>
    <row r="133" spans="2:22">
      <c r="B133"/>
      <c r="C133"/>
      <c r="D133"/>
      <c r="E133"/>
      <c r="F133"/>
      <c r="G133"/>
      <c r="H133"/>
      <c r="I133"/>
      <c r="J133"/>
      <c r="K133"/>
      <c r="L133"/>
      <c r="M133"/>
      <c r="N133"/>
      <c r="O133"/>
      <c r="P133"/>
      <c r="Q133"/>
      <c r="R133"/>
      <c r="S133"/>
      <c r="T133"/>
      <c r="U133"/>
      <c r="V133"/>
    </row>
    <row r="134" spans="2:22">
      <c r="B134"/>
      <c r="C134"/>
      <c r="D134"/>
      <c r="E134"/>
      <c r="F134"/>
      <c r="G134"/>
      <c r="H134"/>
      <c r="I134"/>
      <c r="J134"/>
      <c r="K134"/>
      <c r="L134"/>
      <c r="M134"/>
      <c r="N134"/>
      <c r="O134"/>
      <c r="P134"/>
      <c r="Q134"/>
      <c r="R134"/>
      <c r="S134"/>
      <c r="T134"/>
      <c r="U134"/>
      <c r="V134"/>
    </row>
    <row r="135" spans="2:22">
      <c r="B135"/>
      <c r="C135"/>
      <c r="D135"/>
      <c r="E135"/>
      <c r="F135"/>
      <c r="G135"/>
      <c r="H135"/>
      <c r="I135"/>
      <c r="J135"/>
      <c r="K135"/>
      <c r="L135"/>
      <c r="M135"/>
      <c r="N135"/>
      <c r="O135"/>
      <c r="P135"/>
      <c r="Q135"/>
      <c r="R135"/>
      <c r="S135"/>
      <c r="T135"/>
      <c r="U135"/>
      <c r="V135"/>
    </row>
    <row r="136" spans="2:22">
      <c r="B136"/>
      <c r="C136"/>
      <c r="D136"/>
      <c r="E136"/>
      <c r="F136"/>
      <c r="G136"/>
      <c r="H136"/>
      <c r="I136"/>
      <c r="J136"/>
      <c r="K136"/>
      <c r="L136"/>
      <c r="M136"/>
      <c r="N136"/>
      <c r="O136"/>
      <c r="P136"/>
      <c r="Q136"/>
      <c r="R136"/>
      <c r="S136"/>
      <c r="T136"/>
      <c r="U136"/>
      <c r="V136"/>
    </row>
    <row r="137" spans="2:22">
      <c r="B137"/>
      <c r="C137"/>
      <c r="D137"/>
      <c r="E137"/>
      <c r="F137"/>
      <c r="G137"/>
      <c r="H137"/>
      <c r="I137"/>
      <c r="J137"/>
      <c r="K137"/>
      <c r="L137"/>
      <c r="M137"/>
      <c r="N137"/>
      <c r="O137"/>
      <c r="P137"/>
      <c r="Q137"/>
      <c r="R137"/>
      <c r="S137"/>
      <c r="T137"/>
      <c r="U137"/>
      <c r="V137"/>
    </row>
    <row r="138" spans="2:22">
      <c r="B138"/>
      <c r="C138"/>
      <c r="D138"/>
      <c r="E138"/>
      <c r="F138"/>
      <c r="G138"/>
      <c r="H138"/>
      <c r="I138"/>
      <c r="J138"/>
      <c r="K138"/>
      <c r="L138"/>
      <c r="M138"/>
      <c r="N138"/>
      <c r="O138"/>
      <c r="P138"/>
      <c r="Q138"/>
      <c r="R138"/>
      <c r="S138"/>
      <c r="T138"/>
      <c r="U138"/>
      <c r="V138"/>
    </row>
    <row r="139" spans="2:22">
      <c r="B139"/>
      <c r="C139"/>
      <c r="D139"/>
      <c r="E139"/>
      <c r="F139"/>
      <c r="G139"/>
      <c r="H139"/>
      <c r="I139"/>
      <c r="J139"/>
      <c r="K139"/>
      <c r="L139"/>
      <c r="M139"/>
      <c r="N139"/>
      <c r="O139"/>
      <c r="P139"/>
      <c r="Q139"/>
      <c r="R139"/>
      <c r="S139"/>
      <c r="T139"/>
      <c r="U139"/>
      <c r="V139"/>
    </row>
    <row r="140" spans="2:22">
      <c r="B140"/>
      <c r="C140"/>
      <c r="D140"/>
      <c r="E140"/>
      <c r="F140"/>
      <c r="G140"/>
      <c r="H140"/>
      <c r="I140"/>
      <c r="J140"/>
      <c r="K140"/>
      <c r="L140"/>
      <c r="M140"/>
      <c r="N140"/>
      <c r="O140"/>
      <c r="P140"/>
      <c r="Q140"/>
      <c r="R140"/>
      <c r="S140"/>
      <c r="T140"/>
      <c r="U140"/>
      <c r="V140"/>
    </row>
    <row r="141" spans="2:22">
      <c r="B141"/>
      <c r="C141"/>
      <c r="D141"/>
      <c r="E141"/>
      <c r="F141"/>
      <c r="G141"/>
      <c r="H141"/>
      <c r="I141"/>
      <c r="J141"/>
      <c r="K141"/>
      <c r="L141"/>
      <c r="M141"/>
      <c r="N141"/>
      <c r="O141"/>
      <c r="P141"/>
      <c r="Q141"/>
      <c r="R141"/>
      <c r="S141"/>
      <c r="T141"/>
      <c r="U141"/>
      <c r="V141"/>
    </row>
    <row r="142" spans="2:22">
      <c r="B142"/>
      <c r="C142"/>
      <c r="D142"/>
      <c r="E142"/>
      <c r="F142"/>
      <c r="G142"/>
      <c r="H142"/>
      <c r="I142"/>
      <c r="J142"/>
      <c r="K142"/>
      <c r="L142"/>
      <c r="M142"/>
      <c r="N142"/>
      <c r="O142"/>
      <c r="P142"/>
      <c r="Q142"/>
      <c r="R142"/>
      <c r="S142"/>
      <c r="T142"/>
      <c r="U142"/>
      <c r="V142"/>
    </row>
    <row r="143" spans="2:22">
      <c r="B143"/>
      <c r="C143"/>
      <c r="D143"/>
      <c r="E143"/>
      <c r="F143"/>
      <c r="G143"/>
      <c r="H143"/>
      <c r="I143"/>
      <c r="J143"/>
      <c r="K143"/>
      <c r="L143"/>
      <c r="M143"/>
      <c r="N143"/>
      <c r="O143"/>
      <c r="P143"/>
      <c r="Q143"/>
      <c r="R143"/>
      <c r="S143"/>
      <c r="T143"/>
      <c r="U143"/>
      <c r="V143"/>
    </row>
    <row r="144" spans="2:22">
      <c r="B144"/>
      <c r="C144"/>
      <c r="D144"/>
      <c r="E144"/>
      <c r="F144"/>
      <c r="G144"/>
      <c r="H144"/>
      <c r="I144"/>
      <c r="J144"/>
      <c r="K144"/>
      <c r="L144"/>
      <c r="M144"/>
      <c r="N144"/>
      <c r="O144"/>
      <c r="P144"/>
      <c r="Q144"/>
      <c r="R144"/>
      <c r="S144"/>
      <c r="T144"/>
      <c r="U144"/>
      <c r="V144"/>
    </row>
    <row r="145" spans="2:22">
      <c r="B145"/>
      <c r="C145"/>
      <c r="D145"/>
      <c r="E145"/>
      <c r="F145"/>
      <c r="G145"/>
      <c r="H145"/>
      <c r="I145"/>
      <c r="J145"/>
      <c r="K145"/>
      <c r="L145"/>
      <c r="M145"/>
      <c r="N145"/>
      <c r="O145"/>
      <c r="P145"/>
      <c r="Q145"/>
      <c r="R145"/>
      <c r="S145"/>
      <c r="T145"/>
      <c r="U145"/>
      <c r="V145"/>
    </row>
    <row r="146" spans="2:22">
      <c r="B146"/>
      <c r="C146"/>
      <c r="D146"/>
      <c r="E146"/>
      <c r="F146"/>
      <c r="G146"/>
      <c r="H146"/>
      <c r="I146"/>
      <c r="J146"/>
      <c r="K146"/>
      <c r="L146"/>
      <c r="M146"/>
      <c r="N146"/>
      <c r="O146"/>
      <c r="P146"/>
      <c r="Q146"/>
      <c r="R146"/>
      <c r="S146"/>
      <c r="T146"/>
      <c r="U146"/>
      <c r="V146"/>
    </row>
    <row r="147" spans="2:22">
      <c r="B147"/>
      <c r="C147"/>
      <c r="D147"/>
      <c r="E147"/>
      <c r="F147"/>
      <c r="G147"/>
      <c r="H147"/>
      <c r="I147"/>
      <c r="J147"/>
      <c r="K147"/>
      <c r="L147"/>
      <c r="M147"/>
      <c r="N147"/>
      <c r="O147"/>
      <c r="P147"/>
      <c r="Q147"/>
      <c r="R147"/>
      <c r="S147"/>
      <c r="T147"/>
      <c r="U147"/>
      <c r="V147"/>
    </row>
    <row r="148" spans="2:22">
      <c r="B148"/>
      <c r="C148"/>
      <c r="D148"/>
      <c r="E148"/>
      <c r="F148"/>
      <c r="G148"/>
      <c r="H148"/>
      <c r="I148"/>
      <c r="J148"/>
      <c r="K148"/>
      <c r="L148"/>
      <c r="M148"/>
      <c r="N148"/>
      <c r="O148"/>
      <c r="P148"/>
      <c r="Q148"/>
      <c r="R148"/>
      <c r="S148"/>
      <c r="T148"/>
      <c r="U148"/>
      <c r="V148"/>
    </row>
    <row r="149" spans="2:22">
      <c r="B149"/>
      <c r="C149"/>
      <c r="D149"/>
      <c r="E149"/>
      <c r="F149"/>
      <c r="G149"/>
      <c r="H149"/>
      <c r="I149"/>
      <c r="J149"/>
      <c r="K149"/>
      <c r="L149"/>
      <c r="M149"/>
      <c r="N149"/>
      <c r="O149"/>
      <c r="P149"/>
      <c r="Q149"/>
      <c r="R149"/>
      <c r="S149"/>
      <c r="T149"/>
      <c r="U149"/>
      <c r="V149"/>
    </row>
    <row r="150" spans="2:22">
      <c r="B150"/>
      <c r="C150"/>
      <c r="D150"/>
      <c r="E150"/>
      <c r="F150"/>
      <c r="G150"/>
      <c r="H150"/>
      <c r="I150"/>
      <c r="J150"/>
      <c r="K150"/>
      <c r="L150"/>
      <c r="M150"/>
      <c r="N150"/>
      <c r="O150"/>
      <c r="P150"/>
      <c r="Q150"/>
      <c r="R150"/>
      <c r="S150"/>
      <c r="T150"/>
      <c r="U150"/>
      <c r="V150"/>
    </row>
    <row r="151" spans="2:22">
      <c r="B151"/>
      <c r="C151"/>
      <c r="D151"/>
      <c r="E151"/>
      <c r="F151"/>
      <c r="G151"/>
      <c r="H151"/>
      <c r="I151"/>
      <c r="J151"/>
      <c r="K151"/>
      <c r="L151"/>
      <c r="M151"/>
      <c r="N151"/>
      <c r="O151"/>
      <c r="P151"/>
      <c r="Q151"/>
      <c r="R151"/>
      <c r="S151"/>
      <c r="T151"/>
      <c r="U151"/>
      <c r="V151"/>
    </row>
    <row r="152" spans="2:22">
      <c r="B152"/>
      <c r="C152"/>
      <c r="D152"/>
      <c r="E152"/>
      <c r="F152"/>
      <c r="G152"/>
      <c r="H152"/>
      <c r="I152"/>
      <c r="J152"/>
      <c r="K152"/>
      <c r="L152"/>
      <c r="M152"/>
      <c r="N152"/>
      <c r="O152"/>
      <c r="P152"/>
      <c r="Q152"/>
      <c r="R152"/>
      <c r="S152"/>
      <c r="T152"/>
      <c r="U152"/>
      <c r="V152"/>
    </row>
    <row r="153" spans="2:22">
      <c r="B153"/>
      <c r="C153"/>
      <c r="D153"/>
      <c r="E153"/>
      <c r="F153"/>
      <c r="G153"/>
      <c r="H153"/>
      <c r="I153"/>
      <c r="J153"/>
      <c r="K153"/>
      <c r="L153"/>
      <c r="M153"/>
      <c r="N153"/>
      <c r="O153"/>
      <c r="P153"/>
      <c r="Q153"/>
      <c r="R153"/>
      <c r="S153"/>
      <c r="T153"/>
      <c r="U153"/>
      <c r="V153"/>
    </row>
    <row r="154" spans="2:22">
      <c r="B154"/>
      <c r="C154"/>
      <c r="D154"/>
      <c r="E154"/>
      <c r="F154"/>
      <c r="G154"/>
      <c r="H154"/>
      <c r="I154"/>
      <c r="J154"/>
      <c r="K154"/>
      <c r="L154"/>
      <c r="M154"/>
      <c r="N154"/>
      <c r="O154"/>
      <c r="P154"/>
      <c r="Q154"/>
      <c r="R154"/>
      <c r="S154"/>
      <c r="T154"/>
      <c r="U154"/>
      <c r="V154"/>
    </row>
    <row r="155" spans="2:22">
      <c r="B155"/>
      <c r="C155"/>
      <c r="D155"/>
      <c r="E155"/>
      <c r="F155"/>
      <c r="G155"/>
      <c r="H155"/>
      <c r="I155"/>
      <c r="J155"/>
      <c r="K155"/>
      <c r="L155"/>
      <c r="M155"/>
      <c r="N155"/>
      <c r="O155"/>
      <c r="P155"/>
      <c r="Q155"/>
      <c r="R155"/>
      <c r="S155"/>
      <c r="T155"/>
      <c r="U155"/>
      <c r="V155"/>
    </row>
    <row r="156" spans="2:22">
      <c r="B156"/>
      <c r="C156"/>
      <c r="D156"/>
      <c r="E156"/>
      <c r="F156"/>
      <c r="G156"/>
      <c r="H156"/>
      <c r="I156"/>
      <c r="J156"/>
      <c r="K156"/>
      <c r="L156"/>
      <c r="M156"/>
      <c r="N156"/>
      <c r="O156"/>
      <c r="P156"/>
      <c r="Q156"/>
      <c r="R156"/>
      <c r="S156"/>
      <c r="T156"/>
      <c r="U156"/>
      <c r="V156"/>
    </row>
    <row r="157" spans="2:22">
      <c r="B157"/>
      <c r="C157"/>
      <c r="D157"/>
      <c r="E157"/>
      <c r="F157"/>
      <c r="G157"/>
      <c r="H157"/>
      <c r="I157"/>
      <c r="J157"/>
      <c r="K157"/>
      <c r="L157"/>
      <c r="M157"/>
      <c r="N157"/>
      <c r="O157"/>
      <c r="P157"/>
      <c r="Q157"/>
      <c r="R157"/>
      <c r="S157"/>
      <c r="T157"/>
      <c r="U157"/>
      <c r="V157"/>
    </row>
    <row r="158" spans="2:22">
      <c r="B158"/>
      <c r="C158"/>
      <c r="D158"/>
      <c r="E158"/>
      <c r="F158"/>
      <c r="G158"/>
      <c r="H158"/>
      <c r="I158"/>
      <c r="J158"/>
      <c r="K158"/>
      <c r="L158"/>
      <c r="M158"/>
      <c r="N158"/>
      <c r="O158"/>
      <c r="P158"/>
      <c r="Q158"/>
      <c r="R158"/>
      <c r="S158"/>
      <c r="T158"/>
      <c r="U158"/>
      <c r="V158"/>
    </row>
    <row r="159" spans="2:22">
      <c r="B159"/>
      <c r="C159"/>
      <c r="D159"/>
      <c r="E159"/>
      <c r="F159"/>
      <c r="G159"/>
      <c r="H159"/>
      <c r="I159"/>
      <c r="J159"/>
      <c r="K159"/>
      <c r="L159"/>
      <c r="M159"/>
      <c r="N159"/>
      <c r="O159"/>
      <c r="P159"/>
      <c r="Q159"/>
      <c r="R159"/>
      <c r="S159"/>
      <c r="T159"/>
      <c r="U159"/>
      <c r="V159"/>
    </row>
    <row r="160" spans="2:22">
      <c r="B160"/>
      <c r="C160"/>
      <c r="D160"/>
      <c r="E160"/>
      <c r="F160"/>
      <c r="G160"/>
      <c r="H160"/>
      <c r="I160"/>
      <c r="J160"/>
      <c r="K160"/>
      <c r="L160"/>
      <c r="M160"/>
      <c r="N160"/>
      <c r="O160"/>
      <c r="P160"/>
      <c r="Q160"/>
      <c r="R160"/>
      <c r="S160"/>
      <c r="T160"/>
      <c r="U160"/>
      <c r="V160"/>
    </row>
    <row r="161" spans="2:22">
      <c r="B161"/>
      <c r="C161"/>
      <c r="D161"/>
      <c r="E161"/>
      <c r="F161"/>
      <c r="G161"/>
      <c r="H161"/>
      <c r="I161"/>
      <c r="J161"/>
      <c r="K161"/>
      <c r="L161"/>
      <c r="M161"/>
      <c r="N161"/>
      <c r="O161"/>
      <c r="P161"/>
      <c r="Q161"/>
      <c r="R161"/>
      <c r="S161"/>
      <c r="T161"/>
      <c r="U161"/>
      <c r="V161"/>
    </row>
    <row r="162" spans="2:22">
      <c r="B162"/>
      <c r="C162"/>
      <c r="D162"/>
      <c r="E162"/>
      <c r="F162"/>
      <c r="G162"/>
      <c r="H162"/>
      <c r="I162"/>
      <c r="J162"/>
      <c r="K162"/>
      <c r="L162"/>
      <c r="M162"/>
      <c r="N162"/>
      <c r="O162"/>
      <c r="P162"/>
      <c r="Q162"/>
      <c r="R162"/>
      <c r="S162"/>
      <c r="T162"/>
      <c r="U162"/>
      <c r="V162"/>
    </row>
    <row r="163" spans="2:22">
      <c r="B163"/>
      <c r="C163"/>
      <c r="D163"/>
      <c r="E163"/>
      <c r="F163"/>
      <c r="G163"/>
      <c r="H163"/>
      <c r="I163"/>
      <c r="J163"/>
      <c r="K163"/>
      <c r="L163"/>
      <c r="M163"/>
      <c r="N163"/>
      <c r="O163"/>
      <c r="P163"/>
      <c r="Q163"/>
      <c r="R163"/>
      <c r="S163"/>
      <c r="T163"/>
      <c r="U163"/>
      <c r="V163"/>
    </row>
    <row r="164" spans="2:22">
      <c r="B164"/>
      <c r="C164"/>
      <c r="D164"/>
      <c r="E164"/>
      <c r="F164"/>
      <c r="G164"/>
      <c r="H164"/>
      <c r="I164"/>
      <c r="J164"/>
      <c r="K164"/>
      <c r="L164"/>
      <c r="M164"/>
      <c r="N164"/>
      <c r="O164"/>
      <c r="P164"/>
      <c r="Q164"/>
      <c r="R164"/>
      <c r="S164"/>
      <c r="T164"/>
      <c r="U164"/>
      <c r="V164"/>
    </row>
    <row r="165" spans="2:22">
      <c r="B165"/>
      <c r="C165"/>
      <c r="D165"/>
      <c r="E165"/>
      <c r="F165"/>
      <c r="G165"/>
      <c r="H165"/>
      <c r="I165"/>
      <c r="J165"/>
      <c r="K165"/>
      <c r="L165"/>
      <c r="M165"/>
      <c r="N165"/>
      <c r="O165"/>
      <c r="P165"/>
      <c r="Q165"/>
      <c r="R165"/>
      <c r="S165"/>
      <c r="T165"/>
      <c r="U165"/>
      <c r="V165"/>
    </row>
    <row r="166" spans="2:22">
      <c r="B166"/>
      <c r="C166"/>
      <c r="D166"/>
      <c r="E166"/>
      <c r="F166"/>
      <c r="G166"/>
      <c r="H166"/>
      <c r="I166"/>
      <c r="J166"/>
      <c r="K166"/>
      <c r="L166"/>
      <c r="M166"/>
      <c r="N166"/>
      <c r="O166"/>
      <c r="P166"/>
      <c r="Q166"/>
      <c r="R166"/>
      <c r="S166"/>
      <c r="T166"/>
      <c r="U166"/>
      <c r="V166"/>
    </row>
    <row r="167" spans="2:22">
      <c r="B167"/>
      <c r="C167"/>
      <c r="D167"/>
      <c r="E167"/>
      <c r="F167"/>
      <c r="G167"/>
      <c r="H167"/>
      <c r="I167"/>
      <c r="J167"/>
      <c r="K167"/>
      <c r="L167"/>
      <c r="M167"/>
      <c r="N167"/>
      <c r="O167"/>
      <c r="P167"/>
      <c r="Q167"/>
      <c r="R167"/>
      <c r="S167"/>
      <c r="T167"/>
      <c r="U167"/>
      <c r="V167"/>
    </row>
    <row r="168" spans="2:22">
      <c r="B168"/>
      <c r="C168"/>
      <c r="D168"/>
      <c r="E168"/>
      <c r="F168"/>
      <c r="G168"/>
      <c r="H168"/>
      <c r="I168"/>
      <c r="J168"/>
      <c r="K168"/>
      <c r="L168"/>
      <c r="M168"/>
      <c r="N168"/>
      <c r="O168"/>
      <c r="P168"/>
      <c r="Q168"/>
      <c r="R168"/>
      <c r="S168"/>
      <c r="T168"/>
      <c r="U168"/>
      <c r="V168"/>
    </row>
    <row r="169" spans="2:22">
      <c r="B169"/>
      <c r="C169"/>
      <c r="D169"/>
      <c r="E169"/>
      <c r="F169"/>
      <c r="G169"/>
      <c r="H169"/>
      <c r="I169"/>
      <c r="J169"/>
      <c r="K169"/>
      <c r="L169"/>
      <c r="M169"/>
      <c r="N169"/>
      <c r="O169"/>
      <c r="P169"/>
      <c r="Q169"/>
      <c r="R169"/>
      <c r="S169"/>
      <c r="T169"/>
      <c r="U169"/>
      <c r="V169"/>
    </row>
    <row r="170" spans="2:22">
      <c r="B170"/>
      <c r="C170"/>
      <c r="D170"/>
      <c r="E170"/>
      <c r="F170"/>
      <c r="G170"/>
      <c r="H170"/>
      <c r="I170"/>
      <c r="J170"/>
      <c r="K170"/>
      <c r="L170"/>
      <c r="M170"/>
      <c r="N170"/>
      <c r="O170"/>
      <c r="P170"/>
      <c r="Q170"/>
      <c r="R170"/>
      <c r="S170"/>
      <c r="T170"/>
      <c r="U170"/>
      <c r="V170"/>
    </row>
    <row r="171" spans="2:22">
      <c r="B171"/>
      <c r="C171"/>
      <c r="D171"/>
      <c r="E171"/>
      <c r="F171"/>
      <c r="G171"/>
      <c r="H171"/>
      <c r="I171"/>
      <c r="J171"/>
      <c r="K171"/>
      <c r="L171"/>
      <c r="M171"/>
      <c r="N171"/>
      <c r="O171"/>
      <c r="P171"/>
      <c r="Q171"/>
      <c r="R171"/>
      <c r="S171"/>
      <c r="T171"/>
      <c r="U171"/>
      <c r="V171"/>
    </row>
    <row r="172" spans="2:22">
      <c r="B172"/>
      <c r="C172"/>
      <c r="D172"/>
      <c r="E172"/>
      <c r="F172"/>
      <c r="G172"/>
      <c r="H172"/>
      <c r="I172"/>
      <c r="J172"/>
      <c r="K172"/>
      <c r="L172"/>
      <c r="M172"/>
      <c r="N172"/>
      <c r="O172"/>
      <c r="P172"/>
      <c r="Q172"/>
      <c r="R172"/>
      <c r="S172"/>
      <c r="T172"/>
      <c r="U172"/>
      <c r="V172"/>
    </row>
    <row r="173" spans="2:22">
      <c r="B173"/>
      <c r="C173"/>
      <c r="D173"/>
      <c r="E173"/>
      <c r="F173"/>
      <c r="G173"/>
      <c r="H173"/>
      <c r="I173"/>
      <c r="J173"/>
      <c r="K173"/>
      <c r="L173"/>
      <c r="M173"/>
      <c r="N173"/>
      <c r="O173"/>
      <c r="P173"/>
      <c r="Q173"/>
      <c r="R173"/>
      <c r="S173"/>
      <c r="T173"/>
      <c r="U173"/>
      <c r="V173"/>
    </row>
    <row r="174" spans="2:22">
      <c r="B174"/>
      <c r="C174"/>
      <c r="D174"/>
      <c r="E174"/>
      <c r="F174"/>
      <c r="G174"/>
      <c r="H174"/>
      <c r="I174"/>
      <c r="J174"/>
      <c r="K174"/>
      <c r="L174"/>
      <c r="M174"/>
      <c r="N174"/>
      <c r="O174"/>
      <c r="P174"/>
      <c r="Q174"/>
      <c r="R174"/>
      <c r="S174"/>
      <c r="T174"/>
      <c r="U174"/>
      <c r="V174"/>
    </row>
    <row r="175" spans="2:22">
      <c r="B175"/>
      <c r="C175"/>
      <c r="D175"/>
      <c r="E175"/>
      <c r="F175"/>
      <c r="G175"/>
      <c r="H175"/>
      <c r="I175"/>
      <c r="J175"/>
      <c r="K175"/>
      <c r="L175"/>
      <c r="M175"/>
      <c r="N175"/>
      <c r="O175"/>
      <c r="P175"/>
      <c r="Q175"/>
      <c r="R175"/>
      <c r="S175"/>
      <c r="T175"/>
      <c r="U175"/>
      <c r="V175"/>
    </row>
    <row r="176" spans="2:22">
      <c r="B176"/>
      <c r="C176"/>
      <c r="D176"/>
      <c r="E176"/>
      <c r="F176"/>
      <c r="G176"/>
      <c r="H176"/>
      <c r="I176"/>
      <c r="J176"/>
      <c r="K176"/>
      <c r="L176"/>
      <c r="M176"/>
      <c r="N176"/>
      <c r="O176"/>
      <c r="P176"/>
      <c r="Q176"/>
      <c r="R176"/>
      <c r="S176"/>
      <c r="T176"/>
      <c r="U176"/>
      <c r="V176"/>
    </row>
    <row r="177" spans="2:22">
      <c r="B177"/>
      <c r="C177"/>
      <c r="D177"/>
      <c r="E177"/>
      <c r="F177"/>
      <c r="G177"/>
      <c r="H177"/>
      <c r="I177"/>
      <c r="J177"/>
      <c r="K177"/>
      <c r="L177"/>
      <c r="M177"/>
      <c r="N177"/>
      <c r="O177"/>
      <c r="P177"/>
      <c r="Q177"/>
      <c r="R177"/>
      <c r="S177"/>
      <c r="T177"/>
      <c r="U177"/>
      <c r="V177"/>
    </row>
    <row r="178" spans="2:22">
      <c r="B178"/>
      <c r="C178"/>
      <c r="D178"/>
      <c r="E178"/>
      <c r="F178"/>
      <c r="G178"/>
      <c r="H178"/>
      <c r="I178"/>
      <c r="J178"/>
      <c r="K178"/>
      <c r="L178"/>
      <c r="M178"/>
      <c r="N178"/>
      <c r="O178"/>
      <c r="P178"/>
      <c r="Q178"/>
      <c r="R178"/>
      <c r="S178"/>
      <c r="T178"/>
      <c r="U178"/>
      <c r="V178"/>
    </row>
    <row r="179" spans="2:22">
      <c r="B179"/>
      <c r="C179"/>
      <c r="D179"/>
      <c r="E179"/>
      <c r="F179"/>
      <c r="G179"/>
      <c r="H179"/>
      <c r="I179"/>
      <c r="J179"/>
      <c r="K179"/>
      <c r="L179"/>
      <c r="M179"/>
      <c r="N179"/>
      <c r="O179"/>
      <c r="P179"/>
      <c r="Q179"/>
      <c r="R179"/>
      <c r="S179"/>
      <c r="T179"/>
      <c r="U179"/>
      <c r="V179"/>
    </row>
    <row r="180" spans="2:22">
      <c r="B180"/>
      <c r="C180"/>
      <c r="D180"/>
      <c r="E180"/>
      <c r="F180"/>
      <c r="G180"/>
      <c r="H180"/>
      <c r="I180"/>
      <c r="J180"/>
      <c r="K180"/>
      <c r="L180"/>
      <c r="M180"/>
      <c r="N180"/>
      <c r="O180"/>
      <c r="P180"/>
      <c r="Q180"/>
      <c r="R180"/>
      <c r="S180"/>
      <c r="T180"/>
      <c r="U180"/>
      <c r="V180"/>
    </row>
    <row r="181" spans="2:22">
      <c r="B181"/>
      <c r="C181"/>
      <c r="D181"/>
      <c r="E181"/>
      <c r="F181"/>
      <c r="G181"/>
      <c r="H181"/>
      <c r="I181"/>
      <c r="J181"/>
      <c r="K181"/>
      <c r="L181"/>
      <c r="M181"/>
      <c r="N181"/>
      <c r="O181"/>
      <c r="P181"/>
      <c r="Q181"/>
      <c r="R181"/>
      <c r="S181"/>
      <c r="T181"/>
      <c r="U181"/>
      <c r="V181"/>
    </row>
    <row r="182" spans="2:22">
      <c r="B182"/>
      <c r="C182"/>
      <c r="D182"/>
      <c r="E182"/>
      <c r="F182"/>
      <c r="G182"/>
      <c r="H182"/>
      <c r="I182"/>
      <c r="J182"/>
      <c r="K182"/>
      <c r="L182"/>
      <c r="M182"/>
      <c r="N182"/>
      <c r="O182"/>
      <c r="P182"/>
      <c r="Q182"/>
      <c r="R182"/>
      <c r="S182"/>
      <c r="T182"/>
      <c r="U182"/>
      <c r="V182"/>
    </row>
    <row r="183" spans="2:22">
      <c r="B183"/>
      <c r="C183"/>
      <c r="D183"/>
      <c r="E183"/>
      <c r="F183"/>
      <c r="G183"/>
      <c r="H183"/>
      <c r="I183"/>
      <c r="J183"/>
      <c r="K183"/>
      <c r="L183"/>
      <c r="M183"/>
      <c r="N183"/>
      <c r="O183"/>
      <c r="P183"/>
      <c r="Q183"/>
      <c r="R183"/>
      <c r="S183"/>
      <c r="T183"/>
      <c r="U183"/>
      <c r="V183"/>
    </row>
    <row r="184" spans="2:22">
      <c r="B184"/>
      <c r="C184"/>
      <c r="D184"/>
      <c r="E184"/>
      <c r="F184"/>
      <c r="G184"/>
      <c r="H184"/>
      <c r="I184"/>
      <c r="J184"/>
      <c r="K184"/>
      <c r="L184"/>
      <c r="M184"/>
      <c r="N184"/>
      <c r="O184"/>
      <c r="P184"/>
      <c r="Q184"/>
      <c r="R184"/>
      <c r="S184"/>
      <c r="T184"/>
      <c r="U184"/>
      <c r="V184"/>
    </row>
    <row r="185" spans="2:22">
      <c r="B185"/>
      <c r="C185"/>
      <c r="D185"/>
      <c r="E185"/>
      <c r="F185"/>
      <c r="G185"/>
      <c r="H185"/>
      <c r="I185"/>
      <c r="J185"/>
      <c r="K185"/>
      <c r="L185"/>
      <c r="M185"/>
      <c r="N185"/>
      <c r="O185"/>
      <c r="P185"/>
      <c r="Q185"/>
      <c r="R185"/>
      <c r="S185"/>
      <c r="T185"/>
      <c r="U185"/>
      <c r="V185"/>
    </row>
    <row r="186" spans="2:22">
      <c r="B186"/>
      <c r="C186"/>
      <c r="D186"/>
      <c r="E186"/>
      <c r="F186"/>
      <c r="G186"/>
      <c r="H186"/>
      <c r="I186"/>
      <c r="J186"/>
      <c r="K186"/>
      <c r="L186"/>
      <c r="M186"/>
      <c r="N186"/>
      <c r="O186"/>
      <c r="P186"/>
      <c r="Q186"/>
      <c r="R186"/>
      <c r="S186"/>
      <c r="T186"/>
      <c r="U186"/>
      <c r="V186"/>
    </row>
    <row r="187" spans="2:22">
      <c r="B187"/>
      <c r="C187"/>
      <c r="D187"/>
      <c r="E187"/>
      <c r="F187"/>
      <c r="G187"/>
      <c r="H187"/>
      <c r="I187"/>
      <c r="J187"/>
      <c r="K187"/>
      <c r="L187"/>
      <c r="M187"/>
      <c r="N187"/>
      <c r="O187"/>
      <c r="P187"/>
      <c r="Q187"/>
      <c r="R187"/>
      <c r="S187"/>
      <c r="T187"/>
      <c r="U187"/>
      <c r="V187"/>
    </row>
    <row r="188" spans="2:22">
      <c r="B188"/>
      <c r="C188"/>
      <c r="D188"/>
      <c r="E188"/>
      <c r="F188"/>
      <c r="G188"/>
      <c r="H188"/>
      <c r="I188"/>
      <c r="J188"/>
      <c r="K188"/>
      <c r="L188"/>
      <c r="M188"/>
      <c r="N188"/>
      <c r="O188"/>
      <c r="P188"/>
      <c r="Q188"/>
      <c r="R188"/>
      <c r="S188"/>
      <c r="T188"/>
      <c r="U188"/>
      <c r="V188"/>
    </row>
    <row r="189" spans="2:22">
      <c r="B189"/>
      <c r="C189"/>
      <c r="D189"/>
      <c r="E189"/>
      <c r="F189"/>
      <c r="G189"/>
      <c r="H189"/>
      <c r="I189"/>
      <c r="J189"/>
      <c r="K189"/>
      <c r="L189"/>
      <c r="M189"/>
      <c r="N189"/>
      <c r="O189"/>
      <c r="P189"/>
      <c r="Q189"/>
      <c r="R189"/>
      <c r="S189"/>
      <c r="T189"/>
      <c r="U189"/>
      <c r="V189"/>
    </row>
    <row r="190" spans="2:22">
      <c r="B190"/>
      <c r="C190"/>
      <c r="D190"/>
      <c r="E190"/>
      <c r="F190"/>
      <c r="G190"/>
      <c r="H190"/>
      <c r="I190"/>
      <c r="J190"/>
      <c r="K190"/>
      <c r="L190"/>
      <c r="M190"/>
      <c r="N190"/>
      <c r="O190"/>
      <c r="P190"/>
      <c r="Q190"/>
      <c r="R190"/>
      <c r="S190"/>
      <c r="T190"/>
      <c r="U190"/>
      <c r="V190"/>
    </row>
    <row r="191" spans="2:22">
      <c r="B191"/>
      <c r="C191"/>
      <c r="D191"/>
      <c r="E191"/>
      <c r="F191"/>
      <c r="G191"/>
      <c r="H191"/>
      <c r="I191"/>
      <c r="J191"/>
      <c r="K191"/>
      <c r="L191"/>
      <c r="M191"/>
      <c r="N191"/>
      <c r="O191"/>
      <c r="P191"/>
      <c r="Q191"/>
      <c r="R191"/>
      <c r="S191"/>
      <c r="T191"/>
      <c r="U191"/>
      <c r="V191"/>
    </row>
    <row r="192" spans="2:22">
      <c r="B192"/>
      <c r="C192"/>
      <c r="D192"/>
      <c r="E192"/>
      <c r="F192"/>
      <c r="G192"/>
      <c r="H192"/>
      <c r="I192"/>
      <c r="J192"/>
      <c r="K192"/>
      <c r="L192"/>
      <c r="M192"/>
      <c r="N192"/>
      <c r="O192"/>
      <c r="P192"/>
      <c r="Q192"/>
      <c r="R192"/>
      <c r="S192"/>
      <c r="T192"/>
      <c r="U192"/>
      <c r="V192"/>
    </row>
    <row r="193" spans="2:22">
      <c r="B193"/>
      <c r="C193"/>
      <c r="D193"/>
      <c r="E193"/>
      <c r="F193"/>
      <c r="G193"/>
      <c r="H193"/>
      <c r="I193"/>
      <c r="J193"/>
      <c r="K193"/>
      <c r="L193"/>
      <c r="M193"/>
      <c r="N193"/>
      <c r="O193"/>
      <c r="P193"/>
      <c r="Q193"/>
      <c r="R193"/>
      <c r="S193"/>
      <c r="T193"/>
      <c r="U193"/>
      <c r="V193"/>
    </row>
    <row r="194" spans="2:22">
      <c r="B194"/>
      <c r="C194"/>
      <c r="D194"/>
      <c r="E194"/>
      <c r="F194"/>
      <c r="G194"/>
      <c r="H194"/>
      <c r="I194"/>
      <c r="J194"/>
      <c r="K194"/>
      <c r="L194"/>
      <c r="M194"/>
      <c r="N194"/>
      <c r="O194"/>
      <c r="P194"/>
      <c r="Q194"/>
      <c r="R194"/>
      <c r="S194"/>
      <c r="T194"/>
      <c r="U194"/>
      <c r="V194"/>
    </row>
    <row r="195" spans="2:22">
      <c r="B195"/>
      <c r="C195"/>
      <c r="D195"/>
      <c r="E195"/>
      <c r="F195"/>
      <c r="G195"/>
      <c r="H195"/>
      <c r="I195"/>
      <c r="J195"/>
      <c r="K195"/>
      <c r="L195"/>
      <c r="M195"/>
      <c r="N195"/>
      <c r="O195"/>
      <c r="P195"/>
      <c r="Q195"/>
      <c r="R195"/>
      <c r="S195"/>
      <c r="T195"/>
      <c r="U195"/>
      <c r="V195"/>
    </row>
    <row r="196" spans="2:22">
      <c r="B196"/>
      <c r="C196"/>
      <c r="D196"/>
      <c r="E196"/>
      <c r="F196"/>
      <c r="G196"/>
      <c r="H196"/>
      <c r="I196"/>
      <c r="J196"/>
      <c r="K196"/>
      <c r="L196"/>
      <c r="M196"/>
      <c r="N196"/>
      <c r="O196"/>
      <c r="P196"/>
      <c r="Q196"/>
      <c r="R196"/>
      <c r="S196"/>
      <c r="T196"/>
      <c r="U196"/>
      <c r="V196"/>
    </row>
    <row r="197" spans="2:22">
      <c r="B197"/>
      <c r="C197"/>
      <c r="D197"/>
      <c r="E197"/>
      <c r="F197"/>
      <c r="G197"/>
      <c r="H197"/>
      <c r="I197"/>
      <c r="J197"/>
      <c r="K197"/>
      <c r="L197"/>
      <c r="M197"/>
      <c r="N197"/>
      <c r="O197"/>
      <c r="P197"/>
      <c r="Q197"/>
      <c r="R197"/>
      <c r="S197"/>
      <c r="T197"/>
      <c r="U197"/>
      <c r="V197"/>
    </row>
    <row r="198" spans="2:22">
      <c r="B198"/>
      <c r="C198"/>
      <c r="D198"/>
      <c r="E198"/>
      <c r="F198"/>
      <c r="G198"/>
      <c r="H198"/>
      <c r="I198"/>
      <c r="J198"/>
      <c r="K198"/>
      <c r="L198"/>
      <c r="M198"/>
      <c r="N198"/>
      <c r="O198"/>
      <c r="P198"/>
      <c r="Q198"/>
      <c r="R198"/>
      <c r="S198"/>
      <c r="T198"/>
      <c r="U198"/>
      <c r="V198"/>
    </row>
    <row r="199" spans="2:22">
      <c r="B199"/>
      <c r="C199"/>
      <c r="D199"/>
      <c r="E199"/>
      <c r="F199"/>
      <c r="G199"/>
      <c r="H199"/>
      <c r="I199"/>
      <c r="J199"/>
      <c r="K199"/>
      <c r="L199"/>
      <c r="M199"/>
      <c r="N199"/>
      <c r="O199"/>
      <c r="P199"/>
      <c r="Q199"/>
      <c r="R199"/>
      <c r="S199"/>
      <c r="T199"/>
      <c r="U199"/>
      <c r="V199"/>
    </row>
    <row r="200" spans="2:22">
      <c r="B200"/>
      <c r="C200"/>
      <c r="D200"/>
      <c r="E200"/>
      <c r="F200"/>
      <c r="G200"/>
      <c r="H200"/>
      <c r="I200"/>
      <c r="J200"/>
      <c r="K200"/>
      <c r="L200"/>
      <c r="M200"/>
      <c r="N200"/>
      <c r="O200"/>
      <c r="P200"/>
      <c r="Q200"/>
      <c r="R200"/>
      <c r="S200"/>
      <c r="T200"/>
      <c r="U200"/>
      <c r="V200"/>
    </row>
    <row r="201" spans="2:22">
      <c r="B201"/>
      <c r="C201"/>
      <c r="D201"/>
      <c r="E201"/>
      <c r="F201"/>
      <c r="G201"/>
      <c r="H201"/>
      <c r="I201"/>
      <c r="J201"/>
      <c r="K201"/>
      <c r="L201"/>
      <c r="M201"/>
      <c r="N201"/>
      <c r="O201"/>
      <c r="P201"/>
      <c r="Q201"/>
      <c r="R201"/>
      <c r="S201"/>
      <c r="T201"/>
      <c r="U201"/>
      <c r="V201"/>
    </row>
    <row r="202" spans="2:22">
      <c r="B202"/>
      <c r="C202"/>
      <c r="D202"/>
      <c r="E202"/>
      <c r="F202"/>
      <c r="G202"/>
      <c r="H202"/>
      <c r="I202"/>
      <c r="J202"/>
      <c r="K202"/>
      <c r="L202"/>
      <c r="M202"/>
      <c r="N202"/>
      <c r="O202"/>
      <c r="P202"/>
      <c r="Q202"/>
      <c r="R202"/>
      <c r="S202"/>
      <c r="T202"/>
      <c r="U202"/>
      <c r="V202"/>
    </row>
    <row r="203" spans="2:22">
      <c r="B203"/>
      <c r="C203"/>
      <c r="D203"/>
      <c r="E203"/>
      <c r="F203"/>
      <c r="G203"/>
      <c r="H203"/>
      <c r="I203"/>
      <c r="J203"/>
      <c r="K203"/>
      <c r="L203"/>
      <c r="M203"/>
      <c r="N203"/>
      <c r="O203"/>
      <c r="P203"/>
      <c r="Q203"/>
      <c r="R203"/>
      <c r="S203"/>
      <c r="T203"/>
      <c r="U203"/>
      <c r="V203"/>
    </row>
    <row r="204" spans="2:22">
      <c r="B204"/>
      <c r="C204"/>
      <c r="D204"/>
      <c r="E204"/>
      <c r="F204"/>
      <c r="G204"/>
      <c r="H204"/>
      <c r="I204"/>
      <c r="J204"/>
      <c r="K204"/>
      <c r="L204"/>
      <c r="M204"/>
      <c r="N204"/>
      <c r="O204"/>
      <c r="P204"/>
      <c r="Q204"/>
      <c r="R204"/>
      <c r="S204"/>
      <c r="T204"/>
      <c r="U204"/>
      <c r="V204"/>
    </row>
    <row r="205" spans="2:22">
      <c r="B205"/>
      <c r="C205"/>
      <c r="D205"/>
      <c r="E205"/>
      <c r="F205"/>
      <c r="G205"/>
      <c r="H205"/>
      <c r="I205"/>
      <c r="J205"/>
      <c r="K205"/>
      <c r="L205"/>
      <c r="M205"/>
      <c r="N205"/>
      <c r="O205"/>
      <c r="P205"/>
      <c r="Q205"/>
      <c r="R205"/>
      <c r="S205"/>
      <c r="T205"/>
      <c r="U205"/>
      <c r="V205"/>
    </row>
    <row r="206" spans="2:22">
      <c r="B206"/>
      <c r="C206"/>
      <c r="D206"/>
      <c r="E206"/>
      <c r="F206"/>
      <c r="G206"/>
      <c r="H206"/>
      <c r="I206"/>
      <c r="J206"/>
      <c r="K206"/>
      <c r="L206"/>
      <c r="M206"/>
      <c r="N206"/>
      <c r="O206"/>
      <c r="P206"/>
      <c r="Q206"/>
      <c r="R206"/>
      <c r="S206"/>
      <c r="T206"/>
      <c r="U206"/>
      <c r="V206"/>
    </row>
    <row r="207" spans="2:22">
      <c r="B207"/>
      <c r="C207"/>
      <c r="D207"/>
      <c r="E207"/>
      <c r="F207"/>
      <c r="G207"/>
      <c r="H207"/>
      <c r="I207"/>
      <c r="J207"/>
      <c r="K207"/>
      <c r="L207"/>
      <c r="M207"/>
      <c r="N207"/>
      <c r="O207"/>
      <c r="P207"/>
      <c r="Q207"/>
      <c r="R207"/>
      <c r="S207"/>
      <c r="T207"/>
      <c r="U207"/>
      <c r="V207"/>
    </row>
    <row r="208" spans="2:22">
      <c r="B208"/>
      <c r="C208"/>
      <c r="D208"/>
      <c r="E208"/>
      <c r="F208"/>
      <c r="G208"/>
      <c r="H208"/>
      <c r="I208"/>
      <c r="J208"/>
      <c r="K208"/>
      <c r="L208"/>
      <c r="M208"/>
      <c r="N208"/>
      <c r="O208"/>
      <c r="P208"/>
      <c r="Q208"/>
      <c r="R208"/>
      <c r="S208"/>
      <c r="T208"/>
      <c r="U208"/>
      <c r="V208"/>
    </row>
    <row r="209" spans="2:22">
      <c r="B209"/>
      <c r="C209"/>
      <c r="D209"/>
      <c r="E209"/>
      <c r="F209"/>
      <c r="G209"/>
      <c r="H209"/>
      <c r="I209"/>
      <c r="J209"/>
      <c r="K209"/>
      <c r="L209"/>
      <c r="M209"/>
      <c r="N209"/>
      <c r="O209"/>
      <c r="P209"/>
      <c r="Q209"/>
      <c r="R209"/>
      <c r="S209"/>
      <c r="T209"/>
      <c r="U209"/>
      <c r="V209"/>
    </row>
    <row r="210" spans="2:22">
      <c r="B210"/>
      <c r="C210"/>
      <c r="D210"/>
      <c r="E210"/>
      <c r="F210"/>
      <c r="G210"/>
      <c r="H210"/>
      <c r="I210"/>
      <c r="J210"/>
      <c r="K210"/>
      <c r="L210"/>
      <c r="M210"/>
      <c r="N210"/>
      <c r="O210"/>
      <c r="P210"/>
      <c r="Q210"/>
      <c r="R210"/>
      <c r="S210"/>
      <c r="T210"/>
      <c r="U210"/>
      <c r="V210"/>
    </row>
    <row r="211" spans="2:22">
      <c r="B211"/>
      <c r="C211"/>
      <c r="D211"/>
      <c r="E211"/>
      <c r="F211"/>
      <c r="G211"/>
      <c r="H211"/>
      <c r="I211"/>
      <c r="J211"/>
      <c r="K211"/>
      <c r="L211"/>
      <c r="M211"/>
      <c r="N211"/>
      <c r="O211"/>
      <c r="P211"/>
      <c r="Q211"/>
      <c r="R211"/>
      <c r="S211"/>
      <c r="T211"/>
      <c r="U211"/>
      <c r="V211"/>
    </row>
    <row r="212" spans="2:22">
      <c r="B212"/>
      <c r="C212"/>
      <c r="D212"/>
      <c r="E212"/>
      <c r="F212"/>
      <c r="G212"/>
      <c r="H212"/>
      <c r="I212"/>
      <c r="J212"/>
      <c r="K212"/>
      <c r="L212"/>
      <c r="M212"/>
      <c r="N212"/>
      <c r="O212"/>
      <c r="P212"/>
      <c r="Q212"/>
      <c r="R212"/>
      <c r="S212"/>
      <c r="T212"/>
      <c r="U212"/>
      <c r="V212"/>
    </row>
  </sheetData>
  <mergeCells count="9">
    <mergeCell ref="B110:V110"/>
    <mergeCell ref="A1:V1"/>
    <mergeCell ref="A2:V2"/>
    <mergeCell ref="A66:A68"/>
    <mergeCell ref="A69:A99"/>
    <mergeCell ref="A103:A108"/>
    <mergeCell ref="A3:V3"/>
    <mergeCell ref="A5:A65"/>
    <mergeCell ref="A100:A102"/>
  </mergeCells>
  <pageMargins left="0.7" right="0.7" top="0.75" bottom="0.75" header="0.3" footer="0.3"/>
  <pageSetup scale="43" fitToHeight="0" orientation="landscape" r:id="rId1"/>
  <headerFooter>
    <oddHeader xml:space="preserve">&amp;R&amp;14 2023 Nutrition Information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AA201"/>
  <sheetViews>
    <sheetView view="pageLayout" topLeftCell="B119" zoomScale="90" zoomScaleNormal="80" zoomScalePageLayoutView="90" workbookViewId="0">
      <selection activeCell="C125" sqref="C125"/>
    </sheetView>
    <sheetView workbookViewId="1">
      <selection sqref="A1:V1"/>
    </sheetView>
    <sheetView workbookViewId="2">
      <selection sqref="A1:V1"/>
    </sheetView>
  </sheetViews>
  <sheetFormatPr defaultColWidth="8.84375" defaultRowHeight="15.9"/>
  <cols>
    <col min="1" max="1" width="6.53515625" style="179" customWidth="1"/>
    <col min="2" max="2" width="42.84375" style="179" customWidth="1"/>
    <col min="3" max="4" width="10.53515625" style="179" customWidth="1"/>
    <col min="5" max="5" width="8.53515625" style="179" customWidth="1"/>
    <col min="6" max="6" width="11.53515625" style="179" customWidth="1"/>
    <col min="7" max="7" width="8.53515625" style="179" customWidth="1"/>
    <col min="8" max="8" width="13" style="179" customWidth="1"/>
    <col min="9" max="9" width="8.84375" style="179" customWidth="1"/>
    <col min="10" max="10" width="16.84375" style="179" customWidth="1"/>
    <col min="11" max="11" width="8.84375" style="179" customWidth="1"/>
    <col min="12" max="12" width="7.84375" style="179" customWidth="1"/>
    <col min="13" max="13" width="8.84375" style="179" customWidth="1"/>
    <col min="14" max="16" width="11.53515625" style="179" customWidth="1"/>
    <col min="17" max="17" width="9.15234375" style="179" bestFit="1" customWidth="1"/>
    <col min="18" max="18" width="18.53515625" style="179" bestFit="1" customWidth="1"/>
    <col min="19" max="19" width="12.53515625" style="179" customWidth="1"/>
    <col min="20" max="20" width="15.15234375" style="179" customWidth="1"/>
    <col min="21" max="21" width="14.3828125" style="179" customWidth="1"/>
    <col min="22" max="22" width="18.53515625" style="179" bestFit="1" customWidth="1"/>
    <col min="23" max="16384" width="8.84375" style="179"/>
  </cols>
  <sheetData>
    <row r="1" spans="1:22" ht="22.5" customHeight="1">
      <c r="A1" s="1214" t="s">
        <v>354</v>
      </c>
      <c r="B1" s="1215"/>
      <c r="C1" s="1215"/>
      <c r="D1" s="1215"/>
      <c r="E1" s="1215"/>
      <c r="F1" s="1215"/>
      <c r="G1" s="1215"/>
      <c r="H1" s="1215"/>
      <c r="I1" s="1215"/>
      <c r="J1" s="1215"/>
      <c r="K1" s="1215"/>
      <c r="L1" s="1215"/>
      <c r="M1" s="1215"/>
      <c r="N1" s="1215"/>
      <c r="O1" s="1215"/>
      <c r="P1" s="1215"/>
      <c r="Q1" s="1215"/>
      <c r="R1" s="1215"/>
      <c r="S1" s="1215"/>
      <c r="T1" s="1215"/>
      <c r="U1" s="1215"/>
      <c r="V1" s="1215"/>
    </row>
    <row r="2" spans="1:22" ht="18" customHeight="1">
      <c r="A2" s="1214" t="s">
        <v>329</v>
      </c>
      <c r="B2" s="1215"/>
      <c r="C2" s="1215"/>
      <c r="D2" s="1215"/>
      <c r="E2" s="1215"/>
      <c r="F2" s="1215"/>
      <c r="G2" s="1215"/>
      <c r="H2" s="1215"/>
      <c r="I2" s="1215"/>
      <c r="J2" s="1215"/>
      <c r="K2" s="1215"/>
      <c r="L2" s="1215"/>
      <c r="M2" s="1215"/>
      <c r="N2" s="1215"/>
      <c r="O2" s="1215"/>
      <c r="P2" s="1215"/>
      <c r="Q2" s="1215"/>
      <c r="R2" s="1215"/>
      <c r="S2" s="1215"/>
      <c r="T2" s="1215"/>
      <c r="U2" s="1215"/>
      <c r="V2" s="1215"/>
    </row>
    <row r="3" spans="1:22" ht="18" customHeight="1" thickBot="1">
      <c r="A3" s="1209" t="s">
        <v>355</v>
      </c>
      <c r="B3" s="1210"/>
      <c r="C3" s="1210"/>
      <c r="D3" s="1210"/>
      <c r="E3" s="1210"/>
      <c r="F3" s="1210"/>
      <c r="G3" s="1210"/>
      <c r="H3" s="1210"/>
      <c r="I3" s="1210"/>
      <c r="J3" s="1210"/>
      <c r="K3" s="1210"/>
      <c r="L3" s="1210"/>
      <c r="M3" s="1210"/>
      <c r="N3" s="1210"/>
      <c r="O3" s="1210"/>
      <c r="P3" s="1210"/>
      <c r="Q3" s="1210"/>
      <c r="R3" s="1210"/>
      <c r="S3" s="1210"/>
      <c r="T3" s="1210"/>
      <c r="U3" s="1210"/>
      <c r="V3" s="1210"/>
    </row>
    <row r="4" spans="1:22" s="223" customFormat="1" ht="37.5" customHeight="1">
      <c r="A4" s="259"/>
      <c r="B4" s="193" t="s">
        <v>3</v>
      </c>
      <c r="C4" s="193" t="s">
        <v>4</v>
      </c>
      <c r="D4" s="193" t="s">
        <v>5</v>
      </c>
      <c r="E4" s="193" t="s">
        <v>6</v>
      </c>
      <c r="F4" s="193" t="s">
        <v>7</v>
      </c>
      <c r="G4" s="193" t="s">
        <v>8</v>
      </c>
      <c r="H4" s="193" t="s">
        <v>9</v>
      </c>
      <c r="I4" s="193" t="s">
        <v>10</v>
      </c>
      <c r="J4" s="193" t="s">
        <v>11</v>
      </c>
      <c r="K4" s="193" t="s">
        <v>12</v>
      </c>
      <c r="L4" s="193" t="s">
        <v>13</v>
      </c>
      <c r="M4" s="193" t="s">
        <v>14</v>
      </c>
      <c r="N4" s="193" t="s">
        <v>15</v>
      </c>
      <c r="O4" s="194" t="s">
        <v>16</v>
      </c>
      <c r="P4" s="194" t="s">
        <v>17</v>
      </c>
      <c r="Q4" s="194" t="s">
        <v>18</v>
      </c>
      <c r="R4" s="194" t="s">
        <v>19</v>
      </c>
      <c r="S4" s="194" t="s">
        <v>20</v>
      </c>
      <c r="T4" s="194" t="s">
        <v>21</v>
      </c>
      <c r="U4" s="194" t="s">
        <v>22</v>
      </c>
      <c r="V4" s="194" t="s">
        <v>23</v>
      </c>
    </row>
    <row r="5" spans="1:22" s="223" customFormat="1" ht="15.75" customHeight="1">
      <c r="A5" s="1222" t="s">
        <v>24</v>
      </c>
      <c r="B5" s="186" t="s">
        <v>299</v>
      </c>
      <c r="C5" s="188">
        <v>130</v>
      </c>
      <c r="D5" s="188">
        <v>0</v>
      </c>
      <c r="E5" s="188">
        <v>0</v>
      </c>
      <c r="F5" s="188">
        <v>0</v>
      </c>
      <c r="G5" s="188">
        <v>0</v>
      </c>
      <c r="H5" s="188">
        <v>0</v>
      </c>
      <c r="I5" s="188">
        <v>25</v>
      </c>
      <c r="J5" s="188">
        <v>34</v>
      </c>
      <c r="K5" s="188">
        <v>0</v>
      </c>
      <c r="L5" s="188">
        <v>32</v>
      </c>
      <c r="M5" s="188">
        <v>31</v>
      </c>
      <c r="N5" s="188">
        <v>0</v>
      </c>
      <c r="O5" s="309">
        <v>1</v>
      </c>
      <c r="P5" s="309">
        <v>6</v>
      </c>
      <c r="Q5" s="309">
        <v>5</v>
      </c>
      <c r="R5" s="309">
        <v>0</v>
      </c>
      <c r="S5" s="309">
        <v>0</v>
      </c>
      <c r="T5" s="309">
        <v>0</v>
      </c>
      <c r="U5" s="309">
        <v>12</v>
      </c>
      <c r="V5" s="309">
        <v>0</v>
      </c>
    </row>
    <row r="6" spans="1:22" s="223" customFormat="1" ht="15" customHeight="1">
      <c r="A6" s="1223"/>
      <c r="B6" s="186" t="s">
        <v>26</v>
      </c>
      <c r="C6" s="195">
        <v>160</v>
      </c>
      <c r="D6" s="195">
        <v>5</v>
      </c>
      <c r="E6" s="195">
        <v>0</v>
      </c>
      <c r="F6" s="195">
        <v>0</v>
      </c>
      <c r="G6" s="195">
        <v>0</v>
      </c>
      <c r="H6" s="195">
        <v>0</v>
      </c>
      <c r="I6" s="195">
        <v>20</v>
      </c>
      <c r="J6" s="195">
        <v>40</v>
      </c>
      <c r="K6" s="195">
        <v>0</v>
      </c>
      <c r="L6" s="195">
        <v>38</v>
      </c>
      <c r="M6" s="195">
        <v>37</v>
      </c>
      <c r="N6" s="195">
        <v>0</v>
      </c>
      <c r="O6" s="188">
        <v>0</v>
      </c>
      <c r="P6" s="188">
        <v>0</v>
      </c>
      <c r="Q6" s="188">
        <v>4</v>
      </c>
      <c r="R6" s="188">
        <v>0</v>
      </c>
      <c r="S6" s="188">
        <v>0</v>
      </c>
      <c r="T6" s="188">
        <v>0</v>
      </c>
      <c r="U6" s="188">
        <v>31</v>
      </c>
      <c r="V6" s="188">
        <v>0</v>
      </c>
    </row>
    <row r="7" spans="1:22" hidden="1">
      <c r="A7" s="1223"/>
      <c r="B7" s="186" t="s">
        <v>27</v>
      </c>
      <c r="C7" s="195">
        <v>110</v>
      </c>
      <c r="D7" s="195">
        <v>0</v>
      </c>
      <c r="E7" s="195">
        <v>0</v>
      </c>
      <c r="F7" s="195">
        <v>0</v>
      </c>
      <c r="G7" s="195">
        <v>0</v>
      </c>
      <c r="H7" s="195">
        <v>0</v>
      </c>
      <c r="I7" s="195">
        <v>15</v>
      </c>
      <c r="J7" s="195">
        <v>28</v>
      </c>
      <c r="K7" s="195">
        <v>0</v>
      </c>
      <c r="L7" s="195">
        <v>27</v>
      </c>
      <c r="M7" s="195">
        <v>27</v>
      </c>
      <c r="N7" s="195">
        <v>0</v>
      </c>
      <c r="O7" s="195">
        <v>0</v>
      </c>
      <c r="P7" s="195">
        <v>0</v>
      </c>
      <c r="Q7" s="195">
        <v>4.2662699999999996</v>
      </c>
      <c r="R7" s="195">
        <v>0</v>
      </c>
      <c r="S7" s="195">
        <v>5.0569999999999999E-3</v>
      </c>
      <c r="T7" s="195">
        <v>0</v>
      </c>
      <c r="U7" s="195">
        <v>0</v>
      </c>
      <c r="V7" s="195">
        <v>0</v>
      </c>
    </row>
    <row r="8" spans="1:22">
      <c r="A8" s="1223"/>
      <c r="B8" s="186" t="s">
        <v>28</v>
      </c>
      <c r="C8" s="195">
        <v>130</v>
      </c>
      <c r="D8" s="195">
        <v>0</v>
      </c>
      <c r="E8" s="195">
        <v>0</v>
      </c>
      <c r="F8" s="195">
        <v>0</v>
      </c>
      <c r="G8" s="195">
        <v>0</v>
      </c>
      <c r="H8" s="195">
        <v>0</v>
      </c>
      <c r="I8" s="195">
        <v>15</v>
      </c>
      <c r="J8" s="195">
        <v>33</v>
      </c>
      <c r="K8" s="195">
        <v>0</v>
      </c>
      <c r="L8" s="195">
        <v>31</v>
      </c>
      <c r="M8" s="195">
        <v>31</v>
      </c>
      <c r="N8" s="195">
        <v>0</v>
      </c>
      <c r="O8" s="188">
        <v>0</v>
      </c>
      <c r="P8" s="188">
        <v>0</v>
      </c>
      <c r="Q8" s="188">
        <v>5</v>
      </c>
      <c r="R8" s="188">
        <v>0</v>
      </c>
      <c r="S8" s="188">
        <v>0</v>
      </c>
      <c r="T8" s="188">
        <v>0</v>
      </c>
      <c r="U8" s="188">
        <v>7</v>
      </c>
      <c r="V8" s="188">
        <v>0</v>
      </c>
    </row>
    <row r="9" spans="1:22">
      <c r="A9" s="1223"/>
      <c r="B9" s="186" t="s">
        <v>29</v>
      </c>
      <c r="C9" s="195">
        <v>210</v>
      </c>
      <c r="D9" s="195">
        <v>0</v>
      </c>
      <c r="E9" s="195">
        <v>0</v>
      </c>
      <c r="F9" s="195">
        <v>0</v>
      </c>
      <c r="G9" s="195">
        <v>0</v>
      </c>
      <c r="H9" s="195">
        <v>0</v>
      </c>
      <c r="I9" s="195">
        <v>20</v>
      </c>
      <c r="J9" s="195">
        <v>37</v>
      </c>
      <c r="K9" s="195">
        <v>0</v>
      </c>
      <c r="L9" s="195">
        <v>36</v>
      </c>
      <c r="M9" s="195">
        <v>36</v>
      </c>
      <c r="N9" s="195">
        <v>0</v>
      </c>
      <c r="O9" s="188">
        <v>1</v>
      </c>
      <c r="P9" s="188">
        <v>6</v>
      </c>
      <c r="Q9" s="188">
        <v>4.6059700000000001</v>
      </c>
      <c r="R9" s="188">
        <v>0</v>
      </c>
      <c r="S9" s="188">
        <v>1.2482E-2</v>
      </c>
      <c r="T9" s="188">
        <v>0</v>
      </c>
      <c r="U9" s="188">
        <v>0</v>
      </c>
      <c r="V9" s="188">
        <v>0</v>
      </c>
    </row>
    <row r="10" spans="1:22">
      <c r="A10" s="1223"/>
      <c r="B10" s="186" t="s">
        <v>30</v>
      </c>
      <c r="C10" s="195">
        <v>210</v>
      </c>
      <c r="D10" s="195">
        <v>0</v>
      </c>
      <c r="E10" s="195">
        <v>0</v>
      </c>
      <c r="F10" s="195">
        <v>0</v>
      </c>
      <c r="G10" s="195">
        <v>0</v>
      </c>
      <c r="H10" s="195">
        <v>0</v>
      </c>
      <c r="I10" s="195">
        <v>25</v>
      </c>
      <c r="J10" s="195">
        <v>53</v>
      </c>
      <c r="K10" s="195">
        <v>0</v>
      </c>
      <c r="L10" s="195">
        <v>51</v>
      </c>
      <c r="M10" s="195">
        <v>51</v>
      </c>
      <c r="N10" s="195">
        <v>0</v>
      </c>
      <c r="O10" s="188">
        <v>1</v>
      </c>
      <c r="P10" s="188">
        <v>6</v>
      </c>
      <c r="Q10" s="188">
        <v>4.7010199999999998</v>
      </c>
      <c r="R10" s="188">
        <v>0</v>
      </c>
      <c r="S10" s="188">
        <v>2.9849000000000001E-2</v>
      </c>
      <c r="T10" s="188">
        <v>0</v>
      </c>
      <c r="U10" s="188">
        <v>0</v>
      </c>
      <c r="V10" s="188">
        <v>0</v>
      </c>
    </row>
    <row r="11" spans="1:22">
      <c r="A11" s="1223"/>
      <c r="B11" s="186" t="s">
        <v>31</v>
      </c>
      <c r="C11" s="195">
        <v>120</v>
      </c>
      <c r="D11" s="195">
        <v>0</v>
      </c>
      <c r="E11" s="195">
        <v>0</v>
      </c>
      <c r="F11" s="195">
        <v>0</v>
      </c>
      <c r="G11" s="195">
        <v>0</v>
      </c>
      <c r="H11" s="195">
        <v>0</v>
      </c>
      <c r="I11" s="195">
        <v>20</v>
      </c>
      <c r="J11" s="195">
        <v>30</v>
      </c>
      <c r="K11" s="195">
        <v>0</v>
      </c>
      <c r="L11" s="195">
        <v>28</v>
      </c>
      <c r="M11" s="195">
        <v>27</v>
      </c>
      <c r="N11" s="195">
        <v>0</v>
      </c>
      <c r="O11" s="188">
        <v>0</v>
      </c>
      <c r="P11" s="188">
        <v>0</v>
      </c>
      <c r="Q11" s="188">
        <v>7</v>
      </c>
      <c r="R11" s="188">
        <v>0</v>
      </c>
      <c r="S11" s="188">
        <v>0</v>
      </c>
      <c r="T11" s="188">
        <v>0</v>
      </c>
      <c r="U11" s="188">
        <v>1</v>
      </c>
      <c r="V11" s="188">
        <v>0</v>
      </c>
    </row>
    <row r="12" spans="1:22">
      <c r="A12" s="1223"/>
      <c r="B12" s="186" t="s">
        <v>32</v>
      </c>
      <c r="C12" s="195">
        <v>130</v>
      </c>
      <c r="D12" s="195">
        <v>0</v>
      </c>
      <c r="E12" s="195">
        <v>0</v>
      </c>
      <c r="F12" s="195">
        <v>0</v>
      </c>
      <c r="G12" s="195">
        <v>0</v>
      </c>
      <c r="H12" s="195">
        <v>0</v>
      </c>
      <c r="I12" s="195">
        <v>20</v>
      </c>
      <c r="J12" s="195">
        <v>33</v>
      </c>
      <c r="K12" s="195">
        <v>0</v>
      </c>
      <c r="L12" s="195">
        <v>31</v>
      </c>
      <c r="M12" s="195">
        <v>31</v>
      </c>
      <c r="N12" s="195">
        <v>0</v>
      </c>
      <c r="O12" s="188">
        <v>0</v>
      </c>
      <c r="P12" s="188">
        <v>0</v>
      </c>
      <c r="Q12" s="188">
        <v>5</v>
      </c>
      <c r="R12" s="188">
        <v>0</v>
      </c>
      <c r="S12" s="188">
        <v>0</v>
      </c>
      <c r="T12" s="188">
        <v>0</v>
      </c>
      <c r="U12" s="188">
        <v>10</v>
      </c>
      <c r="V12" s="188">
        <v>0</v>
      </c>
    </row>
    <row r="13" spans="1:22">
      <c r="A13" s="1223"/>
      <c r="B13" s="186" t="s">
        <v>33</v>
      </c>
      <c r="C13" s="195">
        <v>110</v>
      </c>
      <c r="D13" s="195">
        <v>0</v>
      </c>
      <c r="E13" s="195">
        <v>0</v>
      </c>
      <c r="F13" s="195">
        <v>0</v>
      </c>
      <c r="G13" s="195">
        <v>0</v>
      </c>
      <c r="H13" s="195">
        <v>0</v>
      </c>
      <c r="I13" s="195">
        <v>15</v>
      </c>
      <c r="J13" s="195">
        <v>28</v>
      </c>
      <c r="K13" s="195">
        <v>0</v>
      </c>
      <c r="L13" s="195">
        <v>27</v>
      </c>
      <c r="M13" s="195">
        <v>26</v>
      </c>
      <c r="N13" s="195">
        <v>0</v>
      </c>
      <c r="O13" s="188">
        <v>0</v>
      </c>
      <c r="P13" s="188">
        <v>0</v>
      </c>
      <c r="Q13" s="195">
        <v>4.98665</v>
      </c>
      <c r="R13" s="195">
        <v>0</v>
      </c>
      <c r="S13" s="195">
        <v>3.0445E-2</v>
      </c>
      <c r="T13" s="195">
        <v>0</v>
      </c>
      <c r="U13" s="195">
        <v>5</v>
      </c>
      <c r="V13" s="195">
        <v>0</v>
      </c>
    </row>
    <row r="14" spans="1:22">
      <c r="A14" s="1223"/>
      <c r="B14" s="186" t="s">
        <v>34</v>
      </c>
      <c r="C14" s="195">
        <v>170</v>
      </c>
      <c r="D14" s="195">
        <v>0</v>
      </c>
      <c r="E14" s="195">
        <v>0</v>
      </c>
      <c r="F14" s="195">
        <v>0</v>
      </c>
      <c r="G14" s="195">
        <v>0</v>
      </c>
      <c r="H14" s="195">
        <v>0</v>
      </c>
      <c r="I14" s="195">
        <v>30</v>
      </c>
      <c r="J14" s="195">
        <v>43</v>
      </c>
      <c r="K14" s="195">
        <v>1</v>
      </c>
      <c r="L14" s="195">
        <v>41</v>
      </c>
      <c r="M14" s="195">
        <v>41</v>
      </c>
      <c r="N14" s="195">
        <v>0</v>
      </c>
      <c r="O14" s="188">
        <v>0</v>
      </c>
      <c r="P14" s="188">
        <v>0</v>
      </c>
      <c r="Q14" s="188">
        <v>8</v>
      </c>
      <c r="R14" s="188">
        <v>0</v>
      </c>
      <c r="S14" s="188">
        <v>0</v>
      </c>
      <c r="T14" s="188">
        <v>0</v>
      </c>
      <c r="U14" s="188">
        <v>43</v>
      </c>
      <c r="V14" s="188">
        <v>0</v>
      </c>
    </row>
    <row r="15" spans="1:22">
      <c r="A15" s="1223"/>
      <c r="B15" s="186" t="s">
        <v>35</v>
      </c>
      <c r="C15" s="195">
        <v>190</v>
      </c>
      <c r="D15" s="195">
        <v>15</v>
      </c>
      <c r="E15" s="195">
        <v>1.5</v>
      </c>
      <c r="F15" s="195">
        <v>1</v>
      </c>
      <c r="G15" s="195">
        <v>0</v>
      </c>
      <c r="H15" s="195">
        <v>0</v>
      </c>
      <c r="I15" s="195">
        <v>30</v>
      </c>
      <c r="J15" s="195">
        <v>45</v>
      </c>
      <c r="K15" s="195">
        <v>1</v>
      </c>
      <c r="L15" s="195">
        <v>42</v>
      </c>
      <c r="M15" s="195">
        <v>40</v>
      </c>
      <c r="N15" s="195">
        <v>1</v>
      </c>
      <c r="O15" s="188">
        <v>0</v>
      </c>
      <c r="P15" s="188">
        <v>0</v>
      </c>
      <c r="Q15" s="188">
        <v>9</v>
      </c>
      <c r="R15" s="188">
        <v>0</v>
      </c>
      <c r="S15" s="188">
        <v>1</v>
      </c>
      <c r="T15" s="188">
        <v>6</v>
      </c>
      <c r="U15" s="188">
        <v>42</v>
      </c>
      <c r="V15" s="188">
        <v>0</v>
      </c>
    </row>
    <row r="16" spans="1:22">
      <c r="A16" s="1223"/>
      <c r="B16" s="186" t="s">
        <v>36</v>
      </c>
      <c r="C16" s="195">
        <v>160</v>
      </c>
      <c r="D16" s="195">
        <v>0</v>
      </c>
      <c r="E16" s="195">
        <v>0</v>
      </c>
      <c r="F16" s="195">
        <v>0</v>
      </c>
      <c r="G16" s="195">
        <v>0</v>
      </c>
      <c r="H16" s="195">
        <v>0</v>
      </c>
      <c r="I16" s="195">
        <v>10</v>
      </c>
      <c r="J16" s="195">
        <v>40</v>
      </c>
      <c r="K16" s="195">
        <v>0</v>
      </c>
      <c r="L16" s="195">
        <v>39</v>
      </c>
      <c r="M16" s="195">
        <v>15</v>
      </c>
      <c r="N16" s="195">
        <v>0</v>
      </c>
      <c r="O16" s="188">
        <v>0</v>
      </c>
      <c r="P16" s="188">
        <v>0</v>
      </c>
      <c r="Q16" s="188">
        <v>5</v>
      </c>
      <c r="R16" s="188">
        <v>0</v>
      </c>
      <c r="S16" s="188">
        <v>0</v>
      </c>
      <c r="T16" s="188">
        <v>0</v>
      </c>
      <c r="U16" s="188">
        <v>0</v>
      </c>
      <c r="V16" s="188">
        <v>0</v>
      </c>
    </row>
    <row r="17" spans="1:22">
      <c r="A17" s="1223"/>
      <c r="B17" s="186" t="s">
        <v>37</v>
      </c>
      <c r="C17" s="195">
        <v>150</v>
      </c>
      <c r="D17" s="195">
        <v>0</v>
      </c>
      <c r="E17" s="195">
        <v>0</v>
      </c>
      <c r="F17" s="195">
        <v>0</v>
      </c>
      <c r="G17" s="195">
        <v>0</v>
      </c>
      <c r="H17" s="195">
        <v>0</v>
      </c>
      <c r="I17" s="195">
        <v>15</v>
      </c>
      <c r="J17" s="195">
        <v>40</v>
      </c>
      <c r="K17" s="195">
        <v>0</v>
      </c>
      <c r="L17" s="195">
        <v>39</v>
      </c>
      <c r="M17" s="195">
        <v>15</v>
      </c>
      <c r="N17" s="195">
        <v>0</v>
      </c>
      <c r="O17" s="188">
        <v>0</v>
      </c>
      <c r="P17" s="188">
        <v>0</v>
      </c>
      <c r="Q17" s="188">
        <v>3</v>
      </c>
      <c r="R17" s="188">
        <v>0</v>
      </c>
      <c r="S17" s="188">
        <v>0</v>
      </c>
      <c r="T17" s="188">
        <v>0</v>
      </c>
      <c r="U17" s="188">
        <v>0</v>
      </c>
      <c r="V17" s="188">
        <v>0</v>
      </c>
    </row>
    <row r="18" spans="1:22">
      <c r="A18" s="1223"/>
      <c r="B18" s="186" t="s">
        <v>38</v>
      </c>
      <c r="C18" s="195">
        <v>130</v>
      </c>
      <c r="D18" s="195">
        <v>0</v>
      </c>
      <c r="E18" s="195">
        <v>0</v>
      </c>
      <c r="F18" s="195">
        <v>0</v>
      </c>
      <c r="G18" s="195">
        <v>0</v>
      </c>
      <c r="H18" s="195">
        <v>0</v>
      </c>
      <c r="I18" s="195">
        <v>20</v>
      </c>
      <c r="J18" s="195">
        <v>34</v>
      </c>
      <c r="K18" s="195">
        <v>0</v>
      </c>
      <c r="L18" s="195">
        <v>31</v>
      </c>
      <c r="M18" s="195">
        <v>30</v>
      </c>
      <c r="N18" s="195">
        <v>0</v>
      </c>
      <c r="O18" s="188">
        <v>0</v>
      </c>
      <c r="P18" s="188">
        <v>0</v>
      </c>
      <c r="Q18" s="188">
        <v>6</v>
      </c>
      <c r="R18" s="188">
        <v>0</v>
      </c>
      <c r="S18" s="188">
        <v>0</v>
      </c>
      <c r="T18" s="188">
        <v>0</v>
      </c>
      <c r="U18" s="188">
        <v>26</v>
      </c>
      <c r="V18" s="188">
        <v>0</v>
      </c>
    </row>
    <row r="19" spans="1:22">
      <c r="A19" s="1223"/>
      <c r="B19" s="186" t="s">
        <v>39</v>
      </c>
      <c r="C19" s="195">
        <v>100</v>
      </c>
      <c r="D19" s="195">
        <v>0</v>
      </c>
      <c r="E19" s="195">
        <v>0</v>
      </c>
      <c r="F19" s="195">
        <v>0</v>
      </c>
      <c r="G19" s="195">
        <v>0</v>
      </c>
      <c r="H19" s="195">
        <v>0</v>
      </c>
      <c r="I19" s="195">
        <v>20</v>
      </c>
      <c r="J19" s="195">
        <v>26</v>
      </c>
      <c r="K19" s="195">
        <v>0</v>
      </c>
      <c r="L19" s="195">
        <v>25</v>
      </c>
      <c r="M19" s="195">
        <v>24</v>
      </c>
      <c r="N19" s="195">
        <v>0</v>
      </c>
      <c r="O19" s="188">
        <v>0</v>
      </c>
      <c r="P19" s="188">
        <v>0</v>
      </c>
      <c r="Q19" s="188">
        <v>4.0501100000000001</v>
      </c>
      <c r="R19" s="188">
        <v>0</v>
      </c>
      <c r="S19" s="188">
        <v>3.0107999999999999E-2</v>
      </c>
      <c r="T19" s="188">
        <v>0</v>
      </c>
      <c r="U19" s="188">
        <v>0</v>
      </c>
      <c r="V19" s="188">
        <v>0</v>
      </c>
    </row>
    <row r="20" spans="1:22" s="212" customFormat="1">
      <c r="A20" s="1223"/>
      <c r="B20" s="186" t="s">
        <v>40</v>
      </c>
      <c r="C20" s="195">
        <v>140</v>
      </c>
      <c r="D20" s="195">
        <v>0</v>
      </c>
      <c r="E20" s="195">
        <v>0</v>
      </c>
      <c r="F20" s="195">
        <v>0</v>
      </c>
      <c r="G20" s="195">
        <v>0</v>
      </c>
      <c r="H20" s="195">
        <v>0</v>
      </c>
      <c r="I20" s="195">
        <v>25</v>
      </c>
      <c r="J20" s="195">
        <v>36</v>
      </c>
      <c r="K20" s="195">
        <v>0</v>
      </c>
      <c r="L20" s="195">
        <v>34</v>
      </c>
      <c r="M20" s="195">
        <v>32</v>
      </c>
      <c r="N20" s="195">
        <v>0</v>
      </c>
      <c r="O20" s="188">
        <v>1</v>
      </c>
      <c r="P20" s="188">
        <v>6</v>
      </c>
      <c r="Q20" s="188">
        <v>4.7210999999999999</v>
      </c>
      <c r="R20" s="188">
        <v>0</v>
      </c>
      <c r="S20" s="188">
        <v>5.7838000000000001E-2</v>
      </c>
      <c r="T20" s="188">
        <v>0</v>
      </c>
      <c r="U20" s="188">
        <v>20</v>
      </c>
      <c r="V20" s="188">
        <v>1</v>
      </c>
    </row>
    <row r="21" spans="1:22">
      <c r="A21" s="1223"/>
      <c r="B21" s="186" t="s">
        <v>41</v>
      </c>
      <c r="C21" s="195">
        <v>150</v>
      </c>
      <c r="D21" s="195">
        <v>0</v>
      </c>
      <c r="E21" s="195">
        <v>0</v>
      </c>
      <c r="F21" s="195">
        <v>0</v>
      </c>
      <c r="G21" s="195">
        <v>0</v>
      </c>
      <c r="H21" s="195">
        <v>0</v>
      </c>
      <c r="I21" s="195">
        <v>15</v>
      </c>
      <c r="J21" s="195">
        <v>38</v>
      </c>
      <c r="K21" s="195">
        <v>0</v>
      </c>
      <c r="L21" s="195">
        <v>37</v>
      </c>
      <c r="M21" s="195">
        <v>12</v>
      </c>
      <c r="N21" s="195">
        <v>0</v>
      </c>
      <c r="O21" s="188">
        <v>0</v>
      </c>
      <c r="P21" s="188">
        <v>0</v>
      </c>
      <c r="Q21" s="188">
        <v>4</v>
      </c>
      <c r="R21" s="188">
        <v>0</v>
      </c>
      <c r="S21" s="188">
        <v>0</v>
      </c>
      <c r="T21" s="188">
        <v>0</v>
      </c>
      <c r="U21" s="188">
        <v>0</v>
      </c>
      <c r="V21" s="188">
        <v>0</v>
      </c>
    </row>
    <row r="22" spans="1:22">
      <c r="A22" s="1223"/>
      <c r="B22" s="186" t="s">
        <v>42</v>
      </c>
      <c r="C22" s="195">
        <v>150</v>
      </c>
      <c r="D22" s="195">
        <v>0</v>
      </c>
      <c r="E22" s="195">
        <v>0</v>
      </c>
      <c r="F22" s="195">
        <v>0</v>
      </c>
      <c r="G22" s="195">
        <v>0</v>
      </c>
      <c r="H22" s="195">
        <v>0</v>
      </c>
      <c r="I22" s="195">
        <v>25</v>
      </c>
      <c r="J22" s="195">
        <v>39</v>
      </c>
      <c r="K22" s="195">
        <v>0</v>
      </c>
      <c r="L22" s="195">
        <v>37</v>
      </c>
      <c r="M22" s="195">
        <v>36</v>
      </c>
      <c r="N22" s="195">
        <v>0</v>
      </c>
      <c r="O22" s="188">
        <v>0</v>
      </c>
      <c r="P22" s="188">
        <v>0</v>
      </c>
      <c r="Q22" s="188">
        <v>5</v>
      </c>
      <c r="R22" s="188">
        <v>0</v>
      </c>
      <c r="S22" s="188">
        <v>0</v>
      </c>
      <c r="T22" s="188">
        <v>0</v>
      </c>
      <c r="U22" s="188">
        <v>20</v>
      </c>
      <c r="V22" s="188">
        <v>0</v>
      </c>
    </row>
    <row r="23" spans="1:22">
      <c r="A23" s="1223"/>
      <c r="B23" s="186" t="s">
        <v>45</v>
      </c>
      <c r="C23" s="188">
        <v>130</v>
      </c>
      <c r="D23" s="188">
        <v>0</v>
      </c>
      <c r="E23" s="188">
        <v>0</v>
      </c>
      <c r="F23" s="188">
        <v>0</v>
      </c>
      <c r="G23" s="195">
        <v>0</v>
      </c>
      <c r="H23" s="188">
        <v>0</v>
      </c>
      <c r="I23" s="188">
        <v>20</v>
      </c>
      <c r="J23" s="188">
        <v>33</v>
      </c>
      <c r="K23" s="188">
        <v>0</v>
      </c>
      <c r="L23" s="188">
        <v>32</v>
      </c>
      <c r="M23" s="188">
        <v>31</v>
      </c>
      <c r="N23" s="188">
        <v>0</v>
      </c>
      <c r="O23" s="188">
        <v>0</v>
      </c>
      <c r="P23" s="188">
        <v>0</v>
      </c>
      <c r="Q23" s="188">
        <v>5</v>
      </c>
      <c r="R23" s="188">
        <v>0</v>
      </c>
      <c r="S23" s="188">
        <v>0</v>
      </c>
      <c r="T23" s="188">
        <v>0</v>
      </c>
      <c r="U23" s="188">
        <v>1</v>
      </c>
      <c r="V23" s="188">
        <v>0</v>
      </c>
    </row>
    <row r="24" spans="1:22">
      <c r="A24" s="1223"/>
      <c r="B24" s="186" t="s">
        <v>46</v>
      </c>
      <c r="C24" s="195">
        <v>130</v>
      </c>
      <c r="D24" s="195">
        <v>0</v>
      </c>
      <c r="E24" s="195">
        <v>0</v>
      </c>
      <c r="F24" s="195">
        <v>0</v>
      </c>
      <c r="G24" s="195">
        <v>0</v>
      </c>
      <c r="H24" s="195">
        <v>0</v>
      </c>
      <c r="I24" s="195">
        <v>30</v>
      </c>
      <c r="J24" s="195">
        <v>32</v>
      </c>
      <c r="K24" s="195">
        <v>0</v>
      </c>
      <c r="L24" s="195">
        <v>31</v>
      </c>
      <c r="M24" s="195">
        <v>31</v>
      </c>
      <c r="N24" s="195">
        <v>0</v>
      </c>
      <c r="O24" s="195">
        <v>0</v>
      </c>
      <c r="P24" s="195">
        <v>0</v>
      </c>
      <c r="Q24" s="195">
        <v>4.4845199999999998</v>
      </c>
      <c r="R24" s="195">
        <v>0</v>
      </c>
      <c r="S24" s="195">
        <v>2.9453E-2</v>
      </c>
      <c r="T24" s="195">
        <v>0</v>
      </c>
      <c r="U24" s="195">
        <v>0</v>
      </c>
      <c r="V24" s="195">
        <v>0</v>
      </c>
    </row>
    <row r="25" spans="1:22">
      <c r="A25" s="1223"/>
      <c r="B25" s="186" t="s">
        <v>47</v>
      </c>
      <c r="C25" s="195">
        <v>130</v>
      </c>
      <c r="D25" s="195">
        <v>0</v>
      </c>
      <c r="E25" s="195">
        <v>0</v>
      </c>
      <c r="F25" s="195">
        <v>0</v>
      </c>
      <c r="G25" s="195">
        <v>0</v>
      </c>
      <c r="H25" s="195">
        <v>0</v>
      </c>
      <c r="I25" s="195">
        <v>25</v>
      </c>
      <c r="J25" s="195">
        <v>34</v>
      </c>
      <c r="K25" s="195">
        <v>0</v>
      </c>
      <c r="L25" s="195">
        <v>33</v>
      </c>
      <c r="M25" s="195">
        <v>33</v>
      </c>
      <c r="N25" s="195">
        <v>0</v>
      </c>
      <c r="O25" s="188">
        <v>0</v>
      </c>
      <c r="P25" s="188">
        <v>0</v>
      </c>
      <c r="Q25" s="188">
        <v>5</v>
      </c>
      <c r="R25" s="188">
        <v>0</v>
      </c>
      <c r="S25" s="188">
        <v>0</v>
      </c>
      <c r="T25" s="188">
        <v>0</v>
      </c>
      <c r="U25" s="188">
        <v>5</v>
      </c>
      <c r="V25" s="188">
        <v>0</v>
      </c>
    </row>
    <row r="26" spans="1:22">
      <c r="A26" s="1223"/>
      <c r="B26" s="186" t="s">
        <v>48</v>
      </c>
      <c r="C26" s="195">
        <v>110</v>
      </c>
      <c r="D26" s="195">
        <v>0</v>
      </c>
      <c r="E26" s="195">
        <v>0</v>
      </c>
      <c r="F26" s="195">
        <v>0</v>
      </c>
      <c r="G26" s="195">
        <v>0</v>
      </c>
      <c r="H26" s="195">
        <v>0</v>
      </c>
      <c r="I26" s="195">
        <v>15</v>
      </c>
      <c r="J26" s="195">
        <v>29</v>
      </c>
      <c r="K26" s="195">
        <v>0</v>
      </c>
      <c r="L26" s="195">
        <v>27</v>
      </c>
      <c r="M26" s="195">
        <v>27</v>
      </c>
      <c r="N26" s="195">
        <v>0</v>
      </c>
      <c r="O26" s="188">
        <v>0</v>
      </c>
      <c r="P26" s="188">
        <v>0</v>
      </c>
      <c r="Q26" s="188">
        <v>6</v>
      </c>
      <c r="R26" s="188">
        <v>0</v>
      </c>
      <c r="S26" s="188">
        <v>0</v>
      </c>
      <c r="T26" s="188">
        <v>0</v>
      </c>
      <c r="U26" s="188">
        <v>5</v>
      </c>
      <c r="V26" s="188">
        <v>0</v>
      </c>
    </row>
    <row r="27" spans="1:22">
      <c r="A27" s="1223"/>
      <c r="B27" s="186" t="s">
        <v>50</v>
      </c>
      <c r="C27" s="195">
        <v>140</v>
      </c>
      <c r="D27" s="195">
        <v>0</v>
      </c>
      <c r="E27" s="195">
        <v>0</v>
      </c>
      <c r="F27" s="195">
        <v>0</v>
      </c>
      <c r="G27" s="195">
        <v>0</v>
      </c>
      <c r="H27" s="195">
        <v>0</v>
      </c>
      <c r="I27" s="195">
        <v>20</v>
      </c>
      <c r="J27" s="195">
        <v>37</v>
      </c>
      <c r="K27" s="195">
        <v>0</v>
      </c>
      <c r="L27" s="195">
        <v>35</v>
      </c>
      <c r="M27" s="195">
        <v>35</v>
      </c>
      <c r="N27" s="195">
        <v>0</v>
      </c>
      <c r="O27" s="188">
        <v>0</v>
      </c>
      <c r="P27" s="188">
        <v>0</v>
      </c>
      <c r="Q27" s="188">
        <v>5</v>
      </c>
      <c r="R27" s="188">
        <v>0</v>
      </c>
      <c r="S27" s="188">
        <v>0</v>
      </c>
      <c r="T27" s="188">
        <v>0</v>
      </c>
      <c r="U27" s="188">
        <v>11</v>
      </c>
      <c r="V27" s="188">
        <v>0</v>
      </c>
    </row>
    <row r="28" spans="1:22">
      <c r="A28" s="1223"/>
      <c r="B28" s="186" t="s">
        <v>51</v>
      </c>
      <c r="C28" s="195">
        <v>140</v>
      </c>
      <c r="D28" s="195">
        <v>0</v>
      </c>
      <c r="E28" s="195">
        <v>0</v>
      </c>
      <c r="F28" s="195">
        <v>0</v>
      </c>
      <c r="G28" s="195">
        <v>0</v>
      </c>
      <c r="H28" s="195">
        <v>0</v>
      </c>
      <c r="I28" s="195">
        <v>20</v>
      </c>
      <c r="J28" s="195">
        <v>36</v>
      </c>
      <c r="K28" s="195">
        <v>0</v>
      </c>
      <c r="L28" s="195">
        <v>33</v>
      </c>
      <c r="M28" s="195">
        <v>26</v>
      </c>
      <c r="N28" s="195">
        <v>0</v>
      </c>
      <c r="O28" s="260">
        <v>0</v>
      </c>
      <c r="P28" s="260">
        <v>0</v>
      </c>
      <c r="Q28" s="260">
        <v>5</v>
      </c>
      <c r="R28" s="260">
        <v>0</v>
      </c>
      <c r="S28" s="260">
        <v>0</v>
      </c>
      <c r="T28" s="260">
        <v>0</v>
      </c>
      <c r="U28" s="260">
        <v>5</v>
      </c>
      <c r="V28" s="260">
        <v>0</v>
      </c>
    </row>
    <row r="29" spans="1:22">
      <c r="A29" s="1223"/>
      <c r="B29" s="186" t="s">
        <v>52</v>
      </c>
      <c r="C29" s="195">
        <v>110</v>
      </c>
      <c r="D29" s="195">
        <v>0</v>
      </c>
      <c r="E29" s="195">
        <v>0</v>
      </c>
      <c r="F29" s="195">
        <v>0</v>
      </c>
      <c r="G29" s="195">
        <v>0</v>
      </c>
      <c r="H29" s="195">
        <v>0</v>
      </c>
      <c r="I29" s="195">
        <v>20</v>
      </c>
      <c r="J29" s="195">
        <v>29</v>
      </c>
      <c r="K29" s="195">
        <v>0</v>
      </c>
      <c r="L29" s="195">
        <v>28</v>
      </c>
      <c r="M29" s="195">
        <v>27</v>
      </c>
      <c r="N29" s="195">
        <v>0</v>
      </c>
      <c r="O29" s="260">
        <v>0</v>
      </c>
      <c r="P29" s="260">
        <v>0</v>
      </c>
      <c r="Q29" s="260">
        <v>4</v>
      </c>
      <c r="R29" s="260">
        <v>0</v>
      </c>
      <c r="S29" s="260">
        <v>0</v>
      </c>
      <c r="T29" s="260">
        <v>0</v>
      </c>
      <c r="U29" s="260">
        <v>5</v>
      </c>
      <c r="V29" s="260">
        <v>0</v>
      </c>
    </row>
    <row r="30" spans="1:22">
      <c r="A30" s="1223"/>
      <c r="B30" s="186" t="s">
        <v>53</v>
      </c>
      <c r="C30" s="195">
        <v>150</v>
      </c>
      <c r="D30" s="195">
        <v>0</v>
      </c>
      <c r="E30" s="195">
        <v>0</v>
      </c>
      <c r="F30" s="195">
        <v>0</v>
      </c>
      <c r="G30" s="195">
        <v>0</v>
      </c>
      <c r="H30" s="195">
        <v>0</v>
      </c>
      <c r="I30" s="195">
        <v>20</v>
      </c>
      <c r="J30" s="195">
        <v>37</v>
      </c>
      <c r="K30" s="195">
        <v>0</v>
      </c>
      <c r="L30" s="195">
        <v>35</v>
      </c>
      <c r="M30" s="195">
        <v>35</v>
      </c>
      <c r="N30" s="195">
        <v>0</v>
      </c>
      <c r="O30" s="195">
        <v>0</v>
      </c>
      <c r="P30" s="195">
        <v>0</v>
      </c>
      <c r="Q30" s="195">
        <v>5</v>
      </c>
      <c r="R30" s="195">
        <v>0</v>
      </c>
      <c r="S30" s="195">
        <v>0</v>
      </c>
      <c r="T30" s="195">
        <v>0</v>
      </c>
      <c r="U30" s="195">
        <v>9</v>
      </c>
      <c r="V30" s="195">
        <v>0</v>
      </c>
    </row>
    <row r="31" spans="1:22">
      <c r="A31" s="1223"/>
      <c r="B31" s="186" t="s">
        <v>54</v>
      </c>
      <c r="C31" s="195">
        <v>150</v>
      </c>
      <c r="D31" s="195">
        <v>0</v>
      </c>
      <c r="E31" s="195">
        <v>0</v>
      </c>
      <c r="F31" s="195">
        <v>0</v>
      </c>
      <c r="G31" s="195">
        <v>0</v>
      </c>
      <c r="H31" s="195">
        <v>0</v>
      </c>
      <c r="I31" s="195">
        <v>20</v>
      </c>
      <c r="J31" s="195">
        <v>37</v>
      </c>
      <c r="K31" s="195">
        <v>0</v>
      </c>
      <c r="L31" s="195">
        <v>36</v>
      </c>
      <c r="M31" s="195">
        <v>35</v>
      </c>
      <c r="N31" s="195">
        <v>0</v>
      </c>
      <c r="O31" s="188">
        <v>0</v>
      </c>
      <c r="P31" s="188">
        <v>0</v>
      </c>
      <c r="Q31" s="188">
        <v>5</v>
      </c>
      <c r="R31" s="188">
        <v>0</v>
      </c>
      <c r="S31" s="188">
        <v>0</v>
      </c>
      <c r="T31" s="188">
        <v>0</v>
      </c>
      <c r="U31" s="188">
        <v>6</v>
      </c>
      <c r="V31" s="188">
        <v>0</v>
      </c>
    </row>
    <row r="32" spans="1:22">
      <c r="A32" s="1223"/>
      <c r="B32" s="186" t="s">
        <v>56</v>
      </c>
      <c r="C32" s="195">
        <v>100</v>
      </c>
      <c r="D32" s="195">
        <v>0</v>
      </c>
      <c r="E32" s="195">
        <v>0</v>
      </c>
      <c r="F32" s="195">
        <v>0</v>
      </c>
      <c r="G32" s="195">
        <v>0</v>
      </c>
      <c r="H32" s="195">
        <v>0</v>
      </c>
      <c r="I32" s="195">
        <v>25</v>
      </c>
      <c r="J32" s="195">
        <v>25</v>
      </c>
      <c r="K32" s="195">
        <v>0</v>
      </c>
      <c r="L32" s="195">
        <v>23</v>
      </c>
      <c r="M32" s="195">
        <v>23</v>
      </c>
      <c r="N32" s="195">
        <v>0</v>
      </c>
      <c r="O32" s="195">
        <v>0</v>
      </c>
      <c r="P32" s="195">
        <v>0</v>
      </c>
      <c r="Q32" s="195">
        <v>6</v>
      </c>
      <c r="R32" s="195">
        <v>0</v>
      </c>
      <c r="S32" s="195">
        <v>0</v>
      </c>
      <c r="T32" s="195">
        <v>0</v>
      </c>
      <c r="U32" s="195">
        <v>10</v>
      </c>
      <c r="V32" s="195">
        <v>0</v>
      </c>
    </row>
    <row r="33" spans="1:22">
      <c r="A33" s="1223"/>
      <c r="B33" s="186" t="s">
        <v>55</v>
      </c>
      <c r="C33" s="195">
        <v>130</v>
      </c>
      <c r="D33" s="195">
        <v>0</v>
      </c>
      <c r="E33" s="195">
        <v>0</v>
      </c>
      <c r="F33" s="195">
        <v>0</v>
      </c>
      <c r="G33" s="195">
        <v>0</v>
      </c>
      <c r="H33" s="195">
        <v>0</v>
      </c>
      <c r="I33" s="195">
        <v>25</v>
      </c>
      <c r="J33" s="195">
        <v>32</v>
      </c>
      <c r="K33" s="195">
        <v>0</v>
      </c>
      <c r="L33" s="195">
        <v>30</v>
      </c>
      <c r="M33" s="195">
        <v>30</v>
      </c>
      <c r="N33" s="195">
        <v>0</v>
      </c>
      <c r="O33" s="188">
        <v>0</v>
      </c>
      <c r="P33" s="188">
        <v>0</v>
      </c>
      <c r="Q33" s="188">
        <v>6</v>
      </c>
      <c r="R33" s="188">
        <v>0</v>
      </c>
      <c r="S33" s="188">
        <v>0</v>
      </c>
      <c r="T33" s="188">
        <v>0</v>
      </c>
      <c r="U33" s="188">
        <v>9</v>
      </c>
      <c r="V33" s="188">
        <v>0</v>
      </c>
    </row>
    <row r="34" spans="1:22">
      <c r="A34" s="1223"/>
      <c r="B34" s="186" t="s">
        <v>57</v>
      </c>
      <c r="C34" s="195">
        <v>190</v>
      </c>
      <c r="D34" s="195">
        <v>0</v>
      </c>
      <c r="E34" s="195">
        <v>0</v>
      </c>
      <c r="F34" s="195">
        <v>0</v>
      </c>
      <c r="G34" s="195">
        <v>0</v>
      </c>
      <c r="H34" s="195">
        <v>0</v>
      </c>
      <c r="I34" s="195">
        <v>20</v>
      </c>
      <c r="J34" s="195">
        <v>49</v>
      </c>
      <c r="K34" s="195">
        <v>0</v>
      </c>
      <c r="L34" s="195">
        <v>47</v>
      </c>
      <c r="M34" s="195">
        <v>46</v>
      </c>
      <c r="N34" s="195">
        <v>0</v>
      </c>
      <c r="O34" s="188">
        <v>0</v>
      </c>
      <c r="P34" s="188">
        <v>0</v>
      </c>
      <c r="Q34" s="188">
        <v>5</v>
      </c>
      <c r="R34" s="188">
        <v>0</v>
      </c>
      <c r="S34" s="188">
        <v>0</v>
      </c>
      <c r="T34" s="188">
        <v>0</v>
      </c>
      <c r="U34" s="188">
        <v>29</v>
      </c>
      <c r="V34" s="188">
        <v>0</v>
      </c>
    </row>
    <row r="35" spans="1:22">
      <c r="A35" s="1223"/>
      <c r="B35" s="186" t="s">
        <v>58</v>
      </c>
      <c r="C35" s="195">
        <v>140</v>
      </c>
      <c r="D35" s="195">
        <v>5</v>
      </c>
      <c r="E35" s="195">
        <v>0</v>
      </c>
      <c r="F35" s="195">
        <v>0</v>
      </c>
      <c r="G35" s="195">
        <v>0</v>
      </c>
      <c r="H35" s="195">
        <v>0</v>
      </c>
      <c r="I35" s="195">
        <v>20</v>
      </c>
      <c r="J35" s="195">
        <v>36</v>
      </c>
      <c r="K35" s="195">
        <v>0</v>
      </c>
      <c r="L35" s="195">
        <v>35</v>
      </c>
      <c r="M35" s="195">
        <v>34</v>
      </c>
      <c r="N35" s="195">
        <v>0</v>
      </c>
      <c r="O35" s="188">
        <v>0</v>
      </c>
      <c r="P35" s="188">
        <v>0</v>
      </c>
      <c r="Q35" s="188">
        <v>6</v>
      </c>
      <c r="R35" s="188">
        <v>0</v>
      </c>
      <c r="S35" s="188">
        <v>0</v>
      </c>
      <c r="T35" s="188">
        <v>0</v>
      </c>
      <c r="U35" s="188">
        <v>1</v>
      </c>
      <c r="V35" s="188">
        <v>0</v>
      </c>
    </row>
    <row r="36" spans="1:22">
      <c r="A36" s="1223"/>
      <c r="B36" s="186" t="s">
        <v>59</v>
      </c>
      <c r="C36" s="195">
        <v>130</v>
      </c>
      <c r="D36" s="195">
        <v>0</v>
      </c>
      <c r="E36" s="195">
        <v>0</v>
      </c>
      <c r="F36" s="195">
        <v>0</v>
      </c>
      <c r="G36" s="195">
        <v>0</v>
      </c>
      <c r="H36" s="195">
        <v>0</v>
      </c>
      <c r="I36" s="195">
        <v>20</v>
      </c>
      <c r="J36" s="195">
        <v>33</v>
      </c>
      <c r="K36" s="195">
        <v>0</v>
      </c>
      <c r="L36" s="195">
        <v>31</v>
      </c>
      <c r="M36" s="195">
        <v>31</v>
      </c>
      <c r="N36" s="195">
        <v>0</v>
      </c>
      <c r="O36" s="188">
        <v>0</v>
      </c>
      <c r="P36" s="188">
        <v>0</v>
      </c>
      <c r="Q36" s="188">
        <v>5</v>
      </c>
      <c r="R36" s="188">
        <v>0</v>
      </c>
      <c r="S36" s="188">
        <v>0</v>
      </c>
      <c r="T36" s="188">
        <v>0</v>
      </c>
      <c r="U36" s="188">
        <v>7</v>
      </c>
      <c r="V36" s="188">
        <v>0</v>
      </c>
    </row>
    <row r="37" spans="1:22">
      <c r="A37" s="1223"/>
      <c r="B37" s="186" t="s">
        <v>60</v>
      </c>
      <c r="C37" s="195">
        <v>140</v>
      </c>
      <c r="D37" s="195">
        <v>0</v>
      </c>
      <c r="E37" s="195">
        <v>0</v>
      </c>
      <c r="F37" s="195">
        <v>0</v>
      </c>
      <c r="G37" s="195">
        <v>0</v>
      </c>
      <c r="H37" s="195">
        <v>0</v>
      </c>
      <c r="I37" s="195">
        <v>20</v>
      </c>
      <c r="J37" s="195">
        <v>35</v>
      </c>
      <c r="K37" s="195">
        <v>0</v>
      </c>
      <c r="L37" s="195">
        <v>34</v>
      </c>
      <c r="M37" s="195">
        <v>33</v>
      </c>
      <c r="N37" s="195">
        <v>0</v>
      </c>
      <c r="O37" s="188">
        <v>0</v>
      </c>
      <c r="P37" s="188">
        <v>0</v>
      </c>
      <c r="Q37" s="188">
        <v>6</v>
      </c>
      <c r="R37" s="188">
        <v>0</v>
      </c>
      <c r="S37" s="188">
        <v>0</v>
      </c>
      <c r="T37" s="188">
        <v>0</v>
      </c>
      <c r="U37" s="188">
        <v>14</v>
      </c>
      <c r="V37" s="188">
        <v>0</v>
      </c>
    </row>
    <row r="38" spans="1:22">
      <c r="A38" s="1223"/>
      <c r="B38" s="186" t="s">
        <v>61</v>
      </c>
      <c r="C38" s="195">
        <v>150</v>
      </c>
      <c r="D38" s="195">
        <v>0</v>
      </c>
      <c r="E38" s="195">
        <v>0</v>
      </c>
      <c r="F38" s="195">
        <v>0</v>
      </c>
      <c r="G38" s="195">
        <v>0</v>
      </c>
      <c r="H38" s="195">
        <v>0</v>
      </c>
      <c r="I38" s="195">
        <v>25</v>
      </c>
      <c r="J38" s="195">
        <v>37</v>
      </c>
      <c r="K38" s="195">
        <v>0</v>
      </c>
      <c r="L38" s="195">
        <v>35</v>
      </c>
      <c r="M38" s="195">
        <v>31</v>
      </c>
      <c r="N38" s="195">
        <v>0</v>
      </c>
      <c r="O38" s="188">
        <v>0</v>
      </c>
      <c r="P38" s="188">
        <v>0</v>
      </c>
      <c r="Q38" s="188">
        <v>6</v>
      </c>
      <c r="R38" s="188">
        <v>0</v>
      </c>
      <c r="S38" s="188">
        <v>0</v>
      </c>
      <c r="T38" s="188">
        <v>0</v>
      </c>
      <c r="U38" s="188">
        <v>20</v>
      </c>
      <c r="V38" s="188">
        <v>0</v>
      </c>
    </row>
    <row r="39" spans="1:22">
      <c r="A39" s="1223"/>
      <c r="B39" s="186" t="s">
        <v>62</v>
      </c>
      <c r="C39" s="195">
        <v>210</v>
      </c>
      <c r="D39" s="195">
        <v>30</v>
      </c>
      <c r="E39" s="195">
        <v>3.5</v>
      </c>
      <c r="F39" s="195">
        <v>0.5</v>
      </c>
      <c r="G39" s="195">
        <v>0</v>
      </c>
      <c r="H39" s="195">
        <v>0</v>
      </c>
      <c r="I39" s="195">
        <v>55</v>
      </c>
      <c r="J39" s="195">
        <v>44</v>
      </c>
      <c r="K39" s="195">
        <v>1</v>
      </c>
      <c r="L39" s="195">
        <v>41</v>
      </c>
      <c r="M39" s="195">
        <v>41</v>
      </c>
      <c r="N39" s="195">
        <v>1</v>
      </c>
      <c r="O39" s="188">
        <v>0</v>
      </c>
      <c r="P39" s="188">
        <v>0</v>
      </c>
      <c r="Q39" s="188">
        <v>11</v>
      </c>
      <c r="R39" s="188">
        <v>0</v>
      </c>
      <c r="S39" s="188">
        <v>1</v>
      </c>
      <c r="T39" s="188">
        <v>6</v>
      </c>
      <c r="U39" s="188">
        <v>43</v>
      </c>
      <c r="V39" s="188">
        <v>0</v>
      </c>
    </row>
    <row r="40" spans="1:22">
      <c r="A40" s="1223"/>
      <c r="B40" s="186" t="s">
        <v>63</v>
      </c>
      <c r="C40" s="195">
        <v>200</v>
      </c>
      <c r="D40" s="195">
        <v>45</v>
      </c>
      <c r="E40" s="195">
        <v>5</v>
      </c>
      <c r="F40" s="195">
        <v>1</v>
      </c>
      <c r="G40" s="195">
        <v>0</v>
      </c>
      <c r="H40" s="195">
        <v>0</v>
      </c>
      <c r="I40" s="195">
        <v>55</v>
      </c>
      <c r="J40" s="195">
        <v>38</v>
      </c>
      <c r="K40" s="195">
        <v>0</v>
      </c>
      <c r="L40" s="195">
        <v>36</v>
      </c>
      <c r="M40" s="195">
        <v>35</v>
      </c>
      <c r="N40" s="195">
        <v>2</v>
      </c>
      <c r="O40" s="188">
        <v>0</v>
      </c>
      <c r="P40" s="188">
        <v>0</v>
      </c>
      <c r="Q40" s="188">
        <v>10</v>
      </c>
      <c r="R40" s="188">
        <v>0</v>
      </c>
      <c r="S40" s="188">
        <v>0</v>
      </c>
      <c r="T40" s="188">
        <v>0</v>
      </c>
      <c r="U40" s="188">
        <v>2</v>
      </c>
      <c r="V40" s="188">
        <v>0</v>
      </c>
    </row>
    <row r="41" spans="1:22">
      <c r="A41" s="1223"/>
      <c r="B41" s="186" t="s">
        <v>64</v>
      </c>
      <c r="C41" s="195">
        <v>140</v>
      </c>
      <c r="D41" s="195">
        <v>0</v>
      </c>
      <c r="E41" s="195">
        <v>0</v>
      </c>
      <c r="F41" s="195">
        <v>0</v>
      </c>
      <c r="G41" s="195">
        <v>0</v>
      </c>
      <c r="H41" s="195">
        <v>0</v>
      </c>
      <c r="I41" s="195">
        <v>20</v>
      </c>
      <c r="J41" s="195">
        <v>34</v>
      </c>
      <c r="K41" s="195">
        <v>0</v>
      </c>
      <c r="L41" s="195">
        <v>33</v>
      </c>
      <c r="M41" s="195">
        <v>33</v>
      </c>
      <c r="N41" s="195">
        <v>0</v>
      </c>
      <c r="O41" s="188">
        <v>0</v>
      </c>
      <c r="P41" s="188">
        <v>0</v>
      </c>
      <c r="Q41" s="188">
        <v>5</v>
      </c>
      <c r="R41" s="188">
        <v>0</v>
      </c>
      <c r="S41" s="188">
        <v>0</v>
      </c>
      <c r="T41" s="188">
        <v>0</v>
      </c>
      <c r="U41" s="188">
        <v>11</v>
      </c>
      <c r="V41" s="188">
        <v>0</v>
      </c>
    </row>
    <row r="42" spans="1:22">
      <c r="A42" s="1223"/>
      <c r="B42" s="186" t="s">
        <v>65</v>
      </c>
      <c r="C42" s="195">
        <v>130</v>
      </c>
      <c r="D42" s="195">
        <v>0</v>
      </c>
      <c r="E42" s="195">
        <v>0</v>
      </c>
      <c r="F42" s="195">
        <v>0</v>
      </c>
      <c r="G42" s="195">
        <v>0</v>
      </c>
      <c r="H42" s="195">
        <v>0</v>
      </c>
      <c r="I42" s="195">
        <v>20</v>
      </c>
      <c r="J42" s="195">
        <v>36</v>
      </c>
      <c r="K42" s="195">
        <v>0</v>
      </c>
      <c r="L42" s="195">
        <v>35</v>
      </c>
      <c r="M42" s="195">
        <v>35</v>
      </c>
      <c r="N42" s="195">
        <v>0</v>
      </c>
      <c r="O42" s="188">
        <v>0</v>
      </c>
      <c r="P42" s="188">
        <v>0</v>
      </c>
      <c r="Q42" s="188">
        <v>4</v>
      </c>
      <c r="R42" s="188">
        <v>0</v>
      </c>
      <c r="S42" s="188">
        <v>0</v>
      </c>
      <c r="T42" s="188">
        <v>0</v>
      </c>
      <c r="U42" s="188">
        <v>0</v>
      </c>
      <c r="V42" s="188">
        <v>0</v>
      </c>
    </row>
    <row r="43" spans="1:22">
      <c r="A43" s="1223"/>
      <c r="B43" s="186" t="s">
        <v>66</v>
      </c>
      <c r="C43" s="195">
        <v>140</v>
      </c>
      <c r="D43" s="195">
        <v>0</v>
      </c>
      <c r="E43" s="195">
        <v>0</v>
      </c>
      <c r="F43" s="195">
        <v>0</v>
      </c>
      <c r="G43" s="195">
        <v>0</v>
      </c>
      <c r="H43" s="195">
        <v>0</v>
      </c>
      <c r="I43" s="195">
        <v>20</v>
      </c>
      <c r="J43" s="195">
        <v>34</v>
      </c>
      <c r="K43" s="195">
        <v>0</v>
      </c>
      <c r="L43" s="195">
        <v>33</v>
      </c>
      <c r="M43" s="195">
        <v>33</v>
      </c>
      <c r="N43" s="195">
        <v>0</v>
      </c>
      <c r="O43" s="188">
        <v>0</v>
      </c>
      <c r="P43" s="188">
        <v>0</v>
      </c>
      <c r="Q43" s="188">
        <v>5</v>
      </c>
      <c r="R43" s="188">
        <v>0</v>
      </c>
      <c r="S43" s="188">
        <v>0</v>
      </c>
      <c r="T43" s="188">
        <v>0</v>
      </c>
      <c r="U43" s="188">
        <v>2</v>
      </c>
      <c r="V43" s="188">
        <v>0</v>
      </c>
    </row>
    <row r="44" spans="1:22">
      <c r="A44" s="1223"/>
      <c r="B44" s="186" t="s">
        <v>67</v>
      </c>
      <c r="C44" s="195">
        <v>150</v>
      </c>
      <c r="D44" s="195">
        <v>0</v>
      </c>
      <c r="E44" s="195">
        <v>0</v>
      </c>
      <c r="F44" s="195">
        <v>0</v>
      </c>
      <c r="G44" s="195">
        <v>0</v>
      </c>
      <c r="H44" s="195">
        <v>0</v>
      </c>
      <c r="I44" s="195">
        <v>20</v>
      </c>
      <c r="J44" s="195">
        <v>38</v>
      </c>
      <c r="K44" s="195">
        <v>0</v>
      </c>
      <c r="L44" s="195">
        <v>37</v>
      </c>
      <c r="M44" s="195">
        <v>36</v>
      </c>
      <c r="N44" s="195">
        <v>0</v>
      </c>
      <c r="O44" s="188">
        <v>0</v>
      </c>
      <c r="P44" s="188">
        <v>0</v>
      </c>
      <c r="Q44" s="188">
        <v>5</v>
      </c>
      <c r="R44" s="188">
        <v>0</v>
      </c>
      <c r="S44" s="188">
        <v>0</v>
      </c>
      <c r="T44" s="188">
        <v>0</v>
      </c>
      <c r="U44" s="188">
        <v>1</v>
      </c>
      <c r="V44" s="188">
        <v>0</v>
      </c>
    </row>
    <row r="45" spans="1:22">
      <c r="A45" s="1223"/>
      <c r="B45" s="186" t="s">
        <v>68</v>
      </c>
      <c r="C45" s="195">
        <v>130</v>
      </c>
      <c r="D45" s="195">
        <v>0</v>
      </c>
      <c r="E45" s="195">
        <v>0</v>
      </c>
      <c r="F45" s="195">
        <v>0</v>
      </c>
      <c r="G45" s="195">
        <v>0</v>
      </c>
      <c r="H45" s="195">
        <v>0</v>
      </c>
      <c r="I45" s="195">
        <v>20</v>
      </c>
      <c r="J45" s="195">
        <v>33</v>
      </c>
      <c r="K45" s="195">
        <v>0</v>
      </c>
      <c r="L45" s="195">
        <v>31</v>
      </c>
      <c r="M45" s="195">
        <v>31</v>
      </c>
      <c r="N45" s="195">
        <v>0</v>
      </c>
      <c r="O45" s="260">
        <v>0</v>
      </c>
      <c r="P45" s="260">
        <v>0</v>
      </c>
      <c r="Q45" s="260">
        <v>6</v>
      </c>
      <c r="R45" s="260">
        <v>0</v>
      </c>
      <c r="S45" s="260">
        <v>0</v>
      </c>
      <c r="T45" s="260">
        <v>0</v>
      </c>
      <c r="U45" s="260">
        <v>14</v>
      </c>
      <c r="V45" s="260">
        <v>0</v>
      </c>
    </row>
    <row r="46" spans="1:22">
      <c r="A46" s="1223"/>
      <c r="B46" s="186" t="s">
        <v>69</v>
      </c>
      <c r="C46" s="195">
        <v>150</v>
      </c>
      <c r="D46" s="195">
        <v>0</v>
      </c>
      <c r="E46" s="195">
        <v>0</v>
      </c>
      <c r="F46" s="195">
        <v>0</v>
      </c>
      <c r="G46" s="195">
        <v>0</v>
      </c>
      <c r="H46" s="195">
        <v>0</v>
      </c>
      <c r="I46" s="195">
        <v>25</v>
      </c>
      <c r="J46" s="195">
        <v>37</v>
      </c>
      <c r="K46" s="195">
        <v>0</v>
      </c>
      <c r="L46" s="195">
        <v>36</v>
      </c>
      <c r="M46" s="195">
        <v>34</v>
      </c>
      <c r="N46" s="195">
        <v>0</v>
      </c>
      <c r="O46" s="195">
        <v>0</v>
      </c>
      <c r="P46" s="195">
        <v>0</v>
      </c>
      <c r="Q46" s="195">
        <v>6.0481999999999996</v>
      </c>
      <c r="R46" s="195">
        <v>0</v>
      </c>
      <c r="S46" s="195">
        <v>5.4702000000000001E-2</v>
      </c>
      <c r="T46" s="195">
        <v>0</v>
      </c>
      <c r="U46" s="195">
        <v>10</v>
      </c>
      <c r="V46" s="195">
        <v>0</v>
      </c>
    </row>
    <row r="47" spans="1:22" s="248" customFormat="1">
      <c r="A47" s="1223"/>
      <c r="B47" s="186" t="s">
        <v>71</v>
      </c>
      <c r="C47" s="195">
        <v>140</v>
      </c>
      <c r="D47" s="195">
        <v>0</v>
      </c>
      <c r="E47" s="195">
        <v>0</v>
      </c>
      <c r="F47" s="195">
        <v>0</v>
      </c>
      <c r="G47" s="195">
        <v>0</v>
      </c>
      <c r="H47" s="195">
        <v>0</v>
      </c>
      <c r="I47" s="195">
        <v>20</v>
      </c>
      <c r="J47" s="195">
        <v>35</v>
      </c>
      <c r="K47" s="195">
        <v>0</v>
      </c>
      <c r="L47" s="195">
        <v>34</v>
      </c>
      <c r="M47" s="195">
        <v>33</v>
      </c>
      <c r="N47" s="195">
        <v>0</v>
      </c>
      <c r="O47" s="188">
        <v>0</v>
      </c>
      <c r="P47" s="188">
        <v>0</v>
      </c>
      <c r="Q47" s="188">
        <v>5</v>
      </c>
      <c r="R47" s="188">
        <v>0</v>
      </c>
      <c r="S47" s="188">
        <v>0</v>
      </c>
      <c r="T47" s="188">
        <v>0</v>
      </c>
      <c r="U47" s="188">
        <v>9</v>
      </c>
      <c r="V47" s="188">
        <v>0</v>
      </c>
    </row>
    <row r="48" spans="1:22" s="248" customFormat="1">
      <c r="A48" s="1223"/>
      <c r="B48" s="186" t="s">
        <v>73</v>
      </c>
      <c r="C48" s="195">
        <v>160</v>
      </c>
      <c r="D48" s="195">
        <v>5</v>
      </c>
      <c r="E48" s="195">
        <v>0</v>
      </c>
      <c r="F48" s="195">
        <v>0</v>
      </c>
      <c r="G48" s="195">
        <v>0</v>
      </c>
      <c r="H48" s="195">
        <v>0</v>
      </c>
      <c r="I48" s="195">
        <v>20</v>
      </c>
      <c r="J48" s="195">
        <v>39</v>
      </c>
      <c r="K48" s="195">
        <v>0</v>
      </c>
      <c r="L48" s="195">
        <v>38</v>
      </c>
      <c r="M48" s="195">
        <v>36</v>
      </c>
      <c r="N48" s="195">
        <v>0</v>
      </c>
      <c r="O48" s="195">
        <v>0</v>
      </c>
      <c r="P48" s="195">
        <v>0</v>
      </c>
      <c r="Q48" s="195">
        <v>4</v>
      </c>
      <c r="R48" s="195">
        <v>0</v>
      </c>
      <c r="S48" s="195">
        <v>0</v>
      </c>
      <c r="T48" s="195">
        <v>0</v>
      </c>
      <c r="U48" s="195">
        <v>3</v>
      </c>
      <c r="V48" s="195">
        <v>0</v>
      </c>
    </row>
    <row r="49" spans="1:22" s="223" customFormat="1">
      <c r="A49" s="1223"/>
      <c r="B49" s="186" t="s">
        <v>72</v>
      </c>
      <c r="C49" s="195">
        <v>160</v>
      </c>
      <c r="D49" s="195">
        <v>0</v>
      </c>
      <c r="E49" s="195">
        <v>0</v>
      </c>
      <c r="F49" s="195">
        <v>0</v>
      </c>
      <c r="G49" s="195">
        <v>0</v>
      </c>
      <c r="H49" s="195">
        <v>0</v>
      </c>
      <c r="I49" s="195">
        <v>35</v>
      </c>
      <c r="J49" s="195">
        <v>41</v>
      </c>
      <c r="K49" s="195">
        <v>0</v>
      </c>
      <c r="L49" s="195">
        <v>40</v>
      </c>
      <c r="M49" s="195">
        <v>40</v>
      </c>
      <c r="N49" s="195">
        <v>0</v>
      </c>
      <c r="O49" s="188">
        <v>0</v>
      </c>
      <c r="P49" s="188">
        <v>0</v>
      </c>
      <c r="Q49" s="188">
        <v>4</v>
      </c>
      <c r="R49" s="188">
        <v>0</v>
      </c>
      <c r="S49" s="188">
        <v>0</v>
      </c>
      <c r="T49" s="188">
        <v>0</v>
      </c>
      <c r="U49" s="188">
        <v>1</v>
      </c>
      <c r="V49" s="188">
        <v>0</v>
      </c>
    </row>
    <row r="50" spans="1:22" s="248" customFormat="1" ht="15" customHeight="1">
      <c r="A50" s="1223"/>
      <c r="B50" s="186" t="s">
        <v>74</v>
      </c>
      <c r="C50" s="195">
        <v>130</v>
      </c>
      <c r="D50" s="195">
        <v>0</v>
      </c>
      <c r="E50" s="195">
        <v>0</v>
      </c>
      <c r="F50" s="195">
        <v>0</v>
      </c>
      <c r="G50" s="195">
        <v>0</v>
      </c>
      <c r="H50" s="195">
        <v>0</v>
      </c>
      <c r="I50" s="195">
        <v>20</v>
      </c>
      <c r="J50" s="195">
        <v>35</v>
      </c>
      <c r="K50" s="195">
        <v>0</v>
      </c>
      <c r="L50" s="195">
        <v>34</v>
      </c>
      <c r="M50" s="195">
        <v>32</v>
      </c>
      <c r="N50" s="195">
        <v>0</v>
      </c>
      <c r="O50" s="188">
        <v>0</v>
      </c>
      <c r="P50" s="188">
        <v>0</v>
      </c>
      <c r="Q50" s="188">
        <v>5</v>
      </c>
      <c r="R50" s="188">
        <v>0</v>
      </c>
      <c r="S50" s="188">
        <v>0</v>
      </c>
      <c r="T50" s="188">
        <v>0</v>
      </c>
      <c r="U50" s="188">
        <v>0</v>
      </c>
      <c r="V50" s="188">
        <v>0</v>
      </c>
    </row>
    <row r="51" spans="1:22" s="248" customFormat="1">
      <c r="A51" s="1223"/>
      <c r="B51" s="186" t="s">
        <v>75</v>
      </c>
      <c r="C51" s="195">
        <v>130</v>
      </c>
      <c r="D51" s="195">
        <v>0</v>
      </c>
      <c r="E51" s="195">
        <v>0</v>
      </c>
      <c r="F51" s="195">
        <v>0</v>
      </c>
      <c r="G51" s="195">
        <v>0</v>
      </c>
      <c r="H51" s="195">
        <v>0</v>
      </c>
      <c r="I51" s="195">
        <v>20</v>
      </c>
      <c r="J51" s="195">
        <v>33</v>
      </c>
      <c r="K51" s="195">
        <v>0</v>
      </c>
      <c r="L51" s="195">
        <v>32</v>
      </c>
      <c r="M51" s="195">
        <v>32</v>
      </c>
      <c r="N51" s="195">
        <v>0</v>
      </c>
      <c r="O51" s="188">
        <v>0</v>
      </c>
      <c r="P51" s="188">
        <v>0</v>
      </c>
      <c r="Q51" s="188">
        <v>4</v>
      </c>
      <c r="R51" s="188">
        <v>0</v>
      </c>
      <c r="S51" s="188">
        <v>0</v>
      </c>
      <c r="T51" s="188">
        <v>0</v>
      </c>
      <c r="U51" s="188">
        <v>10</v>
      </c>
      <c r="V51" s="188">
        <v>0</v>
      </c>
    </row>
    <row r="52" spans="1:22" s="248" customFormat="1">
      <c r="A52" s="1223"/>
      <c r="B52" s="186" t="s">
        <v>76</v>
      </c>
      <c r="C52" s="195">
        <v>150</v>
      </c>
      <c r="D52" s="195">
        <v>0</v>
      </c>
      <c r="E52" s="195">
        <v>0</v>
      </c>
      <c r="F52" s="195">
        <v>0</v>
      </c>
      <c r="G52" s="195">
        <v>0</v>
      </c>
      <c r="H52" s="195">
        <v>0</v>
      </c>
      <c r="I52" s="195">
        <v>20</v>
      </c>
      <c r="J52" s="195">
        <v>38</v>
      </c>
      <c r="K52" s="195">
        <v>0</v>
      </c>
      <c r="L52" s="195">
        <v>37</v>
      </c>
      <c r="M52" s="195">
        <v>37</v>
      </c>
      <c r="N52" s="195">
        <v>0</v>
      </c>
      <c r="O52" s="195">
        <v>0</v>
      </c>
      <c r="P52" s="195">
        <v>0</v>
      </c>
      <c r="Q52" s="195">
        <v>4</v>
      </c>
      <c r="R52" s="195">
        <v>0</v>
      </c>
      <c r="S52" s="195">
        <v>0</v>
      </c>
      <c r="T52" s="195">
        <v>0</v>
      </c>
      <c r="U52" s="195">
        <v>5</v>
      </c>
      <c r="V52" s="195">
        <v>0</v>
      </c>
    </row>
    <row r="53" spans="1:22" s="248" customFormat="1">
      <c r="A53" s="1223"/>
      <c r="B53" s="186" t="s">
        <v>77</v>
      </c>
      <c r="C53" s="195">
        <v>150</v>
      </c>
      <c r="D53" s="195">
        <v>0</v>
      </c>
      <c r="E53" s="195">
        <v>0</v>
      </c>
      <c r="F53" s="195">
        <v>0</v>
      </c>
      <c r="G53" s="195">
        <v>0</v>
      </c>
      <c r="H53" s="195">
        <v>0</v>
      </c>
      <c r="I53" s="195">
        <v>20</v>
      </c>
      <c r="J53" s="195">
        <v>38</v>
      </c>
      <c r="K53" s="195">
        <v>0</v>
      </c>
      <c r="L53" s="195">
        <v>36</v>
      </c>
      <c r="M53" s="195">
        <v>36</v>
      </c>
      <c r="N53" s="195">
        <v>0</v>
      </c>
      <c r="O53" s="188">
        <v>0</v>
      </c>
      <c r="P53" s="188">
        <v>0</v>
      </c>
      <c r="Q53" s="188">
        <v>6</v>
      </c>
      <c r="R53" s="188">
        <v>0</v>
      </c>
      <c r="S53" s="188">
        <v>0</v>
      </c>
      <c r="T53" s="188">
        <v>0</v>
      </c>
      <c r="U53" s="188">
        <v>6</v>
      </c>
      <c r="V53" s="188">
        <v>0</v>
      </c>
    </row>
    <row r="54" spans="1:22" s="248" customFormat="1">
      <c r="A54" s="1223"/>
      <c r="B54" s="186" t="s">
        <v>78</v>
      </c>
      <c r="C54" s="188">
        <v>160</v>
      </c>
      <c r="D54" s="188">
        <v>0</v>
      </c>
      <c r="E54" s="188">
        <v>0</v>
      </c>
      <c r="F54" s="188">
        <v>0</v>
      </c>
      <c r="G54" s="188">
        <v>0</v>
      </c>
      <c r="H54" s="188">
        <v>0</v>
      </c>
      <c r="I54" s="188">
        <v>20</v>
      </c>
      <c r="J54" s="188">
        <v>38</v>
      </c>
      <c r="K54" s="188">
        <v>0</v>
      </c>
      <c r="L54" s="188">
        <v>35</v>
      </c>
      <c r="M54" s="188">
        <v>34</v>
      </c>
      <c r="N54" s="188">
        <v>0</v>
      </c>
      <c r="O54" s="188">
        <v>0</v>
      </c>
      <c r="P54" s="188">
        <v>0</v>
      </c>
      <c r="Q54" s="188">
        <v>8</v>
      </c>
      <c r="R54" s="188">
        <v>0</v>
      </c>
      <c r="S54" s="188">
        <v>0</v>
      </c>
      <c r="T54" s="188">
        <v>0</v>
      </c>
      <c r="U54" s="188">
        <v>13</v>
      </c>
      <c r="V54" s="188">
        <v>0</v>
      </c>
    </row>
    <row r="55" spans="1:22" s="248" customFormat="1">
      <c r="A55" s="1223"/>
      <c r="B55" s="186" t="s">
        <v>180</v>
      </c>
      <c r="C55" s="188">
        <v>140</v>
      </c>
      <c r="D55" s="188">
        <v>0</v>
      </c>
      <c r="E55" s="188">
        <v>0</v>
      </c>
      <c r="F55" s="188">
        <v>0</v>
      </c>
      <c r="G55" s="188">
        <v>0</v>
      </c>
      <c r="H55" s="188">
        <v>0</v>
      </c>
      <c r="I55" s="188">
        <v>65</v>
      </c>
      <c r="J55" s="188">
        <v>36</v>
      </c>
      <c r="K55" s="188">
        <v>0</v>
      </c>
      <c r="L55" s="188">
        <v>33</v>
      </c>
      <c r="M55" s="188">
        <v>33</v>
      </c>
      <c r="N55" s="188">
        <v>0</v>
      </c>
      <c r="O55" s="188">
        <v>0</v>
      </c>
      <c r="P55" s="188">
        <v>0</v>
      </c>
      <c r="Q55" s="188">
        <v>5</v>
      </c>
      <c r="R55" s="188">
        <v>0</v>
      </c>
      <c r="S55" s="188">
        <v>0</v>
      </c>
      <c r="T55" s="188">
        <v>0</v>
      </c>
      <c r="U55" s="188">
        <v>12</v>
      </c>
      <c r="V55" s="188">
        <v>0</v>
      </c>
    </row>
    <row r="56" spans="1:22" s="248" customFormat="1" ht="16.3" thickBot="1">
      <c r="A56" s="1224"/>
      <c r="B56" s="186" t="s">
        <v>315</v>
      </c>
      <c r="C56" s="188">
        <v>100</v>
      </c>
      <c r="D56" s="188">
        <v>0</v>
      </c>
      <c r="E56" s="188">
        <v>0</v>
      </c>
      <c r="F56" s="188">
        <v>0</v>
      </c>
      <c r="G56" s="188">
        <v>0</v>
      </c>
      <c r="H56" s="188">
        <v>0</v>
      </c>
      <c r="I56" s="188">
        <v>20</v>
      </c>
      <c r="J56" s="188">
        <v>28</v>
      </c>
      <c r="K56" s="188">
        <v>0</v>
      </c>
      <c r="L56" s="188">
        <v>26</v>
      </c>
      <c r="M56" s="188">
        <v>26</v>
      </c>
      <c r="N56" s="188">
        <v>0</v>
      </c>
      <c r="O56" s="188">
        <v>0</v>
      </c>
      <c r="P56" s="188">
        <v>0</v>
      </c>
      <c r="Q56" s="188">
        <v>5</v>
      </c>
      <c r="R56" s="188">
        <v>0</v>
      </c>
      <c r="S56" s="188">
        <v>0</v>
      </c>
      <c r="T56" s="188">
        <v>0</v>
      </c>
      <c r="U56" s="188">
        <v>6</v>
      </c>
      <c r="V56" s="188">
        <v>0</v>
      </c>
    </row>
    <row r="57" spans="1:22" s="248" customFormat="1">
      <c r="A57" s="1219" t="s">
        <v>79</v>
      </c>
      <c r="B57" s="186" t="s">
        <v>80</v>
      </c>
      <c r="C57" s="195">
        <v>150</v>
      </c>
      <c r="D57" s="195">
        <v>0</v>
      </c>
      <c r="E57" s="195">
        <v>0</v>
      </c>
      <c r="F57" s="195">
        <v>0</v>
      </c>
      <c r="G57" s="195">
        <v>0</v>
      </c>
      <c r="H57" s="195">
        <v>0</v>
      </c>
      <c r="I57" s="195">
        <v>5</v>
      </c>
      <c r="J57" s="195">
        <v>29</v>
      </c>
      <c r="K57" s="195">
        <v>1</v>
      </c>
      <c r="L57" s="195">
        <v>28</v>
      </c>
      <c r="M57" s="195">
        <v>26</v>
      </c>
      <c r="N57" s="195">
        <v>0</v>
      </c>
      <c r="O57" s="188">
        <v>0</v>
      </c>
      <c r="P57" s="188">
        <v>0</v>
      </c>
      <c r="Q57" s="188">
        <v>12</v>
      </c>
      <c r="R57" s="188">
        <v>0</v>
      </c>
      <c r="S57" s="188">
        <v>0</v>
      </c>
      <c r="T57" s="188">
        <v>0</v>
      </c>
      <c r="U57" s="188">
        <v>106</v>
      </c>
      <c r="V57" s="188">
        <v>2</v>
      </c>
    </row>
    <row r="58" spans="1:22">
      <c r="A58" s="1220"/>
      <c r="B58" s="186" t="s">
        <v>82</v>
      </c>
      <c r="C58" s="195">
        <v>120</v>
      </c>
      <c r="D58" s="195">
        <v>0</v>
      </c>
      <c r="E58" s="195">
        <v>0</v>
      </c>
      <c r="F58" s="195">
        <v>0</v>
      </c>
      <c r="G58" s="195">
        <v>0</v>
      </c>
      <c r="H58" s="195">
        <v>0</v>
      </c>
      <c r="I58" s="195">
        <v>5</v>
      </c>
      <c r="J58" s="195">
        <v>30</v>
      </c>
      <c r="K58" s="195">
        <v>0</v>
      </c>
      <c r="L58" s="195">
        <v>28</v>
      </c>
      <c r="M58" s="195">
        <v>28</v>
      </c>
      <c r="N58" s="195">
        <v>0</v>
      </c>
      <c r="O58" s="195">
        <v>0</v>
      </c>
      <c r="P58" s="195">
        <v>0</v>
      </c>
      <c r="Q58" s="195">
        <v>6</v>
      </c>
      <c r="R58" s="195">
        <v>0</v>
      </c>
      <c r="S58" s="195">
        <v>0</v>
      </c>
      <c r="T58" s="195">
        <v>0</v>
      </c>
      <c r="U58" s="195">
        <v>5</v>
      </c>
      <c r="V58" s="195">
        <v>0</v>
      </c>
    </row>
    <row r="59" spans="1:22">
      <c r="A59" s="1220"/>
      <c r="B59" s="186" t="s">
        <v>83</v>
      </c>
      <c r="C59" s="188">
        <v>110</v>
      </c>
      <c r="D59" s="188">
        <v>0</v>
      </c>
      <c r="E59" s="188">
        <v>0</v>
      </c>
      <c r="F59" s="188">
        <v>0</v>
      </c>
      <c r="G59" s="188">
        <v>0</v>
      </c>
      <c r="H59" s="188">
        <v>0</v>
      </c>
      <c r="I59" s="188">
        <v>5</v>
      </c>
      <c r="J59" s="188">
        <v>30</v>
      </c>
      <c r="K59" s="188">
        <v>0</v>
      </c>
      <c r="L59" s="188">
        <v>28</v>
      </c>
      <c r="M59" s="188">
        <v>27</v>
      </c>
      <c r="N59" s="188">
        <v>0</v>
      </c>
      <c r="O59" s="188">
        <v>0</v>
      </c>
      <c r="P59" s="188">
        <v>0</v>
      </c>
      <c r="Q59" s="188">
        <v>7</v>
      </c>
      <c r="R59" s="188">
        <v>0</v>
      </c>
      <c r="S59" s="188">
        <v>0</v>
      </c>
      <c r="T59" s="188">
        <v>0</v>
      </c>
      <c r="U59" s="188">
        <v>11</v>
      </c>
      <c r="V59" s="188">
        <v>0</v>
      </c>
    </row>
    <row r="60" spans="1:22">
      <c r="A60" s="1220"/>
      <c r="B60" s="186" t="s">
        <v>84</v>
      </c>
      <c r="C60" s="195">
        <v>140</v>
      </c>
      <c r="D60" s="195">
        <v>0</v>
      </c>
      <c r="E60" s="195">
        <v>0</v>
      </c>
      <c r="F60" s="195">
        <v>0</v>
      </c>
      <c r="G60" s="195">
        <v>0</v>
      </c>
      <c r="H60" s="195">
        <v>0</v>
      </c>
      <c r="I60" s="195">
        <v>5</v>
      </c>
      <c r="J60" s="195">
        <v>28</v>
      </c>
      <c r="K60" s="195">
        <v>1</v>
      </c>
      <c r="L60" s="195">
        <v>26</v>
      </c>
      <c r="M60" s="195">
        <v>25</v>
      </c>
      <c r="N60" s="195">
        <v>0</v>
      </c>
      <c r="O60" s="195">
        <v>0</v>
      </c>
      <c r="P60" s="195">
        <v>0</v>
      </c>
      <c r="Q60" s="195">
        <v>14</v>
      </c>
      <c r="R60" s="195">
        <v>2</v>
      </c>
      <c r="S60" s="195">
        <v>0</v>
      </c>
      <c r="T60" s="195">
        <v>0</v>
      </c>
      <c r="U60" s="195">
        <v>82</v>
      </c>
      <c r="V60" s="195">
        <v>2</v>
      </c>
    </row>
    <row r="61" spans="1:22">
      <c r="A61" s="1220"/>
      <c r="B61" s="186" t="s">
        <v>85</v>
      </c>
      <c r="C61" s="195">
        <v>120</v>
      </c>
      <c r="D61" s="195">
        <v>0</v>
      </c>
      <c r="E61" s="195">
        <v>0</v>
      </c>
      <c r="F61" s="195">
        <v>0</v>
      </c>
      <c r="G61" s="195">
        <v>0</v>
      </c>
      <c r="H61" s="195">
        <v>0</v>
      </c>
      <c r="I61" s="195">
        <v>5</v>
      </c>
      <c r="J61" s="195">
        <v>30</v>
      </c>
      <c r="K61" s="195">
        <v>0</v>
      </c>
      <c r="L61" s="195">
        <v>28</v>
      </c>
      <c r="M61" s="195">
        <v>26</v>
      </c>
      <c r="N61" s="195">
        <v>0</v>
      </c>
      <c r="O61" s="188">
        <v>0</v>
      </c>
      <c r="P61" s="188">
        <v>0</v>
      </c>
      <c r="Q61" s="188">
        <v>9</v>
      </c>
      <c r="R61" s="188">
        <v>0</v>
      </c>
      <c r="S61" s="188">
        <v>0</v>
      </c>
      <c r="T61" s="188">
        <v>0</v>
      </c>
      <c r="U61" s="188">
        <v>49</v>
      </c>
      <c r="V61" s="188">
        <v>2</v>
      </c>
    </row>
    <row r="62" spans="1:22">
      <c r="A62" s="1220"/>
      <c r="B62" s="186" t="s">
        <v>88</v>
      </c>
      <c r="C62" s="195">
        <v>130</v>
      </c>
      <c r="D62" s="195">
        <v>0</v>
      </c>
      <c r="E62" s="195">
        <v>0</v>
      </c>
      <c r="F62" s="195">
        <v>0</v>
      </c>
      <c r="G62" s="195">
        <v>0</v>
      </c>
      <c r="H62" s="195">
        <v>0</v>
      </c>
      <c r="I62" s="195">
        <v>5</v>
      </c>
      <c r="J62" s="195">
        <v>31</v>
      </c>
      <c r="K62" s="195">
        <v>0</v>
      </c>
      <c r="L62" s="195">
        <v>30</v>
      </c>
      <c r="M62" s="195">
        <v>27</v>
      </c>
      <c r="N62" s="195">
        <v>0</v>
      </c>
      <c r="O62" s="188">
        <v>0</v>
      </c>
      <c r="P62" s="188">
        <v>0</v>
      </c>
      <c r="Q62" s="188">
        <v>8</v>
      </c>
      <c r="R62" s="188">
        <v>0</v>
      </c>
      <c r="S62" s="188">
        <v>0</v>
      </c>
      <c r="T62" s="188">
        <v>0</v>
      </c>
      <c r="U62" s="188">
        <v>28</v>
      </c>
      <c r="V62" s="188">
        <v>0</v>
      </c>
    </row>
    <row r="63" spans="1:22">
      <c r="A63" s="1220"/>
      <c r="B63" s="186" t="s">
        <v>89</v>
      </c>
      <c r="C63" s="195">
        <v>160</v>
      </c>
      <c r="D63" s="195">
        <v>0</v>
      </c>
      <c r="E63" s="195">
        <v>0</v>
      </c>
      <c r="F63" s="195">
        <v>0</v>
      </c>
      <c r="G63" s="195">
        <v>0</v>
      </c>
      <c r="H63" s="195">
        <v>0</v>
      </c>
      <c r="I63" s="195">
        <v>5</v>
      </c>
      <c r="J63" s="195">
        <v>25</v>
      </c>
      <c r="K63" s="195">
        <v>2</v>
      </c>
      <c r="L63" s="195">
        <v>23</v>
      </c>
      <c r="M63" s="195">
        <v>23</v>
      </c>
      <c r="N63" s="195">
        <v>0</v>
      </c>
      <c r="O63" s="188">
        <v>0</v>
      </c>
      <c r="P63" s="188">
        <v>0</v>
      </c>
      <c r="Q63" s="188">
        <v>19</v>
      </c>
      <c r="R63" s="188">
        <v>2</v>
      </c>
      <c r="S63" s="188">
        <v>0</v>
      </c>
      <c r="T63" s="188">
        <v>0</v>
      </c>
      <c r="U63" s="188">
        <v>146</v>
      </c>
      <c r="V63" s="188">
        <v>4</v>
      </c>
    </row>
    <row r="64" spans="1:22">
      <c r="A64" s="1220"/>
      <c r="B64" s="186" t="s">
        <v>90</v>
      </c>
      <c r="C64" s="188">
        <v>140</v>
      </c>
      <c r="D64" s="188">
        <v>0</v>
      </c>
      <c r="E64" s="188">
        <v>0</v>
      </c>
      <c r="F64" s="188">
        <v>0</v>
      </c>
      <c r="G64" s="188">
        <v>0</v>
      </c>
      <c r="H64" s="188">
        <v>0</v>
      </c>
      <c r="I64" s="188">
        <v>5</v>
      </c>
      <c r="J64" s="188">
        <v>26</v>
      </c>
      <c r="K64" s="188">
        <v>1</v>
      </c>
      <c r="L64" s="188">
        <v>25</v>
      </c>
      <c r="M64" s="188">
        <v>23</v>
      </c>
      <c r="N64" s="188">
        <v>0</v>
      </c>
      <c r="O64" s="188">
        <v>0</v>
      </c>
      <c r="P64" s="188">
        <v>0</v>
      </c>
      <c r="Q64" s="188">
        <v>13</v>
      </c>
      <c r="R64" s="188">
        <v>2</v>
      </c>
      <c r="S64" s="188">
        <v>0</v>
      </c>
      <c r="T64" s="188">
        <v>0</v>
      </c>
      <c r="U64" s="188">
        <v>98</v>
      </c>
      <c r="V64" s="188">
        <v>2</v>
      </c>
    </row>
    <row r="65" spans="1:22" s="212" customFormat="1">
      <c r="A65" s="1220"/>
      <c r="B65" s="186" t="s">
        <v>91</v>
      </c>
      <c r="C65" s="188">
        <v>120</v>
      </c>
      <c r="D65" s="188">
        <v>0</v>
      </c>
      <c r="E65" s="188">
        <v>0</v>
      </c>
      <c r="F65" s="188">
        <v>0</v>
      </c>
      <c r="G65" s="188">
        <v>0</v>
      </c>
      <c r="H65" s="188">
        <v>0</v>
      </c>
      <c r="I65" s="188">
        <v>5</v>
      </c>
      <c r="J65" s="188">
        <v>24</v>
      </c>
      <c r="K65" s="188">
        <v>1</v>
      </c>
      <c r="L65" s="188">
        <v>23</v>
      </c>
      <c r="M65" s="188">
        <v>22</v>
      </c>
      <c r="N65" s="188">
        <v>0</v>
      </c>
      <c r="O65" s="188">
        <v>0</v>
      </c>
      <c r="P65" s="188">
        <v>0</v>
      </c>
      <c r="Q65" s="188">
        <v>13</v>
      </c>
      <c r="R65" s="188">
        <v>2</v>
      </c>
      <c r="S65" s="188">
        <v>0</v>
      </c>
      <c r="T65" s="188">
        <v>0</v>
      </c>
      <c r="U65" s="188">
        <v>91</v>
      </c>
      <c r="V65" s="188">
        <v>2</v>
      </c>
    </row>
    <row r="66" spans="1:22" s="212" customFormat="1" ht="16.3" thickBot="1">
      <c r="A66" s="1221"/>
      <c r="B66" s="186" t="s">
        <v>181</v>
      </c>
      <c r="C66" s="188">
        <v>120</v>
      </c>
      <c r="D66" s="188">
        <v>0</v>
      </c>
      <c r="E66" s="188">
        <v>0</v>
      </c>
      <c r="F66" s="188">
        <v>0</v>
      </c>
      <c r="G66" s="188">
        <v>0</v>
      </c>
      <c r="H66" s="188">
        <v>0</v>
      </c>
      <c r="I66" s="188">
        <v>5</v>
      </c>
      <c r="J66" s="188">
        <v>30</v>
      </c>
      <c r="K66" s="188">
        <v>0</v>
      </c>
      <c r="L66" s="188">
        <v>29</v>
      </c>
      <c r="M66" s="188">
        <v>27</v>
      </c>
      <c r="N66" s="188">
        <v>0</v>
      </c>
      <c r="O66" s="188">
        <v>0</v>
      </c>
      <c r="P66" s="188">
        <v>0</v>
      </c>
      <c r="Q66" s="188">
        <v>9</v>
      </c>
      <c r="R66" s="188">
        <v>0</v>
      </c>
      <c r="S66" s="188">
        <v>0</v>
      </c>
      <c r="T66" s="188">
        <v>0</v>
      </c>
      <c r="U66" s="188">
        <v>40</v>
      </c>
      <c r="V66" s="188">
        <v>0</v>
      </c>
    </row>
    <row r="67" spans="1:22" s="212" customFormat="1">
      <c r="A67" s="1219" t="s">
        <v>92</v>
      </c>
      <c r="B67" s="186" t="s">
        <v>94</v>
      </c>
      <c r="C67" s="195">
        <v>170</v>
      </c>
      <c r="D67" s="195">
        <v>20</v>
      </c>
      <c r="E67" s="195">
        <v>2</v>
      </c>
      <c r="F67" s="195">
        <v>1.5</v>
      </c>
      <c r="G67" s="195">
        <v>0</v>
      </c>
      <c r="H67" s="195">
        <v>0</v>
      </c>
      <c r="I67" s="195">
        <v>90</v>
      </c>
      <c r="J67" s="195">
        <v>39</v>
      </c>
      <c r="K67" s="195">
        <v>0</v>
      </c>
      <c r="L67" s="195">
        <v>35</v>
      </c>
      <c r="M67" s="195">
        <v>30</v>
      </c>
      <c r="N67" s="195">
        <v>0</v>
      </c>
      <c r="O67" s="188">
        <v>0</v>
      </c>
      <c r="P67" s="188">
        <v>0</v>
      </c>
      <c r="Q67" s="188">
        <v>19</v>
      </c>
      <c r="R67" s="188">
        <v>2</v>
      </c>
      <c r="S67" s="188">
        <v>0</v>
      </c>
      <c r="T67" s="188">
        <v>0</v>
      </c>
      <c r="U67" s="188">
        <v>4</v>
      </c>
      <c r="V67" s="188">
        <v>0</v>
      </c>
    </row>
    <row r="68" spans="1:22" s="212" customFormat="1">
      <c r="A68" s="1220"/>
      <c r="B68" s="186" t="s">
        <v>93</v>
      </c>
      <c r="C68" s="195">
        <v>180</v>
      </c>
      <c r="D68" s="195">
        <v>25</v>
      </c>
      <c r="E68" s="195">
        <v>2.5</v>
      </c>
      <c r="F68" s="195">
        <v>2</v>
      </c>
      <c r="G68" s="195">
        <v>0</v>
      </c>
      <c r="H68" s="195">
        <v>0</v>
      </c>
      <c r="I68" s="195">
        <v>25</v>
      </c>
      <c r="J68" s="195">
        <v>39</v>
      </c>
      <c r="K68" s="195">
        <v>0</v>
      </c>
      <c r="L68" s="195">
        <v>37</v>
      </c>
      <c r="M68" s="195">
        <v>14</v>
      </c>
      <c r="N68" s="195">
        <v>0</v>
      </c>
      <c r="O68" s="260">
        <v>0</v>
      </c>
      <c r="P68" s="260">
        <v>0</v>
      </c>
      <c r="Q68" s="260">
        <v>7</v>
      </c>
      <c r="R68" s="260">
        <v>0</v>
      </c>
      <c r="S68" s="260">
        <v>0</v>
      </c>
      <c r="T68" s="260">
        <v>0</v>
      </c>
      <c r="U68" s="260">
        <v>4</v>
      </c>
      <c r="V68" s="260">
        <v>0</v>
      </c>
    </row>
    <row r="69" spans="1:22">
      <c r="A69" s="1220"/>
      <c r="B69" s="186" t="s">
        <v>95</v>
      </c>
      <c r="C69" s="195">
        <v>170</v>
      </c>
      <c r="D69" s="195">
        <v>15</v>
      </c>
      <c r="E69" s="195">
        <v>2</v>
      </c>
      <c r="F69" s="195">
        <v>1.5</v>
      </c>
      <c r="G69" s="195">
        <v>0</v>
      </c>
      <c r="H69" s="195">
        <v>0</v>
      </c>
      <c r="I69" s="195">
        <v>40</v>
      </c>
      <c r="J69" s="195">
        <v>38</v>
      </c>
      <c r="K69" s="195">
        <v>0</v>
      </c>
      <c r="L69" s="195">
        <v>36</v>
      </c>
      <c r="M69" s="195">
        <v>15</v>
      </c>
      <c r="N69" s="195">
        <v>0</v>
      </c>
      <c r="O69" s="188">
        <v>0</v>
      </c>
      <c r="P69" s="188">
        <v>0</v>
      </c>
      <c r="Q69" s="188">
        <v>8</v>
      </c>
      <c r="R69" s="188">
        <v>0</v>
      </c>
      <c r="S69" s="188">
        <v>0</v>
      </c>
      <c r="T69" s="188">
        <v>0</v>
      </c>
      <c r="U69" s="188">
        <v>4</v>
      </c>
      <c r="V69" s="188">
        <v>0</v>
      </c>
    </row>
    <row r="70" spans="1:22">
      <c r="A70" s="1220"/>
      <c r="B70" s="186" t="s">
        <v>182</v>
      </c>
      <c r="C70" s="195">
        <v>190</v>
      </c>
      <c r="D70" s="195">
        <v>30</v>
      </c>
      <c r="E70" s="195">
        <v>3.5</v>
      </c>
      <c r="F70" s="195">
        <v>2.5</v>
      </c>
      <c r="G70" s="195">
        <v>0</v>
      </c>
      <c r="H70" s="195">
        <v>0</v>
      </c>
      <c r="I70" s="195">
        <v>65</v>
      </c>
      <c r="J70" s="195">
        <v>40</v>
      </c>
      <c r="K70" s="195">
        <v>0</v>
      </c>
      <c r="L70" s="195">
        <v>35</v>
      </c>
      <c r="M70" s="195">
        <v>33</v>
      </c>
      <c r="N70" s="195">
        <v>1</v>
      </c>
      <c r="O70" s="188">
        <v>0</v>
      </c>
      <c r="P70" s="188">
        <v>0</v>
      </c>
      <c r="Q70" s="188">
        <v>9</v>
      </c>
      <c r="R70" s="188">
        <v>0</v>
      </c>
      <c r="S70" s="188">
        <v>0</v>
      </c>
      <c r="T70" s="188">
        <v>0</v>
      </c>
      <c r="U70" s="188">
        <v>29</v>
      </c>
      <c r="V70" s="188">
        <v>0</v>
      </c>
    </row>
    <row r="71" spans="1:22">
      <c r="A71" s="1220"/>
      <c r="B71" s="186" t="s">
        <v>97</v>
      </c>
      <c r="C71" s="195">
        <v>190</v>
      </c>
      <c r="D71" s="195">
        <v>20</v>
      </c>
      <c r="E71" s="195">
        <v>2</v>
      </c>
      <c r="F71" s="195">
        <v>1.5</v>
      </c>
      <c r="G71" s="195">
        <v>0</v>
      </c>
      <c r="H71" s="195">
        <v>0</v>
      </c>
      <c r="I71" s="195">
        <v>80</v>
      </c>
      <c r="J71" s="195">
        <v>43</v>
      </c>
      <c r="K71" s="195">
        <v>0</v>
      </c>
      <c r="L71" s="195">
        <v>39</v>
      </c>
      <c r="M71" s="195">
        <v>30</v>
      </c>
      <c r="N71" s="195">
        <v>0</v>
      </c>
      <c r="O71" s="260">
        <v>0</v>
      </c>
      <c r="P71" s="260">
        <v>0</v>
      </c>
      <c r="Q71" s="260">
        <v>6</v>
      </c>
      <c r="R71" s="260">
        <v>0</v>
      </c>
      <c r="S71" s="260">
        <v>0</v>
      </c>
      <c r="T71" s="260">
        <v>0</v>
      </c>
      <c r="U71" s="260">
        <v>15</v>
      </c>
      <c r="V71" s="260">
        <v>0</v>
      </c>
    </row>
    <row r="72" spans="1:22">
      <c r="A72" s="1220"/>
      <c r="B72" s="186" t="s">
        <v>98</v>
      </c>
      <c r="C72" s="195">
        <v>160</v>
      </c>
      <c r="D72" s="195">
        <v>15</v>
      </c>
      <c r="E72" s="195">
        <v>2</v>
      </c>
      <c r="F72" s="195">
        <v>1.5</v>
      </c>
      <c r="G72" s="195">
        <v>0</v>
      </c>
      <c r="H72" s="195">
        <v>0</v>
      </c>
      <c r="I72" s="195">
        <v>40</v>
      </c>
      <c r="J72" s="195">
        <v>37</v>
      </c>
      <c r="K72" s="195">
        <v>0</v>
      </c>
      <c r="L72" s="195">
        <v>35</v>
      </c>
      <c r="M72" s="195">
        <v>15</v>
      </c>
      <c r="N72" s="195">
        <v>0</v>
      </c>
      <c r="O72" s="188">
        <v>0</v>
      </c>
      <c r="P72" s="188">
        <v>0</v>
      </c>
      <c r="Q72" s="188">
        <v>5</v>
      </c>
      <c r="R72" s="188">
        <v>0</v>
      </c>
      <c r="S72" s="188">
        <v>0</v>
      </c>
      <c r="T72" s="188">
        <v>0</v>
      </c>
      <c r="U72" s="188">
        <v>4</v>
      </c>
      <c r="V72" s="188">
        <v>0</v>
      </c>
    </row>
    <row r="73" spans="1:22">
      <c r="A73" s="1220"/>
      <c r="B73" s="186" t="s">
        <v>100</v>
      </c>
      <c r="C73" s="195">
        <v>180</v>
      </c>
      <c r="D73" s="195">
        <v>25</v>
      </c>
      <c r="E73" s="195">
        <v>3</v>
      </c>
      <c r="F73" s="195">
        <v>2.5</v>
      </c>
      <c r="G73" s="195">
        <v>0</v>
      </c>
      <c r="H73" s="195">
        <v>0</v>
      </c>
      <c r="I73" s="195">
        <v>40</v>
      </c>
      <c r="J73" s="195">
        <v>40</v>
      </c>
      <c r="K73" s="195">
        <v>0</v>
      </c>
      <c r="L73" s="195">
        <v>38</v>
      </c>
      <c r="M73" s="195">
        <v>15</v>
      </c>
      <c r="N73" s="195">
        <v>0</v>
      </c>
      <c r="O73" s="195">
        <v>0</v>
      </c>
      <c r="P73" s="195">
        <v>0</v>
      </c>
      <c r="Q73" s="195">
        <v>12</v>
      </c>
      <c r="R73" s="195">
        <v>0</v>
      </c>
      <c r="S73" s="195">
        <v>0</v>
      </c>
      <c r="T73" s="195">
        <v>0</v>
      </c>
      <c r="U73" s="195">
        <v>20</v>
      </c>
      <c r="V73" s="195">
        <v>0</v>
      </c>
    </row>
    <row r="74" spans="1:22">
      <c r="A74" s="1220"/>
      <c r="B74" s="186" t="s">
        <v>99</v>
      </c>
      <c r="C74" s="195">
        <v>180</v>
      </c>
      <c r="D74" s="195">
        <v>30</v>
      </c>
      <c r="E74" s="195">
        <v>3</v>
      </c>
      <c r="F74" s="195">
        <v>2.5</v>
      </c>
      <c r="G74" s="195">
        <v>0</v>
      </c>
      <c r="H74" s="195">
        <v>0</v>
      </c>
      <c r="I74" s="195">
        <v>35</v>
      </c>
      <c r="J74" s="195">
        <v>39</v>
      </c>
      <c r="K74" s="195">
        <v>0</v>
      </c>
      <c r="L74" s="195">
        <v>37</v>
      </c>
      <c r="M74" s="195">
        <v>15</v>
      </c>
      <c r="N74" s="195">
        <v>1</v>
      </c>
      <c r="O74" s="188">
        <v>0</v>
      </c>
      <c r="P74" s="188">
        <v>0</v>
      </c>
      <c r="Q74" s="188">
        <v>6</v>
      </c>
      <c r="R74" s="188">
        <v>0</v>
      </c>
      <c r="S74" s="188">
        <v>0</v>
      </c>
      <c r="T74" s="188">
        <v>0</v>
      </c>
      <c r="U74" s="188">
        <v>4</v>
      </c>
      <c r="V74" s="188">
        <v>0</v>
      </c>
    </row>
    <row r="75" spans="1:22">
      <c r="A75" s="1220"/>
      <c r="B75" s="186" t="s">
        <v>101</v>
      </c>
      <c r="C75" s="195">
        <v>190</v>
      </c>
      <c r="D75" s="195">
        <v>30</v>
      </c>
      <c r="E75" s="195">
        <v>3.5</v>
      </c>
      <c r="F75" s="195">
        <v>2.5</v>
      </c>
      <c r="G75" s="195">
        <v>0</v>
      </c>
      <c r="H75" s="195">
        <v>0</v>
      </c>
      <c r="I75" s="195">
        <v>45</v>
      </c>
      <c r="J75" s="195">
        <v>39</v>
      </c>
      <c r="K75" s="195">
        <v>0</v>
      </c>
      <c r="L75" s="195">
        <v>37</v>
      </c>
      <c r="M75" s="195">
        <v>31</v>
      </c>
      <c r="N75" s="195">
        <v>1</v>
      </c>
      <c r="O75" s="188">
        <v>0</v>
      </c>
      <c r="P75" s="188">
        <v>0</v>
      </c>
      <c r="Q75" s="188">
        <v>12</v>
      </c>
      <c r="R75" s="188">
        <v>0</v>
      </c>
      <c r="S75" s="188">
        <v>1</v>
      </c>
      <c r="T75" s="188">
        <v>6</v>
      </c>
      <c r="U75" s="188">
        <v>5</v>
      </c>
      <c r="V75" s="188">
        <v>0</v>
      </c>
    </row>
    <row r="76" spans="1:22">
      <c r="A76" s="1220"/>
      <c r="B76" s="186" t="s">
        <v>102</v>
      </c>
      <c r="C76" s="195">
        <v>160</v>
      </c>
      <c r="D76" s="195">
        <v>20</v>
      </c>
      <c r="E76" s="195">
        <v>2</v>
      </c>
      <c r="F76" s="195">
        <v>2</v>
      </c>
      <c r="G76" s="195">
        <v>0</v>
      </c>
      <c r="H76" s="195">
        <v>0</v>
      </c>
      <c r="I76" s="195">
        <v>40</v>
      </c>
      <c r="J76" s="195">
        <v>36</v>
      </c>
      <c r="K76" s="195">
        <v>0</v>
      </c>
      <c r="L76" s="195">
        <v>34</v>
      </c>
      <c r="M76" s="195">
        <v>32</v>
      </c>
      <c r="N76" s="195">
        <v>0</v>
      </c>
      <c r="O76" s="188">
        <v>0</v>
      </c>
      <c r="P76" s="188">
        <v>0</v>
      </c>
      <c r="Q76" s="188">
        <v>5</v>
      </c>
      <c r="R76" s="188">
        <v>0</v>
      </c>
      <c r="S76" s="188">
        <v>0</v>
      </c>
      <c r="T76" s="188">
        <v>0</v>
      </c>
      <c r="U76" s="188">
        <v>5</v>
      </c>
      <c r="V76" s="188">
        <v>0</v>
      </c>
    </row>
    <row r="77" spans="1:22">
      <c r="A77" s="1220"/>
      <c r="B77" s="186" t="s">
        <v>104</v>
      </c>
      <c r="C77" s="195">
        <v>180</v>
      </c>
      <c r="D77" s="195">
        <v>25</v>
      </c>
      <c r="E77" s="195">
        <v>3</v>
      </c>
      <c r="F77" s="195">
        <v>2</v>
      </c>
      <c r="G77" s="195">
        <v>0</v>
      </c>
      <c r="H77" s="195">
        <v>0</v>
      </c>
      <c r="I77" s="195">
        <v>55</v>
      </c>
      <c r="J77" s="195">
        <v>38</v>
      </c>
      <c r="K77" s="195">
        <v>0</v>
      </c>
      <c r="L77" s="195">
        <v>34</v>
      </c>
      <c r="M77" s="195">
        <v>33</v>
      </c>
      <c r="N77" s="195">
        <v>0</v>
      </c>
      <c r="O77" s="260">
        <v>0</v>
      </c>
      <c r="P77" s="260">
        <v>0</v>
      </c>
      <c r="Q77" s="260">
        <v>6</v>
      </c>
      <c r="R77" s="260">
        <v>0</v>
      </c>
      <c r="S77" s="260">
        <v>0</v>
      </c>
      <c r="T77" s="260">
        <v>0</v>
      </c>
      <c r="U77" s="260">
        <v>19</v>
      </c>
      <c r="V77" s="260">
        <v>0</v>
      </c>
    </row>
    <row r="78" spans="1:22">
      <c r="A78" s="1220"/>
      <c r="B78" s="186" t="s">
        <v>103</v>
      </c>
      <c r="C78" s="195">
        <v>200</v>
      </c>
      <c r="D78" s="195">
        <v>20</v>
      </c>
      <c r="E78" s="195">
        <v>2</v>
      </c>
      <c r="F78" s="195">
        <v>1.5</v>
      </c>
      <c r="G78" s="195">
        <v>0</v>
      </c>
      <c r="H78" s="195">
        <v>0</v>
      </c>
      <c r="I78" s="195">
        <v>50</v>
      </c>
      <c r="J78" s="195">
        <v>45</v>
      </c>
      <c r="K78" s="195">
        <v>0</v>
      </c>
      <c r="L78" s="195">
        <v>43</v>
      </c>
      <c r="M78" s="195">
        <v>42</v>
      </c>
      <c r="N78" s="195">
        <v>0</v>
      </c>
      <c r="O78" s="188">
        <v>0</v>
      </c>
      <c r="P78" s="188">
        <v>0</v>
      </c>
      <c r="Q78" s="188">
        <v>4</v>
      </c>
      <c r="R78" s="188">
        <v>0</v>
      </c>
      <c r="S78" s="188">
        <v>0</v>
      </c>
      <c r="T78" s="188">
        <v>0</v>
      </c>
      <c r="U78" s="188">
        <v>11</v>
      </c>
      <c r="V78" s="188">
        <v>0</v>
      </c>
    </row>
    <row r="79" spans="1:22">
      <c r="A79" s="1220"/>
      <c r="B79" s="186" t="s">
        <v>105</v>
      </c>
      <c r="C79" s="195">
        <v>220</v>
      </c>
      <c r="D79" s="195">
        <v>25</v>
      </c>
      <c r="E79" s="195">
        <v>3</v>
      </c>
      <c r="F79" s="195">
        <v>2</v>
      </c>
      <c r="G79" s="195">
        <v>0</v>
      </c>
      <c r="H79" s="195">
        <v>0</v>
      </c>
      <c r="I79" s="195">
        <v>60</v>
      </c>
      <c r="J79" s="195">
        <v>49</v>
      </c>
      <c r="K79" s="195">
        <v>0</v>
      </c>
      <c r="L79" s="195">
        <v>43</v>
      </c>
      <c r="M79" s="195">
        <v>43</v>
      </c>
      <c r="N79" s="195">
        <v>1</v>
      </c>
      <c r="O79" s="188">
        <v>0</v>
      </c>
      <c r="P79" s="188">
        <v>0</v>
      </c>
      <c r="Q79" s="188">
        <v>9.1972799999999992</v>
      </c>
      <c r="R79" s="188">
        <v>0</v>
      </c>
      <c r="S79" s="188">
        <v>0.617622</v>
      </c>
      <c r="T79" s="188">
        <v>4</v>
      </c>
      <c r="U79" s="188">
        <v>70</v>
      </c>
      <c r="V79" s="188">
        <v>2</v>
      </c>
    </row>
    <row r="80" spans="1:22">
      <c r="A80" s="1220"/>
      <c r="B80" s="186" t="s">
        <v>106</v>
      </c>
      <c r="C80" s="195">
        <v>150</v>
      </c>
      <c r="D80" s="195">
        <v>15</v>
      </c>
      <c r="E80" s="195">
        <v>1.5</v>
      </c>
      <c r="F80" s="195">
        <v>1.5</v>
      </c>
      <c r="G80" s="195">
        <v>0</v>
      </c>
      <c r="H80" s="195">
        <v>0</v>
      </c>
      <c r="I80" s="195">
        <v>35</v>
      </c>
      <c r="J80" s="195">
        <v>33</v>
      </c>
      <c r="K80" s="195">
        <v>0</v>
      </c>
      <c r="L80" s="195">
        <v>31</v>
      </c>
      <c r="M80" s="195">
        <v>31</v>
      </c>
      <c r="N80" s="195">
        <v>0</v>
      </c>
      <c r="O80" s="195">
        <v>0</v>
      </c>
      <c r="P80" s="195">
        <v>0</v>
      </c>
      <c r="Q80" s="195">
        <v>5</v>
      </c>
      <c r="R80" s="195">
        <v>0</v>
      </c>
      <c r="S80" s="195">
        <v>0</v>
      </c>
      <c r="T80" s="195">
        <v>0</v>
      </c>
      <c r="U80" s="195">
        <v>8</v>
      </c>
      <c r="V80" s="195">
        <v>0</v>
      </c>
    </row>
    <row r="81" spans="1:22">
      <c r="A81" s="1220"/>
      <c r="B81" s="186" t="s">
        <v>107</v>
      </c>
      <c r="C81" s="195">
        <v>150</v>
      </c>
      <c r="D81" s="195">
        <v>15</v>
      </c>
      <c r="E81" s="195">
        <v>1.5</v>
      </c>
      <c r="F81" s="195">
        <v>1.5</v>
      </c>
      <c r="G81" s="195">
        <v>0</v>
      </c>
      <c r="H81" s="195">
        <v>0</v>
      </c>
      <c r="I81" s="195">
        <v>95</v>
      </c>
      <c r="J81" s="195">
        <v>36</v>
      </c>
      <c r="K81" s="195">
        <v>0</v>
      </c>
      <c r="L81" s="195">
        <v>33</v>
      </c>
      <c r="M81" s="195">
        <v>33</v>
      </c>
      <c r="N81" s="195">
        <v>0</v>
      </c>
      <c r="O81" s="188">
        <v>0</v>
      </c>
      <c r="P81" s="188">
        <v>0</v>
      </c>
      <c r="Q81" s="188">
        <v>6</v>
      </c>
      <c r="R81" s="188">
        <v>0</v>
      </c>
      <c r="S81" s="188">
        <v>0</v>
      </c>
      <c r="T81" s="188">
        <v>0</v>
      </c>
      <c r="U81" s="188">
        <v>63</v>
      </c>
      <c r="V81" s="188">
        <v>2</v>
      </c>
    </row>
    <row r="82" spans="1:22">
      <c r="A82" s="1220"/>
      <c r="B82" s="186" t="s">
        <v>108</v>
      </c>
      <c r="C82" s="195">
        <v>170</v>
      </c>
      <c r="D82" s="195">
        <v>25</v>
      </c>
      <c r="E82" s="195">
        <v>3</v>
      </c>
      <c r="F82" s="195">
        <v>2</v>
      </c>
      <c r="G82" s="195">
        <v>0</v>
      </c>
      <c r="H82" s="195">
        <v>0</v>
      </c>
      <c r="I82" s="195">
        <v>35</v>
      </c>
      <c r="J82" s="195">
        <v>38</v>
      </c>
      <c r="K82" s="195">
        <v>0</v>
      </c>
      <c r="L82" s="195">
        <v>36</v>
      </c>
      <c r="M82" s="195">
        <v>33</v>
      </c>
      <c r="N82" s="195">
        <v>0</v>
      </c>
      <c r="O82" s="188">
        <v>0</v>
      </c>
      <c r="P82" s="188">
        <v>0</v>
      </c>
      <c r="Q82" s="188">
        <v>6</v>
      </c>
      <c r="R82" s="188">
        <v>0</v>
      </c>
      <c r="S82" s="188">
        <v>0</v>
      </c>
      <c r="T82" s="188">
        <v>0</v>
      </c>
      <c r="U82" s="188">
        <v>9</v>
      </c>
      <c r="V82" s="188">
        <v>0</v>
      </c>
    </row>
    <row r="83" spans="1:22" s="248" customFormat="1">
      <c r="A83" s="1220"/>
      <c r="B83" s="186" t="s">
        <v>109</v>
      </c>
      <c r="C83" s="195">
        <v>170</v>
      </c>
      <c r="D83" s="195">
        <v>20</v>
      </c>
      <c r="E83" s="195">
        <v>2</v>
      </c>
      <c r="F83" s="195">
        <v>1.5</v>
      </c>
      <c r="G83" s="195">
        <v>0</v>
      </c>
      <c r="H83" s="195">
        <v>0</v>
      </c>
      <c r="I83" s="195">
        <v>50</v>
      </c>
      <c r="J83" s="195">
        <v>38</v>
      </c>
      <c r="K83" s="195">
        <v>0</v>
      </c>
      <c r="L83" s="195">
        <v>35</v>
      </c>
      <c r="M83" s="195">
        <v>24</v>
      </c>
      <c r="N83" s="195">
        <v>0</v>
      </c>
      <c r="O83" s="188">
        <v>0</v>
      </c>
      <c r="P83" s="188">
        <v>0</v>
      </c>
      <c r="Q83" s="188">
        <v>4</v>
      </c>
      <c r="R83" s="188">
        <v>0</v>
      </c>
      <c r="S83" s="188">
        <v>0</v>
      </c>
      <c r="T83" s="188">
        <v>0</v>
      </c>
      <c r="U83" s="188">
        <v>4</v>
      </c>
      <c r="V83" s="188">
        <v>0</v>
      </c>
    </row>
    <row r="84" spans="1:22">
      <c r="A84" s="1220"/>
      <c r="B84" s="186" t="s">
        <v>110</v>
      </c>
      <c r="C84" s="195">
        <v>160</v>
      </c>
      <c r="D84" s="195">
        <v>15</v>
      </c>
      <c r="E84" s="195">
        <v>1.5</v>
      </c>
      <c r="F84" s="195">
        <v>1.5</v>
      </c>
      <c r="G84" s="195">
        <v>0</v>
      </c>
      <c r="H84" s="195">
        <v>0</v>
      </c>
      <c r="I84" s="195">
        <v>70</v>
      </c>
      <c r="J84" s="195">
        <v>36</v>
      </c>
      <c r="K84" s="195">
        <v>0</v>
      </c>
      <c r="L84" s="195">
        <v>34</v>
      </c>
      <c r="M84" s="195">
        <v>33</v>
      </c>
      <c r="N84" s="195">
        <v>0</v>
      </c>
      <c r="O84" s="195">
        <v>0</v>
      </c>
      <c r="P84" s="195">
        <v>0</v>
      </c>
      <c r="Q84" s="195">
        <v>7</v>
      </c>
      <c r="R84" s="195">
        <v>0</v>
      </c>
      <c r="S84" s="195">
        <v>0</v>
      </c>
      <c r="T84" s="195">
        <v>0</v>
      </c>
      <c r="U84" s="195">
        <v>55</v>
      </c>
      <c r="V84" s="195">
        <v>2</v>
      </c>
    </row>
    <row r="85" spans="1:22" s="212" customFormat="1">
      <c r="A85" s="1220"/>
      <c r="B85" s="186" t="s">
        <v>330</v>
      </c>
      <c r="C85" s="195">
        <v>170</v>
      </c>
      <c r="D85" s="195">
        <v>25</v>
      </c>
      <c r="E85" s="195">
        <v>3</v>
      </c>
      <c r="F85" s="195">
        <v>2</v>
      </c>
      <c r="G85" s="195">
        <v>0</v>
      </c>
      <c r="H85" s="195">
        <v>0</v>
      </c>
      <c r="I85" s="195">
        <v>35</v>
      </c>
      <c r="J85" s="195">
        <v>39</v>
      </c>
      <c r="K85" s="195">
        <v>0</v>
      </c>
      <c r="L85" s="195">
        <v>37</v>
      </c>
      <c r="M85" s="195">
        <v>34</v>
      </c>
      <c r="N85" s="195">
        <v>0</v>
      </c>
      <c r="O85" s="188">
        <v>0</v>
      </c>
      <c r="P85" s="188">
        <v>0</v>
      </c>
      <c r="Q85" s="188">
        <v>7</v>
      </c>
      <c r="R85" s="188">
        <v>0</v>
      </c>
      <c r="S85" s="188">
        <v>1</v>
      </c>
      <c r="T85" s="188">
        <v>6</v>
      </c>
      <c r="U85" s="188">
        <v>12</v>
      </c>
      <c r="V85" s="188">
        <v>0</v>
      </c>
    </row>
    <row r="86" spans="1:22">
      <c r="A86" s="1220"/>
      <c r="B86" s="186" t="s">
        <v>111</v>
      </c>
      <c r="C86" s="195">
        <v>150</v>
      </c>
      <c r="D86" s="195">
        <v>15</v>
      </c>
      <c r="E86" s="195">
        <v>1.5</v>
      </c>
      <c r="F86" s="195">
        <v>1.5</v>
      </c>
      <c r="G86" s="195">
        <v>0</v>
      </c>
      <c r="H86" s="195">
        <v>0</v>
      </c>
      <c r="I86" s="195">
        <v>20</v>
      </c>
      <c r="J86" s="195">
        <v>33</v>
      </c>
      <c r="K86" s="195">
        <v>0</v>
      </c>
      <c r="L86" s="195">
        <v>31</v>
      </c>
      <c r="M86" s="195">
        <v>14</v>
      </c>
      <c r="N86" s="195">
        <v>0</v>
      </c>
      <c r="O86" s="188">
        <v>0</v>
      </c>
      <c r="P86" s="188">
        <v>0</v>
      </c>
      <c r="Q86" s="188">
        <v>6</v>
      </c>
      <c r="R86" s="188">
        <v>0</v>
      </c>
      <c r="S86" s="188">
        <v>0</v>
      </c>
      <c r="T86" s="188">
        <v>0</v>
      </c>
      <c r="U86" s="188">
        <v>6</v>
      </c>
      <c r="V86" s="188">
        <v>0</v>
      </c>
    </row>
    <row r="87" spans="1:22">
      <c r="A87" s="1220"/>
      <c r="B87" s="186" t="s">
        <v>112</v>
      </c>
      <c r="C87" s="195">
        <v>140</v>
      </c>
      <c r="D87" s="195">
        <v>15</v>
      </c>
      <c r="E87" s="195">
        <v>1.5</v>
      </c>
      <c r="F87" s="195">
        <v>1.5</v>
      </c>
      <c r="G87" s="195">
        <v>0</v>
      </c>
      <c r="H87" s="195">
        <v>0</v>
      </c>
      <c r="I87" s="195">
        <v>35</v>
      </c>
      <c r="J87" s="195">
        <v>30</v>
      </c>
      <c r="K87" s="195">
        <v>0</v>
      </c>
      <c r="L87" s="195">
        <v>28</v>
      </c>
      <c r="M87" s="195">
        <v>27</v>
      </c>
      <c r="N87" s="195">
        <v>0</v>
      </c>
      <c r="O87" s="260">
        <v>0</v>
      </c>
      <c r="P87" s="260">
        <v>0</v>
      </c>
      <c r="Q87" s="260">
        <v>8</v>
      </c>
      <c r="R87" s="260">
        <v>0</v>
      </c>
      <c r="S87" s="260">
        <v>0</v>
      </c>
      <c r="T87" s="260">
        <v>0</v>
      </c>
      <c r="U87" s="260">
        <v>16</v>
      </c>
      <c r="V87" s="260">
        <v>0</v>
      </c>
    </row>
    <row r="88" spans="1:22">
      <c r="A88" s="1220"/>
      <c r="B88" s="186" t="s">
        <v>113</v>
      </c>
      <c r="C88" s="195">
        <v>140</v>
      </c>
      <c r="D88" s="195">
        <v>15</v>
      </c>
      <c r="E88" s="195">
        <v>2</v>
      </c>
      <c r="F88" s="195">
        <v>1.5</v>
      </c>
      <c r="G88" s="195">
        <v>0</v>
      </c>
      <c r="H88" s="195">
        <v>0</v>
      </c>
      <c r="I88" s="195">
        <v>60</v>
      </c>
      <c r="J88" s="195">
        <v>31</v>
      </c>
      <c r="K88" s="195">
        <v>0</v>
      </c>
      <c r="L88" s="195">
        <v>29</v>
      </c>
      <c r="M88" s="195">
        <v>29</v>
      </c>
      <c r="N88" s="195">
        <v>0</v>
      </c>
      <c r="O88" s="188">
        <v>0</v>
      </c>
      <c r="P88" s="188">
        <v>0</v>
      </c>
      <c r="Q88" s="188">
        <v>7</v>
      </c>
      <c r="R88" s="188">
        <v>0</v>
      </c>
      <c r="S88" s="188">
        <v>0</v>
      </c>
      <c r="T88" s="188">
        <v>0</v>
      </c>
      <c r="U88" s="188">
        <v>45</v>
      </c>
      <c r="V88" s="188">
        <v>0</v>
      </c>
    </row>
    <row r="89" spans="1:22" ht="13.5" customHeight="1">
      <c r="A89" s="1220"/>
      <c r="B89" s="186" t="s">
        <v>114</v>
      </c>
      <c r="C89" s="195">
        <v>210</v>
      </c>
      <c r="D89" s="195">
        <v>45</v>
      </c>
      <c r="E89" s="195">
        <v>5</v>
      </c>
      <c r="F89" s="195">
        <v>2</v>
      </c>
      <c r="G89" s="195">
        <v>0</v>
      </c>
      <c r="H89" s="195">
        <v>0</v>
      </c>
      <c r="I89" s="195">
        <v>60</v>
      </c>
      <c r="J89" s="195">
        <v>42</v>
      </c>
      <c r="K89" s="195">
        <v>0</v>
      </c>
      <c r="L89" s="195">
        <v>40</v>
      </c>
      <c r="M89" s="195">
        <v>40</v>
      </c>
      <c r="N89" s="195">
        <v>1</v>
      </c>
      <c r="O89" s="260">
        <v>0</v>
      </c>
      <c r="P89" s="260">
        <v>0</v>
      </c>
      <c r="Q89" s="260">
        <v>9</v>
      </c>
      <c r="R89" s="260">
        <v>0</v>
      </c>
      <c r="S89" s="260">
        <v>0</v>
      </c>
      <c r="T89" s="260">
        <v>0</v>
      </c>
      <c r="U89" s="260">
        <v>11</v>
      </c>
      <c r="V89" s="260">
        <v>0</v>
      </c>
    </row>
    <row r="90" spans="1:22">
      <c r="A90" s="1220"/>
      <c r="B90" s="186" t="s">
        <v>115</v>
      </c>
      <c r="C90" s="195">
        <v>150</v>
      </c>
      <c r="D90" s="195">
        <v>5</v>
      </c>
      <c r="E90" s="195">
        <v>0.5</v>
      </c>
      <c r="F90" s="195">
        <v>0.5</v>
      </c>
      <c r="G90" s="195">
        <v>0</v>
      </c>
      <c r="H90" s="195">
        <v>0</v>
      </c>
      <c r="I90" s="195">
        <v>30</v>
      </c>
      <c r="J90" s="195">
        <v>36</v>
      </c>
      <c r="K90" s="195">
        <v>0</v>
      </c>
      <c r="L90" s="195">
        <v>34</v>
      </c>
      <c r="M90" s="195">
        <v>25</v>
      </c>
      <c r="N90" s="195">
        <v>0</v>
      </c>
      <c r="O90" s="188">
        <v>0</v>
      </c>
      <c r="P90" s="188">
        <v>0</v>
      </c>
      <c r="Q90" s="188">
        <v>5</v>
      </c>
      <c r="R90" s="188">
        <v>0</v>
      </c>
      <c r="S90" s="188">
        <v>0</v>
      </c>
      <c r="T90" s="188">
        <v>0</v>
      </c>
      <c r="U90" s="188">
        <v>8</v>
      </c>
      <c r="V90" s="188">
        <v>0</v>
      </c>
    </row>
    <row r="91" spans="1:22">
      <c r="A91" s="1220"/>
      <c r="B91" s="186" t="s">
        <v>116</v>
      </c>
      <c r="C91" s="195">
        <v>190</v>
      </c>
      <c r="D91" s="195">
        <v>20</v>
      </c>
      <c r="E91" s="195">
        <v>2.5</v>
      </c>
      <c r="F91" s="195">
        <v>2</v>
      </c>
      <c r="G91" s="195">
        <v>0</v>
      </c>
      <c r="H91" s="195">
        <v>0</v>
      </c>
      <c r="I91" s="195">
        <v>35</v>
      </c>
      <c r="J91" s="195">
        <v>43</v>
      </c>
      <c r="K91" s="195">
        <v>0</v>
      </c>
      <c r="L91" s="195">
        <v>41</v>
      </c>
      <c r="M91" s="195">
        <v>40</v>
      </c>
      <c r="N91" s="195">
        <v>0</v>
      </c>
      <c r="O91" s="188">
        <v>0</v>
      </c>
      <c r="P91" s="188">
        <v>0</v>
      </c>
      <c r="Q91" s="188">
        <v>6</v>
      </c>
      <c r="R91" s="188">
        <v>0</v>
      </c>
      <c r="S91" s="188">
        <v>0</v>
      </c>
      <c r="T91" s="188">
        <v>0</v>
      </c>
      <c r="U91" s="188">
        <v>11</v>
      </c>
      <c r="V91" s="188">
        <v>0</v>
      </c>
    </row>
    <row r="92" spans="1:22">
      <c r="A92" s="1220"/>
      <c r="B92" s="186" t="s">
        <v>117</v>
      </c>
      <c r="C92" s="195">
        <v>170</v>
      </c>
      <c r="D92" s="195">
        <v>15</v>
      </c>
      <c r="E92" s="195">
        <v>2</v>
      </c>
      <c r="F92" s="195">
        <v>1.5</v>
      </c>
      <c r="G92" s="195">
        <v>0</v>
      </c>
      <c r="H92" s="195">
        <v>0</v>
      </c>
      <c r="I92" s="195">
        <v>35</v>
      </c>
      <c r="J92" s="195">
        <v>40</v>
      </c>
      <c r="K92" s="195">
        <v>0</v>
      </c>
      <c r="L92" s="195">
        <v>38</v>
      </c>
      <c r="M92" s="195">
        <v>37</v>
      </c>
      <c r="N92" s="195">
        <v>0</v>
      </c>
      <c r="O92" s="195">
        <v>0</v>
      </c>
      <c r="P92" s="195">
        <v>0</v>
      </c>
      <c r="Q92" s="195">
        <v>5</v>
      </c>
      <c r="R92" s="195">
        <v>0</v>
      </c>
      <c r="S92" s="195">
        <v>0</v>
      </c>
      <c r="T92" s="195">
        <v>0</v>
      </c>
      <c r="U92" s="195">
        <v>20</v>
      </c>
      <c r="V92" s="195">
        <v>0</v>
      </c>
    </row>
    <row r="93" spans="1:22">
      <c r="A93" s="1220"/>
      <c r="B93" s="186" t="s">
        <v>118</v>
      </c>
      <c r="C93" s="195">
        <v>170</v>
      </c>
      <c r="D93" s="195">
        <v>15</v>
      </c>
      <c r="E93" s="195">
        <v>2</v>
      </c>
      <c r="F93" s="195">
        <v>1.5</v>
      </c>
      <c r="G93" s="195">
        <v>0</v>
      </c>
      <c r="H93" s="195">
        <v>0</v>
      </c>
      <c r="I93" s="195">
        <v>40</v>
      </c>
      <c r="J93" s="195">
        <v>39</v>
      </c>
      <c r="K93" s="195">
        <v>0</v>
      </c>
      <c r="L93" s="195">
        <v>37</v>
      </c>
      <c r="M93" s="195">
        <v>16</v>
      </c>
      <c r="N93" s="195">
        <v>0</v>
      </c>
      <c r="O93" s="188">
        <v>0</v>
      </c>
      <c r="P93" s="188">
        <v>0</v>
      </c>
      <c r="Q93" s="188">
        <v>5</v>
      </c>
      <c r="R93" s="188">
        <v>0</v>
      </c>
      <c r="S93" s="188">
        <v>0</v>
      </c>
      <c r="T93" s="188">
        <v>0</v>
      </c>
      <c r="U93" s="188">
        <v>10</v>
      </c>
      <c r="V93" s="188">
        <v>0</v>
      </c>
    </row>
    <row r="94" spans="1:22">
      <c r="A94" s="1220"/>
      <c r="B94" s="186" t="s">
        <v>119</v>
      </c>
      <c r="C94" s="195">
        <v>150</v>
      </c>
      <c r="D94" s="195">
        <v>15</v>
      </c>
      <c r="E94" s="195">
        <v>1.5</v>
      </c>
      <c r="F94" s="195">
        <v>1.5</v>
      </c>
      <c r="G94" s="195">
        <v>0</v>
      </c>
      <c r="H94" s="195">
        <v>0</v>
      </c>
      <c r="I94" s="195">
        <v>35</v>
      </c>
      <c r="J94" s="195">
        <v>34</v>
      </c>
      <c r="K94" s="195">
        <v>0</v>
      </c>
      <c r="L94" s="195">
        <v>32</v>
      </c>
      <c r="M94" s="195">
        <v>32</v>
      </c>
      <c r="N94" s="195">
        <v>0</v>
      </c>
      <c r="O94" s="260">
        <v>0</v>
      </c>
      <c r="P94" s="260">
        <v>0</v>
      </c>
      <c r="Q94" s="260">
        <v>5</v>
      </c>
      <c r="R94" s="260">
        <v>0</v>
      </c>
      <c r="S94" s="260">
        <v>0</v>
      </c>
      <c r="T94" s="260">
        <v>0</v>
      </c>
      <c r="U94" s="260">
        <v>13</v>
      </c>
      <c r="V94" s="260">
        <v>0</v>
      </c>
    </row>
    <row r="95" spans="1:22" ht="16.3" thickBot="1">
      <c r="A95" s="1221"/>
      <c r="B95" s="186" t="s">
        <v>120</v>
      </c>
      <c r="C95" s="195">
        <v>190</v>
      </c>
      <c r="D95" s="195">
        <v>25</v>
      </c>
      <c r="E95" s="195">
        <v>3</v>
      </c>
      <c r="F95" s="195">
        <v>2</v>
      </c>
      <c r="G95" s="195">
        <v>0</v>
      </c>
      <c r="H95" s="195">
        <v>0</v>
      </c>
      <c r="I95" s="195">
        <v>35</v>
      </c>
      <c r="J95" s="195">
        <v>43</v>
      </c>
      <c r="K95" s="195">
        <v>0</v>
      </c>
      <c r="L95" s="195">
        <v>40</v>
      </c>
      <c r="M95" s="195">
        <v>37</v>
      </c>
      <c r="N95" s="195">
        <v>0</v>
      </c>
      <c r="O95" s="195">
        <v>0</v>
      </c>
      <c r="P95" s="195">
        <v>0</v>
      </c>
      <c r="Q95" s="195">
        <v>6</v>
      </c>
      <c r="R95" s="195">
        <v>0</v>
      </c>
      <c r="S95" s="195">
        <v>0</v>
      </c>
      <c r="T95" s="195">
        <v>0</v>
      </c>
      <c r="U95" s="195">
        <v>9</v>
      </c>
      <c r="V95" s="195">
        <v>0</v>
      </c>
    </row>
    <row r="96" spans="1:22">
      <c r="A96" s="1219" t="s">
        <v>121</v>
      </c>
      <c r="B96" s="186" t="s">
        <v>122</v>
      </c>
      <c r="C96" s="195">
        <v>70</v>
      </c>
      <c r="D96" s="195">
        <v>0</v>
      </c>
      <c r="E96" s="195">
        <v>0</v>
      </c>
      <c r="F96" s="195">
        <v>0</v>
      </c>
      <c r="G96" s="195">
        <v>0</v>
      </c>
      <c r="H96" s="195">
        <v>0</v>
      </c>
      <c r="I96" s="195">
        <v>15</v>
      </c>
      <c r="J96" s="195">
        <v>23</v>
      </c>
      <c r="K96" s="195">
        <v>0</v>
      </c>
      <c r="L96" s="195">
        <v>0</v>
      </c>
      <c r="M96" s="195">
        <v>0</v>
      </c>
      <c r="N96" s="188">
        <v>0</v>
      </c>
      <c r="O96" s="188">
        <v>0</v>
      </c>
      <c r="P96" s="188">
        <v>0</v>
      </c>
      <c r="Q96" s="188">
        <v>7</v>
      </c>
      <c r="R96" s="188">
        <v>0</v>
      </c>
      <c r="S96" s="188">
        <v>0</v>
      </c>
      <c r="T96" s="188">
        <v>0</v>
      </c>
      <c r="U96" s="188">
        <v>10</v>
      </c>
      <c r="V96" s="188">
        <v>0</v>
      </c>
    </row>
    <row r="97" spans="1:22">
      <c r="A97" s="1220"/>
      <c r="B97" s="186" t="s">
        <v>123</v>
      </c>
      <c r="C97" s="188">
        <v>90</v>
      </c>
      <c r="D97" s="188">
        <v>0</v>
      </c>
      <c r="E97" s="188">
        <v>0</v>
      </c>
      <c r="F97" s="188">
        <v>0</v>
      </c>
      <c r="G97" s="188">
        <v>0</v>
      </c>
      <c r="H97" s="188">
        <v>0</v>
      </c>
      <c r="I97" s="188">
        <v>15</v>
      </c>
      <c r="J97" s="188">
        <v>31</v>
      </c>
      <c r="K97" s="188">
        <v>0</v>
      </c>
      <c r="L97" s="188">
        <v>0</v>
      </c>
      <c r="M97" s="188">
        <v>0</v>
      </c>
      <c r="N97" s="188">
        <v>0</v>
      </c>
      <c r="O97" s="188">
        <v>0</v>
      </c>
      <c r="P97" s="188">
        <v>0</v>
      </c>
      <c r="Q97" s="188">
        <v>7</v>
      </c>
      <c r="R97" s="188">
        <v>0</v>
      </c>
      <c r="S97" s="188">
        <v>0</v>
      </c>
      <c r="T97" s="188">
        <v>0</v>
      </c>
      <c r="U97" s="188">
        <v>17</v>
      </c>
      <c r="V97" s="188">
        <v>0</v>
      </c>
    </row>
    <row r="98" spans="1:22">
      <c r="A98" s="1220"/>
      <c r="B98" s="186" t="s">
        <v>124</v>
      </c>
      <c r="C98" s="195">
        <v>60</v>
      </c>
      <c r="D98" s="195">
        <v>0</v>
      </c>
      <c r="E98" s="195">
        <v>0</v>
      </c>
      <c r="F98" s="195">
        <v>0</v>
      </c>
      <c r="G98" s="195">
        <v>0</v>
      </c>
      <c r="H98" s="195">
        <v>0</v>
      </c>
      <c r="I98" s="195">
        <v>15</v>
      </c>
      <c r="J98" s="195">
        <v>22</v>
      </c>
      <c r="K98" s="195">
        <v>0</v>
      </c>
      <c r="L98" s="195">
        <v>0</v>
      </c>
      <c r="M98" s="195">
        <v>0</v>
      </c>
      <c r="N98" s="188">
        <v>0</v>
      </c>
      <c r="O98" s="188">
        <v>0</v>
      </c>
      <c r="P98" s="188">
        <v>0</v>
      </c>
      <c r="Q98" s="188">
        <v>7</v>
      </c>
      <c r="R98" s="188">
        <v>0</v>
      </c>
      <c r="S98" s="188">
        <v>0</v>
      </c>
      <c r="T98" s="188">
        <v>0</v>
      </c>
      <c r="U98" s="188">
        <v>12</v>
      </c>
      <c r="V98" s="188">
        <v>0</v>
      </c>
    </row>
    <row r="99" spans="1:22">
      <c r="A99" s="1220"/>
      <c r="B99" s="186" t="s">
        <v>125</v>
      </c>
      <c r="C99" s="195">
        <v>70</v>
      </c>
      <c r="D99" s="195">
        <v>0</v>
      </c>
      <c r="E99" s="195">
        <v>0</v>
      </c>
      <c r="F99" s="195">
        <v>0</v>
      </c>
      <c r="G99" s="195">
        <v>0</v>
      </c>
      <c r="H99" s="195">
        <v>0</v>
      </c>
      <c r="I99" s="195">
        <v>15</v>
      </c>
      <c r="J99" s="195">
        <v>21</v>
      </c>
      <c r="K99" s="195">
        <v>0</v>
      </c>
      <c r="L99" s="195">
        <v>0</v>
      </c>
      <c r="M99" s="195">
        <v>0</v>
      </c>
      <c r="N99" s="188">
        <v>0</v>
      </c>
      <c r="O99" s="188">
        <v>0</v>
      </c>
      <c r="P99" s="188">
        <v>0</v>
      </c>
      <c r="Q99" s="188">
        <v>4</v>
      </c>
      <c r="R99" s="188">
        <v>0</v>
      </c>
      <c r="S99" s="188">
        <v>0</v>
      </c>
      <c r="T99" s="188">
        <v>0</v>
      </c>
      <c r="U99" s="188">
        <v>12</v>
      </c>
      <c r="V99" s="188">
        <v>0</v>
      </c>
    </row>
    <row r="100" spans="1:22">
      <c r="A100" s="1220"/>
      <c r="B100" s="262" t="s">
        <v>126</v>
      </c>
      <c r="C100" s="195">
        <v>70</v>
      </c>
      <c r="D100" s="195">
        <v>0</v>
      </c>
      <c r="E100" s="195">
        <v>0</v>
      </c>
      <c r="F100" s="195">
        <v>0</v>
      </c>
      <c r="G100" s="195">
        <v>0</v>
      </c>
      <c r="H100" s="195">
        <v>0</v>
      </c>
      <c r="I100" s="195">
        <v>20</v>
      </c>
      <c r="J100" s="195">
        <v>23</v>
      </c>
      <c r="K100" s="195">
        <v>0</v>
      </c>
      <c r="L100" s="195">
        <v>0</v>
      </c>
      <c r="M100" s="195">
        <v>0</v>
      </c>
      <c r="N100" s="188">
        <v>0</v>
      </c>
      <c r="O100" s="188">
        <v>0</v>
      </c>
      <c r="P100" s="188">
        <v>0</v>
      </c>
      <c r="Q100" s="188">
        <v>4</v>
      </c>
      <c r="R100" s="188">
        <v>0</v>
      </c>
      <c r="S100" s="188">
        <v>0</v>
      </c>
      <c r="T100" s="188">
        <v>0</v>
      </c>
      <c r="U100" s="188">
        <v>10</v>
      </c>
      <c r="V100" s="188">
        <v>0</v>
      </c>
    </row>
    <row r="101" spans="1:22" ht="16.3" thickBot="1">
      <c r="A101" s="1221"/>
      <c r="B101" s="263" t="s">
        <v>127</v>
      </c>
      <c r="C101" s="195">
        <v>70</v>
      </c>
      <c r="D101" s="195">
        <v>0</v>
      </c>
      <c r="E101" s="195">
        <v>0</v>
      </c>
      <c r="F101" s="195">
        <v>0</v>
      </c>
      <c r="G101" s="195">
        <v>0</v>
      </c>
      <c r="H101" s="195">
        <v>0</v>
      </c>
      <c r="I101" s="195">
        <v>20</v>
      </c>
      <c r="J101" s="195">
        <v>23</v>
      </c>
      <c r="K101" s="195">
        <v>0</v>
      </c>
      <c r="L101" s="195">
        <v>0</v>
      </c>
      <c r="M101" s="195">
        <v>0</v>
      </c>
      <c r="N101" s="188">
        <v>0</v>
      </c>
      <c r="O101" s="188">
        <v>0</v>
      </c>
      <c r="P101" s="188">
        <v>0</v>
      </c>
      <c r="Q101" s="188">
        <v>4</v>
      </c>
      <c r="R101" s="188">
        <v>0</v>
      </c>
      <c r="S101" s="188">
        <v>0</v>
      </c>
      <c r="T101" s="188">
        <v>0</v>
      </c>
      <c r="U101" s="188">
        <v>13</v>
      </c>
      <c r="V101" s="188">
        <v>0</v>
      </c>
    </row>
    <row r="102" spans="1:22">
      <c r="A102" s="505"/>
      <c r="B102" s="278" t="s">
        <v>26</v>
      </c>
      <c r="C102" s="195">
        <v>230</v>
      </c>
      <c r="D102" s="195">
        <v>110</v>
      </c>
      <c r="E102" s="195">
        <v>12</v>
      </c>
      <c r="F102" s="195">
        <v>8</v>
      </c>
      <c r="G102" s="195"/>
      <c r="H102" s="195">
        <v>0</v>
      </c>
      <c r="I102" s="195">
        <v>80</v>
      </c>
      <c r="J102" s="195">
        <v>140</v>
      </c>
      <c r="K102" s="195">
        <v>26</v>
      </c>
      <c r="L102" s="195">
        <v>0</v>
      </c>
      <c r="M102" s="195">
        <v>23</v>
      </c>
      <c r="N102" s="188">
        <v>17</v>
      </c>
      <c r="O102" s="188">
        <v>4</v>
      </c>
      <c r="P102" s="188">
        <v>0</v>
      </c>
      <c r="Q102" s="188">
        <v>153</v>
      </c>
      <c r="R102" s="188">
        <v>15</v>
      </c>
      <c r="S102" s="188">
        <v>0</v>
      </c>
      <c r="T102" s="188">
        <v>0</v>
      </c>
      <c r="U102" s="188">
        <v>210</v>
      </c>
      <c r="V102" s="188">
        <v>6</v>
      </c>
    </row>
    <row r="103" spans="1:22">
      <c r="A103" s="1220"/>
      <c r="B103" s="278" t="s">
        <v>356</v>
      </c>
      <c r="C103" s="195">
        <v>220</v>
      </c>
      <c r="D103" s="195">
        <v>110</v>
      </c>
      <c r="E103" s="195">
        <v>12</v>
      </c>
      <c r="F103" s="195">
        <v>8</v>
      </c>
      <c r="G103" s="195">
        <v>0</v>
      </c>
      <c r="H103" s="195">
        <v>85</v>
      </c>
      <c r="I103" s="195">
        <v>140</v>
      </c>
      <c r="J103" s="195">
        <v>25</v>
      </c>
      <c r="K103" s="195">
        <v>0</v>
      </c>
      <c r="L103" s="195">
        <v>21</v>
      </c>
      <c r="M103" s="195">
        <v>16</v>
      </c>
      <c r="N103" s="195">
        <v>4</v>
      </c>
      <c r="O103" s="195">
        <v>0</v>
      </c>
      <c r="P103" s="195">
        <v>0</v>
      </c>
      <c r="Q103" s="195">
        <v>155.411</v>
      </c>
      <c r="R103" s="195">
        <v>15</v>
      </c>
      <c r="S103" s="195">
        <v>2.3349999999999998E-3</v>
      </c>
      <c r="T103" s="195">
        <v>0</v>
      </c>
      <c r="U103" s="195">
        <v>210</v>
      </c>
      <c r="V103" s="195">
        <v>6</v>
      </c>
    </row>
    <row r="104" spans="1:22">
      <c r="A104" s="1220"/>
      <c r="B104" s="278" t="s">
        <v>134</v>
      </c>
      <c r="C104" s="195">
        <v>230</v>
      </c>
      <c r="D104" s="195">
        <v>100</v>
      </c>
      <c r="E104" s="195">
        <v>11</v>
      </c>
      <c r="F104" s="195">
        <v>7</v>
      </c>
      <c r="G104" s="195">
        <v>0</v>
      </c>
      <c r="H104" s="195">
        <v>75</v>
      </c>
      <c r="I104" s="195">
        <v>130</v>
      </c>
      <c r="J104" s="195">
        <v>29</v>
      </c>
      <c r="K104" s="195">
        <v>0</v>
      </c>
      <c r="L104" s="195">
        <v>26</v>
      </c>
      <c r="M104" s="195">
        <v>20</v>
      </c>
      <c r="N104" s="195">
        <v>4</v>
      </c>
      <c r="O104" s="195">
        <v>0</v>
      </c>
      <c r="P104" s="195">
        <v>0</v>
      </c>
      <c r="Q104" s="195">
        <v>144</v>
      </c>
      <c r="R104" s="195">
        <v>10</v>
      </c>
      <c r="S104" s="195">
        <v>0</v>
      </c>
      <c r="T104" s="195">
        <v>0</v>
      </c>
      <c r="U104" s="195">
        <v>195</v>
      </c>
      <c r="V104" s="195">
        <v>4</v>
      </c>
    </row>
    <row r="105" spans="1:22">
      <c r="A105" s="1220"/>
      <c r="B105" s="278" t="s">
        <v>135</v>
      </c>
      <c r="C105" s="195">
        <v>230</v>
      </c>
      <c r="D105" s="195">
        <v>110</v>
      </c>
      <c r="E105" s="195">
        <v>12</v>
      </c>
      <c r="F105" s="195">
        <v>8</v>
      </c>
      <c r="G105" s="195">
        <v>0</v>
      </c>
      <c r="H105" s="195">
        <v>85</v>
      </c>
      <c r="I105" s="195">
        <v>140</v>
      </c>
      <c r="J105" s="195">
        <v>26</v>
      </c>
      <c r="K105" s="195">
        <v>0</v>
      </c>
      <c r="L105" s="195">
        <v>22</v>
      </c>
      <c r="M105" s="195">
        <v>16</v>
      </c>
      <c r="N105" s="195">
        <v>4</v>
      </c>
      <c r="O105" s="195">
        <v>0</v>
      </c>
      <c r="P105" s="195">
        <v>0</v>
      </c>
      <c r="Q105" s="195">
        <v>156</v>
      </c>
      <c r="R105" s="195">
        <v>10</v>
      </c>
      <c r="S105" s="195">
        <v>0</v>
      </c>
      <c r="T105" s="195">
        <v>0</v>
      </c>
      <c r="U105" s="195">
        <v>211</v>
      </c>
      <c r="V105" s="195">
        <v>4</v>
      </c>
    </row>
    <row r="106" spans="1:22">
      <c r="A106" s="1220"/>
      <c r="B106" s="278" t="s">
        <v>98</v>
      </c>
      <c r="C106" s="195">
        <v>230</v>
      </c>
      <c r="D106" s="195">
        <v>110</v>
      </c>
      <c r="E106" s="195">
        <v>12</v>
      </c>
      <c r="F106" s="195">
        <v>8</v>
      </c>
      <c r="G106" s="195">
        <v>0</v>
      </c>
      <c r="H106" s="195">
        <v>80</v>
      </c>
      <c r="I106" s="195">
        <v>140</v>
      </c>
      <c r="J106" s="195">
        <v>27</v>
      </c>
      <c r="K106" s="195">
        <v>0</v>
      </c>
      <c r="L106" s="195">
        <v>23</v>
      </c>
      <c r="M106" s="195">
        <v>18</v>
      </c>
      <c r="N106" s="195">
        <v>4</v>
      </c>
      <c r="O106" s="195">
        <v>0</v>
      </c>
      <c r="P106" s="195">
        <v>0</v>
      </c>
      <c r="Q106" s="195">
        <v>153.315</v>
      </c>
      <c r="R106" s="195">
        <v>15</v>
      </c>
      <c r="S106" s="195">
        <v>7.7999999999999999E-5</v>
      </c>
      <c r="T106" s="195">
        <v>0</v>
      </c>
      <c r="U106" s="195">
        <v>210</v>
      </c>
      <c r="V106" s="195">
        <v>6</v>
      </c>
    </row>
    <row r="107" spans="1:22">
      <c r="A107" s="1220"/>
      <c r="B107" s="262" t="s">
        <v>129</v>
      </c>
      <c r="C107" s="195">
        <v>220</v>
      </c>
      <c r="D107" s="195">
        <v>100</v>
      </c>
      <c r="E107" s="195">
        <v>11</v>
      </c>
      <c r="F107" s="195">
        <v>7</v>
      </c>
      <c r="G107" s="195">
        <v>0</v>
      </c>
      <c r="H107" s="195">
        <v>70</v>
      </c>
      <c r="I107" s="195">
        <v>115</v>
      </c>
      <c r="J107" s="195">
        <v>25</v>
      </c>
      <c r="K107" s="195">
        <v>0</v>
      </c>
      <c r="L107" s="195">
        <v>23</v>
      </c>
      <c r="M107" s="195">
        <v>17</v>
      </c>
      <c r="N107" s="195">
        <v>5</v>
      </c>
      <c r="O107" s="195">
        <v>0</v>
      </c>
      <c r="P107" s="195">
        <v>0</v>
      </c>
      <c r="Q107" s="195">
        <v>147.41800000000001</v>
      </c>
      <c r="R107" s="195">
        <v>15</v>
      </c>
      <c r="S107" s="195">
        <v>1.2246999999999999</v>
      </c>
      <c r="T107" s="195">
        <v>6</v>
      </c>
      <c r="U107" s="195">
        <v>290</v>
      </c>
      <c r="V107" s="195">
        <v>8</v>
      </c>
    </row>
    <row r="108" spans="1:22">
      <c r="A108" s="1220"/>
      <c r="B108" s="262" t="s">
        <v>357</v>
      </c>
      <c r="C108" s="195">
        <v>230</v>
      </c>
      <c r="D108" s="195">
        <v>110</v>
      </c>
      <c r="E108" s="195">
        <v>12</v>
      </c>
      <c r="F108" s="195">
        <v>8</v>
      </c>
      <c r="G108" s="195">
        <v>0</v>
      </c>
      <c r="H108" s="195">
        <v>85</v>
      </c>
      <c r="I108" s="195">
        <v>150</v>
      </c>
      <c r="J108" s="195">
        <v>25</v>
      </c>
      <c r="K108" s="195">
        <v>0</v>
      </c>
      <c r="L108" s="195">
        <v>21</v>
      </c>
      <c r="M108" s="195">
        <v>16</v>
      </c>
      <c r="N108" s="195">
        <v>5</v>
      </c>
      <c r="O108" s="195">
        <v>0</v>
      </c>
      <c r="P108" s="195">
        <v>0</v>
      </c>
      <c r="Q108" s="195">
        <v>157.46100000000001</v>
      </c>
      <c r="R108" s="195">
        <v>15</v>
      </c>
      <c r="S108" s="195">
        <v>2.2008E-2</v>
      </c>
      <c r="T108" s="195">
        <v>0</v>
      </c>
      <c r="U108" s="195">
        <v>210</v>
      </c>
      <c r="V108" s="195">
        <v>6</v>
      </c>
    </row>
    <row r="109" spans="1:22">
      <c r="A109" s="1220"/>
      <c r="B109" s="262" t="s">
        <v>36</v>
      </c>
      <c r="C109" s="195">
        <v>230</v>
      </c>
      <c r="D109" s="195">
        <v>110</v>
      </c>
      <c r="E109" s="195">
        <v>12</v>
      </c>
      <c r="F109" s="195">
        <v>8</v>
      </c>
      <c r="G109" s="195">
        <v>0</v>
      </c>
      <c r="H109" s="195">
        <v>80</v>
      </c>
      <c r="I109" s="195">
        <v>135</v>
      </c>
      <c r="J109" s="195">
        <v>27</v>
      </c>
      <c r="K109" s="195">
        <v>0</v>
      </c>
      <c r="L109" s="195">
        <v>23</v>
      </c>
      <c r="M109" s="195">
        <v>18</v>
      </c>
      <c r="N109" s="195">
        <v>4</v>
      </c>
      <c r="O109" s="195">
        <v>0</v>
      </c>
      <c r="P109" s="195">
        <v>0</v>
      </c>
      <c r="Q109" s="195">
        <v>153.08199999999999</v>
      </c>
      <c r="R109" s="195">
        <v>15</v>
      </c>
      <c r="S109" s="195">
        <v>3.1453000000000002E-2</v>
      </c>
      <c r="T109" s="195">
        <v>0</v>
      </c>
      <c r="U109" s="195">
        <v>210</v>
      </c>
      <c r="V109" s="195">
        <v>6</v>
      </c>
    </row>
    <row r="110" spans="1:22" ht="17.25" customHeight="1">
      <c r="A110" s="1220"/>
      <c r="B110" s="262" t="s">
        <v>358</v>
      </c>
      <c r="C110" s="195">
        <v>220</v>
      </c>
      <c r="D110" s="195">
        <v>110</v>
      </c>
      <c r="E110" s="195">
        <v>12</v>
      </c>
      <c r="F110" s="195">
        <v>8</v>
      </c>
      <c r="G110" s="195">
        <v>0</v>
      </c>
      <c r="H110" s="195">
        <v>85</v>
      </c>
      <c r="I110" s="195">
        <v>140</v>
      </c>
      <c r="J110" s="195">
        <v>25</v>
      </c>
      <c r="K110" s="195">
        <v>0</v>
      </c>
      <c r="L110" s="195">
        <v>21</v>
      </c>
      <c r="M110" s="195">
        <v>16</v>
      </c>
      <c r="N110" s="195">
        <v>4</v>
      </c>
      <c r="O110" s="195">
        <v>0</v>
      </c>
      <c r="P110" s="195">
        <v>0</v>
      </c>
      <c r="Q110" s="195">
        <v>156.28200000000001</v>
      </c>
      <c r="R110" s="195">
        <v>15</v>
      </c>
      <c r="S110" s="195">
        <v>7.3800000000000005E-4</v>
      </c>
      <c r="T110" s="195">
        <v>0</v>
      </c>
      <c r="U110" s="195">
        <v>210</v>
      </c>
      <c r="V110" s="195">
        <v>6</v>
      </c>
    </row>
    <row r="111" spans="1:22">
      <c r="A111" s="1220"/>
      <c r="B111" s="262" t="s">
        <v>359</v>
      </c>
      <c r="C111" s="195">
        <v>230</v>
      </c>
      <c r="D111" s="195">
        <v>110</v>
      </c>
      <c r="E111" s="195">
        <v>12</v>
      </c>
      <c r="F111" s="195">
        <v>8</v>
      </c>
      <c r="G111" s="195">
        <v>0</v>
      </c>
      <c r="H111" s="195">
        <v>85</v>
      </c>
      <c r="I111" s="195">
        <v>140</v>
      </c>
      <c r="J111" s="195">
        <v>26</v>
      </c>
      <c r="K111" s="195">
        <v>0</v>
      </c>
      <c r="L111" s="195">
        <v>22</v>
      </c>
      <c r="M111" s="195">
        <v>17</v>
      </c>
      <c r="N111" s="195">
        <v>4</v>
      </c>
      <c r="O111" s="195">
        <v>0</v>
      </c>
      <c r="P111" s="195">
        <v>0</v>
      </c>
      <c r="Q111" s="195">
        <v>155.42099999999999</v>
      </c>
      <c r="R111" s="195">
        <v>15</v>
      </c>
      <c r="S111" s="195">
        <v>1.39E-3</v>
      </c>
      <c r="T111" s="195">
        <v>0</v>
      </c>
      <c r="U111" s="195">
        <v>210</v>
      </c>
      <c r="V111" s="195">
        <v>6</v>
      </c>
    </row>
    <row r="112" spans="1:22">
      <c r="A112" s="1220"/>
      <c r="B112" s="262" t="s">
        <v>140</v>
      </c>
      <c r="C112" s="195">
        <v>230</v>
      </c>
      <c r="D112" s="195">
        <v>110</v>
      </c>
      <c r="E112" s="195">
        <v>12</v>
      </c>
      <c r="F112" s="195">
        <v>8</v>
      </c>
      <c r="G112" s="195">
        <v>0</v>
      </c>
      <c r="H112" s="195">
        <v>80</v>
      </c>
      <c r="I112" s="195">
        <v>140</v>
      </c>
      <c r="J112" s="195">
        <v>27</v>
      </c>
      <c r="K112" s="195">
        <v>0</v>
      </c>
      <c r="L112" s="195">
        <v>23</v>
      </c>
      <c r="M112" s="195">
        <v>18</v>
      </c>
      <c r="N112" s="195">
        <v>4</v>
      </c>
      <c r="O112" s="195">
        <v>0</v>
      </c>
      <c r="P112" s="195">
        <v>0</v>
      </c>
      <c r="Q112" s="195">
        <v>153.642</v>
      </c>
      <c r="R112" s="195">
        <v>15</v>
      </c>
      <c r="S112" s="195">
        <v>4.2300000000000003E-3</v>
      </c>
      <c r="T112" s="195">
        <v>0</v>
      </c>
      <c r="U112" s="195">
        <v>210</v>
      </c>
      <c r="V112" s="195">
        <v>6</v>
      </c>
    </row>
    <row r="113" spans="1:27">
      <c r="A113" s="1220"/>
      <c r="B113" s="262" t="s">
        <v>360</v>
      </c>
      <c r="C113" s="195">
        <v>230</v>
      </c>
      <c r="D113" s="195">
        <v>110</v>
      </c>
      <c r="E113" s="195">
        <v>12</v>
      </c>
      <c r="F113" s="195">
        <v>8</v>
      </c>
      <c r="G113" s="195">
        <v>0</v>
      </c>
      <c r="H113" s="195">
        <v>85</v>
      </c>
      <c r="I113" s="195">
        <v>140</v>
      </c>
      <c r="J113" s="195">
        <v>26</v>
      </c>
      <c r="K113" s="195">
        <v>0</v>
      </c>
      <c r="L113" s="195">
        <v>22</v>
      </c>
      <c r="M113" s="195">
        <v>16</v>
      </c>
      <c r="N113" s="195">
        <v>4</v>
      </c>
      <c r="O113" s="195">
        <v>0</v>
      </c>
      <c r="P113" s="195">
        <v>0</v>
      </c>
      <c r="Q113" s="195">
        <v>156.35</v>
      </c>
      <c r="R113" s="195">
        <v>15</v>
      </c>
      <c r="S113" s="195">
        <v>4.0549999999999996E-3</v>
      </c>
      <c r="T113" s="195">
        <v>0</v>
      </c>
      <c r="U113" s="195">
        <v>210</v>
      </c>
      <c r="V113" s="195">
        <v>6</v>
      </c>
      <c r="W113" s="212"/>
      <c r="X113" s="212"/>
      <c r="Y113" s="212"/>
      <c r="Z113" s="212"/>
      <c r="AA113" s="212"/>
    </row>
    <row r="114" spans="1:27">
      <c r="A114" s="1220"/>
      <c r="B114" s="262" t="s">
        <v>361</v>
      </c>
      <c r="C114" s="195">
        <v>220</v>
      </c>
      <c r="D114" s="195">
        <v>100</v>
      </c>
      <c r="E114" s="195">
        <v>11</v>
      </c>
      <c r="F114" s="195">
        <v>7</v>
      </c>
      <c r="G114" s="195">
        <v>0</v>
      </c>
      <c r="H114" s="195">
        <v>65</v>
      </c>
      <c r="I114" s="195">
        <v>110</v>
      </c>
      <c r="J114" s="195">
        <v>25</v>
      </c>
      <c r="K114" s="195"/>
      <c r="L114" s="195">
        <v>23</v>
      </c>
      <c r="M114" s="195">
        <v>17</v>
      </c>
      <c r="N114" s="195">
        <v>4</v>
      </c>
      <c r="O114" s="195">
        <v>0</v>
      </c>
      <c r="P114" s="195">
        <v>0</v>
      </c>
      <c r="Q114" s="195">
        <v>145</v>
      </c>
      <c r="R114" s="195">
        <v>10</v>
      </c>
      <c r="S114" s="195">
        <v>1</v>
      </c>
      <c r="T114" s="195">
        <v>6</v>
      </c>
      <c r="U114" s="195">
        <v>291</v>
      </c>
      <c r="V114" s="195">
        <v>6</v>
      </c>
      <c r="W114" s="212"/>
      <c r="X114" s="212"/>
      <c r="Y114" s="212"/>
      <c r="Z114" s="212"/>
      <c r="AA114" s="212"/>
    </row>
    <row r="115" spans="1:27">
      <c r="A115" s="1220"/>
      <c r="B115" s="262" t="s">
        <v>66</v>
      </c>
      <c r="C115" s="195">
        <v>230</v>
      </c>
      <c r="D115" s="195">
        <v>110</v>
      </c>
      <c r="E115" s="195">
        <v>12</v>
      </c>
      <c r="F115" s="195">
        <v>8</v>
      </c>
      <c r="G115" s="195">
        <v>0</v>
      </c>
      <c r="H115" s="195">
        <v>85</v>
      </c>
      <c r="I115" s="195">
        <v>140</v>
      </c>
      <c r="J115" s="195">
        <v>26</v>
      </c>
      <c r="K115" s="195">
        <v>0</v>
      </c>
      <c r="L115" s="195">
        <v>23</v>
      </c>
      <c r="M115" s="195">
        <v>17</v>
      </c>
      <c r="N115" s="195">
        <v>4</v>
      </c>
      <c r="O115" s="195">
        <v>0</v>
      </c>
      <c r="P115" s="195">
        <v>0</v>
      </c>
      <c r="Q115" s="195">
        <v>155.05600000000001</v>
      </c>
      <c r="R115" s="195">
        <v>15</v>
      </c>
      <c r="S115" s="195">
        <v>8.0000000000000007E-5</v>
      </c>
      <c r="T115" s="195">
        <v>0</v>
      </c>
      <c r="U115" s="195">
        <v>210</v>
      </c>
      <c r="V115" s="195">
        <v>6</v>
      </c>
      <c r="W115" s="212"/>
      <c r="X115" s="212"/>
      <c r="Y115" s="212"/>
      <c r="Z115" s="212"/>
      <c r="AA115" s="212"/>
    </row>
    <row r="116" spans="1:27">
      <c r="A116" s="1190"/>
      <c r="B116" s="506" t="s">
        <v>117</v>
      </c>
      <c r="C116" s="195">
        <v>230</v>
      </c>
      <c r="D116" s="195">
        <v>110</v>
      </c>
      <c r="E116" s="195">
        <v>12</v>
      </c>
      <c r="F116" s="195">
        <v>8</v>
      </c>
      <c r="G116" s="195">
        <v>0</v>
      </c>
      <c r="H116" s="195">
        <v>80</v>
      </c>
      <c r="I116" s="195">
        <v>140</v>
      </c>
      <c r="J116" s="195">
        <v>26</v>
      </c>
      <c r="K116" s="195">
        <v>0</v>
      </c>
      <c r="L116" s="195">
        <v>23</v>
      </c>
      <c r="M116" s="195">
        <v>16</v>
      </c>
      <c r="N116" s="195">
        <v>4</v>
      </c>
      <c r="O116" s="195">
        <v>0</v>
      </c>
      <c r="P116" s="195">
        <v>0</v>
      </c>
      <c r="Q116" s="195">
        <v>153</v>
      </c>
      <c r="R116" s="195">
        <v>10</v>
      </c>
      <c r="S116" s="195">
        <v>0</v>
      </c>
      <c r="T116" s="195">
        <v>0</v>
      </c>
      <c r="U116" s="195">
        <v>208</v>
      </c>
      <c r="V116" s="195">
        <v>4</v>
      </c>
      <c r="W116" s="212"/>
      <c r="X116" s="212"/>
      <c r="Y116" s="212"/>
      <c r="Z116" s="212"/>
      <c r="AA116" s="212"/>
    </row>
    <row r="117" spans="1:27" ht="18" customHeight="1" thickBot="1">
      <c r="A117" s="1198"/>
      <c r="B117" s="186" t="s">
        <v>130</v>
      </c>
      <c r="C117" s="195">
        <v>230</v>
      </c>
      <c r="D117" s="195">
        <v>110</v>
      </c>
      <c r="E117" s="195">
        <v>12</v>
      </c>
      <c r="F117" s="195">
        <v>8</v>
      </c>
      <c r="G117" s="195">
        <v>0</v>
      </c>
      <c r="H117" s="195">
        <v>85</v>
      </c>
      <c r="I117" s="195">
        <v>140</v>
      </c>
      <c r="J117" s="195">
        <v>25</v>
      </c>
      <c r="K117" s="195">
        <v>0</v>
      </c>
      <c r="L117" s="195">
        <v>22</v>
      </c>
      <c r="M117" s="195">
        <v>16</v>
      </c>
      <c r="N117" s="195">
        <v>5</v>
      </c>
      <c r="O117" s="195">
        <v>0</v>
      </c>
      <c r="P117" s="195">
        <v>0</v>
      </c>
      <c r="Q117" s="195">
        <v>158.75700000000001</v>
      </c>
      <c r="R117" s="195">
        <v>15</v>
      </c>
      <c r="S117" s="195">
        <v>0</v>
      </c>
      <c r="T117" s="195">
        <v>0</v>
      </c>
      <c r="U117" s="195">
        <v>220</v>
      </c>
      <c r="V117" s="195">
        <v>6</v>
      </c>
    </row>
    <row r="118" spans="1:27" ht="14.25" customHeight="1"/>
    <row r="119" spans="1:27" ht="43.5" customHeight="1">
      <c r="B119" s="1197" t="s">
        <v>168</v>
      </c>
      <c r="C119" s="1197"/>
      <c r="D119" s="1197"/>
      <c r="E119" s="1197"/>
      <c r="F119" s="1197"/>
      <c r="G119" s="1197"/>
      <c r="H119" s="1197"/>
      <c r="I119" s="1197"/>
      <c r="J119" s="1197"/>
      <c r="K119" s="1197"/>
      <c r="L119" s="1197"/>
      <c r="M119" s="1197"/>
      <c r="N119" s="1197"/>
      <c r="O119" s="1197"/>
      <c r="P119" s="1197"/>
      <c r="Q119" s="1197"/>
      <c r="R119" s="1197"/>
      <c r="S119" s="1197"/>
      <c r="T119" s="1197"/>
      <c r="U119" s="1197"/>
      <c r="V119" s="1197"/>
    </row>
    <row r="120" spans="1:27" ht="14.25" customHeight="1"/>
    <row r="121" spans="1:27" ht="14.25" customHeight="1">
      <c r="B121" s="191" t="s">
        <v>362</v>
      </c>
      <c r="C121" s="191">
        <f t="shared" ref="C121:V121" si="0">SUM(AVERAGE(C5:C56),AVERAGE(C103:C117))</f>
        <v>371.37179487179492</v>
      </c>
      <c r="D121" s="191">
        <f t="shared" si="0"/>
        <v>110.01923076923077</v>
      </c>
      <c r="E121" s="191">
        <f t="shared" si="0"/>
        <v>11.992307692307692</v>
      </c>
      <c r="F121" s="191">
        <f t="shared" si="0"/>
        <v>7.8480769230769232</v>
      </c>
      <c r="G121" s="191">
        <f t="shared" si="0"/>
        <v>0</v>
      </c>
      <c r="H121" s="191">
        <f t="shared" si="0"/>
        <v>80.666666666666671</v>
      </c>
      <c r="I121" s="191">
        <f t="shared" si="0"/>
        <v>159.17307692307693</v>
      </c>
      <c r="J121" s="191">
        <f t="shared" si="0"/>
        <v>61.82692307692308</v>
      </c>
      <c r="K121" s="191">
        <f t="shared" si="0"/>
        <v>5.7692307692307696E-2</v>
      </c>
      <c r="L121" s="191">
        <f t="shared" si="0"/>
        <v>56.725641025641025</v>
      </c>
      <c r="M121" s="191">
        <f t="shared" si="0"/>
        <v>48.991025641025644</v>
      </c>
      <c r="N121" s="191">
        <f t="shared" si="0"/>
        <v>4.2769230769230768</v>
      </c>
      <c r="O121" s="191">
        <f t="shared" si="0"/>
        <v>7.6923076923076927E-2</v>
      </c>
      <c r="P121" s="191">
        <f t="shared" si="0"/>
        <v>0.46153846153846156</v>
      </c>
      <c r="Q121" s="191">
        <f t="shared" si="0"/>
        <v>158.72833025641026</v>
      </c>
      <c r="R121" s="191">
        <f t="shared" si="0"/>
        <v>13.666666666666666</v>
      </c>
      <c r="S121" s="191">
        <f t="shared" si="0"/>
        <v>0.1960057615384615</v>
      </c>
      <c r="T121" s="191">
        <f t="shared" si="0"/>
        <v>1.0307692307692309</v>
      </c>
      <c r="U121" s="191">
        <f t="shared" si="0"/>
        <v>229.9871794871795</v>
      </c>
      <c r="V121" s="191">
        <f t="shared" si="0"/>
        <v>5.7525641025641026</v>
      </c>
    </row>
    <row r="122" spans="1:27" ht="31.75">
      <c r="B122" s="191" t="s">
        <v>363</v>
      </c>
      <c r="C122" s="191" t="str">
        <f t="shared" ref="C122:V122" si="1" xml:space="preserve"> ROUND(MIN(C5:C56)+MIN(C103:C117), 0) &amp; " - " &amp; ROUND(MAX(C5:C56)+MAX(C103:C117),0)</f>
        <v>320 - 440</v>
      </c>
      <c r="D122" s="191" t="str">
        <f t="shared" si="1"/>
        <v>100 - 155</v>
      </c>
      <c r="E122" s="191" t="str">
        <f t="shared" si="1"/>
        <v>11 - 17</v>
      </c>
      <c r="F122" s="191" t="str">
        <f t="shared" si="1"/>
        <v>7 - 9</v>
      </c>
      <c r="G122" s="191" t="str">
        <f t="shared" si="1"/>
        <v>0 - 0</v>
      </c>
      <c r="H122" s="191" t="str">
        <f t="shared" si="1"/>
        <v>65 - 85</v>
      </c>
      <c r="I122" s="191" t="str">
        <f t="shared" si="1"/>
        <v>120 - 215</v>
      </c>
      <c r="J122" s="191" t="str">
        <f t="shared" si="1"/>
        <v>50 - 82</v>
      </c>
      <c r="K122" s="191" t="str">
        <f t="shared" si="1"/>
        <v>0 - 1</v>
      </c>
      <c r="L122" s="191" t="str">
        <f t="shared" si="1"/>
        <v>44 - 77</v>
      </c>
      <c r="M122" s="191" t="str">
        <f t="shared" si="1"/>
        <v>28 - 71</v>
      </c>
      <c r="N122" s="191" t="str">
        <f t="shared" si="1"/>
        <v>4 - 7</v>
      </c>
      <c r="O122" s="191" t="str">
        <f t="shared" si="1"/>
        <v>0 - 1</v>
      </c>
      <c r="P122" s="191" t="str">
        <f t="shared" si="1"/>
        <v>0 - 6</v>
      </c>
      <c r="Q122" s="191" t="str">
        <f t="shared" si="1"/>
        <v>147 - 170</v>
      </c>
      <c r="R122" s="191" t="str">
        <f t="shared" si="1"/>
        <v>10 - 15</v>
      </c>
      <c r="S122" s="191" t="str">
        <f t="shared" si="1"/>
        <v>0 - 2</v>
      </c>
      <c r="T122" s="191" t="str">
        <f t="shared" si="1"/>
        <v>0 - 12</v>
      </c>
      <c r="U122" s="191" t="str">
        <f t="shared" si="1"/>
        <v>195 - 334</v>
      </c>
      <c r="V122" s="191" t="str">
        <f t="shared" si="1"/>
        <v>4 - 9</v>
      </c>
    </row>
    <row r="123" spans="1:27">
      <c r="B123" s="191" t="s">
        <v>364</v>
      </c>
      <c r="C123" s="191">
        <f t="shared" ref="C123:V123" si="2">SUM(AVERAGE(C57:C66), AVERAGE(C103:C117))</f>
        <v>358.33333333333337</v>
      </c>
      <c r="D123" s="191">
        <f t="shared" si="2"/>
        <v>108</v>
      </c>
      <c r="E123" s="191">
        <f t="shared" si="2"/>
        <v>11.8</v>
      </c>
      <c r="F123" s="191">
        <f t="shared" si="2"/>
        <v>7.8</v>
      </c>
      <c r="G123" s="191">
        <f t="shared" si="2"/>
        <v>0</v>
      </c>
      <c r="H123" s="191">
        <f t="shared" si="2"/>
        <v>80.666666666666671</v>
      </c>
      <c r="I123" s="191">
        <f t="shared" si="2"/>
        <v>141</v>
      </c>
      <c r="J123" s="191">
        <f t="shared" si="2"/>
        <v>54.3</v>
      </c>
      <c r="K123" s="191">
        <f t="shared" si="2"/>
        <v>0.6</v>
      </c>
      <c r="L123" s="191">
        <f t="shared" si="2"/>
        <v>49.333333333333336</v>
      </c>
      <c r="M123" s="191">
        <f t="shared" si="2"/>
        <v>42.333333333333329</v>
      </c>
      <c r="N123" s="191">
        <f t="shared" si="2"/>
        <v>4.2</v>
      </c>
      <c r="O123" s="191">
        <f t="shared" si="2"/>
        <v>0</v>
      </c>
      <c r="P123" s="191">
        <f t="shared" si="2"/>
        <v>0</v>
      </c>
      <c r="Q123" s="191">
        <f t="shared" si="2"/>
        <v>164.34633333333335</v>
      </c>
      <c r="R123" s="191">
        <f t="shared" si="2"/>
        <v>14.466666666666667</v>
      </c>
      <c r="S123" s="191">
        <f t="shared" si="2"/>
        <v>0.15273779999999998</v>
      </c>
      <c r="T123" s="191">
        <f t="shared" si="2"/>
        <v>0.8</v>
      </c>
      <c r="U123" s="191">
        <f t="shared" si="2"/>
        <v>285.93333333333334</v>
      </c>
      <c r="V123" s="191">
        <f t="shared" si="2"/>
        <v>7.1333333333333329</v>
      </c>
    </row>
    <row r="124" spans="1:27" ht="31.75">
      <c r="B124" s="191" t="s">
        <v>365</v>
      </c>
      <c r="C124" s="191" t="str">
        <f xml:space="preserve"> ROUND(MIN(C57:C66)+MIN(C103:C117),0) &amp; " - " &amp; ROUND(MAX(C57:C66)+MAX(C103:C117),0)</f>
        <v>330 - 390</v>
      </c>
      <c r="D124" s="191" t="str">
        <f t="shared" ref="D124:V124" si="3" xml:space="preserve"> ROUND(MIN(D57:D66)+MIN(D103:D117),0) &amp; " - " &amp; ROUND(MAX(D57:D66)+MAX(D103:D117),0)</f>
        <v>100 - 110</v>
      </c>
      <c r="E124" s="191" t="str">
        <f t="shared" si="3"/>
        <v>11 - 12</v>
      </c>
      <c r="F124" s="191" t="str">
        <f t="shared" si="3"/>
        <v>7 - 8</v>
      </c>
      <c r="G124" s="191" t="str">
        <f t="shared" si="3"/>
        <v>0 - 0</v>
      </c>
      <c r="H124" s="191" t="str">
        <f t="shared" si="3"/>
        <v>65 - 85</v>
      </c>
      <c r="I124" s="191" t="str">
        <f t="shared" si="3"/>
        <v>115 - 155</v>
      </c>
      <c r="J124" s="191" t="str">
        <f t="shared" si="3"/>
        <v>49 - 60</v>
      </c>
      <c r="K124" s="191" t="str">
        <f t="shared" si="3"/>
        <v>0 - 2</v>
      </c>
      <c r="L124" s="191" t="str">
        <f t="shared" si="3"/>
        <v>44 - 56</v>
      </c>
      <c r="M124" s="191" t="str">
        <f t="shared" si="3"/>
        <v>38 - 48</v>
      </c>
      <c r="N124" s="191" t="str">
        <f t="shared" si="3"/>
        <v>4 - 5</v>
      </c>
      <c r="O124" s="191" t="str">
        <f t="shared" si="3"/>
        <v>0 - 0</v>
      </c>
      <c r="P124" s="191" t="str">
        <f t="shared" si="3"/>
        <v>0 - 0</v>
      </c>
      <c r="Q124" s="191" t="str">
        <f t="shared" si="3"/>
        <v>150 - 178</v>
      </c>
      <c r="R124" s="191" t="str">
        <f t="shared" si="3"/>
        <v>10 - 17</v>
      </c>
      <c r="S124" s="191" t="str">
        <f t="shared" si="3"/>
        <v>0 - 1</v>
      </c>
      <c r="T124" s="191" t="str">
        <f t="shared" si="3"/>
        <v>0 - 6</v>
      </c>
      <c r="U124" s="191" t="str">
        <f t="shared" si="3"/>
        <v>200 - 437</v>
      </c>
      <c r="V124" s="191" t="str">
        <f t="shared" si="3"/>
        <v>4 - 12</v>
      </c>
    </row>
    <row r="125" spans="1:27">
      <c r="B125" s="191" t="s">
        <v>366</v>
      </c>
      <c r="C125" s="191">
        <f t="shared" ref="C125:V125" si="4">SUM(AVERAGE(C67:C95),AVERAGE(C103:C117))</f>
        <v>399.74712643678163</v>
      </c>
      <c r="D125" s="191">
        <f t="shared" si="4"/>
        <v>128.68965517241378</v>
      </c>
      <c r="E125" s="191">
        <f t="shared" si="4"/>
        <v>14.127586206896552</v>
      </c>
      <c r="F125" s="191">
        <f t="shared" si="4"/>
        <v>9.5586206896551715</v>
      </c>
      <c r="G125" s="191">
        <f t="shared" si="4"/>
        <v>0</v>
      </c>
      <c r="H125" s="191">
        <f t="shared" si="4"/>
        <v>80.666666666666671</v>
      </c>
      <c r="I125" s="191">
        <f t="shared" si="4"/>
        <v>183.24137931034483</v>
      </c>
      <c r="J125" s="191">
        <f t="shared" si="4"/>
        <v>64.379310344827587</v>
      </c>
      <c r="K125" s="191">
        <f t="shared" si="4"/>
        <v>0</v>
      </c>
      <c r="L125" s="191">
        <f t="shared" si="4"/>
        <v>58.360919540229887</v>
      </c>
      <c r="M125" s="191">
        <f t="shared" si="4"/>
        <v>45.657471264367814</v>
      </c>
      <c r="N125" s="191">
        <f t="shared" si="4"/>
        <v>4.3724137931034486</v>
      </c>
      <c r="O125" s="191">
        <f t="shared" si="4"/>
        <v>0</v>
      </c>
      <c r="P125" s="191">
        <f t="shared" si="4"/>
        <v>0</v>
      </c>
      <c r="Q125" s="191">
        <f t="shared" si="4"/>
        <v>160.42210160919541</v>
      </c>
      <c r="R125" s="191">
        <f t="shared" si="4"/>
        <v>13.735632183908045</v>
      </c>
      <c r="S125" s="191">
        <f t="shared" si="4"/>
        <v>0.24300062758620689</v>
      </c>
      <c r="T125" s="191">
        <f t="shared" si="4"/>
        <v>1.3517241379310345</v>
      </c>
      <c r="U125" s="191">
        <f t="shared" si="4"/>
        <v>237.36781609195404</v>
      </c>
      <c r="V125" s="191">
        <f t="shared" si="4"/>
        <v>5.9402298850574713</v>
      </c>
    </row>
    <row r="126" spans="1:27" ht="31.75">
      <c r="B126" s="191" t="s">
        <v>367</v>
      </c>
      <c r="C126" s="191" t="str">
        <f t="shared" ref="C126:V126" si="5" xml:space="preserve"> ROUND(MIN(C67:C95)+MIN(C103:C117),0) &amp; " - " &amp; ROUND(MAX(C67:C95)+MAX(C103:C117),0)</f>
        <v>360 - 450</v>
      </c>
      <c r="D126" s="191" t="str">
        <f t="shared" si="5"/>
        <v>105 - 155</v>
      </c>
      <c r="E126" s="191" t="str">
        <f t="shared" si="5"/>
        <v>12 - 17</v>
      </c>
      <c r="F126" s="191" t="str">
        <f t="shared" si="5"/>
        <v>8 - 11</v>
      </c>
      <c r="G126" s="191" t="str">
        <f t="shared" si="5"/>
        <v>0 - 0</v>
      </c>
      <c r="H126" s="191" t="str">
        <f t="shared" si="5"/>
        <v>65 - 85</v>
      </c>
      <c r="I126" s="191" t="str">
        <f t="shared" si="5"/>
        <v>130 - 245</v>
      </c>
      <c r="J126" s="191" t="str">
        <f t="shared" si="5"/>
        <v>55 - 78</v>
      </c>
      <c r="K126" s="191" t="str">
        <f t="shared" si="5"/>
        <v>0 - 0</v>
      </c>
      <c r="L126" s="191" t="str">
        <f t="shared" si="5"/>
        <v>49 - 69</v>
      </c>
      <c r="M126" s="191" t="str">
        <f t="shared" si="5"/>
        <v>30 - 63</v>
      </c>
      <c r="N126" s="191" t="str">
        <f t="shared" si="5"/>
        <v>4 - 6</v>
      </c>
      <c r="O126" s="191" t="str">
        <f t="shared" si="5"/>
        <v>0 - 0</v>
      </c>
      <c r="P126" s="191" t="str">
        <f t="shared" si="5"/>
        <v>0 - 0</v>
      </c>
      <c r="Q126" s="191" t="str">
        <f t="shared" si="5"/>
        <v>148 - 178</v>
      </c>
      <c r="R126" s="191" t="str">
        <f t="shared" si="5"/>
        <v>10 - 17</v>
      </c>
      <c r="S126" s="191" t="str">
        <f t="shared" si="5"/>
        <v>0 - 2</v>
      </c>
      <c r="T126" s="191" t="str">
        <f t="shared" si="5"/>
        <v>0 - 12</v>
      </c>
      <c r="U126" s="191" t="str">
        <f t="shared" si="5"/>
        <v>199 - 361</v>
      </c>
      <c r="V126" s="191" t="str">
        <f t="shared" si="5"/>
        <v>4 - 10</v>
      </c>
    </row>
    <row r="127" spans="1:27">
      <c r="B127" s="191" t="s">
        <v>368</v>
      </c>
      <c r="C127" s="191">
        <f t="shared" ref="C127:V127" si="6">SUM(AVERAGE(C96:C101), AVERAGE(C103:C117))</f>
        <v>299</v>
      </c>
      <c r="D127" s="191">
        <f t="shared" si="6"/>
        <v>108</v>
      </c>
      <c r="E127" s="191">
        <f t="shared" si="6"/>
        <v>11.8</v>
      </c>
      <c r="F127" s="191">
        <f t="shared" si="6"/>
        <v>7.8</v>
      </c>
      <c r="G127" s="191">
        <f t="shared" si="6"/>
        <v>0</v>
      </c>
      <c r="H127" s="191">
        <f t="shared" si="6"/>
        <v>80.666666666666671</v>
      </c>
      <c r="I127" s="191">
        <f t="shared" si="6"/>
        <v>152.66666666666666</v>
      </c>
      <c r="J127" s="191">
        <f t="shared" si="6"/>
        <v>49.833333333333329</v>
      </c>
      <c r="K127" s="191">
        <f t="shared" si="6"/>
        <v>0</v>
      </c>
      <c r="L127" s="191">
        <f t="shared" si="6"/>
        <v>22.533333333333335</v>
      </c>
      <c r="M127" s="191">
        <f t="shared" si="6"/>
        <v>16.933333333333334</v>
      </c>
      <c r="N127" s="191">
        <f t="shared" si="6"/>
        <v>4.2</v>
      </c>
      <c r="O127" s="191">
        <f t="shared" si="6"/>
        <v>0</v>
      </c>
      <c r="P127" s="191">
        <f t="shared" si="6"/>
        <v>0</v>
      </c>
      <c r="Q127" s="191">
        <f t="shared" si="6"/>
        <v>158.84633333333335</v>
      </c>
      <c r="R127" s="191">
        <f t="shared" si="6"/>
        <v>13.666666666666666</v>
      </c>
      <c r="S127" s="191">
        <f t="shared" si="6"/>
        <v>0.15273779999999998</v>
      </c>
      <c r="T127" s="191">
        <f t="shared" si="6"/>
        <v>0.8</v>
      </c>
      <c r="U127" s="191">
        <f t="shared" si="6"/>
        <v>232.66666666666669</v>
      </c>
      <c r="V127" s="191">
        <f t="shared" si="6"/>
        <v>5.7333333333333334</v>
      </c>
    </row>
    <row r="128" spans="1:27" ht="31.75">
      <c r="A128" s="223"/>
      <c r="B128" s="191" t="s">
        <v>369</v>
      </c>
      <c r="C128" s="191" t="str">
        <f t="shared" ref="C128:V128" si="7">ROUND( MIN(C96:C101)+MIN(C103:C117),0) &amp; " - " &amp; ROUND(MAX(C96:C101)+MAX(C103:C117),0)</f>
        <v>280 - 320</v>
      </c>
      <c r="D128" s="191" t="str">
        <f t="shared" si="7"/>
        <v>100 - 110</v>
      </c>
      <c r="E128" s="191" t="str">
        <f t="shared" si="7"/>
        <v>11 - 12</v>
      </c>
      <c r="F128" s="191" t="str">
        <f t="shared" si="7"/>
        <v>7 - 8</v>
      </c>
      <c r="G128" s="191" t="str">
        <f t="shared" si="7"/>
        <v>0 - 0</v>
      </c>
      <c r="H128" s="191" t="str">
        <f t="shared" si="7"/>
        <v>65 - 85</v>
      </c>
      <c r="I128" s="191" t="str">
        <f t="shared" si="7"/>
        <v>125 - 170</v>
      </c>
      <c r="J128" s="191" t="str">
        <f t="shared" si="7"/>
        <v>46 - 60</v>
      </c>
      <c r="K128" s="191" t="str">
        <f t="shared" si="7"/>
        <v>0 - 0</v>
      </c>
      <c r="L128" s="191" t="str">
        <f t="shared" si="7"/>
        <v>21 - 26</v>
      </c>
      <c r="M128" s="191" t="str">
        <f t="shared" si="7"/>
        <v>16 - 20</v>
      </c>
      <c r="N128" s="191" t="str">
        <f t="shared" si="7"/>
        <v>4 - 5</v>
      </c>
      <c r="O128" s="191" t="str">
        <f t="shared" si="7"/>
        <v>0 - 0</v>
      </c>
      <c r="P128" s="191" t="str">
        <f t="shared" si="7"/>
        <v>0 - 0</v>
      </c>
      <c r="Q128" s="191" t="str">
        <f t="shared" si="7"/>
        <v>148 - 166</v>
      </c>
      <c r="R128" s="191" t="str">
        <f t="shared" si="7"/>
        <v>10 - 15</v>
      </c>
      <c r="S128" s="191" t="str">
        <f t="shared" si="7"/>
        <v>0 - 1</v>
      </c>
      <c r="T128" s="191" t="str">
        <f t="shared" si="7"/>
        <v>0 - 6</v>
      </c>
      <c r="U128" s="191" t="str">
        <f t="shared" si="7"/>
        <v>205 - 308</v>
      </c>
      <c r="V128" s="191" t="str">
        <f t="shared" si="7"/>
        <v>4 - 8</v>
      </c>
    </row>
    <row r="131" spans="1:16">
      <c r="C131" s="223"/>
      <c r="D131" s="223"/>
      <c r="E131" s="223"/>
      <c r="F131" s="223"/>
      <c r="G131" s="223"/>
      <c r="H131" s="223"/>
      <c r="I131" s="223"/>
      <c r="J131" s="223"/>
      <c r="K131" s="223"/>
      <c r="L131" s="223"/>
      <c r="M131" s="223"/>
      <c r="N131" s="223"/>
      <c r="O131" s="223"/>
      <c r="P131" s="223"/>
    </row>
    <row r="132" spans="1:16">
      <c r="A132" s="223"/>
      <c r="B132" s="223"/>
    </row>
    <row r="135" spans="1:16">
      <c r="C135" s="223"/>
      <c r="D135" s="223"/>
      <c r="E135" s="223"/>
      <c r="F135" s="223"/>
      <c r="G135" s="223"/>
      <c r="H135" s="223"/>
      <c r="I135" s="223"/>
      <c r="J135" s="223"/>
      <c r="K135" s="223"/>
      <c r="L135" s="223"/>
      <c r="M135" s="223"/>
      <c r="N135" s="223"/>
      <c r="O135" s="223"/>
      <c r="P135" s="223"/>
    </row>
    <row r="136" spans="1:16">
      <c r="A136" s="223"/>
      <c r="B136" s="223"/>
    </row>
    <row r="139" spans="1:16">
      <c r="C139" s="223"/>
      <c r="D139" s="223"/>
      <c r="E139" s="223"/>
      <c r="F139" s="223"/>
      <c r="G139" s="223"/>
      <c r="H139" s="223"/>
      <c r="I139" s="223"/>
      <c r="J139" s="223"/>
      <c r="K139" s="223"/>
      <c r="L139" s="223"/>
      <c r="M139" s="223"/>
      <c r="N139" s="223"/>
      <c r="O139" s="223"/>
      <c r="P139" s="223"/>
    </row>
    <row r="140" spans="1:16">
      <c r="A140" s="223"/>
      <c r="B140" s="223"/>
    </row>
    <row r="142" spans="1:16">
      <c r="C142" s="223"/>
      <c r="D142" s="223"/>
      <c r="E142" s="223"/>
      <c r="F142" s="223"/>
      <c r="G142" s="223"/>
      <c r="H142" s="223"/>
      <c r="I142" s="223"/>
      <c r="J142" s="223"/>
      <c r="K142" s="223"/>
      <c r="L142" s="223"/>
      <c r="M142" s="223"/>
      <c r="N142" s="223"/>
      <c r="O142" s="223"/>
      <c r="P142" s="223"/>
    </row>
    <row r="143" spans="1:16">
      <c r="B143" s="223"/>
      <c r="C143" s="223"/>
      <c r="D143" s="223"/>
      <c r="E143" s="223"/>
      <c r="F143" s="223"/>
      <c r="G143" s="223"/>
      <c r="H143" s="223"/>
      <c r="I143" s="223"/>
      <c r="J143" s="223"/>
      <c r="K143" s="223"/>
      <c r="L143" s="223"/>
      <c r="M143" s="223"/>
      <c r="N143" s="223"/>
      <c r="O143" s="223"/>
      <c r="P143" s="223"/>
    </row>
    <row r="144" spans="1:16">
      <c r="B144" s="223"/>
      <c r="C144" s="223"/>
      <c r="D144" s="223"/>
      <c r="E144" s="223"/>
      <c r="F144" s="223"/>
      <c r="G144" s="223"/>
      <c r="H144" s="223"/>
      <c r="I144" s="223"/>
      <c r="J144" s="223"/>
      <c r="K144" s="223"/>
      <c r="L144" s="223"/>
      <c r="M144" s="223"/>
      <c r="N144" s="223"/>
      <c r="O144" s="223"/>
      <c r="P144" s="223"/>
    </row>
    <row r="145" spans="2:16">
      <c r="B145" s="223"/>
      <c r="C145" s="223"/>
      <c r="D145" s="223"/>
      <c r="E145" s="223"/>
      <c r="F145" s="223"/>
      <c r="G145" s="223"/>
      <c r="H145" s="223"/>
      <c r="I145" s="223"/>
      <c r="J145" s="223"/>
      <c r="K145" s="223"/>
      <c r="L145" s="223"/>
      <c r="M145" s="223"/>
      <c r="N145" s="223"/>
      <c r="O145" s="223"/>
      <c r="P145" s="223"/>
    </row>
    <row r="146" spans="2:16">
      <c r="B146" s="223"/>
    </row>
    <row r="194" spans="1:17">
      <c r="C194" s="223"/>
      <c r="D194" s="223"/>
      <c r="E194" s="223"/>
      <c r="F194" s="223"/>
      <c r="G194" s="223"/>
      <c r="H194" s="223"/>
      <c r="I194" s="223"/>
      <c r="J194" s="223"/>
      <c r="K194" s="223"/>
      <c r="L194" s="223"/>
      <c r="M194" s="223"/>
      <c r="N194" s="223"/>
      <c r="O194" s="223"/>
      <c r="P194" s="223"/>
      <c r="Q194" s="248"/>
    </row>
    <row r="195" spans="1:17" s="248" customFormat="1">
      <c r="A195" s="223"/>
      <c r="B195" s="223"/>
      <c r="C195" s="179"/>
      <c r="D195" s="179"/>
      <c r="E195" s="179"/>
      <c r="F195" s="179"/>
      <c r="G195" s="179"/>
      <c r="H195" s="179"/>
      <c r="I195" s="179"/>
      <c r="J195" s="179"/>
      <c r="K195" s="179"/>
      <c r="L195" s="179"/>
      <c r="M195" s="179"/>
      <c r="N195" s="179"/>
      <c r="O195" s="179"/>
      <c r="P195" s="179"/>
      <c r="Q195" s="212"/>
    </row>
    <row r="196" spans="1:17" s="212" customFormat="1">
      <c r="A196" s="179"/>
      <c r="B196" s="179"/>
      <c r="C196" s="223"/>
      <c r="D196" s="223"/>
      <c r="E196" s="223"/>
      <c r="F196" s="223"/>
      <c r="G196" s="223"/>
      <c r="H196" s="223"/>
      <c r="I196" s="223"/>
      <c r="J196" s="223"/>
      <c r="K196" s="223"/>
      <c r="L196" s="223"/>
      <c r="M196" s="223"/>
      <c r="N196" s="223"/>
      <c r="O196" s="223"/>
      <c r="P196" s="223"/>
      <c r="Q196" s="179"/>
    </row>
    <row r="197" spans="1:17">
      <c r="B197" s="223"/>
    </row>
    <row r="198" spans="1:17">
      <c r="C198" s="223"/>
      <c r="D198" s="223"/>
      <c r="E198" s="223"/>
      <c r="F198" s="223"/>
      <c r="G198" s="223"/>
      <c r="H198" s="223"/>
      <c r="I198" s="223"/>
      <c r="J198" s="223"/>
      <c r="K198" s="223"/>
      <c r="L198" s="223"/>
      <c r="M198" s="223"/>
      <c r="N198" s="223"/>
      <c r="O198" s="223"/>
      <c r="P198" s="223"/>
    </row>
    <row r="199" spans="1:17">
      <c r="B199" s="223"/>
    </row>
    <row r="200" spans="1:17">
      <c r="C200" s="223"/>
      <c r="D200" s="223"/>
      <c r="E200" s="223"/>
      <c r="F200" s="223"/>
      <c r="G200" s="223"/>
      <c r="H200" s="223"/>
      <c r="I200" s="223"/>
      <c r="J200" s="223"/>
      <c r="K200" s="223"/>
      <c r="L200" s="223"/>
      <c r="M200" s="223"/>
      <c r="N200" s="223"/>
      <c r="O200" s="223"/>
      <c r="P200" s="223"/>
    </row>
    <row r="201" spans="1:17">
      <c r="B201" s="223"/>
    </row>
  </sheetData>
  <mergeCells count="9">
    <mergeCell ref="A1:V1"/>
    <mergeCell ref="A2:V2"/>
    <mergeCell ref="A3:V3"/>
    <mergeCell ref="B119:V119"/>
    <mergeCell ref="A67:A95"/>
    <mergeCell ref="A96:A101"/>
    <mergeCell ref="A103:A117"/>
    <mergeCell ref="A57:A66"/>
    <mergeCell ref="A5:A56"/>
  </mergeCells>
  <pageMargins left="0.7" right="0.7" top="0.75" bottom="0.75" header="0.3" footer="0.3"/>
  <pageSetup scale="43" fitToHeight="0" orientation="landscape" r:id="rId1"/>
  <headerFooter>
    <oddHeader xml:space="preserve">&amp;R&amp;14 2020 Nutrition Information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V197"/>
  <sheetViews>
    <sheetView view="pageLayout" zoomScale="82" zoomScaleNormal="80" zoomScalePageLayoutView="82" workbookViewId="0">
      <selection activeCell="P79" sqref="P79"/>
    </sheetView>
    <sheetView workbookViewId="1">
      <selection sqref="A1:V1"/>
    </sheetView>
    <sheetView workbookViewId="2">
      <selection sqref="A1:V1"/>
    </sheetView>
  </sheetViews>
  <sheetFormatPr defaultColWidth="8.84375" defaultRowHeight="15.9"/>
  <cols>
    <col min="1" max="1" width="6.53515625" style="179" customWidth="1"/>
    <col min="2" max="2" width="42.84375" style="179" customWidth="1"/>
    <col min="3" max="4" width="10.53515625" style="179" customWidth="1"/>
    <col min="5" max="5" width="8.53515625" style="179" customWidth="1"/>
    <col min="6" max="6" width="11.53515625" style="179" customWidth="1"/>
    <col min="7" max="7" width="8.53515625" style="179" customWidth="1"/>
    <col min="8" max="8" width="13" style="179" customWidth="1"/>
    <col min="9" max="9" width="9" style="179" customWidth="1"/>
    <col min="10" max="10" width="16.84375" style="179" customWidth="1"/>
    <col min="11" max="11" width="9" style="179" customWidth="1"/>
    <col min="12" max="12" width="7.84375" style="179" customWidth="1"/>
    <col min="13" max="13" width="9" style="179" customWidth="1"/>
    <col min="14" max="16" width="11.53515625" style="179" customWidth="1"/>
    <col min="17" max="17" width="9" style="179" customWidth="1"/>
    <col min="18" max="18" width="18.53515625" style="179" bestFit="1" customWidth="1"/>
    <col min="19" max="19" width="12.3828125" style="179" customWidth="1"/>
    <col min="20" max="20" width="18.53515625" style="179" bestFit="1" customWidth="1"/>
    <col min="21" max="21" width="12.53515625" style="179" customWidth="1"/>
    <col min="22" max="22" width="12.3828125" style="179" bestFit="1" customWidth="1"/>
    <col min="23" max="16384" width="8.84375" style="179"/>
  </cols>
  <sheetData>
    <row r="1" spans="1:22" ht="22.5" customHeight="1">
      <c r="A1" s="1214" t="s">
        <v>354</v>
      </c>
      <c r="B1" s="1215"/>
      <c r="C1" s="1215"/>
      <c r="D1" s="1215"/>
      <c r="E1" s="1215"/>
      <c r="F1" s="1215"/>
      <c r="G1" s="1215"/>
      <c r="H1" s="1215"/>
      <c r="I1" s="1215"/>
      <c r="J1" s="1215"/>
      <c r="K1" s="1215"/>
      <c r="L1" s="1215"/>
      <c r="M1" s="1215"/>
      <c r="N1" s="1215"/>
      <c r="O1" s="1215"/>
      <c r="P1" s="1215"/>
      <c r="Q1" s="1215"/>
      <c r="R1" s="1215"/>
      <c r="S1" s="1215"/>
      <c r="T1" s="1215"/>
      <c r="U1" s="1215"/>
      <c r="V1" s="1215"/>
    </row>
    <row r="2" spans="1:22" ht="18" customHeight="1">
      <c r="A2" s="1214" t="s">
        <v>370</v>
      </c>
      <c r="B2" s="1215"/>
      <c r="C2" s="1215"/>
      <c r="D2" s="1215"/>
      <c r="E2" s="1215"/>
      <c r="F2" s="1215"/>
      <c r="G2" s="1215"/>
      <c r="H2" s="1215"/>
      <c r="I2" s="1215"/>
      <c r="J2" s="1215"/>
      <c r="K2" s="1215"/>
      <c r="L2" s="1215"/>
      <c r="M2" s="1215"/>
      <c r="N2" s="1215"/>
      <c r="O2" s="1215"/>
      <c r="P2" s="1215"/>
      <c r="Q2" s="1215"/>
      <c r="R2" s="1215"/>
      <c r="S2" s="1215"/>
      <c r="T2" s="1215"/>
      <c r="U2" s="1215"/>
      <c r="V2" s="1215"/>
    </row>
    <row r="3" spans="1:22" ht="18" customHeight="1" thickBot="1">
      <c r="A3" s="1209" t="s">
        <v>355</v>
      </c>
      <c r="B3" s="1210"/>
      <c r="C3" s="1210"/>
      <c r="D3" s="1210"/>
      <c r="E3" s="1210"/>
      <c r="F3" s="1210"/>
      <c r="G3" s="1210"/>
      <c r="H3" s="1210"/>
      <c r="I3" s="1210"/>
      <c r="J3" s="1210"/>
      <c r="K3" s="1210"/>
      <c r="L3" s="1210"/>
      <c r="M3" s="1210"/>
      <c r="N3" s="1210"/>
      <c r="O3" s="1210"/>
      <c r="P3" s="1210"/>
      <c r="Q3" s="1210"/>
      <c r="R3" s="1210"/>
      <c r="S3" s="1210"/>
      <c r="T3" s="1210"/>
      <c r="U3" s="1210"/>
      <c r="V3" s="1210"/>
    </row>
    <row r="4" spans="1:22" s="223" customFormat="1" ht="37.5" customHeight="1">
      <c r="A4" s="259"/>
      <c r="B4" s="193" t="s">
        <v>3</v>
      </c>
      <c r="C4" s="193" t="s">
        <v>4</v>
      </c>
      <c r="D4" s="193" t="s">
        <v>5</v>
      </c>
      <c r="E4" s="193" t="s">
        <v>6</v>
      </c>
      <c r="F4" s="193" t="s">
        <v>7</v>
      </c>
      <c r="G4" s="193" t="s">
        <v>8</v>
      </c>
      <c r="H4" s="193" t="s">
        <v>9</v>
      </c>
      <c r="I4" s="193" t="s">
        <v>10</v>
      </c>
      <c r="J4" s="193" t="s">
        <v>11</v>
      </c>
      <c r="K4" s="193" t="s">
        <v>12</v>
      </c>
      <c r="L4" s="193" t="s">
        <v>13</v>
      </c>
      <c r="M4" s="193" t="s">
        <v>14</v>
      </c>
      <c r="N4" s="193" t="s">
        <v>15</v>
      </c>
      <c r="O4" s="194" t="s">
        <v>16</v>
      </c>
      <c r="P4" s="194" t="s">
        <v>17</v>
      </c>
      <c r="Q4" s="194" t="s">
        <v>18</v>
      </c>
      <c r="R4" s="194" t="s">
        <v>19</v>
      </c>
      <c r="S4" s="194" t="s">
        <v>20</v>
      </c>
      <c r="T4" s="194" t="s">
        <v>21</v>
      </c>
      <c r="U4" s="194" t="s">
        <v>22</v>
      </c>
      <c r="V4" s="194" t="s">
        <v>23</v>
      </c>
    </row>
    <row r="5" spans="1:22" s="223" customFormat="1" ht="15.75" customHeight="1">
      <c r="A5" s="1222" t="s">
        <v>24</v>
      </c>
      <c r="B5" s="186" t="s">
        <v>371</v>
      </c>
      <c r="C5" s="188">
        <v>270</v>
      </c>
      <c r="D5" s="188">
        <v>0</v>
      </c>
      <c r="E5" s="188">
        <v>0</v>
      </c>
      <c r="F5" s="188">
        <v>0</v>
      </c>
      <c r="G5" s="188">
        <v>0</v>
      </c>
      <c r="H5" s="188">
        <v>0</v>
      </c>
      <c r="I5" s="188">
        <v>45</v>
      </c>
      <c r="J5" s="188">
        <v>68</v>
      </c>
      <c r="K5" s="188">
        <v>0</v>
      </c>
      <c r="L5" s="188">
        <v>65</v>
      </c>
      <c r="M5" s="188">
        <v>62</v>
      </c>
      <c r="N5" s="188">
        <v>0</v>
      </c>
      <c r="O5" s="309">
        <v>1</v>
      </c>
      <c r="P5" s="309">
        <v>6</v>
      </c>
      <c r="Q5" s="309">
        <v>9</v>
      </c>
      <c r="R5" s="309">
        <v>0</v>
      </c>
      <c r="S5" s="309">
        <v>0</v>
      </c>
      <c r="T5" s="309">
        <v>0</v>
      </c>
      <c r="U5" s="309">
        <v>24</v>
      </c>
      <c r="V5" s="309">
        <v>0</v>
      </c>
    </row>
    <row r="6" spans="1:22" s="223" customFormat="1" ht="15" customHeight="1">
      <c r="A6" s="1223"/>
      <c r="B6" s="186" t="s">
        <v>26</v>
      </c>
      <c r="C6" s="195">
        <v>310</v>
      </c>
      <c r="D6" s="195">
        <v>5</v>
      </c>
      <c r="E6" s="195">
        <v>0.5</v>
      </c>
      <c r="F6" s="195">
        <v>0.5</v>
      </c>
      <c r="G6" s="195">
        <v>0</v>
      </c>
      <c r="H6" s="195">
        <v>0</v>
      </c>
      <c r="I6" s="195">
        <v>35</v>
      </c>
      <c r="J6" s="195">
        <v>80</v>
      </c>
      <c r="K6" s="195">
        <v>0</v>
      </c>
      <c r="L6" s="195">
        <v>76</v>
      </c>
      <c r="M6" s="195">
        <v>74</v>
      </c>
      <c r="N6" s="195">
        <v>0</v>
      </c>
      <c r="O6" s="188">
        <v>0</v>
      </c>
      <c r="P6" s="188">
        <v>0</v>
      </c>
      <c r="Q6" s="188">
        <v>8</v>
      </c>
      <c r="R6" s="188">
        <v>0</v>
      </c>
      <c r="S6" s="188">
        <v>0</v>
      </c>
      <c r="T6" s="188">
        <v>0</v>
      </c>
      <c r="U6" s="188">
        <v>62</v>
      </c>
      <c r="V6" s="188">
        <v>2</v>
      </c>
    </row>
    <row r="7" spans="1:22" hidden="1">
      <c r="A7" s="1223"/>
      <c r="B7" s="186" t="s">
        <v>27</v>
      </c>
      <c r="C7" s="188">
        <v>220</v>
      </c>
      <c r="D7" s="188">
        <v>0</v>
      </c>
      <c r="E7" s="188">
        <v>0</v>
      </c>
      <c r="F7" s="188">
        <v>0</v>
      </c>
      <c r="G7" s="195">
        <v>0</v>
      </c>
      <c r="H7" s="188">
        <v>0</v>
      </c>
      <c r="I7" s="188">
        <v>45</v>
      </c>
      <c r="J7" s="188">
        <v>56</v>
      </c>
      <c r="K7" s="195">
        <v>0</v>
      </c>
      <c r="L7" s="188">
        <v>54</v>
      </c>
      <c r="M7" s="188">
        <v>20</v>
      </c>
      <c r="N7" s="188">
        <v>0</v>
      </c>
      <c r="O7" s="188">
        <v>0</v>
      </c>
      <c r="P7" s="188">
        <v>0</v>
      </c>
      <c r="Q7" s="188">
        <v>9</v>
      </c>
      <c r="R7" s="188">
        <v>0</v>
      </c>
      <c r="S7" s="188">
        <v>0</v>
      </c>
      <c r="T7" s="188">
        <v>0</v>
      </c>
      <c r="U7" s="188">
        <v>0</v>
      </c>
      <c r="V7" s="188">
        <v>0</v>
      </c>
    </row>
    <row r="8" spans="1:22">
      <c r="A8" s="1223"/>
      <c r="B8" s="186" t="s">
        <v>28</v>
      </c>
      <c r="C8" s="195">
        <v>260</v>
      </c>
      <c r="D8" s="195">
        <v>0</v>
      </c>
      <c r="E8" s="195">
        <v>0</v>
      </c>
      <c r="F8" s="195">
        <v>0</v>
      </c>
      <c r="G8" s="195">
        <v>0</v>
      </c>
      <c r="H8" s="195">
        <v>0</v>
      </c>
      <c r="I8" s="195">
        <v>35</v>
      </c>
      <c r="J8" s="195">
        <v>65</v>
      </c>
      <c r="K8" s="195">
        <v>0</v>
      </c>
      <c r="L8" s="195">
        <v>63</v>
      </c>
      <c r="M8" s="195">
        <v>63</v>
      </c>
      <c r="N8" s="195">
        <v>0</v>
      </c>
      <c r="O8" s="188">
        <v>0</v>
      </c>
      <c r="P8" s="188">
        <v>0</v>
      </c>
      <c r="Q8" s="188">
        <v>10</v>
      </c>
      <c r="R8" s="188">
        <v>0</v>
      </c>
      <c r="S8" s="188">
        <v>0</v>
      </c>
      <c r="T8" s="188">
        <v>0</v>
      </c>
      <c r="U8" s="188">
        <v>14</v>
      </c>
      <c r="V8" s="188">
        <v>0</v>
      </c>
    </row>
    <row r="9" spans="1:22">
      <c r="A9" s="1223"/>
      <c r="B9" s="186" t="s">
        <v>29</v>
      </c>
      <c r="C9" s="195">
        <v>210</v>
      </c>
      <c r="D9" s="195">
        <v>0</v>
      </c>
      <c r="E9" s="195">
        <v>0</v>
      </c>
      <c r="F9" s="195">
        <v>0</v>
      </c>
      <c r="G9" s="195">
        <v>0</v>
      </c>
      <c r="H9" s="195">
        <v>0</v>
      </c>
      <c r="I9" s="195">
        <v>45</v>
      </c>
      <c r="J9" s="195">
        <v>75</v>
      </c>
      <c r="K9" s="195">
        <v>0</v>
      </c>
      <c r="L9" s="195">
        <v>72</v>
      </c>
      <c r="M9" s="195">
        <v>72</v>
      </c>
      <c r="N9" s="195">
        <v>0</v>
      </c>
      <c r="O9" s="188">
        <v>0</v>
      </c>
      <c r="P9" s="188">
        <v>0</v>
      </c>
      <c r="Q9" s="188">
        <v>9.2119300000000006</v>
      </c>
      <c r="R9" s="188">
        <v>0</v>
      </c>
      <c r="S9" s="188">
        <v>2.4964E-2</v>
      </c>
      <c r="T9" s="188">
        <v>0</v>
      </c>
      <c r="U9" s="188">
        <v>0</v>
      </c>
      <c r="V9" s="188">
        <v>0</v>
      </c>
    </row>
    <row r="10" spans="1:22">
      <c r="A10" s="1223"/>
      <c r="B10" s="186" t="s">
        <v>30</v>
      </c>
      <c r="C10" s="195">
        <v>420</v>
      </c>
      <c r="D10" s="195">
        <v>0</v>
      </c>
      <c r="E10" s="195">
        <v>0</v>
      </c>
      <c r="F10" s="195">
        <v>0</v>
      </c>
      <c r="G10" s="195">
        <v>0</v>
      </c>
      <c r="H10" s="195">
        <v>0</v>
      </c>
      <c r="I10" s="195">
        <v>45</v>
      </c>
      <c r="J10" s="195">
        <v>106</v>
      </c>
      <c r="K10" s="195">
        <v>0</v>
      </c>
      <c r="L10" s="195">
        <v>102</v>
      </c>
      <c r="M10" s="195">
        <v>102</v>
      </c>
      <c r="N10" s="195">
        <v>0</v>
      </c>
      <c r="O10" s="188">
        <v>2</v>
      </c>
      <c r="P10" s="188">
        <v>10</v>
      </c>
      <c r="Q10" s="188">
        <v>9.4020399999999995</v>
      </c>
      <c r="R10" s="188">
        <v>0</v>
      </c>
      <c r="S10" s="188">
        <v>5.9699000000000002E-2</v>
      </c>
      <c r="T10" s="188">
        <v>0</v>
      </c>
      <c r="U10" s="188">
        <v>0</v>
      </c>
      <c r="V10" s="188">
        <v>0</v>
      </c>
    </row>
    <row r="11" spans="1:22">
      <c r="A11" s="1223"/>
      <c r="B11" s="186" t="s">
        <v>31</v>
      </c>
      <c r="C11" s="195">
        <v>230</v>
      </c>
      <c r="D11" s="195">
        <v>0</v>
      </c>
      <c r="E11" s="195">
        <v>0</v>
      </c>
      <c r="F11" s="195">
        <v>0</v>
      </c>
      <c r="G11" s="195">
        <v>0</v>
      </c>
      <c r="H11" s="195">
        <v>0</v>
      </c>
      <c r="I11" s="195">
        <v>40</v>
      </c>
      <c r="J11" s="195">
        <v>59</v>
      </c>
      <c r="K11" s="195">
        <v>0</v>
      </c>
      <c r="L11" s="195">
        <v>56</v>
      </c>
      <c r="M11" s="195">
        <v>54</v>
      </c>
      <c r="N11" s="195">
        <v>0</v>
      </c>
      <c r="O11" s="188">
        <v>2</v>
      </c>
      <c r="P11" s="188">
        <v>10</v>
      </c>
      <c r="Q11" s="188">
        <v>14</v>
      </c>
      <c r="R11" s="188">
        <v>2</v>
      </c>
      <c r="S11" s="188">
        <v>0</v>
      </c>
      <c r="T11" s="188">
        <v>0</v>
      </c>
      <c r="U11" s="188">
        <v>1</v>
      </c>
      <c r="V11" s="188">
        <v>0</v>
      </c>
    </row>
    <row r="12" spans="1:22">
      <c r="A12" s="1223"/>
      <c r="B12" s="186" t="s">
        <v>32</v>
      </c>
      <c r="C12" s="195">
        <v>250</v>
      </c>
      <c r="D12" s="195">
        <v>0</v>
      </c>
      <c r="E12" s="195">
        <v>0</v>
      </c>
      <c r="F12" s="195">
        <v>0</v>
      </c>
      <c r="G12" s="195">
        <v>0</v>
      </c>
      <c r="H12" s="195">
        <v>0</v>
      </c>
      <c r="I12" s="195">
        <v>40</v>
      </c>
      <c r="J12" s="195">
        <v>65</v>
      </c>
      <c r="K12" s="195">
        <v>0</v>
      </c>
      <c r="L12" s="195">
        <v>61</v>
      </c>
      <c r="M12" s="195">
        <v>61</v>
      </c>
      <c r="N12" s="195">
        <v>0</v>
      </c>
      <c r="O12" s="188">
        <v>0</v>
      </c>
      <c r="P12" s="188">
        <v>0</v>
      </c>
      <c r="Q12" s="188">
        <v>10</v>
      </c>
      <c r="R12" s="188">
        <v>0</v>
      </c>
      <c r="S12" s="188">
        <v>0</v>
      </c>
      <c r="T12" s="188">
        <v>0</v>
      </c>
      <c r="U12" s="188">
        <v>20</v>
      </c>
      <c r="V12" s="188">
        <v>0</v>
      </c>
    </row>
    <row r="13" spans="1:22">
      <c r="A13" s="1223"/>
      <c r="B13" s="186" t="s">
        <v>33</v>
      </c>
      <c r="C13" s="195">
        <v>220</v>
      </c>
      <c r="D13" s="195">
        <v>0</v>
      </c>
      <c r="E13" s="195">
        <v>0</v>
      </c>
      <c r="F13" s="195">
        <v>0</v>
      </c>
      <c r="G13" s="195">
        <v>0</v>
      </c>
      <c r="H13" s="195">
        <v>0</v>
      </c>
      <c r="I13" s="195">
        <v>35</v>
      </c>
      <c r="J13" s="195">
        <v>56</v>
      </c>
      <c r="K13" s="195">
        <v>0</v>
      </c>
      <c r="L13" s="195">
        <v>53</v>
      </c>
      <c r="M13" s="195">
        <v>53</v>
      </c>
      <c r="N13" s="195">
        <v>0</v>
      </c>
      <c r="O13" s="188">
        <v>0</v>
      </c>
      <c r="P13" s="188">
        <v>0</v>
      </c>
      <c r="Q13" s="195">
        <v>9.9733099999999997</v>
      </c>
      <c r="R13" s="195">
        <v>0</v>
      </c>
      <c r="S13" s="195">
        <v>6.089E-2</v>
      </c>
      <c r="T13" s="195">
        <v>0</v>
      </c>
      <c r="U13" s="195">
        <v>15</v>
      </c>
      <c r="V13" s="195">
        <v>0</v>
      </c>
    </row>
    <row r="14" spans="1:22">
      <c r="A14" s="1223"/>
      <c r="B14" s="186" t="s">
        <v>34</v>
      </c>
      <c r="C14" s="195">
        <v>340</v>
      </c>
      <c r="D14" s="195">
        <v>5</v>
      </c>
      <c r="E14" s="195">
        <v>0</v>
      </c>
      <c r="F14" s="195">
        <v>0</v>
      </c>
      <c r="G14" s="195">
        <v>0</v>
      </c>
      <c r="H14" s="195">
        <v>0</v>
      </c>
      <c r="I14" s="195">
        <v>65</v>
      </c>
      <c r="J14" s="195">
        <v>86</v>
      </c>
      <c r="K14" s="195">
        <v>0</v>
      </c>
      <c r="L14" s="195">
        <v>82</v>
      </c>
      <c r="M14" s="195">
        <v>81</v>
      </c>
      <c r="N14" s="195">
        <v>1</v>
      </c>
      <c r="O14" s="188">
        <v>0</v>
      </c>
      <c r="P14" s="188">
        <v>0</v>
      </c>
      <c r="Q14" s="188">
        <v>15</v>
      </c>
      <c r="R14" s="188">
        <v>2</v>
      </c>
      <c r="S14" s="188">
        <v>1</v>
      </c>
      <c r="T14" s="188">
        <v>6</v>
      </c>
      <c r="U14" s="188">
        <v>86</v>
      </c>
      <c r="V14" s="188">
        <v>2</v>
      </c>
    </row>
    <row r="15" spans="1:22">
      <c r="A15" s="1223"/>
      <c r="B15" s="186" t="s">
        <v>35</v>
      </c>
      <c r="C15" s="195">
        <v>370</v>
      </c>
      <c r="D15" s="195">
        <v>25</v>
      </c>
      <c r="E15" s="195">
        <v>3</v>
      </c>
      <c r="F15" s="195">
        <v>1.5</v>
      </c>
      <c r="G15" s="195">
        <v>0</v>
      </c>
      <c r="H15" s="195">
        <v>0</v>
      </c>
      <c r="I15" s="195">
        <v>60</v>
      </c>
      <c r="J15" s="195">
        <v>90</v>
      </c>
      <c r="K15" s="195">
        <v>0</v>
      </c>
      <c r="L15" s="195">
        <v>85</v>
      </c>
      <c r="M15" s="195">
        <v>79</v>
      </c>
      <c r="N15" s="195">
        <v>1</v>
      </c>
      <c r="O15" s="188">
        <v>0</v>
      </c>
      <c r="P15" s="188">
        <v>0</v>
      </c>
      <c r="Q15" s="188">
        <v>18</v>
      </c>
      <c r="R15" s="188">
        <v>2</v>
      </c>
      <c r="S15" s="188">
        <v>1</v>
      </c>
      <c r="T15" s="188">
        <v>6</v>
      </c>
      <c r="U15" s="188">
        <v>84</v>
      </c>
      <c r="V15" s="188">
        <v>2</v>
      </c>
    </row>
    <row r="16" spans="1:22">
      <c r="A16" s="1223"/>
      <c r="B16" s="186" t="s">
        <v>36</v>
      </c>
      <c r="C16" s="195">
        <v>320</v>
      </c>
      <c r="D16" s="195">
        <v>0</v>
      </c>
      <c r="E16" s="195">
        <v>0</v>
      </c>
      <c r="F16" s="195">
        <v>0</v>
      </c>
      <c r="G16" s="195">
        <v>0</v>
      </c>
      <c r="H16" s="195">
        <v>0</v>
      </c>
      <c r="I16" s="195">
        <v>25</v>
      </c>
      <c r="J16" s="195">
        <v>80</v>
      </c>
      <c r="K16" s="195">
        <v>0</v>
      </c>
      <c r="L16" s="195">
        <v>78</v>
      </c>
      <c r="M16" s="195">
        <v>30</v>
      </c>
      <c r="N16" s="195">
        <v>0</v>
      </c>
      <c r="O16" s="188">
        <v>0</v>
      </c>
      <c r="P16" s="188">
        <v>0</v>
      </c>
      <c r="Q16" s="188">
        <v>10</v>
      </c>
      <c r="R16" s="188">
        <v>0</v>
      </c>
      <c r="S16" s="188">
        <v>0</v>
      </c>
      <c r="T16" s="188">
        <v>0</v>
      </c>
      <c r="U16" s="188">
        <v>1</v>
      </c>
      <c r="V16" s="188">
        <v>0</v>
      </c>
    </row>
    <row r="17" spans="1:22">
      <c r="A17" s="1223"/>
      <c r="B17" s="186" t="s">
        <v>37</v>
      </c>
      <c r="C17" s="195">
        <v>300</v>
      </c>
      <c r="D17" s="195">
        <v>0</v>
      </c>
      <c r="E17" s="195">
        <v>0</v>
      </c>
      <c r="F17" s="195">
        <v>0</v>
      </c>
      <c r="G17" s="195">
        <v>0</v>
      </c>
      <c r="H17" s="195">
        <v>0</v>
      </c>
      <c r="I17" s="195">
        <v>35</v>
      </c>
      <c r="J17" s="195">
        <v>80</v>
      </c>
      <c r="K17" s="195">
        <v>0</v>
      </c>
      <c r="L17" s="195">
        <v>78</v>
      </c>
      <c r="M17" s="195">
        <v>30</v>
      </c>
      <c r="N17" s="195">
        <v>0</v>
      </c>
      <c r="O17" s="188">
        <v>0</v>
      </c>
      <c r="P17" s="188">
        <v>0</v>
      </c>
      <c r="Q17" s="188">
        <v>7</v>
      </c>
      <c r="R17" s="188">
        <v>0</v>
      </c>
      <c r="S17" s="188">
        <v>0</v>
      </c>
      <c r="T17" s="188">
        <v>0</v>
      </c>
      <c r="U17" s="188">
        <v>1</v>
      </c>
      <c r="V17" s="188">
        <v>0</v>
      </c>
    </row>
    <row r="18" spans="1:22">
      <c r="A18" s="1223"/>
      <c r="B18" s="186" t="s">
        <v>38</v>
      </c>
      <c r="C18" s="195">
        <v>270</v>
      </c>
      <c r="D18" s="195">
        <v>0</v>
      </c>
      <c r="E18" s="195">
        <v>0</v>
      </c>
      <c r="F18" s="195">
        <v>0</v>
      </c>
      <c r="G18" s="195">
        <v>0</v>
      </c>
      <c r="H18" s="195">
        <v>0</v>
      </c>
      <c r="I18" s="195">
        <v>45</v>
      </c>
      <c r="J18" s="195">
        <v>68</v>
      </c>
      <c r="K18" s="195">
        <v>0</v>
      </c>
      <c r="L18" s="195">
        <v>62</v>
      </c>
      <c r="M18" s="195">
        <v>59</v>
      </c>
      <c r="N18" s="195">
        <v>0</v>
      </c>
      <c r="O18" s="188">
        <v>0</v>
      </c>
      <c r="P18" s="188">
        <v>0</v>
      </c>
      <c r="Q18" s="188">
        <v>12</v>
      </c>
      <c r="R18" s="188">
        <v>0</v>
      </c>
      <c r="S18" s="188">
        <v>0</v>
      </c>
      <c r="T18" s="188">
        <v>0</v>
      </c>
      <c r="U18" s="188">
        <v>51</v>
      </c>
      <c r="V18" s="188">
        <v>2</v>
      </c>
    </row>
    <row r="19" spans="1:22">
      <c r="A19" s="1223"/>
      <c r="B19" s="186" t="s">
        <v>39</v>
      </c>
      <c r="C19" s="195">
        <v>200</v>
      </c>
      <c r="D19" s="195">
        <v>0</v>
      </c>
      <c r="E19" s="195">
        <v>0</v>
      </c>
      <c r="F19" s="195">
        <v>0</v>
      </c>
      <c r="G19" s="195">
        <v>0</v>
      </c>
      <c r="H19" s="195">
        <v>0</v>
      </c>
      <c r="I19" s="195">
        <v>35</v>
      </c>
      <c r="J19" s="195">
        <v>52</v>
      </c>
      <c r="K19" s="195">
        <v>0</v>
      </c>
      <c r="L19" s="195">
        <v>50</v>
      </c>
      <c r="M19" s="195">
        <v>49</v>
      </c>
      <c r="N19" s="195">
        <v>0</v>
      </c>
      <c r="O19" s="188">
        <v>0</v>
      </c>
      <c r="P19" s="188">
        <v>0</v>
      </c>
      <c r="Q19" s="188">
        <v>8.1002100000000006</v>
      </c>
      <c r="R19" s="188">
        <v>0</v>
      </c>
      <c r="S19" s="188">
        <v>6.0215999999999999E-2</v>
      </c>
      <c r="T19" s="188">
        <v>0</v>
      </c>
      <c r="U19" s="188">
        <v>0</v>
      </c>
      <c r="V19" s="188">
        <v>0</v>
      </c>
    </row>
    <row r="20" spans="1:22" s="212" customFormat="1">
      <c r="A20" s="1223"/>
      <c r="B20" s="186" t="s">
        <v>40</v>
      </c>
      <c r="C20" s="195">
        <v>280</v>
      </c>
      <c r="D20" s="195">
        <v>0</v>
      </c>
      <c r="E20" s="195">
        <v>0</v>
      </c>
      <c r="F20" s="195">
        <v>0</v>
      </c>
      <c r="G20" s="195">
        <v>0</v>
      </c>
      <c r="H20" s="195">
        <v>0</v>
      </c>
      <c r="I20" s="195">
        <v>45</v>
      </c>
      <c r="J20" s="195">
        <v>72</v>
      </c>
      <c r="K20" s="195">
        <v>0</v>
      </c>
      <c r="L20" s="195">
        <v>69</v>
      </c>
      <c r="M20" s="195">
        <v>64</v>
      </c>
      <c r="N20" s="195">
        <v>0</v>
      </c>
      <c r="O20" s="188">
        <v>2</v>
      </c>
      <c r="P20" s="188">
        <v>10</v>
      </c>
      <c r="Q20" s="188">
        <v>9.4421999999999997</v>
      </c>
      <c r="R20" s="188">
        <v>0</v>
      </c>
      <c r="S20" s="188">
        <v>0.115675</v>
      </c>
      <c r="T20" s="188">
        <v>0</v>
      </c>
      <c r="U20" s="188">
        <v>45</v>
      </c>
      <c r="V20" s="188">
        <v>1</v>
      </c>
    </row>
    <row r="21" spans="1:22">
      <c r="A21" s="1223"/>
      <c r="B21" s="186" t="s">
        <v>41</v>
      </c>
      <c r="C21" s="195">
        <v>290</v>
      </c>
      <c r="D21" s="195">
        <v>0</v>
      </c>
      <c r="E21" s="195">
        <v>0</v>
      </c>
      <c r="F21" s="195">
        <v>0</v>
      </c>
      <c r="G21" s="195">
        <v>0</v>
      </c>
      <c r="H21" s="195">
        <v>0</v>
      </c>
      <c r="I21" s="195">
        <v>35</v>
      </c>
      <c r="J21" s="195">
        <v>77</v>
      </c>
      <c r="K21" s="195">
        <v>0</v>
      </c>
      <c r="L21" s="195">
        <v>74</v>
      </c>
      <c r="M21" s="195">
        <v>24</v>
      </c>
      <c r="N21" s="195">
        <v>0</v>
      </c>
      <c r="O21" s="188">
        <v>0</v>
      </c>
      <c r="P21" s="188">
        <v>0</v>
      </c>
      <c r="Q21" s="188">
        <v>8</v>
      </c>
      <c r="R21" s="188">
        <v>0</v>
      </c>
      <c r="S21" s="188">
        <v>0</v>
      </c>
      <c r="T21" s="188">
        <v>0</v>
      </c>
      <c r="U21" s="188">
        <v>0</v>
      </c>
      <c r="V21" s="188">
        <v>0</v>
      </c>
    </row>
    <row r="22" spans="1:22">
      <c r="A22" s="1223"/>
      <c r="B22" s="186" t="s">
        <v>42</v>
      </c>
      <c r="C22" s="195">
        <v>300</v>
      </c>
      <c r="D22" s="195">
        <v>0</v>
      </c>
      <c r="E22" s="195">
        <v>0</v>
      </c>
      <c r="F22" s="195">
        <v>0</v>
      </c>
      <c r="G22" s="195">
        <v>0</v>
      </c>
      <c r="H22" s="195">
        <v>0</v>
      </c>
      <c r="I22" s="195">
        <v>45</v>
      </c>
      <c r="J22" s="195">
        <v>77</v>
      </c>
      <c r="K22" s="195">
        <v>0</v>
      </c>
      <c r="L22" s="195">
        <v>74</v>
      </c>
      <c r="M22" s="195">
        <v>73</v>
      </c>
      <c r="N22" s="195">
        <v>0</v>
      </c>
      <c r="O22" s="188">
        <v>0</v>
      </c>
      <c r="P22" s="188">
        <v>0</v>
      </c>
      <c r="Q22" s="188">
        <v>10</v>
      </c>
      <c r="R22" s="188">
        <v>0</v>
      </c>
      <c r="S22" s="188">
        <v>0</v>
      </c>
      <c r="T22" s="188">
        <v>0</v>
      </c>
      <c r="U22" s="188">
        <v>40</v>
      </c>
      <c r="V22" s="188">
        <v>0</v>
      </c>
    </row>
    <row r="23" spans="1:22">
      <c r="A23" s="1223"/>
      <c r="B23" s="186" t="s">
        <v>45</v>
      </c>
      <c r="C23" s="188">
        <v>260</v>
      </c>
      <c r="D23" s="188">
        <v>0</v>
      </c>
      <c r="E23" s="188">
        <v>0</v>
      </c>
      <c r="F23" s="188">
        <v>0</v>
      </c>
      <c r="G23" s="195">
        <v>0</v>
      </c>
      <c r="H23" s="188">
        <v>0</v>
      </c>
      <c r="I23" s="188">
        <v>45</v>
      </c>
      <c r="J23" s="188">
        <v>66</v>
      </c>
      <c r="K23" s="188">
        <v>0</v>
      </c>
      <c r="L23" s="188">
        <v>63</v>
      </c>
      <c r="M23" s="188">
        <v>62</v>
      </c>
      <c r="N23" s="188">
        <v>0</v>
      </c>
      <c r="O23" s="188">
        <v>0</v>
      </c>
      <c r="P23" s="188">
        <v>0</v>
      </c>
      <c r="Q23" s="188">
        <v>10</v>
      </c>
      <c r="R23" s="188">
        <v>0</v>
      </c>
      <c r="S23" s="188">
        <v>0</v>
      </c>
      <c r="T23" s="188">
        <v>0</v>
      </c>
      <c r="U23" s="188">
        <v>1</v>
      </c>
      <c r="V23" s="188">
        <v>0</v>
      </c>
    </row>
    <row r="24" spans="1:22">
      <c r="A24" s="1223"/>
      <c r="B24" s="186" t="s">
        <v>46</v>
      </c>
      <c r="C24" s="195">
        <v>250</v>
      </c>
      <c r="D24" s="195">
        <v>0</v>
      </c>
      <c r="E24" s="195">
        <v>0</v>
      </c>
      <c r="F24" s="195">
        <v>0</v>
      </c>
      <c r="G24" s="195">
        <v>0</v>
      </c>
      <c r="H24" s="195">
        <v>0</v>
      </c>
      <c r="I24" s="195">
        <v>65</v>
      </c>
      <c r="J24" s="195">
        <v>65</v>
      </c>
      <c r="K24" s="195">
        <v>0</v>
      </c>
      <c r="L24" s="195">
        <v>62</v>
      </c>
      <c r="M24" s="195">
        <v>62</v>
      </c>
      <c r="N24" s="195">
        <v>0</v>
      </c>
      <c r="O24" s="195">
        <v>0</v>
      </c>
      <c r="P24" s="195">
        <v>0</v>
      </c>
      <c r="Q24" s="195">
        <v>8.9690399999999997</v>
      </c>
      <c r="R24" s="195">
        <v>0</v>
      </c>
      <c r="S24" s="195">
        <v>5.8906E-2</v>
      </c>
      <c r="T24" s="195">
        <v>0</v>
      </c>
      <c r="U24" s="195">
        <v>0</v>
      </c>
      <c r="V24" s="195">
        <v>0</v>
      </c>
    </row>
    <row r="25" spans="1:22">
      <c r="A25" s="1223"/>
      <c r="B25" s="186" t="s">
        <v>47</v>
      </c>
      <c r="C25" s="195">
        <v>270</v>
      </c>
      <c r="D25" s="195">
        <v>0</v>
      </c>
      <c r="E25" s="195">
        <v>0</v>
      </c>
      <c r="F25" s="195">
        <v>0</v>
      </c>
      <c r="G25" s="195">
        <v>0</v>
      </c>
      <c r="H25" s="195">
        <v>0</v>
      </c>
      <c r="I25" s="195">
        <v>45</v>
      </c>
      <c r="J25" s="195">
        <v>68</v>
      </c>
      <c r="K25" s="195">
        <v>0</v>
      </c>
      <c r="L25" s="195">
        <v>66</v>
      </c>
      <c r="M25" s="195">
        <v>65</v>
      </c>
      <c r="N25" s="195">
        <v>0</v>
      </c>
      <c r="O25" s="188">
        <v>0</v>
      </c>
      <c r="P25" s="188">
        <v>0</v>
      </c>
      <c r="Q25" s="188">
        <v>11</v>
      </c>
      <c r="R25" s="188">
        <v>0</v>
      </c>
      <c r="S25" s="188">
        <v>0</v>
      </c>
      <c r="T25" s="188">
        <v>0</v>
      </c>
      <c r="U25" s="188">
        <v>9</v>
      </c>
      <c r="V25" s="188">
        <v>0</v>
      </c>
    </row>
    <row r="26" spans="1:22">
      <c r="A26" s="1223"/>
      <c r="B26" s="186" t="s">
        <v>48</v>
      </c>
      <c r="C26" s="195">
        <v>220</v>
      </c>
      <c r="D26" s="195">
        <v>0</v>
      </c>
      <c r="E26" s="195">
        <v>0</v>
      </c>
      <c r="F26" s="195">
        <v>0</v>
      </c>
      <c r="G26" s="195">
        <v>0</v>
      </c>
      <c r="H26" s="195">
        <v>0</v>
      </c>
      <c r="I26" s="195">
        <v>35</v>
      </c>
      <c r="J26" s="195">
        <v>57</v>
      </c>
      <c r="K26" s="195">
        <v>0</v>
      </c>
      <c r="L26" s="195">
        <v>55</v>
      </c>
      <c r="M26" s="195">
        <v>55</v>
      </c>
      <c r="N26" s="195">
        <v>0</v>
      </c>
      <c r="O26" s="188">
        <v>0</v>
      </c>
      <c r="P26" s="188">
        <v>0</v>
      </c>
      <c r="Q26" s="188">
        <v>11</v>
      </c>
      <c r="R26" s="188">
        <v>0</v>
      </c>
      <c r="S26" s="188">
        <v>0</v>
      </c>
      <c r="T26" s="188">
        <v>0</v>
      </c>
      <c r="U26" s="188">
        <v>11</v>
      </c>
      <c r="V26" s="188">
        <v>0</v>
      </c>
    </row>
    <row r="27" spans="1:22">
      <c r="A27" s="1223"/>
      <c r="B27" s="186" t="s">
        <v>50</v>
      </c>
      <c r="C27" s="195">
        <v>290</v>
      </c>
      <c r="D27" s="195">
        <v>0</v>
      </c>
      <c r="E27" s="195">
        <v>0</v>
      </c>
      <c r="F27" s="195">
        <v>0</v>
      </c>
      <c r="G27" s="195">
        <v>0</v>
      </c>
      <c r="H27" s="195">
        <v>0</v>
      </c>
      <c r="I27" s="195">
        <v>45</v>
      </c>
      <c r="J27" s="195">
        <v>74</v>
      </c>
      <c r="K27" s="195">
        <v>0</v>
      </c>
      <c r="L27" s="195">
        <v>70</v>
      </c>
      <c r="M27" s="195">
        <v>69</v>
      </c>
      <c r="N27" s="195">
        <v>0</v>
      </c>
      <c r="O27" s="188">
        <v>0</v>
      </c>
      <c r="P27" s="188">
        <v>0</v>
      </c>
      <c r="Q27" s="188">
        <v>10</v>
      </c>
      <c r="R27" s="188">
        <v>0</v>
      </c>
      <c r="S27" s="188">
        <v>0</v>
      </c>
      <c r="T27" s="188">
        <v>0</v>
      </c>
      <c r="U27" s="188">
        <v>21</v>
      </c>
      <c r="V27" s="188">
        <v>0</v>
      </c>
    </row>
    <row r="28" spans="1:22">
      <c r="A28" s="1223"/>
      <c r="B28" s="186" t="s">
        <v>51</v>
      </c>
      <c r="C28" s="195">
        <v>290</v>
      </c>
      <c r="D28" s="195">
        <v>0</v>
      </c>
      <c r="E28" s="195">
        <v>0</v>
      </c>
      <c r="F28" s="195">
        <v>0</v>
      </c>
      <c r="G28" s="195">
        <v>0</v>
      </c>
      <c r="H28" s="195">
        <v>0</v>
      </c>
      <c r="I28" s="195">
        <v>40</v>
      </c>
      <c r="J28" s="195">
        <v>72</v>
      </c>
      <c r="K28" s="195">
        <v>0</v>
      </c>
      <c r="L28" s="195">
        <v>67</v>
      </c>
      <c r="M28" s="195">
        <v>53</v>
      </c>
      <c r="N28" s="195">
        <v>0</v>
      </c>
      <c r="O28" s="260">
        <v>0</v>
      </c>
      <c r="P28" s="260">
        <v>0</v>
      </c>
      <c r="Q28" s="260">
        <v>9</v>
      </c>
      <c r="R28" s="260">
        <v>0</v>
      </c>
      <c r="S28" s="260">
        <v>0</v>
      </c>
      <c r="T28" s="260">
        <v>0</v>
      </c>
      <c r="U28" s="260">
        <v>11</v>
      </c>
      <c r="V28" s="260">
        <v>0</v>
      </c>
    </row>
    <row r="29" spans="1:22">
      <c r="A29" s="1223"/>
      <c r="B29" s="186" t="s">
        <v>372</v>
      </c>
      <c r="C29" s="195">
        <v>230</v>
      </c>
      <c r="D29" s="195">
        <v>0</v>
      </c>
      <c r="E29" s="195">
        <v>0</v>
      </c>
      <c r="F29" s="195">
        <v>0</v>
      </c>
      <c r="G29" s="195">
        <v>0</v>
      </c>
      <c r="H29" s="195">
        <v>0</v>
      </c>
      <c r="I29" s="195">
        <v>40</v>
      </c>
      <c r="J29" s="195">
        <v>58</v>
      </c>
      <c r="K29" s="195">
        <v>0</v>
      </c>
      <c r="L29" s="195">
        <v>56</v>
      </c>
      <c r="M29" s="195">
        <v>55</v>
      </c>
      <c r="N29" s="195">
        <v>0</v>
      </c>
      <c r="O29" s="260">
        <v>0</v>
      </c>
      <c r="P29" s="260">
        <v>0</v>
      </c>
      <c r="Q29" s="260">
        <v>9</v>
      </c>
      <c r="R29" s="260">
        <v>0</v>
      </c>
      <c r="S29" s="260">
        <v>0</v>
      </c>
      <c r="T29" s="260">
        <v>0</v>
      </c>
      <c r="U29" s="260">
        <v>10</v>
      </c>
      <c r="V29" s="260">
        <v>0</v>
      </c>
    </row>
    <row r="30" spans="1:22">
      <c r="A30" s="1223"/>
      <c r="B30" s="186" t="s">
        <v>53</v>
      </c>
      <c r="C30" s="195">
        <v>290</v>
      </c>
      <c r="D30" s="195">
        <v>0</v>
      </c>
      <c r="E30" s="195">
        <v>0</v>
      </c>
      <c r="F30" s="195">
        <v>0</v>
      </c>
      <c r="G30" s="195">
        <v>0</v>
      </c>
      <c r="H30" s="195">
        <v>0</v>
      </c>
      <c r="I30" s="195">
        <v>40</v>
      </c>
      <c r="J30" s="195">
        <v>73</v>
      </c>
      <c r="K30" s="195">
        <v>0</v>
      </c>
      <c r="L30" s="195">
        <v>71</v>
      </c>
      <c r="M30" s="195">
        <v>69</v>
      </c>
      <c r="N30" s="195">
        <v>0</v>
      </c>
      <c r="O30" s="195">
        <v>0</v>
      </c>
      <c r="P30" s="195">
        <v>0</v>
      </c>
      <c r="Q30" s="195">
        <v>9</v>
      </c>
      <c r="R30" s="195">
        <v>0</v>
      </c>
      <c r="S30" s="195">
        <v>0</v>
      </c>
      <c r="T30" s="195">
        <v>0</v>
      </c>
      <c r="U30" s="195">
        <v>17</v>
      </c>
      <c r="V30" s="195">
        <v>0</v>
      </c>
    </row>
    <row r="31" spans="1:22">
      <c r="A31" s="1223"/>
      <c r="B31" s="186" t="s">
        <v>54</v>
      </c>
      <c r="C31" s="195">
        <v>300</v>
      </c>
      <c r="D31" s="195">
        <v>0</v>
      </c>
      <c r="E31" s="195">
        <v>0</v>
      </c>
      <c r="F31" s="195">
        <v>0</v>
      </c>
      <c r="G31" s="195">
        <v>0</v>
      </c>
      <c r="H31" s="195">
        <v>0</v>
      </c>
      <c r="I31" s="195">
        <v>45</v>
      </c>
      <c r="J31" s="195">
        <v>75</v>
      </c>
      <c r="K31" s="195">
        <v>0</v>
      </c>
      <c r="L31" s="195">
        <v>72</v>
      </c>
      <c r="M31" s="195">
        <v>71</v>
      </c>
      <c r="N31" s="195">
        <v>0</v>
      </c>
      <c r="O31" s="188">
        <v>0</v>
      </c>
      <c r="P31" s="188">
        <v>0</v>
      </c>
      <c r="Q31" s="188">
        <v>10</v>
      </c>
      <c r="R31" s="188">
        <v>0</v>
      </c>
      <c r="S31" s="188">
        <v>0</v>
      </c>
      <c r="T31" s="188">
        <v>0</v>
      </c>
      <c r="U31" s="188">
        <v>13</v>
      </c>
      <c r="V31" s="188">
        <v>0</v>
      </c>
    </row>
    <row r="32" spans="1:22">
      <c r="A32" s="1223"/>
      <c r="B32" s="186" t="s">
        <v>56</v>
      </c>
      <c r="C32" s="195">
        <v>190</v>
      </c>
      <c r="D32" s="195">
        <v>0</v>
      </c>
      <c r="E32" s="195">
        <v>0</v>
      </c>
      <c r="F32" s="195">
        <v>0</v>
      </c>
      <c r="G32" s="195">
        <v>0</v>
      </c>
      <c r="H32" s="195">
        <v>0</v>
      </c>
      <c r="I32" s="195">
        <v>45</v>
      </c>
      <c r="J32" s="195">
        <v>49</v>
      </c>
      <c r="K32" s="195">
        <v>0</v>
      </c>
      <c r="L32" s="195">
        <v>46</v>
      </c>
      <c r="M32" s="195">
        <v>45</v>
      </c>
      <c r="N32" s="195">
        <v>0</v>
      </c>
      <c r="O32" s="195">
        <v>0</v>
      </c>
      <c r="P32" s="195">
        <v>0</v>
      </c>
      <c r="Q32" s="195">
        <v>12</v>
      </c>
      <c r="R32" s="195">
        <v>0</v>
      </c>
      <c r="S32" s="195">
        <v>0</v>
      </c>
      <c r="T32" s="195">
        <v>0</v>
      </c>
      <c r="U32" s="195">
        <v>21</v>
      </c>
      <c r="V32" s="195">
        <v>0</v>
      </c>
    </row>
    <row r="33" spans="1:22">
      <c r="A33" s="1223"/>
      <c r="B33" s="186" t="s">
        <v>55</v>
      </c>
      <c r="C33" s="195">
        <v>250</v>
      </c>
      <c r="D33" s="195">
        <v>1</v>
      </c>
      <c r="E33" s="195">
        <v>0</v>
      </c>
      <c r="F33" s="195">
        <v>0</v>
      </c>
      <c r="G33" s="195">
        <v>0</v>
      </c>
      <c r="H33" s="195">
        <v>0</v>
      </c>
      <c r="I33" s="195">
        <v>50</v>
      </c>
      <c r="J33" s="195">
        <v>64</v>
      </c>
      <c r="K33" s="195">
        <v>0</v>
      </c>
      <c r="L33" s="195">
        <v>61</v>
      </c>
      <c r="M33" s="195">
        <v>60</v>
      </c>
      <c r="N33" s="195">
        <v>0</v>
      </c>
      <c r="O33" s="188">
        <v>0</v>
      </c>
      <c r="P33" s="188">
        <v>0</v>
      </c>
      <c r="Q33" s="188">
        <v>11</v>
      </c>
      <c r="R33" s="188">
        <v>0</v>
      </c>
      <c r="S33" s="188">
        <v>0</v>
      </c>
      <c r="T33" s="188">
        <v>0</v>
      </c>
      <c r="U33" s="188">
        <v>18</v>
      </c>
      <c r="V33" s="188">
        <v>0</v>
      </c>
    </row>
    <row r="34" spans="1:22">
      <c r="A34" s="1223"/>
      <c r="B34" s="186" t="s">
        <v>57</v>
      </c>
      <c r="C34" s="195">
        <v>380</v>
      </c>
      <c r="D34" s="195">
        <v>0</v>
      </c>
      <c r="E34" s="195">
        <v>0</v>
      </c>
      <c r="F34" s="195">
        <v>0</v>
      </c>
      <c r="G34" s="195">
        <v>0</v>
      </c>
      <c r="H34" s="195">
        <v>0</v>
      </c>
      <c r="I34" s="195">
        <v>45</v>
      </c>
      <c r="J34" s="195">
        <v>98</v>
      </c>
      <c r="K34" s="195">
        <v>0</v>
      </c>
      <c r="L34" s="195">
        <v>94</v>
      </c>
      <c r="M34" s="195">
        <v>91</v>
      </c>
      <c r="N34" s="195">
        <v>0</v>
      </c>
      <c r="O34" s="188">
        <v>0</v>
      </c>
      <c r="P34" s="188">
        <v>0</v>
      </c>
      <c r="Q34" s="188">
        <v>10</v>
      </c>
      <c r="R34" s="188">
        <v>0</v>
      </c>
      <c r="S34" s="188">
        <v>0</v>
      </c>
      <c r="T34" s="188">
        <v>0</v>
      </c>
      <c r="U34" s="188">
        <v>58</v>
      </c>
      <c r="V34" s="188">
        <v>2</v>
      </c>
    </row>
    <row r="35" spans="1:22">
      <c r="A35" s="1223"/>
      <c r="B35" s="186" t="s">
        <v>58</v>
      </c>
      <c r="C35" s="195">
        <v>280</v>
      </c>
      <c r="D35" s="195">
        <v>5</v>
      </c>
      <c r="E35" s="195">
        <v>0.5</v>
      </c>
      <c r="F35" s="195">
        <v>0</v>
      </c>
      <c r="G35" s="195">
        <v>0</v>
      </c>
      <c r="H35" s="195">
        <v>0</v>
      </c>
      <c r="I35" s="195">
        <v>40</v>
      </c>
      <c r="J35" s="195">
        <v>72</v>
      </c>
      <c r="K35" s="195">
        <v>0</v>
      </c>
      <c r="L35" s="195">
        <v>69</v>
      </c>
      <c r="M35" s="195">
        <v>68</v>
      </c>
      <c r="N35" s="195">
        <v>0</v>
      </c>
      <c r="O35" s="188">
        <v>0</v>
      </c>
      <c r="P35" s="188">
        <v>0</v>
      </c>
      <c r="Q35" s="188">
        <v>11</v>
      </c>
      <c r="R35" s="188">
        <v>0</v>
      </c>
      <c r="S35" s="188">
        <v>0</v>
      </c>
      <c r="T35" s="188">
        <v>0</v>
      </c>
      <c r="U35" s="188">
        <v>2</v>
      </c>
      <c r="V35" s="188">
        <v>0</v>
      </c>
    </row>
    <row r="36" spans="1:22">
      <c r="A36" s="1223"/>
      <c r="B36" s="186" t="s">
        <v>59</v>
      </c>
      <c r="C36" s="195">
        <v>260</v>
      </c>
      <c r="D36" s="195">
        <v>0</v>
      </c>
      <c r="E36" s="195">
        <v>0</v>
      </c>
      <c r="F36" s="195">
        <v>0</v>
      </c>
      <c r="G36" s="195">
        <v>0</v>
      </c>
      <c r="H36" s="195">
        <v>0</v>
      </c>
      <c r="I36" s="195">
        <v>40</v>
      </c>
      <c r="J36" s="195">
        <v>65</v>
      </c>
      <c r="K36" s="195">
        <v>0</v>
      </c>
      <c r="L36" s="195">
        <v>63</v>
      </c>
      <c r="M36" s="195">
        <v>62</v>
      </c>
      <c r="N36" s="195">
        <v>0</v>
      </c>
      <c r="O36" s="188">
        <v>0</v>
      </c>
      <c r="P36" s="188">
        <v>0</v>
      </c>
      <c r="Q36" s="188">
        <v>9</v>
      </c>
      <c r="R36" s="188">
        <v>0</v>
      </c>
      <c r="S36" s="188">
        <v>0</v>
      </c>
      <c r="T36" s="188">
        <v>0</v>
      </c>
      <c r="U36" s="188">
        <v>14</v>
      </c>
      <c r="V36" s="188">
        <v>0</v>
      </c>
    </row>
    <row r="37" spans="1:22">
      <c r="A37" s="1223"/>
      <c r="B37" s="186" t="s">
        <v>60</v>
      </c>
      <c r="C37" s="195">
        <v>280</v>
      </c>
      <c r="D37" s="195">
        <v>0</v>
      </c>
      <c r="E37" s="195">
        <v>0</v>
      </c>
      <c r="F37" s="195">
        <v>0</v>
      </c>
      <c r="G37" s="195">
        <v>0</v>
      </c>
      <c r="H37" s="195">
        <v>0</v>
      </c>
      <c r="I37" s="195">
        <v>40</v>
      </c>
      <c r="J37" s="195">
        <v>71</v>
      </c>
      <c r="K37" s="195">
        <v>1</v>
      </c>
      <c r="L37" s="195">
        <v>67</v>
      </c>
      <c r="M37" s="195">
        <v>67</v>
      </c>
      <c r="N37" s="195">
        <v>0</v>
      </c>
      <c r="O37" s="188">
        <v>0</v>
      </c>
      <c r="P37" s="188">
        <v>0</v>
      </c>
      <c r="Q37" s="188">
        <v>12</v>
      </c>
      <c r="R37" s="188">
        <v>0</v>
      </c>
      <c r="S37" s="188">
        <v>0</v>
      </c>
      <c r="T37" s="188">
        <v>0</v>
      </c>
      <c r="U37" s="188">
        <v>28</v>
      </c>
      <c r="V37" s="188">
        <v>0</v>
      </c>
    </row>
    <row r="38" spans="1:22">
      <c r="A38" s="1223"/>
      <c r="B38" s="186" t="s">
        <v>61</v>
      </c>
      <c r="C38" s="195">
        <v>290</v>
      </c>
      <c r="D38" s="195">
        <v>0</v>
      </c>
      <c r="E38" s="195">
        <v>0</v>
      </c>
      <c r="F38" s="195">
        <v>0</v>
      </c>
      <c r="G38" s="195">
        <v>0</v>
      </c>
      <c r="H38" s="195">
        <v>0</v>
      </c>
      <c r="I38" s="195">
        <v>55</v>
      </c>
      <c r="J38" s="195">
        <v>74</v>
      </c>
      <c r="K38" s="195">
        <v>1</v>
      </c>
      <c r="L38" s="195">
        <v>70</v>
      </c>
      <c r="M38" s="195">
        <v>61</v>
      </c>
      <c r="N38" s="195">
        <v>0</v>
      </c>
      <c r="O38" s="188">
        <v>0</v>
      </c>
      <c r="P38" s="188">
        <v>0</v>
      </c>
      <c r="Q38" s="188">
        <v>12</v>
      </c>
      <c r="R38" s="188">
        <v>0</v>
      </c>
      <c r="S38" s="188">
        <v>0</v>
      </c>
      <c r="T38" s="188">
        <v>0</v>
      </c>
      <c r="U38" s="188">
        <v>41</v>
      </c>
      <c r="V38" s="188">
        <v>0</v>
      </c>
    </row>
    <row r="39" spans="1:22">
      <c r="A39" s="1223"/>
      <c r="B39" s="186" t="s">
        <v>62</v>
      </c>
      <c r="C39" s="195">
        <v>410</v>
      </c>
      <c r="D39" s="195">
        <v>60</v>
      </c>
      <c r="E39" s="195">
        <v>7</v>
      </c>
      <c r="F39" s="195">
        <v>1.5</v>
      </c>
      <c r="G39" s="195">
        <v>0</v>
      </c>
      <c r="H39" s="195">
        <v>0</v>
      </c>
      <c r="I39" s="195">
        <v>115</v>
      </c>
      <c r="J39" s="195">
        <v>88</v>
      </c>
      <c r="K39" s="195">
        <v>1</v>
      </c>
      <c r="L39" s="195">
        <v>83</v>
      </c>
      <c r="M39" s="195">
        <v>81</v>
      </c>
      <c r="N39" s="195">
        <v>3</v>
      </c>
      <c r="O39" s="188">
        <v>0</v>
      </c>
      <c r="P39" s="188">
        <v>0</v>
      </c>
      <c r="Q39" s="188">
        <v>23</v>
      </c>
      <c r="R39" s="188">
        <v>2</v>
      </c>
      <c r="S39" s="188">
        <v>1</v>
      </c>
      <c r="T39" s="188">
        <v>6</v>
      </c>
      <c r="U39" s="188">
        <v>86</v>
      </c>
      <c r="V39" s="188">
        <v>2</v>
      </c>
    </row>
    <row r="40" spans="1:22">
      <c r="A40" s="1223"/>
      <c r="B40" s="186" t="s">
        <v>63</v>
      </c>
      <c r="C40" s="195">
        <v>390</v>
      </c>
      <c r="D40" s="195">
        <v>90</v>
      </c>
      <c r="E40" s="195">
        <v>10</v>
      </c>
      <c r="F40" s="195">
        <v>1.5</v>
      </c>
      <c r="G40" s="195">
        <v>0</v>
      </c>
      <c r="H40" s="195">
        <v>0</v>
      </c>
      <c r="I40" s="195">
        <v>115</v>
      </c>
      <c r="J40" s="195">
        <v>75</v>
      </c>
      <c r="K40" s="195">
        <v>0</v>
      </c>
      <c r="L40" s="195">
        <v>72</v>
      </c>
      <c r="M40" s="195">
        <v>69</v>
      </c>
      <c r="N40" s="195">
        <v>3</v>
      </c>
      <c r="O40" s="188">
        <v>0</v>
      </c>
      <c r="P40" s="188">
        <v>0</v>
      </c>
      <c r="Q40" s="188">
        <v>21</v>
      </c>
      <c r="R40" s="188">
        <v>2</v>
      </c>
      <c r="S40" s="188">
        <v>1</v>
      </c>
      <c r="T40" s="188">
        <v>6</v>
      </c>
      <c r="U40" s="188">
        <v>4</v>
      </c>
      <c r="V40" s="188">
        <v>0</v>
      </c>
    </row>
    <row r="41" spans="1:22">
      <c r="A41" s="1223"/>
      <c r="B41" s="186" t="s">
        <v>64</v>
      </c>
      <c r="C41" s="195">
        <v>270</v>
      </c>
      <c r="D41" s="195">
        <v>0</v>
      </c>
      <c r="E41" s="195">
        <v>0</v>
      </c>
      <c r="F41" s="195">
        <v>0</v>
      </c>
      <c r="G41" s="195">
        <v>0</v>
      </c>
      <c r="H41" s="195">
        <v>0</v>
      </c>
      <c r="I41" s="195">
        <v>40</v>
      </c>
      <c r="J41" s="195">
        <v>68</v>
      </c>
      <c r="K41" s="195">
        <v>0</v>
      </c>
      <c r="L41" s="195">
        <v>66</v>
      </c>
      <c r="M41" s="195">
        <v>66</v>
      </c>
      <c r="N41" s="195">
        <v>0</v>
      </c>
      <c r="O41" s="188">
        <v>0</v>
      </c>
      <c r="P41" s="188">
        <v>0</v>
      </c>
      <c r="Q41" s="188">
        <v>10</v>
      </c>
      <c r="R41" s="188">
        <v>0</v>
      </c>
      <c r="S41" s="188">
        <v>0</v>
      </c>
      <c r="T41" s="188">
        <v>0</v>
      </c>
      <c r="U41" s="188">
        <v>21</v>
      </c>
      <c r="V41" s="188">
        <v>0</v>
      </c>
    </row>
    <row r="42" spans="1:22">
      <c r="A42" s="1223"/>
      <c r="B42" s="186" t="s">
        <v>65</v>
      </c>
      <c r="C42" s="195">
        <v>270</v>
      </c>
      <c r="D42" s="195">
        <v>0</v>
      </c>
      <c r="E42" s="195">
        <v>0</v>
      </c>
      <c r="F42" s="195">
        <v>0</v>
      </c>
      <c r="G42" s="195">
        <v>0</v>
      </c>
      <c r="H42" s="195">
        <v>0</v>
      </c>
      <c r="I42" s="195">
        <v>40</v>
      </c>
      <c r="J42" s="195">
        <v>73</v>
      </c>
      <c r="K42" s="195">
        <v>0</v>
      </c>
      <c r="L42" s="195">
        <v>71</v>
      </c>
      <c r="M42" s="195">
        <v>71</v>
      </c>
      <c r="N42" s="195">
        <v>0</v>
      </c>
      <c r="O42" s="188">
        <v>0</v>
      </c>
      <c r="P42" s="188">
        <v>0</v>
      </c>
      <c r="Q42" s="188">
        <v>8</v>
      </c>
      <c r="R42" s="188">
        <v>0</v>
      </c>
      <c r="S42" s="188">
        <v>0</v>
      </c>
      <c r="T42" s="188">
        <v>0</v>
      </c>
      <c r="U42" s="188">
        <v>0</v>
      </c>
      <c r="V42" s="188">
        <v>0</v>
      </c>
    </row>
    <row r="43" spans="1:22">
      <c r="A43" s="1223"/>
      <c r="B43" s="186" t="s">
        <v>66</v>
      </c>
      <c r="C43" s="195">
        <v>270</v>
      </c>
      <c r="D43" s="195">
        <v>0</v>
      </c>
      <c r="E43" s="195">
        <v>0</v>
      </c>
      <c r="F43" s="195">
        <v>0</v>
      </c>
      <c r="G43" s="195">
        <v>0</v>
      </c>
      <c r="H43" s="195">
        <v>0</v>
      </c>
      <c r="I43" s="195">
        <v>45</v>
      </c>
      <c r="J43" s="195">
        <v>69</v>
      </c>
      <c r="K43" s="195">
        <v>0</v>
      </c>
      <c r="L43" s="195">
        <v>67</v>
      </c>
      <c r="M43" s="195">
        <v>66</v>
      </c>
      <c r="N43" s="195">
        <v>0</v>
      </c>
      <c r="O43" s="188">
        <v>0</v>
      </c>
      <c r="P43" s="188">
        <v>0</v>
      </c>
      <c r="Q43" s="188">
        <v>10</v>
      </c>
      <c r="R43" s="188">
        <v>0</v>
      </c>
      <c r="S43" s="188">
        <v>0</v>
      </c>
      <c r="T43" s="188">
        <v>0</v>
      </c>
      <c r="U43" s="188">
        <v>4</v>
      </c>
      <c r="V43" s="188">
        <v>0</v>
      </c>
    </row>
    <row r="44" spans="1:22">
      <c r="A44" s="1223"/>
      <c r="B44" s="186" t="s">
        <v>67</v>
      </c>
      <c r="C44" s="195">
        <v>300</v>
      </c>
      <c r="D44" s="195">
        <v>0</v>
      </c>
      <c r="E44" s="195">
        <v>0</v>
      </c>
      <c r="F44" s="195">
        <v>0</v>
      </c>
      <c r="G44" s="195">
        <v>0</v>
      </c>
      <c r="H44" s="195">
        <v>0</v>
      </c>
      <c r="I44" s="195">
        <v>40</v>
      </c>
      <c r="J44" s="195">
        <v>76</v>
      </c>
      <c r="K44" s="195">
        <v>0</v>
      </c>
      <c r="L44" s="195">
        <v>73</v>
      </c>
      <c r="M44" s="195">
        <v>73</v>
      </c>
      <c r="N44" s="195">
        <v>0</v>
      </c>
      <c r="O44" s="188">
        <v>0</v>
      </c>
      <c r="P44" s="188">
        <v>0</v>
      </c>
      <c r="Q44" s="188">
        <v>9</v>
      </c>
      <c r="R44" s="188">
        <v>0</v>
      </c>
      <c r="S44" s="188">
        <v>0</v>
      </c>
      <c r="T44" s="188">
        <v>0</v>
      </c>
      <c r="U44" s="188">
        <v>3</v>
      </c>
      <c r="V44" s="188">
        <v>0</v>
      </c>
    </row>
    <row r="45" spans="1:22">
      <c r="A45" s="1223"/>
      <c r="B45" s="186" t="s">
        <v>68</v>
      </c>
      <c r="C45" s="195">
        <v>290</v>
      </c>
      <c r="D45" s="195">
        <v>0</v>
      </c>
      <c r="E45" s="195">
        <v>0</v>
      </c>
      <c r="F45" s="195">
        <v>0</v>
      </c>
      <c r="G45" s="195">
        <v>0</v>
      </c>
      <c r="H45" s="195">
        <v>0</v>
      </c>
      <c r="I45" s="195">
        <v>35</v>
      </c>
      <c r="J45" s="195">
        <v>75</v>
      </c>
      <c r="K45" s="195">
        <v>0</v>
      </c>
      <c r="L45" s="195">
        <v>71</v>
      </c>
      <c r="M45" s="195">
        <v>48</v>
      </c>
      <c r="N45" s="195">
        <v>0</v>
      </c>
      <c r="O45" s="260">
        <v>0</v>
      </c>
      <c r="P45" s="260">
        <v>0</v>
      </c>
      <c r="Q45" s="260">
        <v>11</v>
      </c>
      <c r="R45" s="260">
        <v>0</v>
      </c>
      <c r="S45" s="260">
        <v>0</v>
      </c>
      <c r="T45" s="260">
        <v>0</v>
      </c>
      <c r="U45" s="260">
        <v>19</v>
      </c>
      <c r="V45" s="260">
        <v>0</v>
      </c>
    </row>
    <row r="46" spans="1:22">
      <c r="A46" s="1223"/>
      <c r="B46" s="186" t="s">
        <v>69</v>
      </c>
      <c r="C46" s="195">
        <v>260</v>
      </c>
      <c r="D46" s="195">
        <v>0</v>
      </c>
      <c r="E46" s="195">
        <v>0</v>
      </c>
      <c r="F46" s="195">
        <v>0</v>
      </c>
      <c r="G46" s="195">
        <v>0</v>
      </c>
      <c r="H46" s="195">
        <v>0</v>
      </c>
      <c r="I46" s="195">
        <v>50</v>
      </c>
      <c r="J46" s="195">
        <v>66</v>
      </c>
      <c r="K46" s="195">
        <v>0</v>
      </c>
      <c r="L46" s="195">
        <v>63</v>
      </c>
      <c r="M46" s="195">
        <v>59</v>
      </c>
      <c r="N46" s="195">
        <v>0</v>
      </c>
      <c r="O46" s="195">
        <v>0</v>
      </c>
      <c r="P46" s="195">
        <v>0</v>
      </c>
      <c r="Q46" s="195">
        <v>9.8999400000000009</v>
      </c>
      <c r="R46" s="195">
        <v>0</v>
      </c>
      <c r="S46" s="195">
        <v>7.7348E-2</v>
      </c>
      <c r="T46" s="195">
        <v>0</v>
      </c>
      <c r="U46" s="195">
        <v>15</v>
      </c>
      <c r="V46" s="195">
        <v>0</v>
      </c>
    </row>
    <row r="47" spans="1:22" s="248" customFormat="1">
      <c r="A47" s="1223"/>
      <c r="B47" s="186" t="s">
        <v>71</v>
      </c>
      <c r="C47" s="195">
        <v>280</v>
      </c>
      <c r="D47" s="195">
        <v>0</v>
      </c>
      <c r="E47" s="195">
        <v>0</v>
      </c>
      <c r="F47" s="195">
        <v>0</v>
      </c>
      <c r="G47" s="195">
        <v>0</v>
      </c>
      <c r="H47" s="195">
        <v>0</v>
      </c>
      <c r="I47" s="195">
        <v>40</v>
      </c>
      <c r="J47" s="195">
        <v>71</v>
      </c>
      <c r="K47" s="195">
        <v>0</v>
      </c>
      <c r="L47" s="195">
        <v>68</v>
      </c>
      <c r="M47" s="195">
        <v>67</v>
      </c>
      <c r="N47" s="195">
        <v>0</v>
      </c>
      <c r="O47" s="188">
        <v>0</v>
      </c>
      <c r="P47" s="188">
        <v>0</v>
      </c>
      <c r="Q47" s="188">
        <v>10</v>
      </c>
      <c r="R47" s="188">
        <v>0</v>
      </c>
      <c r="S47" s="188">
        <v>0</v>
      </c>
      <c r="T47" s="188">
        <v>0</v>
      </c>
      <c r="U47" s="188">
        <v>18</v>
      </c>
      <c r="V47" s="188">
        <v>0</v>
      </c>
    </row>
    <row r="48" spans="1:22" s="248" customFormat="1">
      <c r="A48" s="1223"/>
      <c r="B48" s="186" t="s">
        <v>73</v>
      </c>
      <c r="C48" s="195">
        <v>320</v>
      </c>
      <c r="D48" s="195">
        <v>5</v>
      </c>
      <c r="E48" s="195">
        <v>0.5</v>
      </c>
      <c r="F48" s="195">
        <v>0.5</v>
      </c>
      <c r="G48" s="195">
        <v>0</v>
      </c>
      <c r="H48" s="195">
        <v>0</v>
      </c>
      <c r="I48" s="195">
        <v>45</v>
      </c>
      <c r="J48" s="195">
        <v>79</v>
      </c>
      <c r="K48" s="195">
        <v>0</v>
      </c>
      <c r="L48" s="195">
        <v>76</v>
      </c>
      <c r="M48" s="195">
        <v>73</v>
      </c>
      <c r="N48" s="195">
        <v>0</v>
      </c>
      <c r="O48" s="195">
        <v>0</v>
      </c>
      <c r="P48" s="195">
        <v>0</v>
      </c>
      <c r="Q48" s="195">
        <v>9</v>
      </c>
      <c r="R48" s="195">
        <v>0</v>
      </c>
      <c r="S48" s="195">
        <v>0</v>
      </c>
      <c r="T48" s="195">
        <v>0</v>
      </c>
      <c r="U48" s="195">
        <v>6</v>
      </c>
      <c r="V48" s="195">
        <v>0</v>
      </c>
    </row>
    <row r="49" spans="1:22" s="223" customFormat="1">
      <c r="A49" s="1223"/>
      <c r="B49" s="186" t="s">
        <v>72</v>
      </c>
      <c r="C49" s="195">
        <v>330</v>
      </c>
      <c r="D49" s="195">
        <v>0</v>
      </c>
      <c r="E49" s="195">
        <v>0</v>
      </c>
      <c r="F49" s="195">
        <v>0</v>
      </c>
      <c r="G49" s="195">
        <v>0</v>
      </c>
      <c r="H49" s="195">
        <v>0</v>
      </c>
      <c r="I49" s="195">
        <v>75</v>
      </c>
      <c r="J49" s="195">
        <v>83</v>
      </c>
      <c r="K49" s="195">
        <v>0</v>
      </c>
      <c r="L49" s="195">
        <v>81</v>
      </c>
      <c r="M49" s="195">
        <v>81</v>
      </c>
      <c r="N49" s="195">
        <v>0</v>
      </c>
      <c r="O49" s="188">
        <v>0</v>
      </c>
      <c r="P49" s="188">
        <v>0</v>
      </c>
      <c r="Q49" s="188">
        <v>9</v>
      </c>
      <c r="R49" s="188">
        <v>0</v>
      </c>
      <c r="S49" s="188">
        <v>0</v>
      </c>
      <c r="T49" s="188">
        <v>0</v>
      </c>
      <c r="U49" s="188">
        <v>1</v>
      </c>
      <c r="V49" s="188">
        <v>0</v>
      </c>
    </row>
    <row r="50" spans="1:22" s="248" customFormat="1" ht="15" customHeight="1">
      <c r="A50" s="1223"/>
      <c r="B50" s="186" t="s">
        <v>74</v>
      </c>
      <c r="C50" s="195">
        <v>270</v>
      </c>
      <c r="D50" s="195">
        <v>0</v>
      </c>
      <c r="E50" s="195">
        <v>0</v>
      </c>
      <c r="F50" s="195">
        <v>0</v>
      </c>
      <c r="G50" s="195">
        <v>0</v>
      </c>
      <c r="H50" s="195">
        <v>0</v>
      </c>
      <c r="I50" s="195">
        <v>45</v>
      </c>
      <c r="J50" s="195">
        <v>71</v>
      </c>
      <c r="K50" s="195">
        <v>0</v>
      </c>
      <c r="L50" s="195">
        <v>68</v>
      </c>
      <c r="M50" s="195">
        <v>65</v>
      </c>
      <c r="N50" s="195">
        <v>0</v>
      </c>
      <c r="O50" s="188">
        <v>0</v>
      </c>
      <c r="P50" s="188">
        <v>0</v>
      </c>
      <c r="Q50" s="188">
        <v>10</v>
      </c>
      <c r="R50" s="188">
        <v>0</v>
      </c>
      <c r="S50" s="188">
        <v>0</v>
      </c>
      <c r="T50" s="188">
        <v>0</v>
      </c>
      <c r="U50" s="188">
        <v>1</v>
      </c>
      <c r="V50" s="188">
        <v>0</v>
      </c>
    </row>
    <row r="51" spans="1:22" s="248" customFormat="1">
      <c r="A51" s="1223"/>
      <c r="B51" s="186" t="s">
        <v>75</v>
      </c>
      <c r="C51" s="195">
        <v>260</v>
      </c>
      <c r="D51" s="195">
        <v>0</v>
      </c>
      <c r="E51" s="195">
        <v>0</v>
      </c>
      <c r="F51" s="195">
        <v>0</v>
      </c>
      <c r="G51" s="195">
        <v>0</v>
      </c>
      <c r="H51" s="195">
        <v>0</v>
      </c>
      <c r="I51" s="195">
        <v>45</v>
      </c>
      <c r="J51" s="195">
        <v>66</v>
      </c>
      <c r="K51" s="195">
        <v>0</v>
      </c>
      <c r="L51" s="195">
        <v>64</v>
      </c>
      <c r="M51" s="195">
        <v>64</v>
      </c>
      <c r="N51" s="195">
        <v>0</v>
      </c>
      <c r="O51" s="188">
        <v>0</v>
      </c>
      <c r="P51" s="188">
        <v>0</v>
      </c>
      <c r="Q51" s="188">
        <v>9</v>
      </c>
      <c r="R51" s="188">
        <v>0</v>
      </c>
      <c r="S51" s="188">
        <v>0</v>
      </c>
      <c r="T51" s="188">
        <v>0</v>
      </c>
      <c r="U51" s="188">
        <v>20</v>
      </c>
      <c r="V51" s="188">
        <v>0</v>
      </c>
    </row>
    <row r="52" spans="1:22" s="248" customFormat="1">
      <c r="A52" s="1223"/>
      <c r="B52" s="186" t="s">
        <v>76</v>
      </c>
      <c r="C52" s="195">
        <v>300</v>
      </c>
      <c r="D52" s="195">
        <v>0</v>
      </c>
      <c r="E52" s="195">
        <v>0</v>
      </c>
      <c r="F52" s="195">
        <v>0</v>
      </c>
      <c r="G52" s="195">
        <v>0</v>
      </c>
      <c r="H52" s="195">
        <v>0</v>
      </c>
      <c r="I52" s="195">
        <v>40</v>
      </c>
      <c r="J52" s="195">
        <v>77</v>
      </c>
      <c r="K52" s="195">
        <v>0</v>
      </c>
      <c r="L52" s="195">
        <v>74</v>
      </c>
      <c r="M52" s="195">
        <v>74</v>
      </c>
      <c r="N52" s="195">
        <v>0</v>
      </c>
      <c r="O52" s="195">
        <v>0</v>
      </c>
      <c r="P52" s="195">
        <v>0</v>
      </c>
      <c r="Q52" s="195">
        <v>9</v>
      </c>
      <c r="R52" s="195">
        <v>0</v>
      </c>
      <c r="S52" s="195">
        <v>0</v>
      </c>
      <c r="T52" s="195">
        <v>0</v>
      </c>
      <c r="U52" s="195">
        <v>9</v>
      </c>
      <c r="V52" s="195">
        <v>0</v>
      </c>
    </row>
    <row r="53" spans="1:22" s="248" customFormat="1">
      <c r="A53" s="1223"/>
      <c r="B53" s="186" t="s">
        <v>77</v>
      </c>
      <c r="C53" s="195">
        <v>300</v>
      </c>
      <c r="D53" s="195">
        <v>0</v>
      </c>
      <c r="E53" s="195">
        <v>0</v>
      </c>
      <c r="F53" s="195">
        <v>0</v>
      </c>
      <c r="G53" s="195">
        <v>0</v>
      </c>
      <c r="H53" s="195">
        <v>0</v>
      </c>
      <c r="I53" s="195">
        <v>40</v>
      </c>
      <c r="J53" s="195">
        <v>76</v>
      </c>
      <c r="K53" s="195">
        <v>0</v>
      </c>
      <c r="L53" s="195">
        <v>72</v>
      </c>
      <c r="M53" s="195">
        <v>71</v>
      </c>
      <c r="N53" s="195">
        <v>0</v>
      </c>
      <c r="O53" s="188">
        <v>0</v>
      </c>
      <c r="P53" s="188">
        <v>0</v>
      </c>
      <c r="Q53" s="188">
        <v>11</v>
      </c>
      <c r="R53" s="188">
        <v>0</v>
      </c>
      <c r="S53" s="188">
        <v>0</v>
      </c>
      <c r="T53" s="188">
        <v>0</v>
      </c>
      <c r="U53" s="188">
        <v>11</v>
      </c>
      <c r="V53" s="188">
        <v>0</v>
      </c>
    </row>
    <row r="54" spans="1:22" s="248" customFormat="1">
      <c r="A54" s="1223"/>
      <c r="B54" s="186" t="s">
        <v>78</v>
      </c>
      <c r="C54" s="188">
        <v>310</v>
      </c>
      <c r="D54" s="188">
        <v>0</v>
      </c>
      <c r="E54" s="188">
        <v>0</v>
      </c>
      <c r="F54" s="188">
        <v>0</v>
      </c>
      <c r="G54" s="188">
        <v>0</v>
      </c>
      <c r="H54" s="188">
        <v>0</v>
      </c>
      <c r="I54" s="188">
        <v>40</v>
      </c>
      <c r="J54" s="188">
        <v>75</v>
      </c>
      <c r="K54" s="188">
        <v>0</v>
      </c>
      <c r="L54" s="188">
        <v>71</v>
      </c>
      <c r="M54" s="188">
        <v>68</v>
      </c>
      <c r="N54" s="188">
        <v>1</v>
      </c>
      <c r="O54" s="188">
        <v>0</v>
      </c>
      <c r="P54" s="188">
        <v>0</v>
      </c>
      <c r="Q54" s="188">
        <v>16</v>
      </c>
      <c r="R54" s="188">
        <v>2</v>
      </c>
      <c r="S54" s="188">
        <v>0</v>
      </c>
      <c r="T54" s="188">
        <v>0</v>
      </c>
      <c r="U54" s="188">
        <v>26</v>
      </c>
      <c r="V54" s="188">
        <v>0</v>
      </c>
    </row>
    <row r="55" spans="1:22" s="248" customFormat="1">
      <c r="A55" s="1223"/>
      <c r="B55" s="186" t="s">
        <v>180</v>
      </c>
      <c r="C55" s="188">
        <v>280</v>
      </c>
      <c r="D55" s="188">
        <v>0</v>
      </c>
      <c r="E55" s="188">
        <v>0</v>
      </c>
      <c r="F55" s="188">
        <v>0</v>
      </c>
      <c r="G55" s="188">
        <v>0</v>
      </c>
      <c r="H55" s="188">
        <v>0</v>
      </c>
      <c r="I55" s="188">
        <v>125</v>
      </c>
      <c r="J55" s="188">
        <v>71</v>
      </c>
      <c r="K55" s="188">
        <v>0</v>
      </c>
      <c r="L55" s="188">
        <v>65</v>
      </c>
      <c r="M55" s="188">
        <v>65</v>
      </c>
      <c r="N55" s="188">
        <v>0</v>
      </c>
      <c r="O55" s="188">
        <v>0</v>
      </c>
      <c r="P55" s="188">
        <v>0</v>
      </c>
      <c r="Q55" s="188">
        <v>9</v>
      </c>
      <c r="R55" s="188">
        <v>0</v>
      </c>
      <c r="S55" s="188">
        <v>1</v>
      </c>
      <c r="T55" s="188">
        <v>6</v>
      </c>
      <c r="U55" s="188">
        <v>25</v>
      </c>
      <c r="V55" s="188">
        <v>0</v>
      </c>
    </row>
    <row r="56" spans="1:22" s="248" customFormat="1" ht="16.3" thickBot="1">
      <c r="A56" s="1224"/>
      <c r="B56" s="186" t="s">
        <v>315</v>
      </c>
      <c r="C56" s="188">
        <v>210</v>
      </c>
      <c r="D56" s="188">
        <v>0</v>
      </c>
      <c r="E56" s="188">
        <v>0</v>
      </c>
      <c r="F56" s="188">
        <v>0</v>
      </c>
      <c r="G56" s="188">
        <v>0</v>
      </c>
      <c r="H56" s="188">
        <v>0</v>
      </c>
      <c r="I56" s="188">
        <v>40</v>
      </c>
      <c r="J56" s="188">
        <v>55</v>
      </c>
      <c r="K56" s="188">
        <v>0</v>
      </c>
      <c r="L56" s="188">
        <v>52</v>
      </c>
      <c r="M56" s="188">
        <v>52</v>
      </c>
      <c r="N56" s="188">
        <v>0</v>
      </c>
      <c r="O56" s="188">
        <v>0</v>
      </c>
      <c r="P56" s="188">
        <v>0</v>
      </c>
      <c r="Q56" s="188">
        <v>10</v>
      </c>
      <c r="R56" s="188">
        <v>0</v>
      </c>
      <c r="S56" s="188">
        <v>0</v>
      </c>
      <c r="T56" s="188">
        <v>0</v>
      </c>
      <c r="U56" s="188">
        <v>12</v>
      </c>
      <c r="V56" s="188">
        <v>0</v>
      </c>
    </row>
    <row r="57" spans="1:22" s="248" customFormat="1" ht="14.25" customHeight="1">
      <c r="A57" s="1219" t="s">
        <v>79</v>
      </c>
      <c r="B57" s="186" t="s">
        <v>80</v>
      </c>
      <c r="C57" s="195">
        <v>290</v>
      </c>
      <c r="D57" s="195">
        <v>0</v>
      </c>
      <c r="E57" s="195">
        <v>0</v>
      </c>
      <c r="F57" s="195">
        <v>0</v>
      </c>
      <c r="G57" s="195">
        <v>0</v>
      </c>
      <c r="H57" s="195">
        <v>0</v>
      </c>
      <c r="I57" s="195">
        <v>15</v>
      </c>
      <c r="J57" s="195">
        <v>58</v>
      </c>
      <c r="K57" s="195">
        <v>2</v>
      </c>
      <c r="L57" s="195">
        <v>55</v>
      </c>
      <c r="M57" s="195">
        <v>52</v>
      </c>
      <c r="N57" s="195">
        <v>1</v>
      </c>
      <c r="O57" s="188">
        <v>0</v>
      </c>
      <c r="P57" s="188">
        <v>0</v>
      </c>
      <c r="Q57" s="188">
        <v>24</v>
      </c>
      <c r="R57" s="188">
        <v>2</v>
      </c>
      <c r="S57" s="188">
        <v>0</v>
      </c>
      <c r="T57" s="188">
        <v>0</v>
      </c>
      <c r="U57" s="188">
        <v>213</v>
      </c>
      <c r="V57" s="188">
        <v>4</v>
      </c>
    </row>
    <row r="58" spans="1:22">
      <c r="A58" s="1220"/>
      <c r="B58" s="186" t="s">
        <v>82</v>
      </c>
      <c r="C58" s="195">
        <v>230</v>
      </c>
      <c r="D58" s="195">
        <v>0</v>
      </c>
      <c r="E58" s="195">
        <v>0</v>
      </c>
      <c r="F58" s="195">
        <v>0</v>
      </c>
      <c r="G58" s="195">
        <v>0</v>
      </c>
      <c r="H58" s="195">
        <v>0</v>
      </c>
      <c r="I58" s="195">
        <v>15</v>
      </c>
      <c r="J58" s="195">
        <v>59</v>
      </c>
      <c r="K58" s="195">
        <v>0</v>
      </c>
      <c r="L58" s="195">
        <v>56</v>
      </c>
      <c r="M58" s="195">
        <v>55</v>
      </c>
      <c r="N58" s="195">
        <v>0</v>
      </c>
      <c r="O58" s="195">
        <v>0</v>
      </c>
      <c r="P58" s="195">
        <v>0</v>
      </c>
      <c r="Q58" s="195">
        <v>13</v>
      </c>
      <c r="R58" s="195">
        <v>2</v>
      </c>
      <c r="S58" s="195">
        <v>0</v>
      </c>
      <c r="T58" s="195">
        <v>0</v>
      </c>
      <c r="U58" s="195">
        <v>9</v>
      </c>
      <c r="V58" s="195">
        <v>0</v>
      </c>
    </row>
    <row r="59" spans="1:22">
      <c r="A59" s="1220"/>
      <c r="B59" s="186" t="s">
        <v>83</v>
      </c>
      <c r="C59" s="188">
        <v>220</v>
      </c>
      <c r="D59" s="188">
        <v>0</v>
      </c>
      <c r="E59" s="188">
        <v>0</v>
      </c>
      <c r="F59" s="188">
        <v>0</v>
      </c>
      <c r="G59" s="188">
        <v>0</v>
      </c>
      <c r="H59" s="188">
        <v>0</v>
      </c>
      <c r="I59" s="188">
        <v>15</v>
      </c>
      <c r="J59" s="188">
        <v>59</v>
      </c>
      <c r="K59" s="188">
        <v>0</v>
      </c>
      <c r="L59" s="188">
        <v>57</v>
      </c>
      <c r="M59" s="188">
        <v>54</v>
      </c>
      <c r="N59" s="188">
        <v>0</v>
      </c>
      <c r="O59" s="188">
        <v>0</v>
      </c>
      <c r="P59" s="188">
        <v>0</v>
      </c>
      <c r="Q59" s="188">
        <v>14</v>
      </c>
      <c r="R59" s="188">
        <v>2</v>
      </c>
      <c r="S59" s="188">
        <v>0</v>
      </c>
      <c r="T59" s="188">
        <v>0</v>
      </c>
      <c r="U59" s="188">
        <v>22</v>
      </c>
      <c r="V59" s="188">
        <v>0</v>
      </c>
    </row>
    <row r="60" spans="1:22">
      <c r="A60" s="1220"/>
      <c r="B60" s="186" t="s">
        <v>84</v>
      </c>
      <c r="C60" s="195">
        <v>290</v>
      </c>
      <c r="D60" s="195">
        <v>0</v>
      </c>
      <c r="E60" s="195">
        <v>0</v>
      </c>
      <c r="F60" s="195">
        <v>0</v>
      </c>
      <c r="G60" s="195">
        <v>0</v>
      </c>
      <c r="H60" s="195">
        <v>0</v>
      </c>
      <c r="I60" s="195">
        <v>10</v>
      </c>
      <c r="J60" s="195">
        <v>56</v>
      </c>
      <c r="K60" s="195">
        <v>2</v>
      </c>
      <c r="L60" s="195">
        <v>52</v>
      </c>
      <c r="M60" s="195">
        <v>51</v>
      </c>
      <c r="N60" s="195">
        <v>1</v>
      </c>
      <c r="O60" s="195">
        <v>0</v>
      </c>
      <c r="P60" s="195">
        <v>0</v>
      </c>
      <c r="Q60" s="195">
        <v>27</v>
      </c>
      <c r="R60" s="195">
        <v>2</v>
      </c>
      <c r="S60" s="195">
        <v>0</v>
      </c>
      <c r="T60" s="195">
        <v>0</v>
      </c>
      <c r="U60" s="195">
        <v>164</v>
      </c>
      <c r="V60" s="195">
        <v>4</v>
      </c>
    </row>
    <row r="61" spans="1:22">
      <c r="A61" s="1220"/>
      <c r="B61" s="186" t="s">
        <v>85</v>
      </c>
      <c r="C61" s="195">
        <v>230</v>
      </c>
      <c r="D61" s="195">
        <v>0</v>
      </c>
      <c r="E61" s="195">
        <v>0</v>
      </c>
      <c r="F61" s="195">
        <v>0</v>
      </c>
      <c r="G61" s="195">
        <v>0</v>
      </c>
      <c r="H61" s="195">
        <v>0</v>
      </c>
      <c r="I61" s="195">
        <v>15</v>
      </c>
      <c r="J61" s="195">
        <v>59</v>
      </c>
      <c r="K61" s="195">
        <v>0</v>
      </c>
      <c r="L61" s="195">
        <v>57</v>
      </c>
      <c r="M61" s="195">
        <v>52</v>
      </c>
      <c r="N61" s="195">
        <v>0</v>
      </c>
      <c r="O61" s="188">
        <v>0</v>
      </c>
      <c r="P61" s="188">
        <v>0</v>
      </c>
      <c r="Q61" s="188">
        <v>19</v>
      </c>
      <c r="R61" s="188">
        <v>2</v>
      </c>
      <c r="S61" s="188">
        <v>0</v>
      </c>
      <c r="T61" s="188">
        <v>0</v>
      </c>
      <c r="U61" s="188">
        <v>98</v>
      </c>
      <c r="V61" s="188">
        <v>2</v>
      </c>
    </row>
    <row r="62" spans="1:22" ht="18" customHeight="1">
      <c r="A62" s="1220"/>
      <c r="B62" s="186" t="s">
        <v>88</v>
      </c>
      <c r="C62" s="195">
        <v>250</v>
      </c>
      <c r="D62" s="195">
        <v>0</v>
      </c>
      <c r="E62" s="195">
        <v>0</v>
      </c>
      <c r="F62" s="195">
        <v>0</v>
      </c>
      <c r="G62" s="195">
        <v>0</v>
      </c>
      <c r="H62" s="195">
        <v>0</v>
      </c>
      <c r="I62" s="195">
        <v>15</v>
      </c>
      <c r="J62" s="195">
        <v>62</v>
      </c>
      <c r="K62" s="195">
        <v>0</v>
      </c>
      <c r="L62" s="195">
        <v>61</v>
      </c>
      <c r="M62" s="195">
        <v>55</v>
      </c>
      <c r="N62" s="195">
        <v>0</v>
      </c>
      <c r="O62" s="188">
        <v>0</v>
      </c>
      <c r="P62" s="188">
        <v>0</v>
      </c>
      <c r="Q62" s="188">
        <v>17</v>
      </c>
      <c r="R62" s="188">
        <v>2</v>
      </c>
      <c r="S62" s="188">
        <v>0</v>
      </c>
      <c r="T62" s="188">
        <v>0</v>
      </c>
      <c r="U62" s="188">
        <v>57</v>
      </c>
      <c r="V62" s="188">
        <v>2</v>
      </c>
    </row>
    <row r="63" spans="1:22">
      <c r="A63" s="1220"/>
      <c r="B63" s="186" t="s">
        <v>89</v>
      </c>
      <c r="C63" s="195">
        <v>320</v>
      </c>
      <c r="D63" s="195">
        <v>0</v>
      </c>
      <c r="E63" s="195">
        <v>0</v>
      </c>
      <c r="F63" s="195">
        <v>0</v>
      </c>
      <c r="G63" s="195">
        <v>0</v>
      </c>
      <c r="H63" s="195">
        <v>0</v>
      </c>
      <c r="I63" s="195">
        <v>10</v>
      </c>
      <c r="J63" s="195">
        <v>50</v>
      </c>
      <c r="K63" s="195">
        <v>3</v>
      </c>
      <c r="L63" s="195">
        <v>46</v>
      </c>
      <c r="M63" s="195">
        <v>46</v>
      </c>
      <c r="N63" s="195">
        <v>1</v>
      </c>
      <c r="O63" s="188">
        <v>0</v>
      </c>
      <c r="P63" s="188">
        <v>0</v>
      </c>
      <c r="Q63" s="188">
        <v>37</v>
      </c>
      <c r="R63" s="188">
        <v>2</v>
      </c>
      <c r="S63" s="188">
        <v>0</v>
      </c>
      <c r="T63" s="188">
        <v>0</v>
      </c>
      <c r="U63" s="188">
        <v>292</v>
      </c>
      <c r="V63" s="188">
        <v>6</v>
      </c>
    </row>
    <row r="64" spans="1:22">
      <c r="A64" s="1220"/>
      <c r="B64" s="186" t="s">
        <v>90</v>
      </c>
      <c r="C64" s="188">
        <v>280</v>
      </c>
      <c r="D64" s="188">
        <v>0</v>
      </c>
      <c r="E64" s="188">
        <v>0</v>
      </c>
      <c r="F64" s="188">
        <v>0</v>
      </c>
      <c r="G64" s="188">
        <v>0</v>
      </c>
      <c r="H64" s="188">
        <v>0</v>
      </c>
      <c r="I64" s="188">
        <v>15</v>
      </c>
      <c r="J64" s="188">
        <v>52</v>
      </c>
      <c r="K64" s="188">
        <v>2</v>
      </c>
      <c r="L64" s="188">
        <v>49</v>
      </c>
      <c r="M64" s="188">
        <v>47</v>
      </c>
      <c r="N64" s="188">
        <v>1</v>
      </c>
      <c r="O64" s="188">
        <v>0</v>
      </c>
      <c r="P64" s="188">
        <v>0</v>
      </c>
      <c r="Q64" s="188">
        <v>27</v>
      </c>
      <c r="R64" s="188">
        <v>2</v>
      </c>
      <c r="S64" s="188">
        <v>0</v>
      </c>
      <c r="T64" s="188">
        <v>0</v>
      </c>
      <c r="U64" s="188">
        <v>197</v>
      </c>
      <c r="V64" s="188">
        <v>4</v>
      </c>
    </row>
    <row r="65" spans="1:22" s="212" customFormat="1">
      <c r="A65" s="1220"/>
      <c r="B65" s="186" t="s">
        <v>91</v>
      </c>
      <c r="C65" s="188">
        <v>250</v>
      </c>
      <c r="D65" s="188">
        <v>0</v>
      </c>
      <c r="E65" s="188">
        <v>0</v>
      </c>
      <c r="F65" s="188">
        <v>0</v>
      </c>
      <c r="G65" s="188">
        <v>0</v>
      </c>
      <c r="H65" s="188">
        <v>0</v>
      </c>
      <c r="I65" s="188">
        <v>15</v>
      </c>
      <c r="J65" s="188">
        <v>47</v>
      </c>
      <c r="K65" s="188">
        <v>2</v>
      </c>
      <c r="L65" s="188">
        <v>45</v>
      </c>
      <c r="M65" s="188">
        <v>43</v>
      </c>
      <c r="N65" s="188">
        <v>1</v>
      </c>
      <c r="O65" s="188">
        <v>0</v>
      </c>
      <c r="P65" s="188">
        <v>0</v>
      </c>
      <c r="Q65" s="188">
        <v>27</v>
      </c>
      <c r="R65" s="188">
        <v>2</v>
      </c>
      <c r="S65" s="188">
        <v>0</v>
      </c>
      <c r="T65" s="188">
        <v>0</v>
      </c>
      <c r="U65" s="188">
        <v>181</v>
      </c>
      <c r="V65" s="188">
        <v>4</v>
      </c>
    </row>
    <row r="66" spans="1:22" s="212" customFormat="1">
      <c r="A66" s="1220"/>
      <c r="B66" s="277" t="s">
        <v>181</v>
      </c>
      <c r="C66" s="229">
        <v>240</v>
      </c>
      <c r="D66" s="229">
        <v>0</v>
      </c>
      <c r="E66" s="229">
        <v>0</v>
      </c>
      <c r="F66" s="229">
        <v>0</v>
      </c>
      <c r="G66" s="229">
        <v>0</v>
      </c>
      <c r="H66" s="229">
        <v>0</v>
      </c>
      <c r="I66" s="229">
        <v>15</v>
      </c>
      <c r="J66" s="229">
        <v>60</v>
      </c>
      <c r="K66" s="229">
        <v>0</v>
      </c>
      <c r="L66" s="229">
        <v>59</v>
      </c>
      <c r="M66" s="229">
        <v>53</v>
      </c>
      <c r="N66" s="229">
        <v>0</v>
      </c>
      <c r="O66" s="229">
        <v>0</v>
      </c>
      <c r="P66" s="229">
        <v>0</v>
      </c>
      <c r="Q66" s="229">
        <v>18</v>
      </c>
      <c r="R66" s="229">
        <v>2</v>
      </c>
      <c r="S66" s="229">
        <v>0</v>
      </c>
      <c r="T66" s="229">
        <v>0</v>
      </c>
      <c r="U66" s="229">
        <v>81</v>
      </c>
      <c r="V66" s="229">
        <v>2</v>
      </c>
    </row>
    <row r="67" spans="1:22" s="212" customFormat="1" ht="14.25" customHeight="1">
      <c r="A67" s="1183" t="s">
        <v>92</v>
      </c>
      <c r="B67" s="186" t="s">
        <v>94</v>
      </c>
      <c r="C67" s="195">
        <v>350</v>
      </c>
      <c r="D67" s="195">
        <v>40</v>
      </c>
      <c r="E67" s="195">
        <v>4.5</v>
      </c>
      <c r="F67" s="195">
        <v>3.5</v>
      </c>
      <c r="G67" s="195">
        <v>0</v>
      </c>
      <c r="H67" s="195">
        <v>0</v>
      </c>
      <c r="I67" s="195">
        <v>180</v>
      </c>
      <c r="J67" s="195">
        <v>78</v>
      </c>
      <c r="K67" s="195">
        <v>0</v>
      </c>
      <c r="L67" s="195">
        <v>70</v>
      </c>
      <c r="M67" s="195">
        <v>60</v>
      </c>
      <c r="N67" s="195">
        <v>1</v>
      </c>
      <c r="O67" s="188">
        <v>0</v>
      </c>
      <c r="P67" s="188">
        <v>0</v>
      </c>
      <c r="Q67" s="188">
        <v>39</v>
      </c>
      <c r="R67" s="188">
        <v>4</v>
      </c>
      <c r="S67" s="188">
        <v>0</v>
      </c>
      <c r="T67" s="188">
        <v>0</v>
      </c>
      <c r="U67" s="188">
        <v>7</v>
      </c>
      <c r="V67" s="188">
        <v>0</v>
      </c>
    </row>
    <row r="68" spans="1:22" s="212" customFormat="1">
      <c r="A68" s="1183"/>
      <c r="B68" s="186" t="s">
        <v>93</v>
      </c>
      <c r="C68" s="195">
        <v>350</v>
      </c>
      <c r="D68" s="195">
        <v>45</v>
      </c>
      <c r="E68" s="195">
        <v>5</v>
      </c>
      <c r="F68" s="195">
        <v>4</v>
      </c>
      <c r="G68" s="195">
        <v>0</v>
      </c>
      <c r="H68" s="195">
        <v>0</v>
      </c>
      <c r="I68" s="195">
        <v>50</v>
      </c>
      <c r="J68" s="195">
        <v>78</v>
      </c>
      <c r="K68" s="195">
        <v>0</v>
      </c>
      <c r="L68" s="195">
        <v>74</v>
      </c>
      <c r="M68" s="195">
        <v>29</v>
      </c>
      <c r="N68" s="195">
        <v>1</v>
      </c>
      <c r="O68" s="260">
        <v>0</v>
      </c>
      <c r="P68" s="260">
        <v>0</v>
      </c>
      <c r="Q68" s="260">
        <v>15</v>
      </c>
      <c r="R68" s="260">
        <v>2</v>
      </c>
      <c r="S68" s="260">
        <v>1</v>
      </c>
      <c r="T68" s="260">
        <v>6</v>
      </c>
      <c r="U68" s="260">
        <v>7</v>
      </c>
      <c r="V68" s="260">
        <v>0</v>
      </c>
    </row>
    <row r="69" spans="1:22">
      <c r="A69" s="1183"/>
      <c r="B69" s="186" t="s">
        <v>95</v>
      </c>
      <c r="C69" s="195">
        <v>340</v>
      </c>
      <c r="D69" s="195">
        <v>35</v>
      </c>
      <c r="E69" s="195">
        <v>3.5</v>
      </c>
      <c r="F69" s="195">
        <v>3</v>
      </c>
      <c r="G69" s="195">
        <v>0</v>
      </c>
      <c r="H69" s="195">
        <v>0</v>
      </c>
      <c r="I69" s="195">
        <v>75</v>
      </c>
      <c r="J69" s="195">
        <v>77</v>
      </c>
      <c r="K69" s="195">
        <v>0</v>
      </c>
      <c r="L69" s="195">
        <v>71</v>
      </c>
      <c r="M69" s="195">
        <v>29</v>
      </c>
      <c r="N69" s="195">
        <v>1</v>
      </c>
      <c r="O69" s="188">
        <v>0</v>
      </c>
      <c r="P69" s="188">
        <v>0</v>
      </c>
      <c r="Q69" s="188">
        <v>16</v>
      </c>
      <c r="R69" s="188">
        <v>2</v>
      </c>
      <c r="S69" s="188">
        <v>0</v>
      </c>
      <c r="T69" s="188">
        <v>0</v>
      </c>
      <c r="U69" s="188">
        <v>7</v>
      </c>
      <c r="V69" s="188">
        <v>0</v>
      </c>
    </row>
    <row r="70" spans="1:22">
      <c r="A70" s="1183"/>
      <c r="B70" s="186" t="s">
        <v>96</v>
      </c>
      <c r="C70" s="195">
        <v>380</v>
      </c>
      <c r="D70" s="195">
        <v>60</v>
      </c>
      <c r="E70" s="195">
        <v>7</v>
      </c>
      <c r="F70" s="195">
        <v>4.5</v>
      </c>
      <c r="G70" s="195">
        <v>0</v>
      </c>
      <c r="H70" s="195">
        <v>5</v>
      </c>
      <c r="I70" s="195">
        <v>130</v>
      </c>
      <c r="J70" s="195">
        <v>79</v>
      </c>
      <c r="K70" s="195">
        <v>0</v>
      </c>
      <c r="L70" s="195">
        <v>69</v>
      </c>
      <c r="M70" s="195">
        <v>67</v>
      </c>
      <c r="N70" s="195">
        <v>1</v>
      </c>
      <c r="O70" s="188">
        <v>0</v>
      </c>
      <c r="P70" s="188">
        <v>0</v>
      </c>
      <c r="Q70" s="188">
        <v>18</v>
      </c>
      <c r="R70" s="188">
        <v>2</v>
      </c>
      <c r="S70" s="188">
        <v>0</v>
      </c>
      <c r="T70" s="188">
        <v>0</v>
      </c>
      <c r="U70" s="188">
        <v>59</v>
      </c>
      <c r="V70" s="188">
        <v>2</v>
      </c>
    </row>
    <row r="71" spans="1:22">
      <c r="A71" s="1183"/>
      <c r="B71" s="186" t="s">
        <v>97</v>
      </c>
      <c r="C71" s="195">
        <v>380</v>
      </c>
      <c r="D71" s="195">
        <v>35</v>
      </c>
      <c r="E71" s="195">
        <v>4</v>
      </c>
      <c r="F71" s="195">
        <v>3.5</v>
      </c>
      <c r="G71" s="195">
        <v>0</v>
      </c>
      <c r="H71" s="195">
        <v>5</v>
      </c>
      <c r="I71" s="195">
        <v>160</v>
      </c>
      <c r="J71" s="195">
        <v>87</v>
      </c>
      <c r="K71" s="195">
        <v>0</v>
      </c>
      <c r="L71" s="195">
        <v>77</v>
      </c>
      <c r="M71" s="195">
        <v>61</v>
      </c>
      <c r="N71" s="195">
        <v>0</v>
      </c>
      <c r="O71" s="260">
        <v>0</v>
      </c>
      <c r="P71" s="260">
        <v>0</v>
      </c>
      <c r="Q71" s="260">
        <v>12</v>
      </c>
      <c r="R71" s="260">
        <v>0</v>
      </c>
      <c r="S71" s="260">
        <v>0</v>
      </c>
      <c r="T71" s="260">
        <v>0</v>
      </c>
      <c r="U71" s="260">
        <v>31</v>
      </c>
      <c r="V71" s="260">
        <v>0</v>
      </c>
    </row>
    <row r="72" spans="1:22">
      <c r="A72" s="1183"/>
      <c r="B72" s="186" t="s">
        <v>98</v>
      </c>
      <c r="C72" s="195">
        <v>330</v>
      </c>
      <c r="D72" s="195">
        <v>35</v>
      </c>
      <c r="E72" s="195">
        <v>4</v>
      </c>
      <c r="F72" s="195">
        <v>3.5</v>
      </c>
      <c r="G72" s="195">
        <v>0</v>
      </c>
      <c r="H72" s="195">
        <v>0</v>
      </c>
      <c r="I72" s="195">
        <v>75</v>
      </c>
      <c r="J72" s="195">
        <v>74</v>
      </c>
      <c r="K72" s="195">
        <v>0</v>
      </c>
      <c r="L72" s="195">
        <v>71</v>
      </c>
      <c r="M72" s="195">
        <v>30</v>
      </c>
      <c r="N72" s="195">
        <v>1</v>
      </c>
      <c r="O72" s="188">
        <v>0</v>
      </c>
      <c r="P72" s="188">
        <v>0</v>
      </c>
      <c r="Q72" s="188">
        <v>9</v>
      </c>
      <c r="R72" s="188">
        <v>0</v>
      </c>
      <c r="S72" s="188">
        <v>0</v>
      </c>
      <c r="T72" s="188">
        <v>0</v>
      </c>
      <c r="U72" s="188">
        <v>7</v>
      </c>
      <c r="V72" s="188">
        <v>0</v>
      </c>
    </row>
    <row r="73" spans="1:22">
      <c r="A73" s="1183"/>
      <c r="B73" s="186" t="s">
        <v>100</v>
      </c>
      <c r="C73" s="195">
        <v>370</v>
      </c>
      <c r="D73" s="195">
        <v>50</v>
      </c>
      <c r="E73" s="195">
        <v>6</v>
      </c>
      <c r="F73" s="195">
        <v>4.5</v>
      </c>
      <c r="G73" s="195">
        <v>0</v>
      </c>
      <c r="H73" s="195">
        <v>0</v>
      </c>
      <c r="I73" s="195">
        <v>80</v>
      </c>
      <c r="J73" s="195">
        <v>80</v>
      </c>
      <c r="K73" s="195">
        <v>0</v>
      </c>
      <c r="L73" s="195">
        <v>75</v>
      </c>
      <c r="M73" s="195">
        <v>30</v>
      </c>
      <c r="N73" s="195">
        <v>1</v>
      </c>
      <c r="O73" s="195">
        <v>0</v>
      </c>
      <c r="P73" s="195">
        <v>0</v>
      </c>
      <c r="Q73" s="195">
        <v>23</v>
      </c>
      <c r="R73" s="195">
        <v>2</v>
      </c>
      <c r="S73" s="195">
        <v>1</v>
      </c>
      <c r="T73" s="195">
        <v>6</v>
      </c>
      <c r="U73" s="195">
        <v>40</v>
      </c>
      <c r="V73" s="195">
        <v>0</v>
      </c>
    </row>
    <row r="74" spans="1:22">
      <c r="A74" s="1183"/>
      <c r="B74" s="186" t="s">
        <v>99</v>
      </c>
      <c r="C74" s="195">
        <v>360</v>
      </c>
      <c r="D74" s="195">
        <v>60</v>
      </c>
      <c r="E74" s="195">
        <v>6</v>
      </c>
      <c r="F74" s="195">
        <v>4.5</v>
      </c>
      <c r="G74" s="195">
        <v>0</v>
      </c>
      <c r="H74" s="195">
        <v>0</v>
      </c>
      <c r="I74" s="195">
        <v>75</v>
      </c>
      <c r="J74" s="195">
        <v>78</v>
      </c>
      <c r="K74" s="195">
        <v>0</v>
      </c>
      <c r="L74" s="195">
        <v>74</v>
      </c>
      <c r="M74" s="195">
        <v>30</v>
      </c>
      <c r="N74" s="195">
        <v>1</v>
      </c>
      <c r="O74" s="188">
        <v>0</v>
      </c>
      <c r="P74" s="188">
        <v>0</v>
      </c>
      <c r="Q74" s="188">
        <v>13</v>
      </c>
      <c r="R74" s="188">
        <v>2</v>
      </c>
      <c r="S74" s="188">
        <v>1</v>
      </c>
      <c r="T74" s="188">
        <v>6</v>
      </c>
      <c r="U74" s="188">
        <v>7</v>
      </c>
      <c r="V74" s="188">
        <v>0</v>
      </c>
    </row>
    <row r="75" spans="1:22">
      <c r="A75" s="1183"/>
      <c r="B75" s="186" t="s">
        <v>101</v>
      </c>
      <c r="C75" s="195">
        <v>370</v>
      </c>
      <c r="D75" s="195">
        <v>60</v>
      </c>
      <c r="E75" s="195">
        <v>7</v>
      </c>
      <c r="F75" s="195">
        <v>5</v>
      </c>
      <c r="G75" s="195">
        <v>0</v>
      </c>
      <c r="H75" s="195">
        <v>0</v>
      </c>
      <c r="I75" s="195">
        <v>85</v>
      </c>
      <c r="J75" s="195">
        <v>79</v>
      </c>
      <c r="K75" s="195">
        <v>0</v>
      </c>
      <c r="L75" s="195">
        <v>73</v>
      </c>
      <c r="M75" s="195">
        <v>63</v>
      </c>
      <c r="N75" s="195">
        <v>1</v>
      </c>
      <c r="O75" s="188">
        <v>0</v>
      </c>
      <c r="P75" s="188">
        <v>0</v>
      </c>
      <c r="Q75" s="188">
        <v>24</v>
      </c>
      <c r="R75" s="188">
        <v>2</v>
      </c>
      <c r="S75" s="188">
        <v>1</v>
      </c>
      <c r="T75" s="188">
        <v>6</v>
      </c>
      <c r="U75" s="188">
        <v>11</v>
      </c>
      <c r="V75" s="188">
        <v>0</v>
      </c>
    </row>
    <row r="76" spans="1:22">
      <c r="A76" s="1183"/>
      <c r="B76" s="186" t="s">
        <v>102</v>
      </c>
      <c r="C76" s="195">
        <v>330</v>
      </c>
      <c r="D76" s="195">
        <v>40</v>
      </c>
      <c r="E76" s="195">
        <v>4.5</v>
      </c>
      <c r="F76" s="195">
        <v>3.5</v>
      </c>
      <c r="G76" s="195">
        <v>0</v>
      </c>
      <c r="H76" s="195">
        <v>0</v>
      </c>
      <c r="I76" s="195">
        <v>75</v>
      </c>
      <c r="J76" s="195">
        <v>73</v>
      </c>
      <c r="K76" s="195">
        <v>0</v>
      </c>
      <c r="L76" s="195">
        <v>68</v>
      </c>
      <c r="M76" s="195">
        <v>65</v>
      </c>
      <c r="N76" s="195">
        <v>0</v>
      </c>
      <c r="O76" s="188">
        <v>0</v>
      </c>
      <c r="P76" s="188">
        <v>0</v>
      </c>
      <c r="Q76" s="188">
        <v>11</v>
      </c>
      <c r="R76" s="188">
        <v>0</v>
      </c>
      <c r="S76" s="188">
        <v>0</v>
      </c>
      <c r="T76" s="188">
        <v>0</v>
      </c>
      <c r="U76" s="188">
        <v>11</v>
      </c>
      <c r="V76" s="188">
        <v>0</v>
      </c>
    </row>
    <row r="77" spans="1:22">
      <c r="A77" s="1183"/>
      <c r="B77" s="186" t="s">
        <v>104</v>
      </c>
      <c r="C77" s="195">
        <v>350</v>
      </c>
      <c r="D77" s="195">
        <v>50</v>
      </c>
      <c r="E77" s="195">
        <v>6</v>
      </c>
      <c r="F77" s="195">
        <v>4</v>
      </c>
      <c r="G77" s="195">
        <v>0</v>
      </c>
      <c r="H77" s="195">
        <v>0</v>
      </c>
      <c r="I77" s="195">
        <v>105</v>
      </c>
      <c r="J77" s="195">
        <v>76</v>
      </c>
      <c r="K77" s="195">
        <v>0</v>
      </c>
      <c r="L77" s="195">
        <v>68</v>
      </c>
      <c r="M77" s="195">
        <v>67</v>
      </c>
      <c r="N77" s="195">
        <v>1</v>
      </c>
      <c r="O77" s="260">
        <v>0</v>
      </c>
      <c r="P77" s="260">
        <v>0</v>
      </c>
      <c r="Q77" s="260">
        <v>11</v>
      </c>
      <c r="R77" s="260">
        <v>0</v>
      </c>
      <c r="S77" s="260">
        <v>0</v>
      </c>
      <c r="T77" s="260">
        <v>0</v>
      </c>
      <c r="U77" s="260">
        <v>38</v>
      </c>
      <c r="V77" s="260">
        <v>0</v>
      </c>
    </row>
    <row r="78" spans="1:22">
      <c r="A78" s="1183"/>
      <c r="B78" s="186" t="s">
        <v>103</v>
      </c>
      <c r="C78" s="195">
        <v>400</v>
      </c>
      <c r="D78" s="195">
        <v>35</v>
      </c>
      <c r="E78" s="195">
        <v>4</v>
      </c>
      <c r="F78" s="195">
        <v>3</v>
      </c>
      <c r="G78" s="195">
        <v>0</v>
      </c>
      <c r="H78" s="195">
        <v>0</v>
      </c>
      <c r="I78" s="195">
        <v>95</v>
      </c>
      <c r="J78" s="195">
        <v>91</v>
      </c>
      <c r="K78" s="195">
        <v>0</v>
      </c>
      <c r="L78" s="195">
        <v>86</v>
      </c>
      <c r="M78" s="195">
        <v>83</v>
      </c>
      <c r="N78" s="195">
        <v>0</v>
      </c>
      <c r="O78" s="188">
        <v>0</v>
      </c>
      <c r="P78" s="188">
        <v>0</v>
      </c>
      <c r="Q78" s="188">
        <v>8</v>
      </c>
      <c r="R78" s="188">
        <v>0</v>
      </c>
      <c r="S78" s="188">
        <v>1</v>
      </c>
      <c r="T78" s="188">
        <v>6</v>
      </c>
      <c r="U78" s="188">
        <v>21</v>
      </c>
      <c r="V78" s="188">
        <v>0</v>
      </c>
    </row>
    <row r="79" spans="1:22">
      <c r="A79" s="1183"/>
      <c r="B79" s="186" t="s">
        <v>105</v>
      </c>
      <c r="C79" s="195">
        <v>430</v>
      </c>
      <c r="D79" s="195">
        <v>50</v>
      </c>
      <c r="E79" s="195">
        <v>6</v>
      </c>
      <c r="F79" s="195">
        <v>4</v>
      </c>
      <c r="G79" s="195">
        <v>0</v>
      </c>
      <c r="H79" s="195">
        <v>0</v>
      </c>
      <c r="I79" s="195">
        <v>115</v>
      </c>
      <c r="J79" s="195">
        <v>97</v>
      </c>
      <c r="K79" s="195">
        <v>0</v>
      </c>
      <c r="L79" s="195">
        <v>86</v>
      </c>
      <c r="M79" s="195">
        <v>86</v>
      </c>
      <c r="N79" s="195">
        <v>2</v>
      </c>
      <c r="O79" s="188">
        <v>0</v>
      </c>
      <c r="P79" s="188">
        <v>0</v>
      </c>
      <c r="Q79" s="188">
        <v>18.394600000000001</v>
      </c>
      <c r="R79" s="188">
        <v>2</v>
      </c>
      <c r="S79" s="188">
        <v>1.2352399999999999</v>
      </c>
      <c r="T79" s="188">
        <v>6</v>
      </c>
      <c r="U79" s="188">
        <v>140</v>
      </c>
      <c r="V79" s="188">
        <v>4</v>
      </c>
    </row>
    <row r="80" spans="1:22">
      <c r="A80" s="1183"/>
      <c r="B80" s="186" t="s">
        <v>106</v>
      </c>
      <c r="C80" s="195">
        <v>290</v>
      </c>
      <c r="D80" s="195">
        <v>30</v>
      </c>
      <c r="E80" s="195">
        <v>3</v>
      </c>
      <c r="F80" s="195">
        <v>3</v>
      </c>
      <c r="G80" s="195">
        <v>0</v>
      </c>
      <c r="H80" s="195">
        <v>0</v>
      </c>
      <c r="I80" s="195">
        <v>75</v>
      </c>
      <c r="J80" s="195">
        <v>66</v>
      </c>
      <c r="K80" s="195">
        <v>0</v>
      </c>
      <c r="L80" s="195">
        <v>62</v>
      </c>
      <c r="M80" s="195">
        <v>62</v>
      </c>
      <c r="N80" s="195">
        <v>1</v>
      </c>
      <c r="O80" s="195">
        <v>0</v>
      </c>
      <c r="P80" s="195">
        <v>0</v>
      </c>
      <c r="Q80" s="195">
        <v>10</v>
      </c>
      <c r="R80" s="195">
        <v>0</v>
      </c>
      <c r="S80" s="195">
        <v>0</v>
      </c>
      <c r="T80" s="195">
        <v>0</v>
      </c>
      <c r="U80" s="195">
        <v>15</v>
      </c>
      <c r="V80" s="195">
        <v>0</v>
      </c>
    </row>
    <row r="81" spans="1:22">
      <c r="A81" s="1183"/>
      <c r="B81" s="186" t="s">
        <v>107</v>
      </c>
      <c r="C81" s="195">
        <v>300</v>
      </c>
      <c r="D81" s="195">
        <v>30</v>
      </c>
      <c r="E81" s="195">
        <v>3</v>
      </c>
      <c r="F81" s="195">
        <v>3</v>
      </c>
      <c r="G81" s="195">
        <v>0</v>
      </c>
      <c r="H81" s="195">
        <v>0</v>
      </c>
      <c r="I81" s="195">
        <v>190</v>
      </c>
      <c r="J81" s="195">
        <v>72</v>
      </c>
      <c r="K81" s="195">
        <v>0</v>
      </c>
      <c r="L81" s="195">
        <v>67</v>
      </c>
      <c r="M81" s="195">
        <v>67</v>
      </c>
      <c r="N81" s="195">
        <v>1</v>
      </c>
      <c r="O81" s="188">
        <v>0</v>
      </c>
      <c r="P81" s="188">
        <v>0</v>
      </c>
      <c r="Q81" s="188">
        <v>13</v>
      </c>
      <c r="R81" s="188">
        <v>2</v>
      </c>
      <c r="S81" s="188">
        <v>0</v>
      </c>
      <c r="T81" s="188">
        <v>0</v>
      </c>
      <c r="U81" s="188">
        <v>127</v>
      </c>
      <c r="V81" s="188">
        <v>2</v>
      </c>
    </row>
    <row r="82" spans="1:22" s="248" customFormat="1">
      <c r="A82" s="1183"/>
      <c r="B82" s="186" t="s">
        <v>108</v>
      </c>
      <c r="C82" s="195">
        <v>350</v>
      </c>
      <c r="D82" s="195">
        <v>50</v>
      </c>
      <c r="E82" s="195">
        <v>6</v>
      </c>
      <c r="F82" s="195">
        <v>4.5</v>
      </c>
      <c r="G82" s="195">
        <v>0</v>
      </c>
      <c r="H82" s="195">
        <v>0</v>
      </c>
      <c r="I82" s="195">
        <v>70</v>
      </c>
      <c r="J82" s="195">
        <v>76</v>
      </c>
      <c r="K82" s="195">
        <v>0</v>
      </c>
      <c r="L82" s="195">
        <v>72</v>
      </c>
      <c r="M82" s="195">
        <v>66</v>
      </c>
      <c r="N82" s="195">
        <v>1</v>
      </c>
      <c r="O82" s="188">
        <v>0</v>
      </c>
      <c r="P82" s="188">
        <v>0</v>
      </c>
      <c r="Q82" s="188">
        <v>12</v>
      </c>
      <c r="R82" s="188">
        <v>0</v>
      </c>
      <c r="S82" s="188">
        <v>1</v>
      </c>
      <c r="T82" s="188">
        <v>6</v>
      </c>
      <c r="U82" s="188">
        <v>17</v>
      </c>
      <c r="V82" s="188">
        <v>0</v>
      </c>
    </row>
    <row r="83" spans="1:22" ht="15" customHeight="1">
      <c r="A83" s="1183"/>
      <c r="B83" s="186" t="s">
        <v>109</v>
      </c>
      <c r="C83" s="195">
        <v>330</v>
      </c>
      <c r="D83" s="195">
        <v>35</v>
      </c>
      <c r="E83" s="195">
        <v>4</v>
      </c>
      <c r="F83" s="195">
        <v>3</v>
      </c>
      <c r="G83" s="195">
        <v>0</v>
      </c>
      <c r="H83" s="195">
        <v>0</v>
      </c>
      <c r="I83" s="195">
        <v>95</v>
      </c>
      <c r="J83" s="195">
        <v>76</v>
      </c>
      <c r="K83" s="195">
        <v>0</v>
      </c>
      <c r="L83" s="195">
        <v>71</v>
      </c>
      <c r="M83" s="195">
        <v>47</v>
      </c>
      <c r="N83" s="195">
        <v>0</v>
      </c>
      <c r="O83" s="188">
        <v>0</v>
      </c>
      <c r="P83" s="188">
        <v>0</v>
      </c>
      <c r="Q83" s="188">
        <v>8</v>
      </c>
      <c r="R83" s="188">
        <v>0</v>
      </c>
      <c r="S83" s="188">
        <v>0</v>
      </c>
      <c r="T83" s="188">
        <v>0</v>
      </c>
      <c r="U83" s="188">
        <v>8</v>
      </c>
      <c r="V83" s="188">
        <v>0</v>
      </c>
    </row>
    <row r="84" spans="1:22" s="212" customFormat="1">
      <c r="A84" s="1183"/>
      <c r="B84" s="186" t="s">
        <v>110</v>
      </c>
      <c r="C84" s="195">
        <v>320</v>
      </c>
      <c r="D84" s="195">
        <v>30</v>
      </c>
      <c r="E84" s="195">
        <v>3.5</v>
      </c>
      <c r="F84" s="195">
        <v>3</v>
      </c>
      <c r="G84" s="195">
        <v>0</v>
      </c>
      <c r="H84" s="195">
        <v>0</v>
      </c>
      <c r="I84" s="195">
        <v>140</v>
      </c>
      <c r="J84" s="195">
        <v>73</v>
      </c>
      <c r="K84" s="195">
        <v>1</v>
      </c>
      <c r="L84" s="195">
        <v>67</v>
      </c>
      <c r="M84" s="195">
        <v>67</v>
      </c>
      <c r="N84" s="195">
        <v>1</v>
      </c>
      <c r="O84" s="195">
        <v>0</v>
      </c>
      <c r="P84" s="195">
        <v>0</v>
      </c>
      <c r="Q84" s="195">
        <v>14</v>
      </c>
      <c r="R84" s="195">
        <v>2</v>
      </c>
      <c r="S84" s="195">
        <v>0</v>
      </c>
      <c r="T84" s="195">
        <v>0</v>
      </c>
      <c r="U84" s="195">
        <v>111</v>
      </c>
      <c r="V84" s="195">
        <v>2</v>
      </c>
    </row>
    <row r="85" spans="1:22" s="212" customFormat="1">
      <c r="A85" s="1183"/>
      <c r="B85" s="186" t="s">
        <v>330</v>
      </c>
      <c r="C85" s="195">
        <v>340</v>
      </c>
      <c r="D85" s="195">
        <v>50</v>
      </c>
      <c r="E85" s="195">
        <v>6</v>
      </c>
      <c r="F85" s="195">
        <v>4.5</v>
      </c>
      <c r="G85" s="195">
        <v>0</v>
      </c>
      <c r="H85" s="195">
        <v>0</v>
      </c>
      <c r="I85" s="195">
        <v>75</v>
      </c>
      <c r="J85" s="195">
        <v>78</v>
      </c>
      <c r="K85" s="195">
        <v>0</v>
      </c>
      <c r="L85" s="195">
        <v>74</v>
      </c>
      <c r="M85" s="195">
        <v>69</v>
      </c>
      <c r="N85" s="195">
        <v>1</v>
      </c>
      <c r="O85" s="188">
        <v>0</v>
      </c>
      <c r="P85" s="188">
        <v>0</v>
      </c>
      <c r="Q85" s="188">
        <v>14</v>
      </c>
      <c r="R85" s="188">
        <v>2</v>
      </c>
      <c r="S85" s="188">
        <v>1</v>
      </c>
      <c r="T85" s="188">
        <v>6</v>
      </c>
      <c r="U85" s="188">
        <v>24</v>
      </c>
      <c r="V85" s="188">
        <v>0</v>
      </c>
    </row>
    <row r="86" spans="1:22">
      <c r="A86" s="1183"/>
      <c r="B86" s="186" t="s">
        <v>111</v>
      </c>
      <c r="C86" s="195">
        <v>290</v>
      </c>
      <c r="D86" s="195">
        <v>30</v>
      </c>
      <c r="E86" s="195">
        <v>3</v>
      </c>
      <c r="F86" s="195">
        <v>3</v>
      </c>
      <c r="G86" s="195">
        <v>0</v>
      </c>
      <c r="H86" s="195">
        <v>0</v>
      </c>
      <c r="I86" s="195">
        <v>45</v>
      </c>
      <c r="J86" s="195">
        <v>67</v>
      </c>
      <c r="K86" s="195">
        <v>0</v>
      </c>
      <c r="L86" s="195">
        <v>62</v>
      </c>
      <c r="M86" s="195">
        <v>28</v>
      </c>
      <c r="N86" s="195">
        <v>1</v>
      </c>
      <c r="O86" s="188">
        <v>0</v>
      </c>
      <c r="P86" s="188">
        <v>0</v>
      </c>
      <c r="Q86" s="188">
        <v>13</v>
      </c>
      <c r="R86" s="188">
        <v>2</v>
      </c>
      <c r="S86" s="188">
        <v>0</v>
      </c>
      <c r="T86" s="188">
        <v>0</v>
      </c>
      <c r="U86" s="188">
        <v>11</v>
      </c>
      <c r="V86" s="188">
        <v>0</v>
      </c>
    </row>
    <row r="87" spans="1:22">
      <c r="A87" s="1183"/>
      <c r="B87" s="186" t="s">
        <v>112</v>
      </c>
      <c r="C87" s="195">
        <v>270</v>
      </c>
      <c r="D87" s="195">
        <v>30</v>
      </c>
      <c r="E87" s="195">
        <v>3.5</v>
      </c>
      <c r="F87" s="195">
        <v>3</v>
      </c>
      <c r="G87" s="195">
        <v>0</v>
      </c>
      <c r="H87" s="195">
        <v>0</v>
      </c>
      <c r="I87" s="195">
        <v>70</v>
      </c>
      <c r="J87" s="195">
        <v>61</v>
      </c>
      <c r="K87" s="195">
        <v>1</v>
      </c>
      <c r="L87" s="195">
        <v>56</v>
      </c>
      <c r="M87" s="195">
        <v>55</v>
      </c>
      <c r="N87" s="195">
        <v>1</v>
      </c>
      <c r="O87" s="260">
        <v>0</v>
      </c>
      <c r="P87" s="260">
        <v>0</v>
      </c>
      <c r="Q87" s="260">
        <v>16</v>
      </c>
      <c r="R87" s="260">
        <v>2</v>
      </c>
      <c r="S87" s="260">
        <v>0</v>
      </c>
      <c r="T87" s="260">
        <v>0</v>
      </c>
      <c r="U87" s="260">
        <v>31</v>
      </c>
      <c r="V87" s="260">
        <v>0</v>
      </c>
    </row>
    <row r="88" spans="1:22">
      <c r="A88" s="1183"/>
      <c r="B88" s="186" t="s">
        <v>113</v>
      </c>
      <c r="C88" s="195">
        <v>280</v>
      </c>
      <c r="D88" s="195">
        <v>35</v>
      </c>
      <c r="E88" s="195">
        <v>3.5</v>
      </c>
      <c r="F88" s="195">
        <v>3.5</v>
      </c>
      <c r="G88" s="195">
        <v>0</v>
      </c>
      <c r="H88" s="195">
        <v>0</v>
      </c>
      <c r="I88" s="195">
        <v>125</v>
      </c>
      <c r="J88" s="195">
        <v>62</v>
      </c>
      <c r="K88" s="195">
        <v>0</v>
      </c>
      <c r="L88" s="195">
        <v>58</v>
      </c>
      <c r="M88" s="195">
        <v>58</v>
      </c>
      <c r="N88" s="195">
        <v>1</v>
      </c>
      <c r="O88" s="188">
        <v>0</v>
      </c>
      <c r="P88" s="188">
        <v>0</v>
      </c>
      <c r="Q88" s="188">
        <v>15</v>
      </c>
      <c r="R88" s="188">
        <v>2</v>
      </c>
      <c r="S88" s="188">
        <v>0</v>
      </c>
      <c r="T88" s="188">
        <v>0</v>
      </c>
      <c r="U88" s="188">
        <v>89</v>
      </c>
      <c r="V88" s="188">
        <v>2</v>
      </c>
    </row>
    <row r="89" spans="1:22" ht="14.25" customHeight="1">
      <c r="A89" s="1183"/>
      <c r="B89" s="186" t="s">
        <v>114</v>
      </c>
      <c r="C89" s="195">
        <v>430</v>
      </c>
      <c r="D89" s="195">
        <v>90</v>
      </c>
      <c r="E89" s="195">
        <v>10</v>
      </c>
      <c r="F89" s="195">
        <v>4</v>
      </c>
      <c r="G89" s="195">
        <v>0</v>
      </c>
      <c r="H89" s="195">
        <v>0</v>
      </c>
      <c r="I89" s="195">
        <v>120</v>
      </c>
      <c r="J89" s="195">
        <v>85</v>
      </c>
      <c r="K89" s="195">
        <v>0</v>
      </c>
      <c r="L89" s="195">
        <v>80</v>
      </c>
      <c r="M89" s="195">
        <v>79</v>
      </c>
      <c r="N89" s="195">
        <v>3</v>
      </c>
      <c r="O89" s="260">
        <v>0</v>
      </c>
      <c r="P89" s="260">
        <v>0</v>
      </c>
      <c r="Q89" s="260">
        <v>18</v>
      </c>
      <c r="R89" s="260">
        <v>2</v>
      </c>
      <c r="S89" s="260">
        <v>1</v>
      </c>
      <c r="T89" s="260">
        <v>6</v>
      </c>
      <c r="U89" s="260">
        <v>23</v>
      </c>
      <c r="V89" s="260">
        <v>0</v>
      </c>
    </row>
    <row r="90" spans="1:22">
      <c r="A90" s="1183"/>
      <c r="B90" s="186" t="s">
        <v>115</v>
      </c>
      <c r="C90" s="195">
        <v>290</v>
      </c>
      <c r="D90" s="195">
        <v>15</v>
      </c>
      <c r="E90" s="195">
        <v>1.5</v>
      </c>
      <c r="F90" s="195">
        <v>1.5</v>
      </c>
      <c r="G90" s="195">
        <v>0</v>
      </c>
      <c r="H90" s="195">
        <v>0</v>
      </c>
      <c r="I90" s="195">
        <v>55</v>
      </c>
      <c r="J90" s="195">
        <v>71</v>
      </c>
      <c r="K90" s="195">
        <v>0</v>
      </c>
      <c r="L90" s="195">
        <v>68</v>
      </c>
      <c r="M90" s="195">
        <v>51</v>
      </c>
      <c r="N90" s="195">
        <v>0</v>
      </c>
      <c r="O90" s="188">
        <v>0</v>
      </c>
      <c r="P90" s="188">
        <v>0</v>
      </c>
      <c r="Q90" s="188">
        <v>9</v>
      </c>
      <c r="R90" s="188">
        <v>0</v>
      </c>
      <c r="S90" s="188">
        <v>0</v>
      </c>
      <c r="T90" s="188">
        <v>0</v>
      </c>
      <c r="U90" s="188">
        <v>16</v>
      </c>
      <c r="V90" s="188">
        <v>0</v>
      </c>
    </row>
    <row r="91" spans="1:22">
      <c r="A91" s="1183"/>
      <c r="B91" s="186" t="s">
        <v>116</v>
      </c>
      <c r="C91" s="195">
        <v>380</v>
      </c>
      <c r="D91" s="195">
        <v>40</v>
      </c>
      <c r="E91" s="195">
        <v>4.5</v>
      </c>
      <c r="F91" s="195">
        <v>4</v>
      </c>
      <c r="G91" s="195">
        <v>0</v>
      </c>
      <c r="H91" s="195">
        <v>0</v>
      </c>
      <c r="I91" s="195">
        <v>75</v>
      </c>
      <c r="J91" s="195">
        <v>87</v>
      </c>
      <c r="K91" s="195">
        <v>0</v>
      </c>
      <c r="L91" s="195">
        <v>83</v>
      </c>
      <c r="M91" s="195">
        <v>79</v>
      </c>
      <c r="N91" s="195">
        <v>1</v>
      </c>
      <c r="O91" s="188">
        <v>0</v>
      </c>
      <c r="P91" s="188">
        <v>0</v>
      </c>
      <c r="Q91" s="188">
        <v>12</v>
      </c>
      <c r="R91" s="188">
        <v>0</v>
      </c>
      <c r="S91" s="188">
        <v>1</v>
      </c>
      <c r="T91" s="188">
        <v>6</v>
      </c>
      <c r="U91" s="188">
        <v>23</v>
      </c>
      <c r="V91" s="188">
        <v>0</v>
      </c>
    </row>
    <row r="92" spans="1:22">
      <c r="A92" s="1183"/>
      <c r="B92" s="186" t="s">
        <v>117</v>
      </c>
      <c r="C92" s="195">
        <v>350</v>
      </c>
      <c r="D92" s="195">
        <v>30</v>
      </c>
      <c r="E92" s="195">
        <v>3.5</v>
      </c>
      <c r="F92" s="195">
        <v>3.5</v>
      </c>
      <c r="G92" s="195">
        <v>0</v>
      </c>
      <c r="H92" s="195">
        <v>0</v>
      </c>
      <c r="I92" s="195">
        <v>70</v>
      </c>
      <c r="J92" s="195">
        <v>80</v>
      </c>
      <c r="K92" s="195">
        <v>0</v>
      </c>
      <c r="L92" s="195">
        <v>76</v>
      </c>
      <c r="M92" s="195">
        <v>74</v>
      </c>
      <c r="N92" s="195">
        <v>0</v>
      </c>
      <c r="O92" s="195">
        <v>0</v>
      </c>
      <c r="P92" s="195">
        <v>0</v>
      </c>
      <c r="Q92" s="195">
        <v>9</v>
      </c>
      <c r="R92" s="195">
        <v>0</v>
      </c>
      <c r="S92" s="195">
        <v>0</v>
      </c>
      <c r="T92" s="195">
        <v>0</v>
      </c>
      <c r="U92" s="195">
        <v>40</v>
      </c>
      <c r="V92" s="195">
        <v>0</v>
      </c>
    </row>
    <row r="93" spans="1:22" ht="15" customHeight="1">
      <c r="A93" s="1183"/>
      <c r="B93" s="186" t="s">
        <v>118</v>
      </c>
      <c r="C93" s="195">
        <v>340</v>
      </c>
      <c r="D93" s="195">
        <v>35</v>
      </c>
      <c r="E93" s="195">
        <v>4</v>
      </c>
      <c r="F93" s="195">
        <v>3.5</v>
      </c>
      <c r="G93" s="195">
        <v>0</v>
      </c>
      <c r="H93" s="195">
        <v>0</v>
      </c>
      <c r="I93" s="195">
        <v>80</v>
      </c>
      <c r="J93" s="195">
        <v>78</v>
      </c>
      <c r="K93" s="195">
        <v>0</v>
      </c>
      <c r="L93" s="195">
        <v>74</v>
      </c>
      <c r="M93" s="195">
        <v>33</v>
      </c>
      <c r="N93" s="195">
        <v>1</v>
      </c>
      <c r="O93" s="188">
        <v>0</v>
      </c>
      <c r="P93" s="188">
        <v>0</v>
      </c>
      <c r="Q93" s="188">
        <v>10</v>
      </c>
      <c r="R93" s="188">
        <v>0</v>
      </c>
      <c r="S93" s="188">
        <v>0</v>
      </c>
      <c r="T93" s="188">
        <v>0</v>
      </c>
      <c r="U93" s="188">
        <v>20</v>
      </c>
      <c r="V93" s="188">
        <v>0</v>
      </c>
    </row>
    <row r="94" spans="1:22">
      <c r="A94" s="1183"/>
      <c r="B94" s="186" t="s">
        <v>119</v>
      </c>
      <c r="C94" s="195">
        <v>300</v>
      </c>
      <c r="D94" s="195">
        <v>30</v>
      </c>
      <c r="E94" s="195">
        <v>3</v>
      </c>
      <c r="F94" s="195">
        <v>3</v>
      </c>
      <c r="G94" s="195">
        <v>0</v>
      </c>
      <c r="H94" s="195">
        <v>0</v>
      </c>
      <c r="I94" s="195">
        <v>75</v>
      </c>
      <c r="J94" s="195">
        <v>68</v>
      </c>
      <c r="K94" s="195">
        <v>0</v>
      </c>
      <c r="L94" s="195">
        <v>65</v>
      </c>
      <c r="M94" s="195">
        <v>65</v>
      </c>
      <c r="N94" s="195">
        <v>0</v>
      </c>
      <c r="O94" s="260">
        <v>0</v>
      </c>
      <c r="P94" s="260">
        <v>0</v>
      </c>
      <c r="Q94" s="260">
        <v>9</v>
      </c>
      <c r="R94" s="260">
        <v>0</v>
      </c>
      <c r="S94" s="260">
        <v>0</v>
      </c>
      <c r="T94" s="260">
        <v>0</v>
      </c>
      <c r="U94" s="260">
        <v>27</v>
      </c>
      <c r="V94" s="260">
        <v>0</v>
      </c>
    </row>
    <row r="95" spans="1:22">
      <c r="A95" s="1183"/>
      <c r="B95" s="186" t="s">
        <v>120</v>
      </c>
      <c r="C95" s="195">
        <v>390</v>
      </c>
      <c r="D95" s="195">
        <v>50</v>
      </c>
      <c r="E95" s="195">
        <v>6</v>
      </c>
      <c r="F95" s="195">
        <v>4.5</v>
      </c>
      <c r="G95" s="195">
        <v>0</v>
      </c>
      <c r="H95" s="195">
        <v>0</v>
      </c>
      <c r="I95" s="195">
        <v>70</v>
      </c>
      <c r="J95" s="195">
        <v>86</v>
      </c>
      <c r="K95" s="195">
        <v>0</v>
      </c>
      <c r="L95" s="195">
        <v>80</v>
      </c>
      <c r="M95" s="195">
        <v>74</v>
      </c>
      <c r="N95" s="195">
        <v>1</v>
      </c>
      <c r="O95" s="195">
        <v>0</v>
      </c>
      <c r="P95" s="195">
        <v>0</v>
      </c>
      <c r="Q95" s="195">
        <v>13</v>
      </c>
      <c r="R95" s="195">
        <v>2</v>
      </c>
      <c r="S95" s="195">
        <v>1</v>
      </c>
      <c r="T95" s="195">
        <v>6</v>
      </c>
      <c r="U95" s="195">
        <v>19</v>
      </c>
      <c r="V95" s="195">
        <v>0</v>
      </c>
    </row>
    <row r="96" spans="1:22" ht="14.25" customHeight="1">
      <c r="A96" s="1183" t="s">
        <v>121</v>
      </c>
      <c r="B96" s="186" t="s">
        <v>122</v>
      </c>
      <c r="C96" s="195">
        <v>130</v>
      </c>
      <c r="D96" s="195">
        <v>0</v>
      </c>
      <c r="E96" s="195">
        <v>0</v>
      </c>
      <c r="F96" s="195">
        <v>0</v>
      </c>
      <c r="G96" s="195">
        <v>0</v>
      </c>
      <c r="H96" s="195">
        <v>0</v>
      </c>
      <c r="I96" s="195">
        <v>25</v>
      </c>
      <c r="J96" s="195">
        <v>47</v>
      </c>
      <c r="K96" s="195">
        <v>0</v>
      </c>
      <c r="L96" s="195">
        <v>0</v>
      </c>
      <c r="M96" s="195">
        <v>0</v>
      </c>
      <c r="N96" s="188">
        <v>0</v>
      </c>
      <c r="O96" s="188">
        <v>0</v>
      </c>
      <c r="P96" s="188">
        <v>0</v>
      </c>
      <c r="Q96" s="188">
        <v>14</v>
      </c>
      <c r="R96" s="188">
        <v>2</v>
      </c>
      <c r="S96" s="188">
        <v>0</v>
      </c>
      <c r="T96" s="188">
        <v>0</v>
      </c>
      <c r="U96" s="188">
        <v>19</v>
      </c>
      <c r="V96" s="188">
        <v>0</v>
      </c>
    </row>
    <row r="97" spans="1:22">
      <c r="A97" s="1183"/>
      <c r="B97" s="186" t="s">
        <v>123</v>
      </c>
      <c r="C97" s="188">
        <v>180</v>
      </c>
      <c r="D97" s="188">
        <v>0</v>
      </c>
      <c r="E97" s="188">
        <v>0</v>
      </c>
      <c r="F97" s="188">
        <v>0</v>
      </c>
      <c r="G97" s="188">
        <v>0</v>
      </c>
      <c r="H97" s="188">
        <v>0</v>
      </c>
      <c r="I97" s="188">
        <v>35</v>
      </c>
      <c r="J97" s="188">
        <v>61</v>
      </c>
      <c r="K97" s="188">
        <v>0</v>
      </c>
      <c r="L97" s="188">
        <v>0</v>
      </c>
      <c r="M97" s="188">
        <v>0</v>
      </c>
      <c r="N97" s="188">
        <v>0</v>
      </c>
      <c r="O97" s="188">
        <v>0</v>
      </c>
      <c r="P97" s="188">
        <v>0</v>
      </c>
      <c r="Q97" s="188">
        <v>15</v>
      </c>
      <c r="R97" s="188">
        <v>2</v>
      </c>
      <c r="S97" s="188">
        <v>0</v>
      </c>
      <c r="T97" s="188">
        <v>0</v>
      </c>
      <c r="U97" s="188">
        <v>35</v>
      </c>
      <c r="V97" s="188">
        <v>0</v>
      </c>
    </row>
    <row r="98" spans="1:22">
      <c r="A98" s="1183"/>
      <c r="B98" s="186" t="s">
        <v>124</v>
      </c>
      <c r="C98" s="195">
        <v>130</v>
      </c>
      <c r="D98" s="195">
        <v>0</v>
      </c>
      <c r="E98" s="195">
        <v>0</v>
      </c>
      <c r="F98" s="195">
        <v>0</v>
      </c>
      <c r="G98" s="195">
        <v>0</v>
      </c>
      <c r="H98" s="195">
        <v>0</v>
      </c>
      <c r="I98" s="195">
        <v>25</v>
      </c>
      <c r="J98" s="195">
        <v>44</v>
      </c>
      <c r="K98" s="195">
        <v>0</v>
      </c>
      <c r="L98" s="195">
        <v>0</v>
      </c>
      <c r="M98" s="195">
        <v>0</v>
      </c>
      <c r="N98" s="188">
        <v>0</v>
      </c>
      <c r="O98" s="188">
        <v>0</v>
      </c>
      <c r="P98" s="188">
        <v>0</v>
      </c>
      <c r="Q98" s="188">
        <v>14</v>
      </c>
      <c r="R98" s="188">
        <v>2</v>
      </c>
      <c r="S98" s="188">
        <v>0</v>
      </c>
      <c r="T98" s="188">
        <v>0</v>
      </c>
      <c r="U98" s="188">
        <v>23</v>
      </c>
      <c r="V98" s="188">
        <v>0</v>
      </c>
    </row>
    <row r="99" spans="1:22">
      <c r="A99" s="1183"/>
      <c r="B99" s="186" t="s">
        <v>125</v>
      </c>
      <c r="C99" s="195">
        <v>130</v>
      </c>
      <c r="D99" s="195">
        <v>0</v>
      </c>
      <c r="E99" s="195">
        <v>0</v>
      </c>
      <c r="F99" s="195">
        <v>0</v>
      </c>
      <c r="G99" s="195">
        <v>0</v>
      </c>
      <c r="H99" s="195">
        <v>0</v>
      </c>
      <c r="I99" s="195">
        <v>30</v>
      </c>
      <c r="J99" s="195">
        <v>43</v>
      </c>
      <c r="K99" s="195">
        <v>0</v>
      </c>
      <c r="L99" s="195">
        <v>0</v>
      </c>
      <c r="M99" s="195">
        <v>0</v>
      </c>
      <c r="N99" s="188">
        <v>0</v>
      </c>
      <c r="O99" s="188">
        <v>0</v>
      </c>
      <c r="P99" s="188">
        <v>0</v>
      </c>
      <c r="Q99" s="188">
        <v>9</v>
      </c>
      <c r="R99" s="188">
        <v>0</v>
      </c>
      <c r="S99" s="188">
        <v>0</v>
      </c>
      <c r="T99" s="188">
        <v>0</v>
      </c>
      <c r="U99" s="188">
        <v>24</v>
      </c>
      <c r="V99" s="188">
        <v>0</v>
      </c>
    </row>
    <row r="100" spans="1:22">
      <c r="A100" s="1183"/>
      <c r="B100" s="186" t="s">
        <v>126</v>
      </c>
      <c r="C100" s="195">
        <v>130</v>
      </c>
      <c r="D100" s="195">
        <v>0</v>
      </c>
      <c r="E100" s="195">
        <v>0</v>
      </c>
      <c r="F100" s="195">
        <v>0</v>
      </c>
      <c r="G100" s="195">
        <v>0</v>
      </c>
      <c r="H100" s="195">
        <v>0</v>
      </c>
      <c r="I100" s="195">
        <v>35</v>
      </c>
      <c r="J100" s="195">
        <v>46</v>
      </c>
      <c r="K100" s="195">
        <v>0</v>
      </c>
      <c r="L100" s="195">
        <v>0</v>
      </c>
      <c r="M100" s="195">
        <v>0</v>
      </c>
      <c r="N100" s="188">
        <v>0</v>
      </c>
      <c r="O100" s="188">
        <v>0</v>
      </c>
      <c r="P100" s="188">
        <v>0</v>
      </c>
      <c r="Q100" s="188">
        <v>9</v>
      </c>
      <c r="R100" s="188">
        <v>0</v>
      </c>
      <c r="S100" s="188">
        <v>0</v>
      </c>
      <c r="T100" s="188">
        <v>0</v>
      </c>
      <c r="U100" s="188">
        <v>20</v>
      </c>
      <c r="V100" s="188">
        <v>0</v>
      </c>
    </row>
    <row r="101" spans="1:22">
      <c r="A101" s="1183"/>
      <c r="B101" s="186" t="s">
        <v>127</v>
      </c>
      <c r="C101" s="195">
        <v>130</v>
      </c>
      <c r="D101" s="195">
        <v>0</v>
      </c>
      <c r="E101" s="195">
        <v>0</v>
      </c>
      <c r="F101" s="195">
        <v>0</v>
      </c>
      <c r="G101" s="195">
        <v>0</v>
      </c>
      <c r="H101" s="195">
        <v>0</v>
      </c>
      <c r="I101" s="195">
        <v>40</v>
      </c>
      <c r="J101" s="195">
        <v>46</v>
      </c>
      <c r="K101" s="195">
        <v>0</v>
      </c>
      <c r="L101" s="195">
        <v>0</v>
      </c>
      <c r="M101" s="195">
        <v>0</v>
      </c>
      <c r="N101" s="188">
        <v>0</v>
      </c>
      <c r="O101" s="188">
        <v>0</v>
      </c>
      <c r="P101" s="188">
        <v>0</v>
      </c>
      <c r="Q101" s="188">
        <v>9</v>
      </c>
      <c r="R101" s="188">
        <v>0</v>
      </c>
      <c r="S101" s="188">
        <v>0</v>
      </c>
      <c r="T101" s="188">
        <v>0</v>
      </c>
      <c r="U101" s="188">
        <v>26</v>
      </c>
      <c r="V101" s="188">
        <v>0</v>
      </c>
    </row>
    <row r="102" spans="1:22">
      <c r="A102" s="504"/>
      <c r="B102" s="186" t="s">
        <v>26</v>
      </c>
      <c r="C102" s="195">
        <v>280</v>
      </c>
      <c r="D102" s="195">
        <v>130</v>
      </c>
      <c r="E102" s="195">
        <v>15</v>
      </c>
      <c r="F102" s="195">
        <v>10</v>
      </c>
      <c r="G102" s="195">
        <v>0</v>
      </c>
      <c r="H102" s="195">
        <v>100</v>
      </c>
      <c r="I102" s="195">
        <v>170</v>
      </c>
      <c r="J102" s="195">
        <v>33</v>
      </c>
      <c r="K102" s="195">
        <v>0</v>
      </c>
      <c r="L102" s="195">
        <v>29</v>
      </c>
      <c r="M102" s="195">
        <v>22</v>
      </c>
      <c r="N102" s="188">
        <v>5</v>
      </c>
      <c r="O102" s="188">
        <v>0</v>
      </c>
      <c r="P102" s="188">
        <v>0</v>
      </c>
      <c r="Q102" s="188">
        <v>191</v>
      </c>
      <c r="R102" s="188">
        <v>20</v>
      </c>
      <c r="S102" s="188">
        <v>0</v>
      </c>
      <c r="T102" s="188">
        <v>0</v>
      </c>
      <c r="U102" s="188">
        <v>260</v>
      </c>
      <c r="V102" s="188">
        <v>7</v>
      </c>
    </row>
    <row r="103" spans="1:22" ht="18.75" customHeight="1">
      <c r="A103" s="1183"/>
      <c r="B103" s="186" t="s">
        <v>356</v>
      </c>
      <c r="C103" s="195">
        <v>280</v>
      </c>
      <c r="D103" s="195">
        <v>140</v>
      </c>
      <c r="E103" s="195">
        <v>15</v>
      </c>
      <c r="F103" s="195">
        <v>10</v>
      </c>
      <c r="G103" s="195">
        <v>0</v>
      </c>
      <c r="H103" s="195">
        <v>105</v>
      </c>
      <c r="I103" s="195">
        <v>170</v>
      </c>
      <c r="J103" s="195">
        <v>31</v>
      </c>
      <c r="K103" s="195">
        <v>0</v>
      </c>
      <c r="L103" s="195">
        <v>26</v>
      </c>
      <c r="M103" s="195">
        <v>19</v>
      </c>
      <c r="N103" s="195">
        <v>6</v>
      </c>
      <c r="O103" s="195">
        <v>0</v>
      </c>
      <c r="P103" s="195">
        <v>0</v>
      </c>
      <c r="Q103" s="195">
        <v>194.26400000000001</v>
      </c>
      <c r="R103" s="195">
        <v>20</v>
      </c>
      <c r="S103" s="195">
        <v>2.9190000000000002E-3</v>
      </c>
      <c r="T103" s="195">
        <v>0</v>
      </c>
      <c r="U103" s="195">
        <v>260</v>
      </c>
      <c r="V103" s="195">
        <v>7</v>
      </c>
    </row>
    <row r="104" spans="1:22">
      <c r="A104" s="1183"/>
      <c r="B104" s="186" t="s">
        <v>134</v>
      </c>
      <c r="C104" s="195">
        <v>290</v>
      </c>
      <c r="D104" s="195">
        <v>130</v>
      </c>
      <c r="E104" s="195">
        <v>14</v>
      </c>
      <c r="F104" s="195">
        <v>9</v>
      </c>
      <c r="G104" s="195">
        <v>0</v>
      </c>
      <c r="H104" s="195">
        <v>95</v>
      </c>
      <c r="I104" s="195">
        <v>160</v>
      </c>
      <c r="J104" s="195">
        <v>37</v>
      </c>
      <c r="K104" s="195">
        <v>0</v>
      </c>
      <c r="L104" s="195">
        <v>32</v>
      </c>
      <c r="M104" s="195">
        <v>26</v>
      </c>
      <c r="N104" s="195">
        <v>5</v>
      </c>
      <c r="O104" s="195">
        <v>0</v>
      </c>
      <c r="P104" s="195">
        <v>0</v>
      </c>
      <c r="Q104" s="195">
        <v>179</v>
      </c>
      <c r="R104" s="195">
        <v>15</v>
      </c>
      <c r="S104" s="195">
        <v>0</v>
      </c>
      <c r="T104" s="195">
        <v>0</v>
      </c>
      <c r="U104" s="195">
        <v>243</v>
      </c>
      <c r="V104" s="195">
        <v>6</v>
      </c>
    </row>
    <row r="105" spans="1:22">
      <c r="A105" s="1183"/>
      <c r="B105" s="186" t="s">
        <v>373</v>
      </c>
      <c r="C105" s="195">
        <v>280</v>
      </c>
      <c r="D105" s="195">
        <v>140</v>
      </c>
      <c r="E105" s="195">
        <v>15</v>
      </c>
      <c r="F105" s="195">
        <v>10</v>
      </c>
      <c r="G105" s="195">
        <v>0</v>
      </c>
      <c r="H105" s="195">
        <v>105</v>
      </c>
      <c r="I105" s="195">
        <v>170</v>
      </c>
      <c r="J105" s="195">
        <v>33</v>
      </c>
      <c r="K105" s="195">
        <v>0</v>
      </c>
      <c r="L105" s="195">
        <v>27</v>
      </c>
      <c r="M105" s="195">
        <v>19</v>
      </c>
      <c r="N105" s="195">
        <v>6</v>
      </c>
      <c r="O105" s="195">
        <v>0</v>
      </c>
      <c r="P105" s="195">
        <v>0</v>
      </c>
      <c r="Q105" s="195">
        <v>195</v>
      </c>
      <c r="R105" s="195">
        <v>15</v>
      </c>
      <c r="S105" s="195">
        <v>0</v>
      </c>
      <c r="T105" s="195">
        <v>0</v>
      </c>
      <c r="U105" s="195">
        <v>264</v>
      </c>
      <c r="V105" s="195">
        <v>6</v>
      </c>
    </row>
    <row r="106" spans="1:22" ht="15" customHeight="1">
      <c r="A106" s="1183"/>
      <c r="B106" s="186" t="s">
        <v>98</v>
      </c>
      <c r="C106" s="195">
        <v>290</v>
      </c>
      <c r="D106" s="195">
        <v>140</v>
      </c>
      <c r="E106" s="195">
        <v>15</v>
      </c>
      <c r="F106" s="195">
        <v>10</v>
      </c>
      <c r="G106" s="195">
        <v>0</v>
      </c>
      <c r="H106" s="195">
        <v>105</v>
      </c>
      <c r="I106" s="195">
        <v>170</v>
      </c>
      <c r="J106" s="195">
        <v>33</v>
      </c>
      <c r="K106" s="195">
        <v>0</v>
      </c>
      <c r="L106" s="195">
        <v>29</v>
      </c>
      <c r="M106" s="195">
        <v>22</v>
      </c>
      <c r="N106" s="195">
        <v>5</v>
      </c>
      <c r="O106" s="195">
        <v>0</v>
      </c>
      <c r="P106" s="195">
        <v>0</v>
      </c>
      <c r="Q106" s="195">
        <v>191.64400000000001</v>
      </c>
      <c r="R106" s="195">
        <v>20</v>
      </c>
      <c r="S106" s="195">
        <v>9.7999999999999997E-5</v>
      </c>
      <c r="T106" s="195">
        <v>0</v>
      </c>
      <c r="U106" s="195">
        <v>260</v>
      </c>
      <c r="V106" s="195">
        <v>7</v>
      </c>
    </row>
    <row r="107" spans="1:22" ht="14.25" customHeight="1">
      <c r="A107" s="1183"/>
      <c r="B107" s="186" t="s">
        <v>129</v>
      </c>
      <c r="C107" s="195">
        <v>270</v>
      </c>
      <c r="D107" s="195">
        <v>130</v>
      </c>
      <c r="E107" s="195">
        <v>14</v>
      </c>
      <c r="F107" s="195">
        <v>9</v>
      </c>
      <c r="G107" s="195">
        <v>0</v>
      </c>
      <c r="H107" s="195">
        <v>85</v>
      </c>
      <c r="I107" s="195">
        <v>140</v>
      </c>
      <c r="J107" s="195">
        <v>31</v>
      </c>
      <c r="K107" s="195">
        <v>0</v>
      </c>
      <c r="L107" s="195">
        <v>28</v>
      </c>
      <c r="M107" s="195">
        <v>21</v>
      </c>
      <c r="N107" s="195">
        <v>6</v>
      </c>
      <c r="O107" s="195">
        <v>0</v>
      </c>
      <c r="P107" s="195">
        <v>0</v>
      </c>
      <c r="Q107" s="195">
        <v>184.27199999999999</v>
      </c>
      <c r="R107" s="195">
        <v>20</v>
      </c>
      <c r="S107" s="195">
        <v>1.53087</v>
      </c>
      <c r="T107" s="195">
        <v>8</v>
      </c>
      <c r="U107" s="195">
        <v>370</v>
      </c>
      <c r="V107" s="195">
        <v>11</v>
      </c>
    </row>
    <row r="108" spans="1:22" ht="14.25" customHeight="1">
      <c r="A108" s="1183"/>
      <c r="B108" s="186" t="s">
        <v>357</v>
      </c>
      <c r="C108" s="195">
        <v>280</v>
      </c>
      <c r="D108" s="195">
        <v>140</v>
      </c>
      <c r="E108" s="195">
        <v>15</v>
      </c>
      <c r="F108" s="195">
        <v>10</v>
      </c>
      <c r="G108" s="195">
        <v>0</v>
      </c>
      <c r="H108" s="195">
        <v>105</v>
      </c>
      <c r="I108" s="195">
        <v>180</v>
      </c>
      <c r="J108" s="195">
        <v>31</v>
      </c>
      <c r="K108" s="195">
        <v>0</v>
      </c>
      <c r="L108" s="195">
        <v>27</v>
      </c>
      <c r="M108" s="195">
        <v>20</v>
      </c>
      <c r="N108" s="195">
        <v>6</v>
      </c>
      <c r="O108" s="195">
        <v>0</v>
      </c>
      <c r="P108" s="195">
        <v>0</v>
      </c>
      <c r="Q108" s="195">
        <v>196.82599999999999</v>
      </c>
      <c r="R108" s="195">
        <v>20</v>
      </c>
      <c r="S108" s="195">
        <v>2.7511000000000001E-2</v>
      </c>
      <c r="T108" s="195">
        <v>0</v>
      </c>
      <c r="U108" s="195">
        <v>270</v>
      </c>
      <c r="V108" s="195">
        <v>8</v>
      </c>
    </row>
    <row r="109" spans="1:22">
      <c r="A109" s="1183"/>
      <c r="B109" s="186" t="s">
        <v>36</v>
      </c>
      <c r="C109" s="195">
        <v>290</v>
      </c>
      <c r="D109" s="195">
        <v>140</v>
      </c>
      <c r="E109" s="195">
        <v>15</v>
      </c>
      <c r="F109" s="195">
        <v>10</v>
      </c>
      <c r="G109" s="195">
        <v>0</v>
      </c>
      <c r="H109" s="195">
        <v>100</v>
      </c>
      <c r="I109" s="195">
        <v>170</v>
      </c>
      <c r="J109" s="195">
        <v>33</v>
      </c>
      <c r="K109" s="195">
        <v>0</v>
      </c>
      <c r="L109" s="195">
        <v>29</v>
      </c>
      <c r="M109" s="195">
        <v>22</v>
      </c>
      <c r="N109" s="195">
        <v>5</v>
      </c>
      <c r="O109" s="195">
        <v>0</v>
      </c>
      <c r="P109" s="195">
        <v>0</v>
      </c>
      <c r="Q109" s="195">
        <v>191.35300000000001</v>
      </c>
      <c r="R109" s="195">
        <v>20</v>
      </c>
      <c r="S109" s="195">
        <v>3.9316999999999998E-2</v>
      </c>
      <c r="T109" s="195">
        <v>0</v>
      </c>
      <c r="U109" s="195">
        <v>260</v>
      </c>
      <c r="V109" s="195">
        <v>7</v>
      </c>
    </row>
    <row r="110" spans="1:22" hidden="1">
      <c r="A110" s="1183"/>
      <c r="B110" s="186" t="s">
        <v>374</v>
      </c>
      <c r="C110" s="195">
        <v>280</v>
      </c>
      <c r="D110" s="195">
        <v>140</v>
      </c>
      <c r="E110" s="195">
        <v>15</v>
      </c>
      <c r="F110" s="195">
        <v>10</v>
      </c>
      <c r="G110" s="195">
        <v>0</v>
      </c>
      <c r="H110" s="195">
        <v>105</v>
      </c>
      <c r="I110" s="195">
        <v>170</v>
      </c>
      <c r="J110" s="195">
        <v>32</v>
      </c>
      <c r="K110" s="195">
        <v>0</v>
      </c>
      <c r="L110" s="195">
        <v>28</v>
      </c>
      <c r="M110" s="195">
        <v>21</v>
      </c>
      <c r="N110" s="195">
        <v>6</v>
      </c>
      <c r="O110" s="195">
        <v>0</v>
      </c>
      <c r="P110" s="195">
        <v>0</v>
      </c>
      <c r="Q110" s="195">
        <v>193.88800000000001</v>
      </c>
      <c r="R110" s="195">
        <v>20</v>
      </c>
      <c r="S110" s="195">
        <v>6.6000000000000005E-5</v>
      </c>
      <c r="T110" s="195">
        <v>0</v>
      </c>
      <c r="U110" s="195">
        <v>260</v>
      </c>
      <c r="V110" s="195">
        <v>7</v>
      </c>
    </row>
    <row r="111" spans="1:22">
      <c r="A111" s="1183"/>
      <c r="B111" s="186" t="s">
        <v>358</v>
      </c>
      <c r="C111" s="195">
        <v>280</v>
      </c>
      <c r="D111" s="195">
        <v>140</v>
      </c>
      <c r="E111" s="195">
        <v>15</v>
      </c>
      <c r="F111" s="195">
        <v>10</v>
      </c>
      <c r="G111" s="195">
        <v>0</v>
      </c>
      <c r="H111" s="195">
        <v>105</v>
      </c>
      <c r="I111" s="195">
        <v>170</v>
      </c>
      <c r="J111" s="195">
        <v>31</v>
      </c>
      <c r="K111" s="195">
        <v>0</v>
      </c>
      <c r="L111" s="195">
        <v>26</v>
      </c>
      <c r="M111" s="195">
        <v>20</v>
      </c>
      <c r="N111" s="195">
        <v>6</v>
      </c>
      <c r="O111" s="195">
        <v>0</v>
      </c>
      <c r="P111" s="195">
        <v>0</v>
      </c>
      <c r="Q111" s="195">
        <v>195.35300000000001</v>
      </c>
      <c r="R111" s="195">
        <v>20</v>
      </c>
      <c r="S111" s="195">
        <v>9.2199999999999997E-4</v>
      </c>
      <c r="T111" s="195">
        <v>0</v>
      </c>
      <c r="U111" s="195">
        <v>270</v>
      </c>
      <c r="V111" s="195">
        <v>8</v>
      </c>
    </row>
    <row r="112" spans="1:22">
      <c r="A112" s="1183"/>
      <c r="B112" s="186" t="s">
        <v>359</v>
      </c>
      <c r="C112" s="195">
        <v>280</v>
      </c>
      <c r="D112" s="195">
        <v>140</v>
      </c>
      <c r="E112" s="195">
        <v>15</v>
      </c>
      <c r="F112" s="195">
        <v>10</v>
      </c>
      <c r="G112" s="195">
        <v>0</v>
      </c>
      <c r="H112" s="195">
        <v>105</v>
      </c>
      <c r="I112" s="195">
        <v>170</v>
      </c>
      <c r="J112" s="195">
        <v>32</v>
      </c>
      <c r="K112" s="195">
        <v>0</v>
      </c>
      <c r="L112" s="195">
        <v>28</v>
      </c>
      <c r="M112" s="195">
        <v>21</v>
      </c>
      <c r="N112" s="195">
        <v>6</v>
      </c>
      <c r="O112" s="195">
        <v>0</v>
      </c>
      <c r="P112" s="195">
        <v>0</v>
      </c>
      <c r="Q112" s="195">
        <v>194</v>
      </c>
      <c r="R112" s="195">
        <v>15</v>
      </c>
      <c r="S112" s="195">
        <v>0</v>
      </c>
      <c r="T112" s="195">
        <v>0</v>
      </c>
      <c r="U112" s="195">
        <v>265</v>
      </c>
      <c r="V112" s="195">
        <v>6</v>
      </c>
    </row>
    <row r="113" spans="1:22" hidden="1">
      <c r="A113" s="1183"/>
      <c r="B113" s="186" t="s">
        <v>139</v>
      </c>
      <c r="C113" s="195">
        <v>290</v>
      </c>
      <c r="D113" s="195">
        <v>140</v>
      </c>
      <c r="E113" s="195">
        <v>15</v>
      </c>
      <c r="F113" s="195">
        <v>10</v>
      </c>
      <c r="G113" s="195">
        <v>0</v>
      </c>
      <c r="H113" s="195">
        <v>105</v>
      </c>
      <c r="I113" s="195">
        <v>180</v>
      </c>
      <c r="J113" s="195">
        <v>32</v>
      </c>
      <c r="K113" s="195">
        <v>0</v>
      </c>
      <c r="L113" s="195">
        <v>27</v>
      </c>
      <c r="M113" s="195">
        <v>20</v>
      </c>
      <c r="N113" s="195">
        <v>6</v>
      </c>
      <c r="O113" s="195">
        <v>0</v>
      </c>
      <c r="P113" s="195">
        <v>0</v>
      </c>
      <c r="Q113" s="195">
        <v>195.751</v>
      </c>
      <c r="R113" s="195">
        <v>20</v>
      </c>
      <c r="S113" s="195">
        <v>3.8999999999999999E-5</v>
      </c>
      <c r="T113" s="195">
        <v>0</v>
      </c>
      <c r="U113" s="195">
        <v>270</v>
      </c>
      <c r="V113" s="195">
        <v>8</v>
      </c>
    </row>
    <row r="114" spans="1:22">
      <c r="A114" s="1183"/>
      <c r="B114" s="186" t="s">
        <v>140</v>
      </c>
      <c r="C114" s="195">
        <v>290</v>
      </c>
      <c r="D114" s="195">
        <v>140</v>
      </c>
      <c r="E114" s="195">
        <v>15</v>
      </c>
      <c r="F114" s="195">
        <v>10</v>
      </c>
      <c r="G114" s="195">
        <v>0</v>
      </c>
      <c r="H114" s="195">
        <v>105</v>
      </c>
      <c r="I114" s="195">
        <v>170</v>
      </c>
      <c r="J114" s="195">
        <v>33</v>
      </c>
      <c r="K114" s="195">
        <v>0</v>
      </c>
      <c r="L114" s="195">
        <v>29</v>
      </c>
      <c r="M114" s="195">
        <v>22</v>
      </c>
      <c r="N114" s="195">
        <v>5</v>
      </c>
      <c r="O114" s="195">
        <v>0</v>
      </c>
      <c r="P114" s="195">
        <v>0</v>
      </c>
      <c r="Q114" s="195">
        <v>192.053</v>
      </c>
      <c r="R114" s="195">
        <v>20</v>
      </c>
      <c r="S114" s="195">
        <v>5.2880000000000002E-3</v>
      </c>
      <c r="T114" s="195">
        <v>0</v>
      </c>
      <c r="U114" s="195">
        <v>260</v>
      </c>
      <c r="V114" s="195">
        <v>7</v>
      </c>
    </row>
    <row r="115" spans="1:22">
      <c r="A115" s="1183"/>
      <c r="B115" s="186" t="s">
        <v>360</v>
      </c>
      <c r="C115" s="195">
        <v>280</v>
      </c>
      <c r="D115" s="195">
        <v>140</v>
      </c>
      <c r="E115" s="195">
        <v>15</v>
      </c>
      <c r="F115" s="195">
        <v>10</v>
      </c>
      <c r="G115" s="195">
        <v>0</v>
      </c>
      <c r="H115" s="195">
        <v>105</v>
      </c>
      <c r="I115" s="195">
        <v>170</v>
      </c>
      <c r="J115" s="195">
        <v>32</v>
      </c>
      <c r="K115" s="195">
        <v>0</v>
      </c>
      <c r="L115" s="195">
        <v>27</v>
      </c>
      <c r="M115" s="195">
        <v>20</v>
      </c>
      <c r="N115" s="195">
        <v>6</v>
      </c>
      <c r="O115" s="195">
        <v>0</v>
      </c>
      <c r="P115" s="195">
        <v>0</v>
      </c>
      <c r="Q115" s="195">
        <v>195.43700000000001</v>
      </c>
      <c r="R115" s="195">
        <v>20</v>
      </c>
      <c r="S115" s="195">
        <v>5.0689999999999997E-3</v>
      </c>
      <c r="T115" s="195">
        <v>0</v>
      </c>
      <c r="U115" s="195">
        <v>270</v>
      </c>
      <c r="V115" s="195">
        <v>8</v>
      </c>
    </row>
    <row r="116" spans="1:22">
      <c r="A116" s="1183"/>
      <c r="B116" s="186" t="s">
        <v>361</v>
      </c>
      <c r="C116" s="195">
        <v>270</v>
      </c>
      <c r="D116" s="195">
        <v>130</v>
      </c>
      <c r="E116" s="195">
        <v>14</v>
      </c>
      <c r="F116" s="195">
        <v>8</v>
      </c>
      <c r="G116" s="195">
        <v>0</v>
      </c>
      <c r="H116" s="195">
        <v>85</v>
      </c>
      <c r="I116" s="195">
        <v>140</v>
      </c>
      <c r="J116" s="195">
        <v>32</v>
      </c>
      <c r="K116" s="195">
        <v>0</v>
      </c>
      <c r="L116" s="195">
        <v>29</v>
      </c>
      <c r="M116" s="195">
        <v>21</v>
      </c>
      <c r="N116" s="195">
        <v>6</v>
      </c>
      <c r="O116" s="195">
        <v>0</v>
      </c>
      <c r="P116" s="195">
        <v>0</v>
      </c>
      <c r="Q116" s="195">
        <v>182</v>
      </c>
      <c r="R116" s="195">
        <v>15</v>
      </c>
      <c r="S116" s="195">
        <v>2</v>
      </c>
      <c r="T116" s="195">
        <v>10</v>
      </c>
      <c r="U116" s="195">
        <v>363</v>
      </c>
      <c r="V116" s="195">
        <v>8</v>
      </c>
    </row>
    <row r="117" spans="1:22">
      <c r="A117" s="1183"/>
      <c r="B117" s="186" t="s">
        <v>66</v>
      </c>
      <c r="C117" s="195">
        <v>280</v>
      </c>
      <c r="D117" s="195">
        <v>140</v>
      </c>
      <c r="E117" s="195">
        <v>15</v>
      </c>
      <c r="F117" s="195">
        <v>10</v>
      </c>
      <c r="G117" s="195">
        <v>0</v>
      </c>
      <c r="H117" s="195">
        <v>105</v>
      </c>
      <c r="I117" s="195">
        <v>170</v>
      </c>
      <c r="J117" s="195">
        <v>32</v>
      </c>
      <c r="K117" s="195">
        <v>0</v>
      </c>
      <c r="L117" s="195">
        <v>28</v>
      </c>
      <c r="M117" s="195">
        <v>21</v>
      </c>
      <c r="N117" s="195">
        <v>6</v>
      </c>
      <c r="O117" s="195">
        <v>0</v>
      </c>
      <c r="P117" s="195">
        <v>0</v>
      </c>
      <c r="Q117" s="195">
        <v>193.82</v>
      </c>
      <c r="R117" s="195">
        <v>20</v>
      </c>
      <c r="S117" s="195">
        <v>1E-4</v>
      </c>
      <c r="T117" s="195">
        <v>0</v>
      </c>
      <c r="U117" s="195">
        <v>260</v>
      </c>
      <c r="V117" s="195">
        <v>7</v>
      </c>
    </row>
    <row r="118" spans="1:22">
      <c r="A118" s="1183"/>
      <c r="B118" s="186" t="s">
        <v>117</v>
      </c>
      <c r="C118" s="195">
        <v>290</v>
      </c>
      <c r="D118" s="195">
        <v>140</v>
      </c>
      <c r="E118" s="195">
        <v>15</v>
      </c>
      <c r="F118" s="195">
        <v>10</v>
      </c>
      <c r="G118" s="195">
        <v>0</v>
      </c>
      <c r="H118" s="195">
        <v>105</v>
      </c>
      <c r="I118" s="195">
        <v>170</v>
      </c>
      <c r="J118" s="195">
        <v>33</v>
      </c>
      <c r="K118" s="195">
        <v>0</v>
      </c>
      <c r="L118" s="195">
        <v>29</v>
      </c>
      <c r="M118" s="195">
        <v>20</v>
      </c>
      <c r="N118" s="195">
        <v>5</v>
      </c>
      <c r="O118" s="195">
        <v>0</v>
      </c>
      <c r="P118" s="195">
        <v>0</v>
      </c>
      <c r="Q118" s="195">
        <v>191</v>
      </c>
      <c r="R118" s="195">
        <v>15</v>
      </c>
      <c r="S118" s="195">
        <v>0</v>
      </c>
      <c r="T118" s="195">
        <v>0</v>
      </c>
      <c r="U118" s="195">
        <v>260</v>
      </c>
      <c r="V118" s="195">
        <v>6</v>
      </c>
    </row>
    <row r="119" spans="1:22">
      <c r="A119" s="1183"/>
      <c r="B119" s="186" t="s">
        <v>130</v>
      </c>
      <c r="C119" s="195">
        <v>280</v>
      </c>
      <c r="D119" s="195">
        <v>140</v>
      </c>
      <c r="E119" s="195">
        <v>16</v>
      </c>
      <c r="F119" s="195">
        <v>10</v>
      </c>
      <c r="G119" s="195">
        <v>0</v>
      </c>
      <c r="H119" s="195">
        <v>105</v>
      </c>
      <c r="I119" s="195">
        <v>180</v>
      </c>
      <c r="J119" s="195">
        <v>31</v>
      </c>
      <c r="K119" s="195">
        <v>0</v>
      </c>
      <c r="L119" s="195">
        <v>27</v>
      </c>
      <c r="M119" s="195">
        <v>20</v>
      </c>
      <c r="N119" s="195">
        <v>6</v>
      </c>
      <c r="O119" s="195">
        <v>0</v>
      </c>
      <c r="P119" s="195">
        <v>0</v>
      </c>
      <c r="Q119" s="195">
        <v>198.447</v>
      </c>
      <c r="R119" s="195">
        <v>20</v>
      </c>
      <c r="S119" s="195">
        <v>0</v>
      </c>
      <c r="T119" s="195">
        <v>0</v>
      </c>
      <c r="U119" s="195">
        <v>270</v>
      </c>
      <c r="V119" s="195">
        <v>8</v>
      </c>
    </row>
    <row r="121" spans="1:22" ht="46.5" customHeight="1">
      <c r="B121" s="1197" t="s">
        <v>168</v>
      </c>
      <c r="C121" s="1197"/>
      <c r="D121" s="1197"/>
      <c r="E121" s="1197"/>
      <c r="F121" s="1197"/>
      <c r="G121" s="1197"/>
      <c r="H121" s="1197"/>
      <c r="I121" s="1197"/>
      <c r="J121" s="1197"/>
      <c r="K121" s="1197"/>
      <c r="L121" s="1197"/>
      <c r="M121" s="1197"/>
      <c r="N121" s="1197"/>
      <c r="O121" s="1197"/>
      <c r="P121" s="1197"/>
      <c r="Q121" s="1197"/>
      <c r="R121" s="1197"/>
      <c r="S121" s="1197"/>
      <c r="T121" s="1197"/>
      <c r="U121" s="1197"/>
      <c r="V121" s="1197"/>
    </row>
    <row r="123" spans="1:22" hidden="1">
      <c r="B123" s="191" t="s">
        <v>362</v>
      </c>
      <c r="C123" s="191">
        <f t="shared" ref="C123:V123" si="0">SUM(AVERAGE(C5:C56),AVERAGE(C103:C119))</f>
        <v>565.23755656108597</v>
      </c>
      <c r="D123" s="191">
        <f t="shared" si="0"/>
        <v>142.00452488687785</v>
      </c>
      <c r="E123" s="191">
        <f t="shared" si="0"/>
        <v>15.295814479638009</v>
      </c>
      <c r="F123" s="191">
        <f t="shared" si="0"/>
        <v>9.870475113122172</v>
      </c>
      <c r="G123" s="191">
        <f t="shared" si="0"/>
        <v>0</v>
      </c>
      <c r="H123" s="191">
        <f t="shared" si="0"/>
        <v>101.76470588235294</v>
      </c>
      <c r="I123" s="191">
        <f t="shared" si="0"/>
        <v>215.43552036199097</v>
      </c>
      <c r="J123" s="191">
        <f t="shared" si="0"/>
        <v>103.96719457013575</v>
      </c>
      <c r="K123" s="191">
        <f t="shared" si="0"/>
        <v>5.7692307692307696E-2</v>
      </c>
      <c r="L123" s="191">
        <f t="shared" si="0"/>
        <v>96.519230769230774</v>
      </c>
      <c r="M123" s="191">
        <f t="shared" si="0"/>
        <v>83.920814479638011</v>
      </c>
      <c r="N123" s="191">
        <f t="shared" si="0"/>
        <v>5.8789592760181</v>
      </c>
      <c r="O123" s="191">
        <f t="shared" si="0"/>
        <v>0.13461538461538461</v>
      </c>
      <c r="P123" s="191">
        <f t="shared" si="0"/>
        <v>0.69230769230769229</v>
      </c>
      <c r="Q123" s="191">
        <f t="shared" si="0"/>
        <v>202.67940428733033</v>
      </c>
      <c r="R123" s="191">
        <f t="shared" si="0"/>
        <v>18.760180995475114</v>
      </c>
      <c r="S123" s="191">
        <f t="shared" si="0"/>
        <v>0.31743802488687778</v>
      </c>
      <c r="T123" s="191">
        <f t="shared" si="0"/>
        <v>1.6357466063348416</v>
      </c>
      <c r="U123" s="191">
        <f t="shared" si="0"/>
        <v>294.23076923076923</v>
      </c>
      <c r="V123" s="191">
        <f t="shared" si="0"/>
        <v>7.6029411764705879</v>
      </c>
    </row>
    <row r="124" spans="1:22" ht="31.75" hidden="1">
      <c r="B124" s="191" t="s">
        <v>363</v>
      </c>
      <c r="C124" s="191" t="str">
        <f t="shared" ref="C124:V124" si="1" xml:space="preserve"> ROUND(MIN(C5:C56)+MIN(C103:C119), 0) &amp; " - " &amp; ROUND(MAX(C5:C56)+MAX(C103:C119),0)</f>
        <v>460 - 710</v>
      </c>
      <c r="D124" s="191" t="str">
        <f t="shared" si="1"/>
        <v>130 - 230</v>
      </c>
      <c r="E124" s="191" t="str">
        <f t="shared" si="1"/>
        <v>14 - 26</v>
      </c>
      <c r="F124" s="191" t="str">
        <f t="shared" si="1"/>
        <v>8 - 12</v>
      </c>
      <c r="G124" s="191" t="str">
        <f t="shared" si="1"/>
        <v>0 - 0</v>
      </c>
      <c r="H124" s="191" t="str">
        <f t="shared" si="1"/>
        <v>85 - 105</v>
      </c>
      <c r="I124" s="191" t="str">
        <f t="shared" si="1"/>
        <v>165 - 305</v>
      </c>
      <c r="J124" s="191" t="str">
        <f t="shared" si="1"/>
        <v>80 - 143</v>
      </c>
      <c r="K124" s="191" t="str">
        <f t="shared" si="1"/>
        <v>0 - 1</v>
      </c>
      <c r="L124" s="191" t="str">
        <f t="shared" si="1"/>
        <v>72 - 134</v>
      </c>
      <c r="M124" s="191" t="str">
        <f t="shared" si="1"/>
        <v>39 - 128</v>
      </c>
      <c r="N124" s="191" t="str">
        <f t="shared" si="1"/>
        <v>5 - 9</v>
      </c>
      <c r="O124" s="191" t="str">
        <f t="shared" si="1"/>
        <v>0 - 2</v>
      </c>
      <c r="P124" s="191" t="str">
        <f t="shared" si="1"/>
        <v>0 - 10</v>
      </c>
      <c r="Q124" s="191" t="str">
        <f t="shared" si="1"/>
        <v>186 - 221</v>
      </c>
      <c r="R124" s="191" t="str">
        <f t="shared" si="1"/>
        <v>15 - 22</v>
      </c>
      <c r="S124" s="191" t="str">
        <f t="shared" si="1"/>
        <v>0 - 3</v>
      </c>
      <c r="T124" s="191" t="str">
        <f t="shared" si="1"/>
        <v>0 - 16</v>
      </c>
      <c r="U124" s="191" t="str">
        <f t="shared" si="1"/>
        <v>243 - 456</v>
      </c>
      <c r="V124" s="191" t="str">
        <f t="shared" si="1"/>
        <v>6 - 13</v>
      </c>
    </row>
    <row r="125" spans="1:22" hidden="1">
      <c r="B125" s="191" t="s">
        <v>364</v>
      </c>
      <c r="C125" s="191">
        <f t="shared" ref="C125:V125" si="2">SUM(AVERAGE(C57:C66), AVERAGE(C103:C119))</f>
        <v>542.35294117647061</v>
      </c>
      <c r="D125" s="191">
        <f t="shared" si="2"/>
        <v>138.23529411764707</v>
      </c>
      <c r="E125" s="191">
        <f t="shared" si="2"/>
        <v>14.882352941176471</v>
      </c>
      <c r="F125" s="191">
        <f t="shared" si="2"/>
        <v>9.764705882352942</v>
      </c>
      <c r="G125" s="191">
        <f t="shared" si="2"/>
        <v>0</v>
      </c>
      <c r="H125" s="191">
        <f t="shared" si="2"/>
        <v>101.76470588235294</v>
      </c>
      <c r="I125" s="191">
        <f t="shared" si="2"/>
        <v>181.64705882352942</v>
      </c>
      <c r="J125" s="191">
        <f t="shared" si="2"/>
        <v>88.494117647058829</v>
      </c>
      <c r="K125" s="191">
        <f t="shared" si="2"/>
        <v>1.1000000000000001</v>
      </c>
      <c r="L125" s="191">
        <f t="shared" si="2"/>
        <v>81.7</v>
      </c>
      <c r="M125" s="191">
        <f t="shared" si="2"/>
        <v>71.682352941176475</v>
      </c>
      <c r="N125" s="191">
        <f t="shared" si="2"/>
        <v>6.2058823529411766</v>
      </c>
      <c r="O125" s="191">
        <f t="shared" si="2"/>
        <v>0</v>
      </c>
      <c r="P125" s="191">
        <f t="shared" si="2"/>
        <v>0</v>
      </c>
      <c r="Q125" s="191">
        <f t="shared" si="2"/>
        <v>214.3063529411765</v>
      </c>
      <c r="R125" s="191">
        <f t="shared" si="2"/>
        <v>20.529411764705884</v>
      </c>
      <c r="S125" s="191">
        <f t="shared" si="2"/>
        <v>0.21248229411764705</v>
      </c>
      <c r="T125" s="191">
        <f t="shared" si="2"/>
        <v>1.0588235294117647</v>
      </c>
      <c r="U125" s="191">
        <f t="shared" si="2"/>
        <v>406.4</v>
      </c>
      <c r="V125" s="191">
        <f t="shared" si="2"/>
        <v>10.152941176470588</v>
      </c>
    </row>
    <row r="126" spans="1:22" ht="31.75" hidden="1">
      <c r="B126" s="191" t="s">
        <v>365</v>
      </c>
      <c r="C126" s="191" t="str">
        <f t="shared" ref="C126:V126" si="3" xml:space="preserve"> ROUND(MIN(C57:C66)+MIN(C103:C119),0) &amp; " - " &amp; ROUND(MAX(C57:C66)+MAX(C103:C119),0)</f>
        <v>490 - 610</v>
      </c>
      <c r="D126" s="191" t="str">
        <f t="shared" si="3"/>
        <v>130 - 140</v>
      </c>
      <c r="E126" s="191" t="str">
        <f t="shared" si="3"/>
        <v>14 - 16</v>
      </c>
      <c r="F126" s="191" t="str">
        <f t="shared" si="3"/>
        <v>8 - 10</v>
      </c>
      <c r="G126" s="191" t="str">
        <f t="shared" si="3"/>
        <v>0 - 0</v>
      </c>
      <c r="H126" s="191" t="str">
        <f t="shared" si="3"/>
        <v>85 - 105</v>
      </c>
      <c r="I126" s="191" t="str">
        <f t="shared" si="3"/>
        <v>150 - 195</v>
      </c>
      <c r="J126" s="191" t="str">
        <f t="shared" si="3"/>
        <v>78 - 99</v>
      </c>
      <c r="K126" s="191" t="str">
        <f t="shared" si="3"/>
        <v>0 - 3</v>
      </c>
      <c r="L126" s="191" t="str">
        <f t="shared" si="3"/>
        <v>71 - 93</v>
      </c>
      <c r="M126" s="191" t="str">
        <f t="shared" si="3"/>
        <v>62 - 81</v>
      </c>
      <c r="N126" s="191" t="str">
        <f t="shared" si="3"/>
        <v>5 - 7</v>
      </c>
      <c r="O126" s="191" t="str">
        <f t="shared" si="3"/>
        <v>0 - 0</v>
      </c>
      <c r="P126" s="191" t="str">
        <f t="shared" si="3"/>
        <v>0 - 0</v>
      </c>
      <c r="Q126" s="191" t="str">
        <f t="shared" si="3"/>
        <v>192 - 235</v>
      </c>
      <c r="R126" s="191" t="str">
        <f t="shared" si="3"/>
        <v>17 - 22</v>
      </c>
      <c r="S126" s="191" t="str">
        <f t="shared" si="3"/>
        <v>0 - 2</v>
      </c>
      <c r="T126" s="191" t="str">
        <f t="shared" si="3"/>
        <v>0 - 10</v>
      </c>
      <c r="U126" s="191" t="str">
        <f t="shared" si="3"/>
        <v>252 - 662</v>
      </c>
      <c r="V126" s="191" t="str">
        <f t="shared" si="3"/>
        <v>6 - 17</v>
      </c>
    </row>
    <row r="127" spans="1:22" hidden="1">
      <c r="B127" s="191" t="s">
        <v>366</v>
      </c>
      <c r="C127" s="191">
        <f t="shared" ref="C127:V127" si="4">SUM(AVERAGE(C67:C95),AVERAGE(C103:C119))</f>
        <v>626.83569979716026</v>
      </c>
      <c r="D127" s="191">
        <f t="shared" si="4"/>
        <v>179.78701825557812</v>
      </c>
      <c r="E127" s="191">
        <f t="shared" si="4"/>
        <v>19.554766734279919</v>
      </c>
      <c r="F127" s="191">
        <f t="shared" si="4"/>
        <v>13.385395537525355</v>
      </c>
      <c r="G127" s="191">
        <f t="shared" si="4"/>
        <v>0</v>
      </c>
      <c r="H127" s="191">
        <f t="shared" si="4"/>
        <v>102.10953346855983</v>
      </c>
      <c r="I127" s="191">
        <f t="shared" si="4"/>
        <v>261.78498985801218</v>
      </c>
      <c r="J127" s="191">
        <f t="shared" si="4"/>
        <v>109.29411764705883</v>
      </c>
      <c r="K127" s="191">
        <f t="shared" si="4"/>
        <v>6.8965517241379309E-2</v>
      </c>
      <c r="L127" s="191">
        <f t="shared" si="4"/>
        <v>99.620689655172413</v>
      </c>
      <c r="M127" s="191">
        <f t="shared" si="4"/>
        <v>78.606490872210955</v>
      </c>
      <c r="N127" s="191">
        <f t="shared" si="4"/>
        <v>6.5679513184584177</v>
      </c>
      <c r="O127" s="191">
        <f t="shared" si="4"/>
        <v>0</v>
      </c>
      <c r="P127" s="191">
        <f t="shared" si="4"/>
        <v>0</v>
      </c>
      <c r="Q127" s="191">
        <f t="shared" si="4"/>
        <v>206.22685638945234</v>
      </c>
      <c r="R127" s="191">
        <f t="shared" si="4"/>
        <v>19.701825557809332</v>
      </c>
      <c r="S127" s="191">
        <f t="shared" si="4"/>
        <v>0.5999043630831643</v>
      </c>
      <c r="T127" s="191">
        <f t="shared" si="4"/>
        <v>3.3346855983772823</v>
      </c>
      <c r="U127" s="191">
        <f t="shared" si="4"/>
        <v>309.0344827586207</v>
      </c>
      <c r="V127" s="191">
        <f t="shared" si="4"/>
        <v>7.7667342799188637</v>
      </c>
    </row>
    <row r="128" spans="1:22" ht="31.75" hidden="1">
      <c r="B128" s="191" t="s">
        <v>367</v>
      </c>
      <c r="C128" s="191" t="str">
        <f t="shared" ref="C128:V128" si="5" xml:space="preserve"> ROUND(MIN(C67:C95)+MIN(C103:C119),0) &amp; " - " &amp; ROUND(MAX(C67:C95)+MAX(C103:C119),0)</f>
        <v>540 - 720</v>
      </c>
      <c r="D128" s="191" t="str">
        <f t="shared" si="5"/>
        <v>145 - 230</v>
      </c>
      <c r="E128" s="191" t="str">
        <f t="shared" si="5"/>
        <v>16 - 26</v>
      </c>
      <c r="F128" s="191" t="str">
        <f t="shared" si="5"/>
        <v>10 - 15</v>
      </c>
      <c r="G128" s="191" t="str">
        <f t="shared" si="5"/>
        <v>0 - 0</v>
      </c>
      <c r="H128" s="191" t="str">
        <f t="shared" si="5"/>
        <v>85 - 110</v>
      </c>
      <c r="I128" s="191" t="str">
        <f t="shared" si="5"/>
        <v>185 - 370</v>
      </c>
      <c r="J128" s="191" t="str">
        <f t="shared" si="5"/>
        <v>92 - 134</v>
      </c>
      <c r="K128" s="191" t="str">
        <f t="shared" si="5"/>
        <v>0 - 1</v>
      </c>
      <c r="L128" s="191" t="str">
        <f t="shared" si="5"/>
        <v>82 - 118</v>
      </c>
      <c r="M128" s="191" t="str">
        <f t="shared" si="5"/>
        <v>47 - 112</v>
      </c>
      <c r="N128" s="191" t="str">
        <f t="shared" si="5"/>
        <v>5 - 9</v>
      </c>
      <c r="O128" s="191" t="str">
        <f t="shared" si="5"/>
        <v>0 - 0</v>
      </c>
      <c r="P128" s="191" t="str">
        <f t="shared" si="5"/>
        <v>0 - 0</v>
      </c>
      <c r="Q128" s="191" t="str">
        <f t="shared" si="5"/>
        <v>187 - 237</v>
      </c>
      <c r="R128" s="191" t="str">
        <f t="shared" si="5"/>
        <v>15 - 24</v>
      </c>
      <c r="S128" s="191" t="str">
        <f t="shared" si="5"/>
        <v>0 - 3</v>
      </c>
      <c r="T128" s="191" t="str">
        <f t="shared" si="5"/>
        <v>0 - 16</v>
      </c>
      <c r="U128" s="191" t="str">
        <f t="shared" si="5"/>
        <v>250 - 510</v>
      </c>
      <c r="V128" s="191" t="str">
        <f t="shared" si="5"/>
        <v>6 - 15</v>
      </c>
    </row>
    <row r="129" spans="1:22" hidden="1">
      <c r="B129" s="191" t="s">
        <v>368</v>
      </c>
      <c r="C129" s="191">
        <f t="shared" ref="C129:V129" si="6">SUM(AVERAGE(C96:C101), AVERAGE(C103:C119))</f>
        <v>420.68627450980398</v>
      </c>
      <c r="D129" s="191">
        <f t="shared" si="6"/>
        <v>138.23529411764707</v>
      </c>
      <c r="E129" s="191">
        <f t="shared" si="6"/>
        <v>14.882352941176471</v>
      </c>
      <c r="F129" s="191">
        <f t="shared" si="6"/>
        <v>9.764705882352942</v>
      </c>
      <c r="G129" s="191">
        <f t="shared" si="6"/>
        <v>0</v>
      </c>
      <c r="H129" s="191">
        <f t="shared" si="6"/>
        <v>101.76470588235294</v>
      </c>
      <c r="I129" s="191">
        <f t="shared" si="6"/>
        <v>199.31372549019608</v>
      </c>
      <c r="J129" s="191">
        <f t="shared" si="6"/>
        <v>80.127450980392155</v>
      </c>
      <c r="K129" s="191">
        <f t="shared" si="6"/>
        <v>0</v>
      </c>
      <c r="L129" s="191">
        <f t="shared" si="6"/>
        <v>28</v>
      </c>
      <c r="M129" s="191">
        <f t="shared" si="6"/>
        <v>20.882352941176471</v>
      </c>
      <c r="N129" s="191">
        <f t="shared" si="6"/>
        <v>5.7058823529411766</v>
      </c>
      <c r="O129" s="191">
        <f t="shared" si="6"/>
        <v>0</v>
      </c>
      <c r="P129" s="191">
        <f t="shared" si="6"/>
        <v>0</v>
      </c>
      <c r="Q129" s="191">
        <f t="shared" si="6"/>
        <v>203.67301960784314</v>
      </c>
      <c r="R129" s="191">
        <f t="shared" si="6"/>
        <v>19.529411764705884</v>
      </c>
      <c r="S129" s="191">
        <f t="shared" si="6"/>
        <v>0.21248229411764705</v>
      </c>
      <c r="T129" s="191">
        <f t="shared" si="6"/>
        <v>1.0588235294117647</v>
      </c>
      <c r="U129" s="191">
        <f t="shared" si="6"/>
        <v>299.5</v>
      </c>
      <c r="V129" s="191">
        <f t="shared" si="6"/>
        <v>7.3529411764705879</v>
      </c>
    </row>
    <row r="130" spans="1:22" ht="31.75" hidden="1">
      <c r="A130" s="223"/>
      <c r="B130" s="191" t="s">
        <v>369</v>
      </c>
      <c r="C130" s="191" t="str">
        <f t="shared" ref="C130:V130" si="7">ROUND( MIN(C96:C101)+MIN(C103:C119),0) &amp; " - " &amp; ROUND(MAX(C96:C101)+MAX(C103:C119),0)</f>
        <v>400 - 470</v>
      </c>
      <c r="D130" s="191" t="str">
        <f t="shared" si="7"/>
        <v>130 - 140</v>
      </c>
      <c r="E130" s="191" t="str">
        <f t="shared" si="7"/>
        <v>14 - 16</v>
      </c>
      <c r="F130" s="191" t="str">
        <f t="shared" si="7"/>
        <v>8 - 10</v>
      </c>
      <c r="G130" s="191" t="str">
        <f t="shared" si="7"/>
        <v>0 - 0</v>
      </c>
      <c r="H130" s="191" t="str">
        <f t="shared" si="7"/>
        <v>85 - 105</v>
      </c>
      <c r="I130" s="191" t="str">
        <f t="shared" si="7"/>
        <v>165 - 220</v>
      </c>
      <c r="J130" s="191" t="str">
        <f t="shared" si="7"/>
        <v>74 - 98</v>
      </c>
      <c r="K130" s="191" t="str">
        <f t="shared" si="7"/>
        <v>0 - 0</v>
      </c>
      <c r="L130" s="191" t="str">
        <f t="shared" si="7"/>
        <v>26 - 32</v>
      </c>
      <c r="M130" s="191" t="str">
        <f t="shared" si="7"/>
        <v>19 - 26</v>
      </c>
      <c r="N130" s="191" t="str">
        <f t="shared" si="7"/>
        <v>5 - 6</v>
      </c>
      <c r="O130" s="191" t="str">
        <f t="shared" si="7"/>
        <v>0 - 0</v>
      </c>
      <c r="P130" s="191" t="str">
        <f t="shared" si="7"/>
        <v>0 - 0</v>
      </c>
      <c r="Q130" s="191" t="str">
        <f t="shared" si="7"/>
        <v>188 - 213</v>
      </c>
      <c r="R130" s="191" t="str">
        <f t="shared" si="7"/>
        <v>15 - 22</v>
      </c>
      <c r="S130" s="191" t="str">
        <f t="shared" si="7"/>
        <v>0 - 2</v>
      </c>
      <c r="T130" s="191" t="str">
        <f t="shared" si="7"/>
        <v>0 - 10</v>
      </c>
      <c r="U130" s="191" t="str">
        <f t="shared" si="7"/>
        <v>262 - 405</v>
      </c>
      <c r="V130" s="191" t="str">
        <f t="shared" si="7"/>
        <v>6 - 11</v>
      </c>
    </row>
    <row r="133" spans="1:22">
      <c r="C133" s="223"/>
      <c r="D133" s="223"/>
      <c r="E133" s="223"/>
      <c r="F133" s="223"/>
      <c r="G133" s="223"/>
      <c r="H133" s="223"/>
      <c r="I133" s="223"/>
      <c r="J133" s="223"/>
      <c r="K133" s="223"/>
      <c r="L133" s="223"/>
      <c r="M133" s="223"/>
      <c r="N133" s="223"/>
      <c r="O133" s="223"/>
      <c r="P133" s="223"/>
    </row>
    <row r="136" spans="1:22">
      <c r="C136" s="223"/>
      <c r="D136" s="223"/>
      <c r="E136" s="223"/>
      <c r="F136" s="223"/>
      <c r="G136" s="223"/>
      <c r="H136" s="223"/>
      <c r="I136" s="223"/>
      <c r="J136" s="223"/>
      <c r="K136" s="223"/>
      <c r="L136" s="223"/>
      <c r="M136" s="223"/>
      <c r="N136" s="223"/>
      <c r="O136" s="223"/>
      <c r="P136" s="223"/>
    </row>
    <row r="137" spans="1:22">
      <c r="C137" s="223"/>
      <c r="D137" s="223"/>
      <c r="E137" s="223"/>
      <c r="F137" s="223"/>
      <c r="G137" s="223"/>
      <c r="H137" s="223"/>
      <c r="I137" s="223"/>
      <c r="J137" s="223"/>
      <c r="K137" s="223"/>
      <c r="L137" s="223"/>
      <c r="M137" s="223"/>
      <c r="N137" s="223"/>
      <c r="O137" s="223"/>
      <c r="P137" s="223"/>
    </row>
    <row r="138" spans="1:22">
      <c r="C138" s="223"/>
      <c r="D138" s="223"/>
      <c r="E138" s="223"/>
      <c r="F138" s="223"/>
      <c r="G138" s="223"/>
      <c r="H138" s="223"/>
      <c r="I138" s="223"/>
      <c r="J138" s="223"/>
      <c r="K138" s="223"/>
      <c r="L138" s="223"/>
      <c r="M138" s="223"/>
      <c r="N138" s="223"/>
      <c r="O138" s="223"/>
      <c r="P138" s="223"/>
    </row>
    <row r="139" spans="1:22">
      <c r="C139" s="223"/>
      <c r="D139" s="223"/>
      <c r="E139" s="223"/>
      <c r="F139" s="223"/>
      <c r="G139" s="223"/>
      <c r="H139" s="223"/>
      <c r="I139" s="223"/>
      <c r="J139" s="223"/>
      <c r="K139" s="223"/>
      <c r="L139" s="223"/>
      <c r="M139" s="223"/>
      <c r="N139" s="223"/>
      <c r="O139" s="223"/>
      <c r="P139" s="223"/>
    </row>
    <row r="191" spans="2:16" s="248" customFormat="1">
      <c r="B191" s="223"/>
      <c r="C191" s="223"/>
      <c r="D191" s="223"/>
      <c r="E191" s="223"/>
      <c r="F191" s="223"/>
      <c r="G191" s="223"/>
      <c r="H191" s="223"/>
      <c r="I191" s="223"/>
      <c r="J191" s="223"/>
      <c r="K191" s="223"/>
      <c r="L191" s="223"/>
      <c r="M191" s="223"/>
      <c r="N191" s="223"/>
      <c r="O191" s="223"/>
      <c r="P191" s="223"/>
    </row>
    <row r="192" spans="2:16" s="212" customFormat="1">
      <c r="B192" s="179"/>
      <c r="C192" s="179"/>
      <c r="D192" s="179"/>
      <c r="E192" s="179"/>
      <c r="F192" s="179"/>
      <c r="G192" s="179"/>
      <c r="H192" s="179"/>
      <c r="I192" s="179"/>
      <c r="J192" s="179"/>
      <c r="K192" s="179"/>
      <c r="L192" s="179"/>
      <c r="M192" s="179"/>
      <c r="N192" s="179"/>
      <c r="O192" s="179"/>
      <c r="P192" s="179"/>
    </row>
    <row r="193" spans="3:16">
      <c r="C193" s="223"/>
      <c r="D193" s="223"/>
      <c r="E193" s="223"/>
      <c r="F193" s="223"/>
      <c r="G193" s="223"/>
      <c r="H193" s="223"/>
      <c r="I193" s="223"/>
      <c r="J193" s="223"/>
      <c r="K193" s="223"/>
      <c r="L193" s="223"/>
      <c r="M193" s="223"/>
      <c r="N193" s="223"/>
      <c r="O193" s="223"/>
      <c r="P193" s="223"/>
    </row>
    <row r="195" spans="3:16">
      <c r="C195" s="223"/>
      <c r="D195" s="223"/>
      <c r="E195" s="223"/>
      <c r="F195" s="223"/>
      <c r="G195" s="223"/>
      <c r="H195" s="223"/>
      <c r="I195" s="223"/>
      <c r="J195" s="223"/>
      <c r="K195" s="223"/>
      <c r="L195" s="223"/>
      <c r="M195" s="223"/>
      <c r="N195" s="223"/>
      <c r="O195" s="223"/>
      <c r="P195" s="223"/>
    </row>
    <row r="197" spans="3:16">
      <c r="C197" s="223"/>
      <c r="D197" s="223"/>
      <c r="E197" s="223"/>
      <c r="F197" s="223"/>
      <c r="G197" s="223"/>
      <c r="H197" s="223"/>
      <c r="I197" s="223"/>
      <c r="J197" s="223"/>
      <c r="K197" s="223"/>
      <c r="L197" s="223"/>
      <c r="M197" s="223"/>
      <c r="N197" s="223"/>
      <c r="O197" s="223"/>
      <c r="P197" s="223"/>
    </row>
  </sheetData>
  <mergeCells count="9">
    <mergeCell ref="A1:V1"/>
    <mergeCell ref="A2:V2"/>
    <mergeCell ref="A3:V3"/>
    <mergeCell ref="B121:V121"/>
    <mergeCell ref="A103:A119"/>
    <mergeCell ref="A57:A66"/>
    <mergeCell ref="A67:A95"/>
    <mergeCell ref="A96:A101"/>
    <mergeCell ref="A5:A56"/>
  </mergeCells>
  <pageMargins left="0.7" right="0.7" top="0.75" bottom="0.75" header="0.3" footer="0.3"/>
  <pageSetup scale="43" fitToHeight="0" orientation="landscape" r:id="rId1"/>
  <headerFooter>
    <oddHeader xml:space="preserve">&amp;R&amp;14 2020 Nutrition Information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X125"/>
  <sheetViews>
    <sheetView zoomScale="80" zoomScaleNormal="80" workbookViewId="0">
      <selection activeCell="C6" sqref="C6:X6"/>
    </sheetView>
    <sheetView workbookViewId="1">
      <selection sqref="A1:X1"/>
    </sheetView>
    <sheetView workbookViewId="2">
      <selection sqref="A1:X1"/>
    </sheetView>
  </sheetViews>
  <sheetFormatPr defaultColWidth="9.15234375" defaultRowHeight="12.45"/>
  <cols>
    <col min="1" max="1" width="6.53515625" style="37" customWidth="1"/>
    <col min="2" max="2" width="42.84375" style="37" customWidth="1"/>
    <col min="3" max="4" width="10.53515625" style="37" customWidth="1"/>
    <col min="5" max="5" width="8.53515625" style="37" customWidth="1"/>
    <col min="6" max="6" width="11.53515625" style="37" customWidth="1"/>
    <col min="7" max="7" width="8.53515625" style="37" customWidth="1"/>
    <col min="8" max="8" width="13" style="37" customWidth="1"/>
    <col min="9" max="9" width="9" style="37" customWidth="1"/>
    <col min="10" max="10" width="16.84375" style="37" customWidth="1"/>
    <col min="11" max="11" width="9" style="37" customWidth="1"/>
    <col min="12" max="12" width="7.84375" style="37" customWidth="1"/>
    <col min="13" max="13" width="9" style="37" customWidth="1"/>
    <col min="14" max="16" width="11.53515625" style="37" customWidth="1"/>
    <col min="17" max="17" width="9" style="37" customWidth="1"/>
    <col min="18" max="16384" width="9.15234375" style="37"/>
  </cols>
  <sheetData>
    <row r="1" spans="1:24" ht="22.5" customHeight="1">
      <c r="A1" s="1225" t="s">
        <v>375</v>
      </c>
      <c r="B1" s="1225"/>
      <c r="C1" s="1225"/>
      <c r="D1" s="1225"/>
      <c r="E1" s="1225"/>
      <c r="F1" s="1225"/>
      <c r="G1" s="1225"/>
      <c r="H1" s="1225"/>
      <c r="I1" s="1225"/>
      <c r="J1" s="1225"/>
      <c r="K1" s="1225"/>
      <c r="L1" s="1225"/>
      <c r="M1" s="1225"/>
      <c r="N1" s="1225"/>
      <c r="O1" s="1225"/>
      <c r="P1" s="1225"/>
      <c r="Q1" s="1225"/>
      <c r="R1" s="1225"/>
      <c r="S1" s="1225"/>
      <c r="T1" s="1225"/>
      <c r="U1" s="1225"/>
      <c r="V1" s="1225"/>
      <c r="W1" s="1225"/>
      <c r="X1" s="1225"/>
    </row>
    <row r="2" spans="1:24" ht="18" customHeight="1">
      <c r="A2" s="1226" t="s">
        <v>376</v>
      </c>
      <c r="B2" s="1226"/>
      <c r="C2" s="1226"/>
      <c r="D2" s="1226"/>
      <c r="E2" s="1226"/>
      <c r="F2" s="1226"/>
      <c r="G2" s="1226"/>
      <c r="H2" s="1226"/>
      <c r="I2" s="1226"/>
      <c r="J2" s="1226"/>
      <c r="K2" s="1226"/>
      <c r="L2" s="1226"/>
      <c r="M2" s="1226"/>
      <c r="N2" s="1226"/>
      <c r="O2" s="1226"/>
      <c r="P2" s="1226"/>
      <c r="Q2" s="1226"/>
      <c r="R2" s="1226"/>
      <c r="S2" s="1226"/>
      <c r="T2" s="1226"/>
      <c r="U2" s="1226"/>
      <c r="V2" s="1226"/>
      <c r="W2" s="1226"/>
      <c r="X2" s="1226"/>
    </row>
    <row r="3" spans="1:24" ht="18.75" customHeight="1" thickBot="1">
      <c r="A3" s="1226" t="s">
        <v>355</v>
      </c>
      <c r="B3" s="1226"/>
      <c r="C3" s="1226"/>
      <c r="D3" s="1226"/>
      <c r="E3" s="1226"/>
      <c r="F3" s="1226"/>
      <c r="G3" s="1226"/>
      <c r="H3" s="1226"/>
      <c r="I3" s="1226"/>
      <c r="J3" s="1226"/>
      <c r="K3" s="1226"/>
      <c r="L3" s="1226"/>
      <c r="M3" s="1226"/>
      <c r="N3" s="1226"/>
      <c r="O3" s="1226"/>
      <c r="P3" s="1226"/>
      <c r="Q3" s="1226"/>
      <c r="R3" s="1226"/>
      <c r="S3" s="1226"/>
      <c r="T3" s="1226"/>
      <c r="U3" s="1226"/>
      <c r="V3" s="1226"/>
      <c r="W3" s="1226"/>
      <c r="X3" s="1226"/>
    </row>
    <row r="4" spans="1:24" ht="37.5" customHeight="1" thickBot="1">
      <c r="A4" s="77"/>
      <c r="B4" s="48" t="s">
        <v>3</v>
      </c>
      <c r="C4" s="1" t="s">
        <v>4</v>
      </c>
      <c r="D4" s="1" t="s">
        <v>5</v>
      </c>
      <c r="E4" s="1" t="s">
        <v>6</v>
      </c>
      <c r="F4" s="1" t="s">
        <v>7</v>
      </c>
      <c r="G4" s="1" t="s">
        <v>8</v>
      </c>
      <c r="H4" s="1" t="s">
        <v>9</v>
      </c>
      <c r="I4" s="1" t="s">
        <v>10</v>
      </c>
      <c r="J4" s="1" t="s">
        <v>11</v>
      </c>
      <c r="K4" s="1" t="s">
        <v>12</v>
      </c>
      <c r="L4" s="1" t="s">
        <v>13</v>
      </c>
      <c r="M4" s="1" t="s">
        <v>14</v>
      </c>
      <c r="N4" s="1" t="s">
        <v>15</v>
      </c>
      <c r="O4" s="2" t="s">
        <v>16</v>
      </c>
      <c r="P4" s="2" t="s">
        <v>17</v>
      </c>
      <c r="Q4" s="2" t="s">
        <v>18</v>
      </c>
      <c r="R4" s="2" t="s">
        <v>19</v>
      </c>
      <c r="S4" s="2" t="s">
        <v>20</v>
      </c>
      <c r="T4" s="2" t="s">
        <v>21</v>
      </c>
      <c r="U4" s="2" t="s">
        <v>22</v>
      </c>
      <c r="V4" s="2" t="s">
        <v>23</v>
      </c>
      <c r="W4" s="2" t="s">
        <v>377</v>
      </c>
      <c r="X4" s="3" t="s">
        <v>378</v>
      </c>
    </row>
    <row r="5" spans="1:24" ht="14.6">
      <c r="A5" s="1228" t="s">
        <v>24</v>
      </c>
      <c r="B5" s="65" t="s">
        <v>26</v>
      </c>
      <c r="C5" s="169">
        <v>550</v>
      </c>
      <c r="D5" s="169">
        <v>10</v>
      </c>
      <c r="E5" s="169">
        <v>1</v>
      </c>
      <c r="F5" s="169">
        <v>1</v>
      </c>
      <c r="G5" s="169">
        <v>0</v>
      </c>
      <c r="H5" s="169">
        <v>0</v>
      </c>
      <c r="I5" s="169">
        <v>65</v>
      </c>
      <c r="J5" s="169">
        <v>139</v>
      </c>
      <c r="K5" s="169">
        <v>1</v>
      </c>
      <c r="L5" s="169">
        <v>133</v>
      </c>
      <c r="M5" s="169">
        <v>129</v>
      </c>
      <c r="N5" s="169">
        <v>0</v>
      </c>
      <c r="O5" s="169">
        <v>0</v>
      </c>
      <c r="P5" s="169">
        <v>0</v>
      </c>
      <c r="Q5" s="169">
        <v>14</v>
      </c>
      <c r="R5" s="170">
        <v>2</v>
      </c>
      <c r="S5" s="170">
        <v>0</v>
      </c>
      <c r="T5" s="170">
        <v>0</v>
      </c>
      <c r="U5" s="170">
        <v>108</v>
      </c>
      <c r="V5" s="170">
        <v>2</v>
      </c>
      <c r="W5" s="170">
        <v>0</v>
      </c>
      <c r="X5" s="171">
        <v>2</v>
      </c>
    </row>
    <row r="6" spans="1:24" ht="14.6">
      <c r="A6" s="1229"/>
      <c r="B6" s="66" t="s">
        <v>27</v>
      </c>
      <c r="C6" s="177">
        <v>390</v>
      </c>
      <c r="D6" s="177">
        <v>0</v>
      </c>
      <c r="E6" s="177">
        <v>0</v>
      </c>
      <c r="F6" s="177">
        <v>0</v>
      </c>
      <c r="G6" s="177">
        <v>0</v>
      </c>
      <c r="H6" s="177">
        <v>0</v>
      </c>
      <c r="I6" s="177">
        <v>55</v>
      </c>
      <c r="J6" s="177">
        <v>99</v>
      </c>
      <c r="K6" s="177"/>
      <c r="L6" s="177">
        <v>94</v>
      </c>
      <c r="M6" s="177">
        <v>94</v>
      </c>
      <c r="N6" s="177">
        <v>0</v>
      </c>
      <c r="O6" s="177"/>
      <c r="P6" s="177"/>
      <c r="Q6" s="177">
        <v>14.932</v>
      </c>
      <c r="R6" s="177">
        <v>2</v>
      </c>
      <c r="S6" s="177">
        <v>1.7698999999999999E-2</v>
      </c>
      <c r="T6" s="177">
        <v>0</v>
      </c>
      <c r="U6" s="177">
        <v>0</v>
      </c>
      <c r="V6" s="177">
        <v>0</v>
      </c>
      <c r="W6" s="177">
        <v>0</v>
      </c>
      <c r="X6" s="177">
        <v>0</v>
      </c>
    </row>
    <row r="7" spans="1:24" ht="14.6">
      <c r="A7" s="1229"/>
      <c r="B7" s="66" t="s">
        <v>28</v>
      </c>
      <c r="C7" s="136">
        <v>450</v>
      </c>
      <c r="D7" s="136">
        <v>0</v>
      </c>
      <c r="E7" s="136">
        <v>0</v>
      </c>
      <c r="F7" s="136">
        <v>0</v>
      </c>
      <c r="G7" s="136">
        <v>0</v>
      </c>
      <c r="H7" s="136">
        <v>0</v>
      </c>
      <c r="I7" s="136">
        <v>60</v>
      </c>
      <c r="J7" s="136">
        <v>115</v>
      </c>
      <c r="K7" s="136">
        <v>0</v>
      </c>
      <c r="L7" s="136">
        <v>110</v>
      </c>
      <c r="M7" s="136">
        <v>110</v>
      </c>
      <c r="N7" s="136">
        <v>0</v>
      </c>
      <c r="O7" s="136">
        <v>0</v>
      </c>
      <c r="P7" s="136">
        <v>0</v>
      </c>
      <c r="Q7" s="136">
        <v>18</v>
      </c>
      <c r="R7" s="159">
        <v>2</v>
      </c>
      <c r="S7" s="159">
        <v>0</v>
      </c>
      <c r="T7" s="159">
        <v>0</v>
      </c>
      <c r="U7" s="159">
        <v>24</v>
      </c>
      <c r="V7" s="159">
        <v>0</v>
      </c>
      <c r="W7" s="159">
        <v>0</v>
      </c>
      <c r="X7" s="173">
        <v>4</v>
      </c>
    </row>
    <row r="8" spans="1:24" ht="14.6">
      <c r="A8" s="1229"/>
      <c r="B8" s="66" t="s">
        <v>29</v>
      </c>
      <c r="C8" s="136">
        <v>510</v>
      </c>
      <c r="D8" s="136">
        <v>0</v>
      </c>
      <c r="E8" s="136">
        <v>0</v>
      </c>
      <c r="F8" s="136">
        <v>0</v>
      </c>
      <c r="G8" s="136">
        <v>0</v>
      </c>
      <c r="H8" s="136">
        <v>0</v>
      </c>
      <c r="I8" s="136">
        <v>70</v>
      </c>
      <c r="J8" s="136">
        <v>130</v>
      </c>
      <c r="K8" s="136">
        <v>0</v>
      </c>
      <c r="L8" s="136">
        <v>126</v>
      </c>
      <c r="M8" s="136">
        <v>126</v>
      </c>
      <c r="N8" s="136">
        <v>0</v>
      </c>
      <c r="O8" s="136">
        <v>0</v>
      </c>
      <c r="P8" s="136">
        <v>0</v>
      </c>
      <c r="Q8" s="136">
        <v>17</v>
      </c>
      <c r="R8" s="159">
        <v>2</v>
      </c>
      <c r="S8" s="159">
        <v>0</v>
      </c>
      <c r="T8" s="159">
        <v>0</v>
      </c>
      <c r="U8" s="159">
        <v>2</v>
      </c>
      <c r="V8" s="159">
        <v>0</v>
      </c>
      <c r="W8" s="159">
        <v>0</v>
      </c>
      <c r="X8" s="173">
        <v>0</v>
      </c>
    </row>
    <row r="9" spans="1:24" ht="14.6">
      <c r="A9" s="1229"/>
      <c r="B9" s="66" t="s">
        <v>30</v>
      </c>
      <c r="C9" s="172">
        <v>720</v>
      </c>
      <c r="D9" s="172">
        <v>0</v>
      </c>
      <c r="E9" s="172">
        <v>0</v>
      </c>
      <c r="F9" s="172">
        <v>0</v>
      </c>
      <c r="G9" s="172">
        <v>0</v>
      </c>
      <c r="H9" s="172">
        <v>0</v>
      </c>
      <c r="I9" s="172">
        <v>70</v>
      </c>
      <c r="J9" s="172">
        <v>184</v>
      </c>
      <c r="K9" s="172">
        <v>0</v>
      </c>
      <c r="L9" s="172">
        <v>179</v>
      </c>
      <c r="M9" s="172">
        <v>179</v>
      </c>
      <c r="N9" s="172">
        <v>0</v>
      </c>
      <c r="O9" s="172">
        <v>0</v>
      </c>
      <c r="P9" s="172">
        <v>0</v>
      </c>
      <c r="Q9" s="172">
        <v>18</v>
      </c>
      <c r="R9" s="159">
        <v>2</v>
      </c>
      <c r="S9" s="159">
        <v>0</v>
      </c>
      <c r="T9" s="159">
        <v>0</v>
      </c>
      <c r="U9" s="159">
        <v>2</v>
      </c>
      <c r="V9" s="159">
        <v>0</v>
      </c>
      <c r="W9" s="159">
        <v>0</v>
      </c>
      <c r="X9" s="173">
        <v>0</v>
      </c>
    </row>
    <row r="10" spans="1:24" ht="14.6">
      <c r="A10" s="1229"/>
      <c r="B10" s="66" t="s">
        <v>31</v>
      </c>
      <c r="C10" s="172">
        <v>400</v>
      </c>
      <c r="D10" s="172">
        <v>0</v>
      </c>
      <c r="E10" s="172">
        <v>0</v>
      </c>
      <c r="F10" s="172">
        <v>0</v>
      </c>
      <c r="G10" s="172">
        <v>0</v>
      </c>
      <c r="H10" s="172">
        <v>0</v>
      </c>
      <c r="I10" s="172">
        <v>70</v>
      </c>
      <c r="J10" s="172">
        <v>104</v>
      </c>
      <c r="K10" s="172">
        <v>0</v>
      </c>
      <c r="L10" s="172">
        <v>98</v>
      </c>
      <c r="M10" s="172">
        <v>94</v>
      </c>
      <c r="N10" s="172">
        <v>0</v>
      </c>
      <c r="O10" s="172">
        <v>0</v>
      </c>
      <c r="P10" s="172">
        <v>0</v>
      </c>
      <c r="Q10" s="172">
        <v>24</v>
      </c>
      <c r="R10" s="159">
        <v>2</v>
      </c>
      <c r="S10" s="159">
        <v>0</v>
      </c>
      <c r="T10" s="159">
        <v>0</v>
      </c>
      <c r="U10" s="159">
        <v>2</v>
      </c>
      <c r="V10" s="159">
        <v>0</v>
      </c>
      <c r="W10" s="159">
        <v>0</v>
      </c>
      <c r="X10" s="173">
        <v>0</v>
      </c>
    </row>
    <row r="11" spans="1:24" ht="14.6">
      <c r="A11" s="1229"/>
      <c r="B11" s="66" t="s">
        <v>32</v>
      </c>
      <c r="C11" s="172">
        <v>440</v>
      </c>
      <c r="D11" s="172">
        <v>0</v>
      </c>
      <c r="E11" s="172">
        <v>0</v>
      </c>
      <c r="F11" s="172">
        <v>0</v>
      </c>
      <c r="G11" s="172">
        <v>0</v>
      </c>
      <c r="H11" s="172">
        <v>0</v>
      </c>
      <c r="I11" s="172">
        <v>75</v>
      </c>
      <c r="J11" s="172">
        <v>114</v>
      </c>
      <c r="K11" s="172">
        <v>0</v>
      </c>
      <c r="L11" s="172">
        <v>108</v>
      </c>
      <c r="M11" s="172">
        <v>107</v>
      </c>
      <c r="N11" s="172">
        <v>0</v>
      </c>
      <c r="O11" s="172">
        <v>0</v>
      </c>
      <c r="P11" s="172">
        <v>0</v>
      </c>
      <c r="Q11" s="172">
        <v>18</v>
      </c>
      <c r="R11" s="159">
        <v>2</v>
      </c>
      <c r="S11" s="159">
        <v>0</v>
      </c>
      <c r="T11" s="159">
        <v>0</v>
      </c>
      <c r="U11" s="159">
        <v>34</v>
      </c>
      <c r="V11" s="159">
        <v>0</v>
      </c>
      <c r="W11" s="159">
        <v>0</v>
      </c>
      <c r="X11" s="173">
        <v>20</v>
      </c>
    </row>
    <row r="12" spans="1:24" ht="14.6">
      <c r="A12" s="1229"/>
      <c r="B12" s="66" t="s">
        <v>33</v>
      </c>
      <c r="C12" s="172">
        <v>480</v>
      </c>
      <c r="D12" s="172">
        <v>0</v>
      </c>
      <c r="E12" s="172">
        <v>0</v>
      </c>
      <c r="F12" s="172">
        <v>0</v>
      </c>
      <c r="G12" s="172">
        <v>0</v>
      </c>
      <c r="H12" s="172">
        <v>0</v>
      </c>
      <c r="I12" s="172">
        <v>65</v>
      </c>
      <c r="J12" s="172">
        <v>124</v>
      </c>
      <c r="K12" s="172">
        <v>0</v>
      </c>
      <c r="L12" s="172">
        <v>120</v>
      </c>
      <c r="M12" s="172">
        <v>120</v>
      </c>
      <c r="N12" s="172">
        <v>0</v>
      </c>
      <c r="O12" s="172">
        <v>0</v>
      </c>
      <c r="P12" s="172">
        <v>0</v>
      </c>
      <c r="Q12" s="172">
        <v>16</v>
      </c>
      <c r="R12" s="159">
        <v>2</v>
      </c>
      <c r="S12" s="159">
        <v>0</v>
      </c>
      <c r="T12" s="159">
        <v>0</v>
      </c>
      <c r="U12" s="159">
        <v>8</v>
      </c>
      <c r="V12" s="159">
        <v>0</v>
      </c>
      <c r="W12" s="159">
        <v>0</v>
      </c>
      <c r="X12" s="173">
        <v>2</v>
      </c>
    </row>
    <row r="13" spans="1:24" ht="14.6">
      <c r="A13" s="1229"/>
      <c r="B13" s="66" t="s">
        <v>35</v>
      </c>
      <c r="C13" s="155">
        <v>590</v>
      </c>
      <c r="D13" s="155">
        <v>5</v>
      </c>
      <c r="E13" s="155">
        <v>0.5</v>
      </c>
      <c r="F13" s="155">
        <v>0</v>
      </c>
      <c r="G13" s="155">
        <v>0</v>
      </c>
      <c r="H13" s="155">
        <v>0</v>
      </c>
      <c r="I13" s="155">
        <v>110</v>
      </c>
      <c r="J13" s="155">
        <v>151</v>
      </c>
      <c r="K13" s="155">
        <v>2</v>
      </c>
      <c r="L13" s="155">
        <v>143</v>
      </c>
      <c r="M13" s="155">
        <v>142</v>
      </c>
      <c r="N13" s="155">
        <v>1</v>
      </c>
      <c r="O13" s="155">
        <v>0</v>
      </c>
      <c r="P13" s="155">
        <v>0</v>
      </c>
      <c r="Q13" s="155">
        <v>26</v>
      </c>
      <c r="R13" s="160">
        <v>2</v>
      </c>
      <c r="S13" s="160">
        <v>1</v>
      </c>
      <c r="T13" s="160">
        <v>6</v>
      </c>
      <c r="U13" s="160">
        <v>151</v>
      </c>
      <c r="V13" s="160">
        <v>4</v>
      </c>
      <c r="W13" s="160">
        <v>0</v>
      </c>
      <c r="X13" s="165">
        <v>0</v>
      </c>
    </row>
    <row r="14" spans="1:24" ht="14.6">
      <c r="A14" s="1229"/>
      <c r="B14" s="66" t="s">
        <v>34</v>
      </c>
      <c r="C14" s="172">
        <v>650</v>
      </c>
      <c r="D14" s="172">
        <v>45</v>
      </c>
      <c r="E14" s="172">
        <v>5</v>
      </c>
      <c r="F14" s="172">
        <v>3</v>
      </c>
      <c r="G14" s="172">
        <v>0</v>
      </c>
      <c r="H14" s="172">
        <v>0</v>
      </c>
      <c r="I14" s="172">
        <v>110</v>
      </c>
      <c r="J14" s="172">
        <v>157</v>
      </c>
      <c r="K14" s="172">
        <v>2</v>
      </c>
      <c r="L14" s="172">
        <v>148</v>
      </c>
      <c r="M14" s="172">
        <v>139</v>
      </c>
      <c r="N14" s="172">
        <v>2</v>
      </c>
      <c r="O14" s="172">
        <v>0</v>
      </c>
      <c r="P14" s="172">
        <v>0</v>
      </c>
      <c r="Q14" s="172">
        <v>32</v>
      </c>
      <c r="R14" s="159">
        <v>2</v>
      </c>
      <c r="S14" s="159">
        <v>2</v>
      </c>
      <c r="T14" s="159">
        <v>10</v>
      </c>
      <c r="U14" s="159">
        <v>147</v>
      </c>
      <c r="V14" s="159">
        <v>4</v>
      </c>
      <c r="W14" s="159">
        <v>0</v>
      </c>
      <c r="X14" s="173">
        <v>0</v>
      </c>
    </row>
    <row r="15" spans="1:24" ht="14.6">
      <c r="A15" s="1229"/>
      <c r="B15" s="66" t="s">
        <v>36</v>
      </c>
      <c r="C15" s="172">
        <v>510</v>
      </c>
      <c r="D15" s="172">
        <v>0</v>
      </c>
      <c r="E15" s="172">
        <v>0</v>
      </c>
      <c r="F15" s="172">
        <v>0</v>
      </c>
      <c r="G15" s="172">
        <v>0</v>
      </c>
      <c r="H15" s="172">
        <v>0</v>
      </c>
      <c r="I15" s="172">
        <v>55</v>
      </c>
      <c r="J15" s="172">
        <v>128</v>
      </c>
      <c r="K15" s="172">
        <v>0</v>
      </c>
      <c r="L15" s="172">
        <v>123</v>
      </c>
      <c r="M15" s="172">
        <v>48</v>
      </c>
      <c r="N15" s="172">
        <v>0</v>
      </c>
      <c r="O15" s="172">
        <v>0</v>
      </c>
      <c r="P15" s="172">
        <v>0</v>
      </c>
      <c r="Q15" s="172">
        <v>14</v>
      </c>
      <c r="R15" s="159">
        <v>2</v>
      </c>
      <c r="S15" s="159">
        <v>0</v>
      </c>
      <c r="T15" s="159">
        <v>0</v>
      </c>
      <c r="U15" s="159">
        <v>1</v>
      </c>
      <c r="V15" s="159">
        <v>0</v>
      </c>
      <c r="W15" s="159">
        <v>0</v>
      </c>
      <c r="X15" s="173">
        <v>0</v>
      </c>
    </row>
    <row r="16" spans="1:24" ht="14.6">
      <c r="A16" s="1229"/>
      <c r="B16" s="66" t="s">
        <v>37</v>
      </c>
      <c r="C16" s="155">
        <v>520</v>
      </c>
      <c r="D16" s="155">
        <v>0</v>
      </c>
      <c r="E16" s="155">
        <v>0</v>
      </c>
      <c r="F16" s="155">
        <v>0</v>
      </c>
      <c r="G16" s="155">
        <v>0</v>
      </c>
      <c r="H16" s="155">
        <v>0</v>
      </c>
      <c r="I16" s="155">
        <v>60</v>
      </c>
      <c r="J16" s="155">
        <v>139</v>
      </c>
      <c r="K16" s="155">
        <v>0</v>
      </c>
      <c r="L16" s="155">
        <v>136</v>
      </c>
      <c r="M16" s="155">
        <v>52</v>
      </c>
      <c r="N16" s="155">
        <v>0</v>
      </c>
      <c r="O16" s="155">
        <v>0</v>
      </c>
      <c r="P16" s="155">
        <v>0</v>
      </c>
      <c r="Q16" s="155">
        <v>12</v>
      </c>
      <c r="R16" s="160">
        <v>0</v>
      </c>
      <c r="S16" s="160">
        <v>0</v>
      </c>
      <c r="T16" s="160">
        <v>0</v>
      </c>
      <c r="U16" s="160">
        <v>1</v>
      </c>
      <c r="V16" s="160">
        <v>0</v>
      </c>
      <c r="W16" s="160">
        <v>0</v>
      </c>
      <c r="X16" s="165">
        <v>0</v>
      </c>
    </row>
    <row r="17" spans="1:24" ht="14.6">
      <c r="A17" s="1229"/>
      <c r="B17" s="66" t="s">
        <v>38</v>
      </c>
      <c r="C17" s="172">
        <v>470</v>
      </c>
      <c r="D17" s="172">
        <v>0</v>
      </c>
      <c r="E17" s="172">
        <v>0</v>
      </c>
      <c r="F17" s="172">
        <v>0</v>
      </c>
      <c r="G17" s="172">
        <v>0</v>
      </c>
      <c r="H17" s="172">
        <v>0</v>
      </c>
      <c r="I17" s="172">
        <v>75</v>
      </c>
      <c r="J17" s="172">
        <v>119</v>
      </c>
      <c r="K17" s="172">
        <v>0</v>
      </c>
      <c r="L17" s="172">
        <v>108</v>
      </c>
      <c r="M17" s="172">
        <v>103</v>
      </c>
      <c r="N17" s="172">
        <v>0</v>
      </c>
      <c r="O17" s="172">
        <v>0</v>
      </c>
      <c r="P17" s="172">
        <v>0</v>
      </c>
      <c r="Q17" s="172">
        <v>21</v>
      </c>
      <c r="R17" s="159">
        <v>2</v>
      </c>
      <c r="S17" s="159">
        <v>0</v>
      </c>
      <c r="T17" s="159">
        <v>0</v>
      </c>
      <c r="U17" s="159">
        <v>89</v>
      </c>
      <c r="V17" s="159">
        <v>2</v>
      </c>
      <c r="W17" s="159">
        <v>0</v>
      </c>
      <c r="X17" s="173">
        <v>20</v>
      </c>
    </row>
    <row r="18" spans="1:24" ht="14.6">
      <c r="A18" s="1229"/>
      <c r="B18" s="66" t="s">
        <v>39</v>
      </c>
      <c r="C18" s="172">
        <v>480</v>
      </c>
      <c r="D18" s="172">
        <v>0</v>
      </c>
      <c r="E18" s="172">
        <v>0</v>
      </c>
      <c r="F18" s="172">
        <v>0</v>
      </c>
      <c r="G18" s="172">
        <v>0</v>
      </c>
      <c r="H18" s="172">
        <v>0</v>
      </c>
      <c r="I18" s="172">
        <v>75</v>
      </c>
      <c r="J18" s="172">
        <v>122</v>
      </c>
      <c r="K18" s="172">
        <v>0</v>
      </c>
      <c r="L18" s="172">
        <v>118</v>
      </c>
      <c r="M18" s="172">
        <v>115</v>
      </c>
      <c r="N18" s="172">
        <v>0</v>
      </c>
      <c r="O18" s="172">
        <v>0</v>
      </c>
      <c r="P18" s="172">
        <v>0</v>
      </c>
      <c r="Q18" s="172">
        <v>17</v>
      </c>
      <c r="R18" s="159">
        <v>2</v>
      </c>
      <c r="S18" s="159">
        <v>0</v>
      </c>
      <c r="T18" s="159">
        <v>0</v>
      </c>
      <c r="U18" s="159">
        <v>5</v>
      </c>
      <c r="V18" s="159">
        <v>0</v>
      </c>
      <c r="W18" s="159">
        <v>0</v>
      </c>
      <c r="X18" s="173">
        <v>45</v>
      </c>
    </row>
    <row r="19" spans="1:24" ht="14.6">
      <c r="A19" s="1229"/>
      <c r="B19" s="66" t="s">
        <v>40</v>
      </c>
      <c r="C19" s="172">
        <v>490</v>
      </c>
      <c r="D19" s="172">
        <v>0</v>
      </c>
      <c r="E19" s="172">
        <v>0</v>
      </c>
      <c r="F19" s="172">
        <v>0</v>
      </c>
      <c r="G19" s="172">
        <v>0</v>
      </c>
      <c r="H19" s="172">
        <v>0</v>
      </c>
      <c r="I19" s="172">
        <v>75</v>
      </c>
      <c r="J19" s="172">
        <v>124</v>
      </c>
      <c r="K19" s="172">
        <v>0</v>
      </c>
      <c r="L19" s="172">
        <v>121</v>
      </c>
      <c r="M19" s="172">
        <v>114</v>
      </c>
      <c r="N19" s="172">
        <v>0</v>
      </c>
      <c r="O19" s="172">
        <v>0</v>
      </c>
      <c r="P19" s="172">
        <v>0</v>
      </c>
      <c r="Q19" s="172">
        <v>21</v>
      </c>
      <c r="R19" s="159">
        <v>2</v>
      </c>
      <c r="S19" s="159">
        <v>0</v>
      </c>
      <c r="T19" s="159">
        <v>0</v>
      </c>
      <c r="U19" s="159">
        <v>78</v>
      </c>
      <c r="V19" s="159">
        <v>2</v>
      </c>
      <c r="W19" s="159">
        <v>0</v>
      </c>
      <c r="X19" s="173">
        <v>2</v>
      </c>
    </row>
    <row r="20" spans="1:24" ht="14.6">
      <c r="A20" s="1229"/>
      <c r="B20" s="66" t="s">
        <v>41</v>
      </c>
      <c r="C20" s="155">
        <v>510</v>
      </c>
      <c r="D20" s="155">
        <v>0</v>
      </c>
      <c r="E20" s="155">
        <v>0</v>
      </c>
      <c r="F20" s="155">
        <v>0</v>
      </c>
      <c r="G20" s="155">
        <v>0</v>
      </c>
      <c r="H20" s="155">
        <v>0</v>
      </c>
      <c r="I20" s="155">
        <v>60</v>
      </c>
      <c r="J20" s="155">
        <v>134</v>
      </c>
      <c r="K20" s="155">
        <v>0</v>
      </c>
      <c r="L20" s="155">
        <v>130</v>
      </c>
      <c r="M20" s="155">
        <v>42</v>
      </c>
      <c r="N20" s="155">
        <v>0</v>
      </c>
      <c r="O20" s="155">
        <v>0</v>
      </c>
      <c r="P20" s="155">
        <v>0</v>
      </c>
      <c r="Q20" s="155">
        <v>14</v>
      </c>
      <c r="R20" s="160">
        <v>2</v>
      </c>
      <c r="S20" s="160">
        <v>0</v>
      </c>
      <c r="T20" s="160">
        <v>0</v>
      </c>
      <c r="U20" s="160">
        <v>1</v>
      </c>
      <c r="V20" s="160">
        <v>0</v>
      </c>
      <c r="W20" s="160">
        <v>0</v>
      </c>
      <c r="X20" s="165">
        <v>15</v>
      </c>
    </row>
    <row r="21" spans="1:24" ht="14.6">
      <c r="A21" s="1229"/>
      <c r="B21" s="66" t="s">
        <v>42</v>
      </c>
      <c r="C21" s="172">
        <v>530</v>
      </c>
      <c r="D21" s="172">
        <v>0</v>
      </c>
      <c r="E21" s="172">
        <v>0</v>
      </c>
      <c r="F21" s="172">
        <v>0</v>
      </c>
      <c r="G21" s="172">
        <v>0</v>
      </c>
      <c r="H21" s="172">
        <v>0</v>
      </c>
      <c r="I21" s="172">
        <v>80</v>
      </c>
      <c r="J21" s="172">
        <v>135</v>
      </c>
      <c r="K21" s="172">
        <v>0</v>
      </c>
      <c r="L21" s="172">
        <v>130</v>
      </c>
      <c r="M21" s="172">
        <v>127</v>
      </c>
      <c r="N21" s="172">
        <v>0</v>
      </c>
      <c r="O21" s="172">
        <v>0</v>
      </c>
      <c r="P21" s="172">
        <v>0</v>
      </c>
      <c r="Q21" s="172">
        <v>17</v>
      </c>
      <c r="R21" s="159">
        <v>2</v>
      </c>
      <c r="S21" s="159">
        <v>0</v>
      </c>
      <c r="T21" s="159">
        <v>0</v>
      </c>
      <c r="U21" s="159">
        <v>70</v>
      </c>
      <c r="V21" s="159">
        <v>2</v>
      </c>
      <c r="W21" s="159">
        <v>0</v>
      </c>
      <c r="X21" s="173">
        <v>6</v>
      </c>
    </row>
    <row r="22" spans="1:24" ht="14.6">
      <c r="A22" s="1229"/>
      <c r="B22" s="66" t="s">
        <v>43</v>
      </c>
      <c r="C22" s="172">
        <v>440</v>
      </c>
      <c r="D22" s="172">
        <v>0</v>
      </c>
      <c r="E22" s="172">
        <v>0</v>
      </c>
      <c r="F22" s="172">
        <v>0</v>
      </c>
      <c r="G22" s="172">
        <v>0</v>
      </c>
      <c r="H22" s="172">
        <v>0</v>
      </c>
      <c r="I22" s="172">
        <v>70</v>
      </c>
      <c r="J22" s="172">
        <v>113</v>
      </c>
      <c r="K22" s="172">
        <v>0</v>
      </c>
      <c r="L22" s="172">
        <v>109</v>
      </c>
      <c r="M22" s="172">
        <v>109</v>
      </c>
      <c r="N22" s="172">
        <v>0</v>
      </c>
      <c r="O22" s="172">
        <v>0</v>
      </c>
      <c r="P22" s="172">
        <v>0</v>
      </c>
      <c r="Q22" s="172">
        <v>17</v>
      </c>
      <c r="R22" s="159">
        <v>2</v>
      </c>
      <c r="S22" s="159">
        <v>1</v>
      </c>
      <c r="T22" s="159">
        <v>6</v>
      </c>
      <c r="U22" s="159">
        <v>1</v>
      </c>
      <c r="V22" s="159">
        <v>0</v>
      </c>
      <c r="W22" s="159">
        <v>0</v>
      </c>
      <c r="X22" s="173">
        <v>0</v>
      </c>
    </row>
    <row r="23" spans="1:24" ht="14.6">
      <c r="A23" s="1229"/>
      <c r="B23" s="66" t="s">
        <v>44</v>
      </c>
      <c r="C23" s="172">
        <v>330</v>
      </c>
      <c r="D23" s="172">
        <v>0</v>
      </c>
      <c r="E23" s="172">
        <v>0</v>
      </c>
      <c r="F23" s="172">
        <v>0</v>
      </c>
      <c r="G23" s="172">
        <v>0</v>
      </c>
      <c r="H23" s="172">
        <v>0</v>
      </c>
      <c r="I23" s="172">
        <v>65</v>
      </c>
      <c r="J23" s="172">
        <v>84</v>
      </c>
      <c r="K23" s="172">
        <v>0</v>
      </c>
      <c r="L23" s="172">
        <v>81</v>
      </c>
      <c r="M23" s="172">
        <v>81</v>
      </c>
      <c r="N23" s="172">
        <v>0</v>
      </c>
      <c r="O23" s="172">
        <v>0</v>
      </c>
      <c r="P23" s="172">
        <v>0</v>
      </c>
      <c r="Q23" s="172">
        <v>15</v>
      </c>
      <c r="R23" s="159">
        <v>2</v>
      </c>
      <c r="S23" s="159">
        <v>0</v>
      </c>
      <c r="T23" s="159">
        <v>0</v>
      </c>
      <c r="U23" s="159">
        <v>1</v>
      </c>
      <c r="V23" s="159">
        <v>0</v>
      </c>
      <c r="W23" s="159">
        <v>0</v>
      </c>
      <c r="X23" s="173">
        <v>0</v>
      </c>
    </row>
    <row r="24" spans="1:24" ht="14.6">
      <c r="A24" s="1229"/>
      <c r="B24" s="66" t="s">
        <v>45</v>
      </c>
      <c r="C24" s="172">
        <v>460</v>
      </c>
      <c r="D24" s="172">
        <v>0</v>
      </c>
      <c r="E24" s="172">
        <v>0</v>
      </c>
      <c r="F24" s="172">
        <v>0</v>
      </c>
      <c r="G24" s="172">
        <v>0</v>
      </c>
      <c r="H24" s="172">
        <v>0</v>
      </c>
      <c r="I24" s="172">
        <v>75</v>
      </c>
      <c r="J24" s="172">
        <v>115</v>
      </c>
      <c r="K24" s="172">
        <v>0</v>
      </c>
      <c r="L24" s="172">
        <v>110</v>
      </c>
      <c r="M24" s="172">
        <v>109</v>
      </c>
      <c r="N24" s="172">
        <v>0</v>
      </c>
      <c r="O24" s="172">
        <v>0</v>
      </c>
      <c r="P24" s="172">
        <v>0</v>
      </c>
      <c r="Q24" s="172">
        <v>17</v>
      </c>
      <c r="R24" s="159">
        <v>2</v>
      </c>
      <c r="S24" s="159">
        <v>0</v>
      </c>
      <c r="T24" s="159">
        <v>0</v>
      </c>
      <c r="U24" s="159">
        <v>2</v>
      </c>
      <c r="V24" s="159">
        <v>0</v>
      </c>
      <c r="W24" s="159">
        <v>0</v>
      </c>
      <c r="X24" s="173">
        <v>0</v>
      </c>
    </row>
    <row r="25" spans="1:24" ht="14.6">
      <c r="A25" s="1229"/>
      <c r="B25" s="66" t="s">
        <v>46</v>
      </c>
      <c r="C25" s="172">
        <v>490</v>
      </c>
      <c r="D25" s="172">
        <v>0</v>
      </c>
      <c r="E25" s="172">
        <v>0</v>
      </c>
      <c r="F25" s="172">
        <v>0</v>
      </c>
      <c r="G25" s="172">
        <v>0</v>
      </c>
      <c r="H25" s="172">
        <v>0</v>
      </c>
      <c r="I25" s="172">
        <v>110</v>
      </c>
      <c r="J25" s="172">
        <v>123</v>
      </c>
      <c r="K25" s="172">
        <v>0</v>
      </c>
      <c r="L25" s="172">
        <v>118</v>
      </c>
      <c r="M25" s="172">
        <v>118</v>
      </c>
      <c r="N25" s="172">
        <v>0</v>
      </c>
      <c r="O25" s="172">
        <v>0</v>
      </c>
      <c r="P25" s="172">
        <v>0</v>
      </c>
      <c r="Q25" s="172">
        <v>15</v>
      </c>
      <c r="R25" s="159">
        <v>2</v>
      </c>
      <c r="S25" s="159">
        <v>0</v>
      </c>
      <c r="T25" s="159">
        <v>0</v>
      </c>
      <c r="U25" s="159">
        <v>5</v>
      </c>
      <c r="V25" s="159">
        <v>0</v>
      </c>
      <c r="W25" s="159">
        <v>0</v>
      </c>
      <c r="X25" s="173">
        <v>0</v>
      </c>
    </row>
    <row r="26" spans="1:24" ht="14.6">
      <c r="A26" s="1229"/>
      <c r="B26" s="66" t="s">
        <v>47</v>
      </c>
      <c r="C26" s="172">
        <v>470</v>
      </c>
      <c r="D26" s="172">
        <v>0</v>
      </c>
      <c r="E26" s="172">
        <v>0</v>
      </c>
      <c r="F26" s="172">
        <v>0</v>
      </c>
      <c r="G26" s="172">
        <v>0</v>
      </c>
      <c r="H26" s="172">
        <v>0</v>
      </c>
      <c r="I26" s="172">
        <v>80</v>
      </c>
      <c r="J26" s="172">
        <v>120</v>
      </c>
      <c r="K26" s="172">
        <v>0</v>
      </c>
      <c r="L26" s="172">
        <v>115</v>
      </c>
      <c r="M26" s="172">
        <v>114</v>
      </c>
      <c r="N26" s="172">
        <v>0</v>
      </c>
      <c r="O26" s="172">
        <v>0</v>
      </c>
      <c r="P26" s="172">
        <v>0</v>
      </c>
      <c r="Q26" s="172">
        <v>19</v>
      </c>
      <c r="R26" s="159">
        <v>2</v>
      </c>
      <c r="S26" s="159">
        <v>0</v>
      </c>
      <c r="T26" s="159">
        <v>0</v>
      </c>
      <c r="U26" s="159">
        <v>16</v>
      </c>
      <c r="V26" s="159">
        <v>0</v>
      </c>
      <c r="W26" s="159">
        <v>0</v>
      </c>
      <c r="X26" s="173">
        <v>8</v>
      </c>
    </row>
    <row r="27" spans="1:24" ht="14.6">
      <c r="A27" s="1229"/>
      <c r="B27" s="66" t="s">
        <v>48</v>
      </c>
      <c r="C27" s="172">
        <v>390</v>
      </c>
      <c r="D27" s="172">
        <v>0</v>
      </c>
      <c r="E27" s="172">
        <v>0</v>
      </c>
      <c r="F27" s="172">
        <v>0</v>
      </c>
      <c r="G27" s="172">
        <v>0</v>
      </c>
      <c r="H27" s="172">
        <v>0</v>
      </c>
      <c r="I27" s="172">
        <v>60</v>
      </c>
      <c r="J27" s="172">
        <v>101</v>
      </c>
      <c r="K27" s="172">
        <v>0</v>
      </c>
      <c r="L27" s="172">
        <v>96</v>
      </c>
      <c r="M27" s="172">
        <v>96</v>
      </c>
      <c r="N27" s="172">
        <v>0</v>
      </c>
      <c r="O27" s="172">
        <v>0</v>
      </c>
      <c r="P27" s="172">
        <v>0</v>
      </c>
      <c r="Q27" s="172">
        <v>20</v>
      </c>
      <c r="R27" s="159">
        <v>2</v>
      </c>
      <c r="S27" s="159">
        <v>0</v>
      </c>
      <c r="T27" s="159">
        <v>0</v>
      </c>
      <c r="U27" s="159">
        <v>18</v>
      </c>
      <c r="V27" s="159">
        <v>0</v>
      </c>
      <c r="W27" s="159">
        <v>0</v>
      </c>
      <c r="X27" s="173">
        <v>10</v>
      </c>
    </row>
    <row r="28" spans="1:24" ht="14.6">
      <c r="A28" s="1229"/>
      <c r="B28" s="66" t="s">
        <v>49</v>
      </c>
      <c r="C28" s="172">
        <v>360</v>
      </c>
      <c r="D28" s="172">
        <v>0</v>
      </c>
      <c r="E28" s="172">
        <v>0</v>
      </c>
      <c r="F28" s="172">
        <v>0</v>
      </c>
      <c r="G28" s="172">
        <v>0</v>
      </c>
      <c r="H28" s="172">
        <v>0</v>
      </c>
      <c r="I28" s="172">
        <v>75</v>
      </c>
      <c r="J28" s="172">
        <v>91</v>
      </c>
      <c r="K28" s="172">
        <v>0</v>
      </c>
      <c r="L28" s="172">
        <v>87</v>
      </c>
      <c r="M28" s="172">
        <v>87</v>
      </c>
      <c r="N28" s="172">
        <v>0</v>
      </c>
      <c r="O28" s="172">
        <v>0</v>
      </c>
      <c r="P28" s="172">
        <v>0</v>
      </c>
      <c r="Q28" s="172">
        <v>17</v>
      </c>
      <c r="R28" s="159">
        <v>2</v>
      </c>
      <c r="S28" s="159">
        <v>0</v>
      </c>
      <c r="T28" s="159">
        <v>0</v>
      </c>
      <c r="U28" s="159">
        <v>1</v>
      </c>
      <c r="V28" s="159">
        <v>0</v>
      </c>
      <c r="W28" s="159">
        <v>0</v>
      </c>
      <c r="X28" s="173">
        <v>0</v>
      </c>
    </row>
    <row r="29" spans="1:24" ht="14.6">
      <c r="A29" s="1229"/>
      <c r="B29" s="66" t="s">
        <v>50</v>
      </c>
      <c r="C29" s="172">
        <v>510</v>
      </c>
      <c r="D29" s="172">
        <v>0</v>
      </c>
      <c r="E29" s="172">
        <v>0</v>
      </c>
      <c r="F29" s="172">
        <v>0</v>
      </c>
      <c r="G29" s="172">
        <v>0</v>
      </c>
      <c r="H29" s="172">
        <v>0</v>
      </c>
      <c r="I29" s="172">
        <v>75</v>
      </c>
      <c r="J29" s="172">
        <v>129</v>
      </c>
      <c r="K29" s="172">
        <v>0</v>
      </c>
      <c r="L29" s="172">
        <v>123</v>
      </c>
      <c r="M29" s="172">
        <v>121</v>
      </c>
      <c r="N29" s="172">
        <v>0</v>
      </c>
      <c r="O29" s="172">
        <v>0</v>
      </c>
      <c r="P29" s="172">
        <v>0</v>
      </c>
      <c r="Q29" s="172">
        <v>17</v>
      </c>
      <c r="R29" s="159">
        <v>2</v>
      </c>
      <c r="S29" s="159">
        <v>0</v>
      </c>
      <c r="T29" s="159">
        <v>0</v>
      </c>
      <c r="U29" s="159">
        <v>37</v>
      </c>
      <c r="V29" s="159">
        <v>0</v>
      </c>
      <c r="W29" s="159">
        <v>0</v>
      </c>
      <c r="X29" s="173">
        <v>6</v>
      </c>
    </row>
    <row r="30" spans="1:24" ht="14.6">
      <c r="A30" s="1229"/>
      <c r="B30" s="66" t="s">
        <v>51</v>
      </c>
      <c r="C30" s="137">
        <v>530</v>
      </c>
      <c r="D30" s="137">
        <v>0</v>
      </c>
      <c r="E30" s="137">
        <v>0</v>
      </c>
      <c r="F30" s="137">
        <v>0</v>
      </c>
      <c r="G30" s="137">
        <v>0</v>
      </c>
      <c r="H30" s="137">
        <v>0</v>
      </c>
      <c r="I30" s="137">
        <v>70</v>
      </c>
      <c r="J30" s="137">
        <v>132</v>
      </c>
      <c r="K30" s="137">
        <v>0</v>
      </c>
      <c r="L30" s="137">
        <v>122</v>
      </c>
      <c r="M30" s="137">
        <v>97</v>
      </c>
      <c r="N30" s="137">
        <v>0</v>
      </c>
      <c r="O30" s="137">
        <v>0</v>
      </c>
      <c r="P30" s="137">
        <v>0</v>
      </c>
      <c r="Q30" s="137">
        <v>17</v>
      </c>
      <c r="R30" s="159">
        <v>2</v>
      </c>
      <c r="S30" s="159">
        <v>0</v>
      </c>
      <c r="T30" s="159">
        <v>0</v>
      </c>
      <c r="U30" s="159">
        <v>20</v>
      </c>
      <c r="V30" s="159">
        <v>0</v>
      </c>
      <c r="W30" s="159">
        <v>2</v>
      </c>
      <c r="X30" s="173">
        <v>4</v>
      </c>
    </row>
    <row r="31" spans="1:24" ht="14.6">
      <c r="A31" s="1229"/>
      <c r="B31" s="66" t="s">
        <v>53</v>
      </c>
      <c r="C31" s="172">
        <v>510</v>
      </c>
      <c r="D31" s="172">
        <v>0</v>
      </c>
      <c r="E31" s="172">
        <v>0</v>
      </c>
      <c r="F31" s="172">
        <v>0</v>
      </c>
      <c r="G31" s="172">
        <v>0</v>
      </c>
      <c r="H31" s="172">
        <v>0</v>
      </c>
      <c r="I31" s="172">
        <v>75</v>
      </c>
      <c r="J31" s="172">
        <v>128</v>
      </c>
      <c r="K31" s="172">
        <v>0</v>
      </c>
      <c r="L31" s="172">
        <v>123</v>
      </c>
      <c r="M31" s="172">
        <v>122</v>
      </c>
      <c r="N31" s="172">
        <v>0</v>
      </c>
      <c r="O31" s="172">
        <v>0</v>
      </c>
      <c r="P31" s="172">
        <v>0</v>
      </c>
      <c r="Q31" s="172">
        <v>17</v>
      </c>
      <c r="R31" s="159">
        <v>2</v>
      </c>
      <c r="S31" s="159">
        <v>0</v>
      </c>
      <c r="T31" s="159">
        <v>0</v>
      </c>
      <c r="U31" s="159">
        <v>30</v>
      </c>
      <c r="V31" s="159">
        <v>0</v>
      </c>
      <c r="W31" s="159">
        <v>0</v>
      </c>
      <c r="X31" s="173">
        <v>4</v>
      </c>
    </row>
    <row r="32" spans="1:24" ht="14.6">
      <c r="A32" s="1229"/>
      <c r="B32" s="66" t="s">
        <v>54</v>
      </c>
      <c r="C32" s="172">
        <v>520</v>
      </c>
      <c r="D32" s="172">
        <v>0</v>
      </c>
      <c r="E32" s="172">
        <v>0</v>
      </c>
      <c r="F32" s="172">
        <v>0</v>
      </c>
      <c r="G32" s="172">
        <v>0</v>
      </c>
      <c r="H32" s="172">
        <v>0</v>
      </c>
      <c r="I32" s="172">
        <v>75</v>
      </c>
      <c r="J32" s="172">
        <v>131</v>
      </c>
      <c r="K32" s="172">
        <v>0</v>
      </c>
      <c r="L32" s="172">
        <v>126</v>
      </c>
      <c r="M32" s="172">
        <v>124</v>
      </c>
      <c r="N32" s="172">
        <v>0</v>
      </c>
      <c r="O32" s="172">
        <v>0</v>
      </c>
      <c r="P32" s="172">
        <v>0</v>
      </c>
      <c r="Q32" s="172">
        <v>17</v>
      </c>
      <c r="R32" s="159">
        <v>2</v>
      </c>
      <c r="S32" s="159">
        <v>0</v>
      </c>
      <c r="T32" s="159">
        <v>0</v>
      </c>
      <c r="U32" s="159">
        <v>22</v>
      </c>
      <c r="V32" s="159">
        <v>0</v>
      </c>
      <c r="W32" s="159">
        <v>0</v>
      </c>
      <c r="X32" s="173">
        <v>8</v>
      </c>
    </row>
    <row r="33" spans="1:24" ht="14.6">
      <c r="A33" s="1229"/>
      <c r="B33" s="66" t="s">
        <v>55</v>
      </c>
      <c r="C33" s="172">
        <v>440</v>
      </c>
      <c r="D33" s="172">
        <v>0</v>
      </c>
      <c r="E33" s="172">
        <v>0</v>
      </c>
      <c r="F33" s="172">
        <v>0</v>
      </c>
      <c r="G33" s="172">
        <v>0</v>
      </c>
      <c r="H33" s="172">
        <v>0</v>
      </c>
      <c r="I33" s="172">
        <v>85</v>
      </c>
      <c r="J33" s="172">
        <v>112</v>
      </c>
      <c r="K33" s="172">
        <v>0</v>
      </c>
      <c r="L33" s="172">
        <v>106</v>
      </c>
      <c r="M33" s="172">
        <v>106</v>
      </c>
      <c r="N33" s="172">
        <v>0</v>
      </c>
      <c r="O33" s="172">
        <v>0</v>
      </c>
      <c r="P33" s="172">
        <v>0</v>
      </c>
      <c r="Q33" s="172">
        <v>19</v>
      </c>
      <c r="R33" s="159">
        <v>2</v>
      </c>
      <c r="S33" s="159">
        <v>0</v>
      </c>
      <c r="T33" s="159">
        <v>0</v>
      </c>
      <c r="U33" s="159">
        <v>31</v>
      </c>
      <c r="V33" s="159">
        <v>0</v>
      </c>
      <c r="W33" s="159">
        <v>0</v>
      </c>
      <c r="X33" s="173">
        <v>15</v>
      </c>
    </row>
    <row r="34" spans="1:24" ht="14.6">
      <c r="A34" s="1229"/>
      <c r="B34" s="66" t="s">
        <v>57</v>
      </c>
      <c r="C34" s="172">
        <v>670</v>
      </c>
      <c r="D34" s="172">
        <v>0</v>
      </c>
      <c r="E34" s="172">
        <v>0</v>
      </c>
      <c r="F34" s="172">
        <v>0</v>
      </c>
      <c r="G34" s="172">
        <v>0</v>
      </c>
      <c r="H34" s="172">
        <v>0</v>
      </c>
      <c r="I34" s="172">
        <v>75</v>
      </c>
      <c r="J34" s="172">
        <v>171</v>
      </c>
      <c r="K34" s="172">
        <v>0</v>
      </c>
      <c r="L34" s="172">
        <v>165</v>
      </c>
      <c r="M34" s="172">
        <v>160</v>
      </c>
      <c r="N34" s="172">
        <v>0</v>
      </c>
      <c r="O34" s="172">
        <v>0</v>
      </c>
      <c r="P34" s="172">
        <v>0</v>
      </c>
      <c r="Q34" s="172">
        <v>18</v>
      </c>
      <c r="R34" s="159">
        <v>2</v>
      </c>
      <c r="S34" s="159">
        <v>0</v>
      </c>
      <c r="T34" s="159">
        <v>0</v>
      </c>
      <c r="U34" s="159">
        <v>102</v>
      </c>
      <c r="V34" s="159">
        <v>2</v>
      </c>
      <c r="W34" s="159">
        <v>0</v>
      </c>
      <c r="X34" s="173">
        <v>6</v>
      </c>
    </row>
    <row r="35" spans="1:24" ht="14.6">
      <c r="A35" s="1229"/>
      <c r="B35" s="66" t="s">
        <v>58</v>
      </c>
      <c r="C35" s="136">
        <v>500</v>
      </c>
      <c r="D35" s="136">
        <v>10</v>
      </c>
      <c r="E35" s="136">
        <v>1</v>
      </c>
      <c r="F35" s="136">
        <v>0</v>
      </c>
      <c r="G35" s="136">
        <v>0</v>
      </c>
      <c r="H35" s="136">
        <v>0</v>
      </c>
      <c r="I35" s="136">
        <v>75</v>
      </c>
      <c r="J35" s="136">
        <v>126</v>
      </c>
      <c r="K35" s="136">
        <v>0</v>
      </c>
      <c r="L35" s="136">
        <v>121</v>
      </c>
      <c r="M35" s="136">
        <v>120</v>
      </c>
      <c r="N35" s="136">
        <v>0</v>
      </c>
      <c r="O35" s="136">
        <v>0</v>
      </c>
      <c r="P35" s="136">
        <v>0</v>
      </c>
      <c r="Q35" s="136">
        <v>20</v>
      </c>
      <c r="R35" s="159">
        <v>2</v>
      </c>
      <c r="S35" s="159">
        <v>0</v>
      </c>
      <c r="T35" s="159">
        <v>0</v>
      </c>
      <c r="U35" s="159">
        <v>3</v>
      </c>
      <c r="V35" s="159">
        <v>0</v>
      </c>
      <c r="W35" s="159">
        <v>0</v>
      </c>
      <c r="X35" s="173">
        <v>2</v>
      </c>
    </row>
    <row r="36" spans="1:24" ht="14.6">
      <c r="A36" s="1229"/>
      <c r="B36" s="66" t="s">
        <v>59</v>
      </c>
      <c r="C36" s="136">
        <v>460</v>
      </c>
      <c r="D36" s="136">
        <v>0</v>
      </c>
      <c r="E36" s="136">
        <v>0</v>
      </c>
      <c r="F36" s="136">
        <v>0</v>
      </c>
      <c r="G36" s="136">
        <v>0</v>
      </c>
      <c r="H36" s="136">
        <v>0</v>
      </c>
      <c r="I36" s="136">
        <v>70</v>
      </c>
      <c r="J36" s="136">
        <v>114</v>
      </c>
      <c r="K36" s="136">
        <v>0</v>
      </c>
      <c r="L36" s="136">
        <v>110</v>
      </c>
      <c r="M36" s="136">
        <v>108</v>
      </c>
      <c r="N36" s="136">
        <v>0</v>
      </c>
      <c r="O36" s="136">
        <v>0</v>
      </c>
      <c r="P36" s="136">
        <v>0</v>
      </c>
      <c r="Q36" s="136">
        <v>17</v>
      </c>
      <c r="R36" s="159">
        <v>2</v>
      </c>
      <c r="S36" s="159">
        <v>1</v>
      </c>
      <c r="T36" s="159">
        <v>6</v>
      </c>
      <c r="U36" s="159">
        <v>25</v>
      </c>
      <c r="V36" s="159">
        <v>0</v>
      </c>
      <c r="W36" s="159">
        <v>0</v>
      </c>
      <c r="X36" s="173">
        <v>2</v>
      </c>
    </row>
    <row r="37" spans="1:24" ht="14.6">
      <c r="A37" s="1229"/>
      <c r="B37" s="66" t="s">
        <v>60</v>
      </c>
      <c r="C37" s="172">
        <v>490</v>
      </c>
      <c r="D37" s="172">
        <v>0</v>
      </c>
      <c r="E37" s="172">
        <v>0</v>
      </c>
      <c r="F37" s="172">
        <v>0</v>
      </c>
      <c r="G37" s="172">
        <v>0</v>
      </c>
      <c r="H37" s="172">
        <v>0</v>
      </c>
      <c r="I37" s="172">
        <v>70</v>
      </c>
      <c r="J37" s="172">
        <v>124</v>
      </c>
      <c r="K37" s="172">
        <v>2</v>
      </c>
      <c r="L37" s="172">
        <v>118</v>
      </c>
      <c r="M37" s="172">
        <v>116</v>
      </c>
      <c r="N37" s="172">
        <v>1</v>
      </c>
      <c r="O37" s="172">
        <v>0</v>
      </c>
      <c r="P37" s="172">
        <v>0</v>
      </c>
      <c r="Q37" s="172">
        <v>20</v>
      </c>
      <c r="R37" s="159">
        <v>2</v>
      </c>
      <c r="S37" s="159">
        <v>0</v>
      </c>
      <c r="T37" s="159">
        <v>0</v>
      </c>
      <c r="U37" s="159">
        <v>49</v>
      </c>
      <c r="V37" s="159">
        <v>2</v>
      </c>
      <c r="W37" s="159">
        <v>0</v>
      </c>
      <c r="X37" s="173">
        <v>10</v>
      </c>
    </row>
    <row r="38" spans="1:24" ht="14.6">
      <c r="A38" s="1229"/>
      <c r="B38" s="66" t="s">
        <v>61</v>
      </c>
      <c r="C38" s="172">
        <v>600</v>
      </c>
      <c r="D38" s="172">
        <v>0</v>
      </c>
      <c r="E38" s="172">
        <v>0</v>
      </c>
      <c r="F38" s="172">
        <v>0</v>
      </c>
      <c r="G38" s="172">
        <v>0</v>
      </c>
      <c r="H38" s="172">
        <v>0</v>
      </c>
      <c r="I38" s="172">
        <v>70</v>
      </c>
      <c r="J38" s="172">
        <v>153</v>
      </c>
      <c r="K38" s="172">
        <v>0</v>
      </c>
      <c r="L38" s="172">
        <v>145</v>
      </c>
      <c r="M38" s="172">
        <v>143</v>
      </c>
      <c r="N38" s="172">
        <v>0</v>
      </c>
      <c r="O38" s="172">
        <v>0</v>
      </c>
      <c r="P38" s="172">
        <v>0</v>
      </c>
      <c r="Q38" s="172">
        <v>21</v>
      </c>
      <c r="R38" s="159">
        <v>2</v>
      </c>
      <c r="S38" s="159">
        <v>0</v>
      </c>
      <c r="T38" s="159">
        <v>0</v>
      </c>
      <c r="U38" s="159">
        <v>8</v>
      </c>
      <c r="V38" s="159">
        <v>0</v>
      </c>
      <c r="W38" s="159">
        <v>0</v>
      </c>
      <c r="X38" s="173">
        <v>6</v>
      </c>
    </row>
    <row r="39" spans="1:24" ht="14.6">
      <c r="A39" s="1229"/>
      <c r="B39" s="66" t="s">
        <v>62</v>
      </c>
      <c r="C39" s="172">
        <v>720</v>
      </c>
      <c r="D39" s="172">
        <v>100</v>
      </c>
      <c r="E39" s="172">
        <v>11</v>
      </c>
      <c r="F39" s="172">
        <v>2.5</v>
      </c>
      <c r="G39" s="172">
        <v>0</v>
      </c>
      <c r="H39" s="172">
        <v>0</v>
      </c>
      <c r="I39" s="172">
        <v>250</v>
      </c>
      <c r="J39" s="172">
        <v>154</v>
      </c>
      <c r="K39" s="172">
        <v>2</v>
      </c>
      <c r="L39" s="172">
        <v>145</v>
      </c>
      <c r="M39" s="172">
        <v>142</v>
      </c>
      <c r="N39" s="172">
        <v>4</v>
      </c>
      <c r="O39" s="172">
        <v>0</v>
      </c>
      <c r="P39" s="172">
        <v>0</v>
      </c>
      <c r="Q39" s="172">
        <v>26</v>
      </c>
      <c r="R39" s="159">
        <v>2</v>
      </c>
      <c r="S39" s="159">
        <v>2</v>
      </c>
      <c r="T39" s="159">
        <v>10</v>
      </c>
      <c r="U39" s="159">
        <v>151</v>
      </c>
      <c r="V39" s="159">
        <v>4</v>
      </c>
      <c r="W39" s="159">
        <v>0</v>
      </c>
      <c r="X39" s="173">
        <v>0</v>
      </c>
    </row>
    <row r="40" spans="1:24" ht="14.6">
      <c r="A40" s="1229"/>
      <c r="B40" s="66" t="s">
        <v>63</v>
      </c>
      <c r="C40" s="172">
        <v>720</v>
      </c>
      <c r="D40" s="172">
        <v>160</v>
      </c>
      <c r="E40" s="172">
        <v>18</v>
      </c>
      <c r="F40" s="172">
        <v>3</v>
      </c>
      <c r="G40" s="172">
        <v>0</v>
      </c>
      <c r="H40" s="172">
        <v>0</v>
      </c>
      <c r="I40" s="172">
        <v>210</v>
      </c>
      <c r="J40" s="172">
        <v>138</v>
      </c>
      <c r="K40" s="172">
        <v>0</v>
      </c>
      <c r="L40" s="172">
        <v>131</v>
      </c>
      <c r="M40" s="172">
        <v>127</v>
      </c>
      <c r="N40" s="172">
        <v>6</v>
      </c>
      <c r="O40" s="172">
        <v>0</v>
      </c>
      <c r="P40" s="172">
        <v>0</v>
      </c>
      <c r="Q40" s="172">
        <v>37</v>
      </c>
      <c r="R40" s="159">
        <v>2</v>
      </c>
      <c r="S40" s="159">
        <v>1</v>
      </c>
      <c r="T40" s="159">
        <v>6</v>
      </c>
      <c r="U40" s="159">
        <v>7</v>
      </c>
      <c r="V40" s="159">
        <v>0</v>
      </c>
      <c r="W40" s="159">
        <v>0</v>
      </c>
      <c r="X40" s="173">
        <v>10</v>
      </c>
    </row>
    <row r="41" spans="1:24" ht="14.6">
      <c r="A41" s="1229"/>
      <c r="B41" s="66" t="s">
        <v>64</v>
      </c>
      <c r="C41" s="172">
        <v>470</v>
      </c>
      <c r="D41" s="172">
        <v>0</v>
      </c>
      <c r="E41" s="172">
        <v>0</v>
      </c>
      <c r="F41" s="172">
        <v>0</v>
      </c>
      <c r="G41" s="172">
        <v>0</v>
      </c>
      <c r="H41" s="172">
        <v>0</v>
      </c>
      <c r="I41" s="172">
        <v>75</v>
      </c>
      <c r="J41" s="172">
        <v>120</v>
      </c>
      <c r="K41" s="172">
        <v>0</v>
      </c>
      <c r="L41" s="172">
        <v>116</v>
      </c>
      <c r="M41" s="172">
        <v>116</v>
      </c>
      <c r="N41" s="172">
        <v>0</v>
      </c>
      <c r="O41" s="172">
        <v>0</v>
      </c>
      <c r="P41" s="172">
        <v>0</v>
      </c>
      <c r="Q41" s="172">
        <v>17</v>
      </c>
      <c r="R41" s="159">
        <v>2</v>
      </c>
      <c r="S41" s="159">
        <v>0</v>
      </c>
      <c r="T41" s="159">
        <v>0</v>
      </c>
      <c r="U41" s="159">
        <v>37</v>
      </c>
      <c r="V41" s="159">
        <v>0</v>
      </c>
      <c r="W41" s="159">
        <v>0</v>
      </c>
      <c r="X41" s="173">
        <v>0</v>
      </c>
    </row>
    <row r="42" spans="1:24" ht="14.6">
      <c r="A42" s="1229"/>
      <c r="B42" s="66" t="s">
        <v>65</v>
      </c>
      <c r="C42" s="172">
        <v>470</v>
      </c>
      <c r="D42" s="172">
        <v>0</v>
      </c>
      <c r="E42" s="172">
        <v>0</v>
      </c>
      <c r="F42" s="172">
        <v>0</v>
      </c>
      <c r="G42" s="172">
        <v>0</v>
      </c>
      <c r="H42" s="172">
        <v>0</v>
      </c>
      <c r="I42" s="172">
        <v>75</v>
      </c>
      <c r="J42" s="172">
        <v>127</v>
      </c>
      <c r="K42" s="172">
        <v>0</v>
      </c>
      <c r="L42" s="172">
        <v>124</v>
      </c>
      <c r="M42" s="172">
        <v>124</v>
      </c>
      <c r="N42" s="172">
        <v>0</v>
      </c>
      <c r="O42" s="172">
        <v>0</v>
      </c>
      <c r="P42" s="172">
        <v>0</v>
      </c>
      <c r="Q42" s="172">
        <v>15</v>
      </c>
      <c r="R42" s="159">
        <v>2</v>
      </c>
      <c r="S42" s="159">
        <v>0</v>
      </c>
      <c r="T42" s="159">
        <v>0</v>
      </c>
      <c r="U42" s="159">
        <v>0</v>
      </c>
      <c r="V42" s="159">
        <v>0</v>
      </c>
      <c r="W42" s="159">
        <v>0</v>
      </c>
      <c r="X42" s="173">
        <v>0</v>
      </c>
    </row>
    <row r="43" spans="1:24" ht="14.6">
      <c r="A43" s="1229"/>
      <c r="B43" s="66" t="s">
        <v>66</v>
      </c>
      <c r="C43" s="172">
        <v>480</v>
      </c>
      <c r="D43" s="172">
        <v>0</v>
      </c>
      <c r="E43" s="172">
        <v>0</v>
      </c>
      <c r="F43" s="172">
        <v>0</v>
      </c>
      <c r="G43" s="172">
        <v>0</v>
      </c>
      <c r="H43" s="172">
        <v>0</v>
      </c>
      <c r="I43" s="172">
        <v>75</v>
      </c>
      <c r="J43" s="172">
        <v>120</v>
      </c>
      <c r="K43" s="172">
        <v>0</v>
      </c>
      <c r="L43" s="172">
        <v>116</v>
      </c>
      <c r="M43" s="172">
        <v>115</v>
      </c>
      <c r="N43" s="172">
        <v>0</v>
      </c>
      <c r="O43" s="172">
        <v>0</v>
      </c>
      <c r="P43" s="172">
        <v>0</v>
      </c>
      <c r="Q43" s="172">
        <v>17</v>
      </c>
      <c r="R43" s="159">
        <v>2</v>
      </c>
      <c r="S43" s="159">
        <v>0</v>
      </c>
      <c r="T43" s="159">
        <v>0</v>
      </c>
      <c r="U43" s="159">
        <v>7</v>
      </c>
      <c r="V43" s="159">
        <v>0</v>
      </c>
      <c r="W43" s="159">
        <v>0</v>
      </c>
      <c r="X43" s="173">
        <v>10</v>
      </c>
    </row>
    <row r="44" spans="1:24" ht="14.6">
      <c r="A44" s="1229"/>
      <c r="B44" s="66" t="s">
        <v>67</v>
      </c>
      <c r="C44" s="172">
        <v>520</v>
      </c>
      <c r="D44" s="172">
        <v>0</v>
      </c>
      <c r="E44" s="172">
        <v>0</v>
      </c>
      <c r="F44" s="172">
        <v>0</v>
      </c>
      <c r="G44" s="172">
        <v>0</v>
      </c>
      <c r="H44" s="172">
        <v>0</v>
      </c>
      <c r="I44" s="172">
        <v>75</v>
      </c>
      <c r="J44" s="172">
        <v>132</v>
      </c>
      <c r="K44" s="172">
        <v>0</v>
      </c>
      <c r="L44" s="172">
        <v>128</v>
      </c>
      <c r="M44" s="172">
        <v>127</v>
      </c>
      <c r="N44" s="172">
        <v>0</v>
      </c>
      <c r="O44" s="172">
        <v>0</v>
      </c>
      <c r="P44" s="172">
        <v>0</v>
      </c>
      <c r="Q44" s="172">
        <v>17</v>
      </c>
      <c r="R44" s="159">
        <v>2</v>
      </c>
      <c r="S44" s="159">
        <v>0</v>
      </c>
      <c r="T44" s="159">
        <v>0</v>
      </c>
      <c r="U44" s="159">
        <v>5</v>
      </c>
      <c r="V44" s="159">
        <v>0</v>
      </c>
      <c r="W44" s="159">
        <v>0</v>
      </c>
      <c r="X44" s="173">
        <v>2</v>
      </c>
    </row>
    <row r="45" spans="1:24" ht="14.6">
      <c r="A45" s="1229"/>
      <c r="B45" s="66" t="s">
        <v>68</v>
      </c>
      <c r="C45" s="172">
        <v>450</v>
      </c>
      <c r="D45" s="172">
        <v>0</v>
      </c>
      <c r="E45" s="172">
        <v>0</v>
      </c>
      <c r="F45" s="172">
        <v>0</v>
      </c>
      <c r="G45" s="172">
        <v>0</v>
      </c>
      <c r="H45" s="172">
        <v>0</v>
      </c>
      <c r="I45" s="172">
        <v>70</v>
      </c>
      <c r="J45" s="172">
        <v>115</v>
      </c>
      <c r="K45" s="172">
        <v>0</v>
      </c>
      <c r="L45" s="172">
        <v>109</v>
      </c>
      <c r="M45" s="172">
        <v>107</v>
      </c>
      <c r="N45" s="172">
        <v>0</v>
      </c>
      <c r="O45" s="172">
        <v>0</v>
      </c>
      <c r="P45" s="172">
        <v>0</v>
      </c>
      <c r="Q45" s="172">
        <v>20</v>
      </c>
      <c r="R45" s="159">
        <v>2</v>
      </c>
      <c r="S45" s="159">
        <v>0</v>
      </c>
      <c r="T45" s="159">
        <v>0</v>
      </c>
      <c r="U45" s="159">
        <v>50</v>
      </c>
      <c r="V45" s="159">
        <v>2</v>
      </c>
      <c r="W45" s="159">
        <v>0</v>
      </c>
      <c r="X45" s="173">
        <v>30</v>
      </c>
    </row>
    <row r="46" spans="1:24" ht="14.6">
      <c r="A46" s="1229"/>
      <c r="B46" s="66" t="s">
        <v>69</v>
      </c>
      <c r="C46" s="172">
        <v>510</v>
      </c>
      <c r="D46" s="172">
        <v>0</v>
      </c>
      <c r="E46" s="172">
        <v>0</v>
      </c>
      <c r="F46" s="172">
        <v>0</v>
      </c>
      <c r="G46" s="172">
        <v>0</v>
      </c>
      <c r="H46" s="172">
        <v>0</v>
      </c>
      <c r="I46" s="172">
        <v>85</v>
      </c>
      <c r="J46" s="172">
        <v>130</v>
      </c>
      <c r="K46" s="172">
        <v>0</v>
      </c>
      <c r="L46" s="172">
        <v>125</v>
      </c>
      <c r="M46" s="172">
        <v>119</v>
      </c>
      <c r="N46" s="172">
        <v>0</v>
      </c>
      <c r="O46" s="172">
        <v>0</v>
      </c>
      <c r="P46" s="172">
        <v>0</v>
      </c>
      <c r="Q46" s="172">
        <v>21</v>
      </c>
      <c r="R46" s="159">
        <v>2</v>
      </c>
      <c r="S46" s="159">
        <v>0</v>
      </c>
      <c r="T46" s="159">
        <v>0</v>
      </c>
      <c r="U46" s="159">
        <v>41</v>
      </c>
      <c r="V46" s="159">
        <v>0</v>
      </c>
      <c r="W46" s="159">
        <v>0</v>
      </c>
      <c r="X46" s="173">
        <v>25</v>
      </c>
    </row>
    <row r="47" spans="1:24" ht="14.6">
      <c r="A47" s="1229"/>
      <c r="B47" s="66" t="s">
        <v>70</v>
      </c>
      <c r="C47" s="172">
        <v>350</v>
      </c>
      <c r="D47" s="172">
        <v>0</v>
      </c>
      <c r="E47" s="172">
        <v>0</v>
      </c>
      <c r="F47" s="172">
        <v>0</v>
      </c>
      <c r="G47" s="172">
        <v>0</v>
      </c>
      <c r="H47" s="172">
        <v>0</v>
      </c>
      <c r="I47" s="172">
        <v>80</v>
      </c>
      <c r="J47" s="172">
        <v>89</v>
      </c>
      <c r="K47" s="172">
        <v>0</v>
      </c>
      <c r="L47" s="172">
        <v>86</v>
      </c>
      <c r="M47" s="172">
        <v>86</v>
      </c>
      <c r="N47" s="172">
        <v>1</v>
      </c>
      <c r="O47" s="172">
        <v>0</v>
      </c>
      <c r="P47" s="172">
        <v>0</v>
      </c>
      <c r="Q47" s="172">
        <v>17</v>
      </c>
      <c r="R47" s="159">
        <v>2</v>
      </c>
      <c r="S47" s="159">
        <v>0</v>
      </c>
      <c r="T47" s="159">
        <v>0</v>
      </c>
      <c r="U47" s="159">
        <v>1</v>
      </c>
      <c r="V47" s="159">
        <v>0</v>
      </c>
      <c r="W47" s="159">
        <v>0</v>
      </c>
      <c r="X47" s="173">
        <v>0</v>
      </c>
    </row>
    <row r="48" spans="1:24" ht="14.6">
      <c r="A48" s="1229"/>
      <c r="B48" s="66" t="s">
        <v>71</v>
      </c>
      <c r="C48" s="172">
        <v>490</v>
      </c>
      <c r="D48" s="172">
        <v>0</v>
      </c>
      <c r="E48" s="172">
        <v>0</v>
      </c>
      <c r="F48" s="172">
        <v>0</v>
      </c>
      <c r="G48" s="172">
        <v>0</v>
      </c>
      <c r="H48" s="172">
        <v>0</v>
      </c>
      <c r="I48" s="172">
        <v>75</v>
      </c>
      <c r="J48" s="172">
        <v>123</v>
      </c>
      <c r="K48" s="172">
        <v>0</v>
      </c>
      <c r="L48" s="172">
        <v>119</v>
      </c>
      <c r="M48" s="172">
        <v>117</v>
      </c>
      <c r="N48" s="172">
        <v>0</v>
      </c>
      <c r="O48" s="172">
        <v>0</v>
      </c>
      <c r="P48" s="172">
        <v>0</v>
      </c>
      <c r="Q48" s="172">
        <v>17</v>
      </c>
      <c r="R48" s="159">
        <v>2</v>
      </c>
      <c r="S48" s="159">
        <v>0</v>
      </c>
      <c r="T48" s="159">
        <v>0</v>
      </c>
      <c r="U48" s="159">
        <v>32</v>
      </c>
      <c r="V48" s="159">
        <v>0</v>
      </c>
      <c r="W48" s="159">
        <v>2</v>
      </c>
      <c r="X48" s="173">
        <v>6</v>
      </c>
    </row>
    <row r="49" spans="1:24" ht="14.6">
      <c r="A49" s="1229"/>
      <c r="B49" s="66" t="s">
        <v>72</v>
      </c>
      <c r="C49" s="172">
        <v>570</v>
      </c>
      <c r="D49" s="172">
        <v>0</v>
      </c>
      <c r="E49" s="172">
        <v>0</v>
      </c>
      <c r="F49" s="172">
        <v>0</v>
      </c>
      <c r="G49" s="172">
        <v>0</v>
      </c>
      <c r="H49" s="172">
        <v>0</v>
      </c>
      <c r="I49" s="172">
        <v>130</v>
      </c>
      <c r="J49" s="172">
        <v>145</v>
      </c>
      <c r="K49" s="172">
        <v>0</v>
      </c>
      <c r="L49" s="172">
        <v>141</v>
      </c>
      <c r="M49" s="172">
        <v>141</v>
      </c>
      <c r="N49" s="172">
        <v>1</v>
      </c>
      <c r="O49" s="172">
        <v>0</v>
      </c>
      <c r="P49" s="172">
        <v>0</v>
      </c>
      <c r="Q49" s="172">
        <v>15</v>
      </c>
      <c r="R49" s="159">
        <v>2</v>
      </c>
      <c r="S49" s="159">
        <v>0</v>
      </c>
      <c r="T49" s="159">
        <v>0</v>
      </c>
      <c r="U49" s="159">
        <v>2</v>
      </c>
      <c r="V49" s="159">
        <v>0</v>
      </c>
      <c r="W49" s="159">
        <v>0</v>
      </c>
      <c r="X49" s="173">
        <v>0</v>
      </c>
    </row>
    <row r="50" spans="1:24" ht="14.6">
      <c r="A50" s="1229"/>
      <c r="B50" s="66" t="s">
        <v>74</v>
      </c>
      <c r="C50" s="172">
        <v>470</v>
      </c>
      <c r="D50" s="172">
        <v>0</v>
      </c>
      <c r="E50" s="172">
        <v>0</v>
      </c>
      <c r="F50" s="172">
        <v>0</v>
      </c>
      <c r="G50" s="172">
        <v>0</v>
      </c>
      <c r="H50" s="172">
        <v>0</v>
      </c>
      <c r="I50" s="172">
        <v>75</v>
      </c>
      <c r="J50" s="172">
        <v>124</v>
      </c>
      <c r="K50" s="172">
        <v>0</v>
      </c>
      <c r="L50" s="172">
        <v>119</v>
      </c>
      <c r="M50" s="172">
        <v>113</v>
      </c>
      <c r="N50" s="172">
        <v>0</v>
      </c>
      <c r="O50" s="172">
        <v>0</v>
      </c>
      <c r="P50" s="172">
        <v>0</v>
      </c>
      <c r="Q50" s="172">
        <v>17</v>
      </c>
      <c r="R50" s="159">
        <v>2</v>
      </c>
      <c r="S50" s="159">
        <v>0</v>
      </c>
      <c r="T50" s="159">
        <v>0</v>
      </c>
      <c r="U50" s="159">
        <v>2</v>
      </c>
      <c r="V50" s="159">
        <v>0</v>
      </c>
      <c r="W50" s="159">
        <v>0</v>
      </c>
      <c r="X50" s="173">
        <v>2</v>
      </c>
    </row>
    <row r="51" spans="1:24" ht="14.6">
      <c r="A51" s="1229"/>
      <c r="B51" s="66" t="s">
        <v>75</v>
      </c>
      <c r="C51" s="172">
        <v>460</v>
      </c>
      <c r="D51" s="172">
        <v>0</v>
      </c>
      <c r="E51" s="172">
        <v>0</v>
      </c>
      <c r="F51" s="172">
        <v>0</v>
      </c>
      <c r="G51" s="172">
        <v>0</v>
      </c>
      <c r="H51" s="172">
        <v>0</v>
      </c>
      <c r="I51" s="172">
        <v>75</v>
      </c>
      <c r="J51" s="172">
        <v>116</v>
      </c>
      <c r="K51" s="172">
        <v>0</v>
      </c>
      <c r="L51" s="172">
        <v>112</v>
      </c>
      <c r="M51" s="172">
        <v>112</v>
      </c>
      <c r="N51" s="172">
        <v>0</v>
      </c>
      <c r="O51" s="172">
        <v>0</v>
      </c>
      <c r="P51" s="172">
        <v>0</v>
      </c>
      <c r="Q51" s="172">
        <v>15</v>
      </c>
      <c r="R51" s="159">
        <v>2</v>
      </c>
      <c r="S51" s="159">
        <v>0</v>
      </c>
      <c r="T51" s="159">
        <v>0</v>
      </c>
      <c r="U51" s="159">
        <v>35</v>
      </c>
      <c r="V51" s="159">
        <v>0</v>
      </c>
      <c r="W51" s="159">
        <v>0</v>
      </c>
      <c r="X51" s="173">
        <v>0</v>
      </c>
    </row>
    <row r="52" spans="1:24" ht="14.6">
      <c r="A52" s="1229"/>
      <c r="B52" s="66" t="s">
        <v>76</v>
      </c>
      <c r="C52" s="172">
        <v>530</v>
      </c>
      <c r="D52" s="172">
        <v>0</v>
      </c>
      <c r="E52" s="172">
        <v>0</v>
      </c>
      <c r="F52" s="172">
        <v>0</v>
      </c>
      <c r="G52" s="172">
        <v>0</v>
      </c>
      <c r="H52" s="172">
        <v>0</v>
      </c>
      <c r="I52" s="172">
        <v>75</v>
      </c>
      <c r="J52" s="172">
        <v>134</v>
      </c>
      <c r="K52" s="172">
        <v>0</v>
      </c>
      <c r="L52" s="172">
        <v>130</v>
      </c>
      <c r="M52" s="172">
        <v>129</v>
      </c>
      <c r="N52" s="172">
        <v>0</v>
      </c>
      <c r="O52" s="172">
        <v>0</v>
      </c>
      <c r="P52" s="172">
        <v>0</v>
      </c>
      <c r="Q52" s="172">
        <v>16</v>
      </c>
      <c r="R52" s="159">
        <v>2</v>
      </c>
      <c r="S52" s="159">
        <v>0</v>
      </c>
      <c r="T52" s="159">
        <v>0</v>
      </c>
      <c r="U52" s="159">
        <v>16</v>
      </c>
      <c r="V52" s="159">
        <v>0</v>
      </c>
      <c r="W52" s="159">
        <v>2</v>
      </c>
      <c r="X52" s="173">
        <v>2</v>
      </c>
    </row>
    <row r="53" spans="1:24" ht="14.6">
      <c r="A53" s="1229"/>
      <c r="B53" s="66" t="s">
        <v>77</v>
      </c>
      <c r="C53" s="172">
        <v>520</v>
      </c>
      <c r="D53" s="172">
        <v>0</v>
      </c>
      <c r="E53" s="172">
        <v>0</v>
      </c>
      <c r="F53" s="172">
        <v>0</v>
      </c>
      <c r="G53" s="172">
        <v>0</v>
      </c>
      <c r="H53" s="172">
        <v>0</v>
      </c>
      <c r="I53" s="172">
        <v>75</v>
      </c>
      <c r="J53" s="172">
        <v>132</v>
      </c>
      <c r="K53" s="172">
        <v>1</v>
      </c>
      <c r="L53" s="172">
        <v>127</v>
      </c>
      <c r="M53" s="172">
        <v>125</v>
      </c>
      <c r="N53" s="172">
        <v>0</v>
      </c>
      <c r="O53" s="172">
        <v>0</v>
      </c>
      <c r="P53" s="172">
        <v>0</v>
      </c>
      <c r="Q53" s="172">
        <v>19</v>
      </c>
      <c r="R53" s="159">
        <v>2</v>
      </c>
      <c r="S53" s="159">
        <v>0</v>
      </c>
      <c r="T53" s="159">
        <v>0</v>
      </c>
      <c r="U53" s="159">
        <v>20</v>
      </c>
      <c r="V53" s="159">
        <v>0</v>
      </c>
      <c r="W53" s="159">
        <v>0</v>
      </c>
      <c r="X53" s="173">
        <v>8</v>
      </c>
    </row>
    <row r="54" spans="1:24" ht="15" thickBot="1">
      <c r="A54" s="1230"/>
      <c r="B54" s="67" t="s">
        <v>78</v>
      </c>
      <c r="C54" s="174">
        <v>490</v>
      </c>
      <c r="D54" s="174">
        <v>0</v>
      </c>
      <c r="E54" s="174">
        <v>0</v>
      </c>
      <c r="F54" s="174">
        <v>0</v>
      </c>
      <c r="G54" s="174">
        <v>0</v>
      </c>
      <c r="H54" s="174">
        <v>0</v>
      </c>
      <c r="I54" s="174">
        <v>50</v>
      </c>
      <c r="J54" s="174">
        <v>118</v>
      </c>
      <c r="K54" s="174">
        <v>0</v>
      </c>
      <c r="L54" s="174">
        <v>109</v>
      </c>
      <c r="M54" s="174">
        <v>108</v>
      </c>
      <c r="N54" s="174">
        <v>1</v>
      </c>
      <c r="O54" s="174">
        <v>0</v>
      </c>
      <c r="P54" s="174">
        <v>0</v>
      </c>
      <c r="Q54" s="174">
        <v>19</v>
      </c>
      <c r="R54" s="175">
        <v>2</v>
      </c>
      <c r="S54" s="175">
        <v>0</v>
      </c>
      <c r="T54" s="175">
        <v>0</v>
      </c>
      <c r="U54" s="175">
        <v>39</v>
      </c>
      <c r="V54" s="175">
        <v>0</v>
      </c>
      <c r="W54" s="175">
        <v>0</v>
      </c>
      <c r="X54" s="176">
        <v>0</v>
      </c>
    </row>
    <row r="55" spans="1:24" ht="14.25" customHeight="1">
      <c r="A55" s="1231" t="s">
        <v>79</v>
      </c>
      <c r="B55" s="65" t="s">
        <v>80</v>
      </c>
      <c r="C55" s="169">
        <v>510</v>
      </c>
      <c r="D55" s="169">
        <v>0</v>
      </c>
      <c r="E55" s="169">
        <v>0</v>
      </c>
      <c r="F55" s="169">
        <v>0</v>
      </c>
      <c r="G55" s="169">
        <v>0</v>
      </c>
      <c r="H55" s="169">
        <v>0</v>
      </c>
      <c r="I55" s="169">
        <v>25</v>
      </c>
      <c r="J55" s="169">
        <v>102</v>
      </c>
      <c r="K55" s="169">
        <v>4</v>
      </c>
      <c r="L55" s="169">
        <v>97</v>
      </c>
      <c r="M55" s="169">
        <v>91</v>
      </c>
      <c r="N55" s="169">
        <v>1</v>
      </c>
      <c r="O55" s="169">
        <v>0</v>
      </c>
      <c r="P55" s="169">
        <v>0</v>
      </c>
      <c r="Q55" s="169">
        <v>42</v>
      </c>
      <c r="R55" s="170">
        <v>4</v>
      </c>
      <c r="S55" s="170">
        <v>0</v>
      </c>
      <c r="T55" s="170">
        <v>0</v>
      </c>
      <c r="U55" s="170">
        <v>373</v>
      </c>
      <c r="V55" s="170">
        <v>8</v>
      </c>
      <c r="W55" s="170">
        <v>0</v>
      </c>
      <c r="X55" s="171">
        <v>10</v>
      </c>
    </row>
    <row r="56" spans="1:24" ht="14.6">
      <c r="A56" s="1232"/>
      <c r="B56" s="66" t="s">
        <v>81</v>
      </c>
      <c r="C56" s="172">
        <v>380</v>
      </c>
      <c r="D56" s="172">
        <v>20</v>
      </c>
      <c r="E56" s="172">
        <v>2.5</v>
      </c>
      <c r="F56" s="172">
        <v>2.5</v>
      </c>
      <c r="G56" s="172">
        <v>0</v>
      </c>
      <c r="H56" s="172">
        <v>0</v>
      </c>
      <c r="I56" s="172">
        <v>30</v>
      </c>
      <c r="J56" s="172">
        <v>91</v>
      </c>
      <c r="K56" s="172">
        <v>0</v>
      </c>
      <c r="L56" s="172">
        <v>90</v>
      </c>
      <c r="M56" s="172">
        <v>82</v>
      </c>
      <c r="N56" s="172">
        <v>0</v>
      </c>
      <c r="O56" s="172">
        <v>0</v>
      </c>
      <c r="P56" s="172">
        <v>0</v>
      </c>
      <c r="Q56" s="172">
        <v>21</v>
      </c>
      <c r="R56" s="159">
        <v>2</v>
      </c>
      <c r="S56" s="159">
        <v>2</v>
      </c>
      <c r="T56" s="159">
        <v>10</v>
      </c>
      <c r="U56" s="159">
        <v>17</v>
      </c>
      <c r="V56" s="159">
        <v>0</v>
      </c>
      <c r="W56" s="159">
        <v>0</v>
      </c>
      <c r="X56" s="173">
        <v>2</v>
      </c>
    </row>
    <row r="57" spans="1:24" ht="14.6">
      <c r="A57" s="1232"/>
      <c r="B57" s="66" t="s">
        <v>82</v>
      </c>
      <c r="C57" s="172">
        <v>400</v>
      </c>
      <c r="D57" s="172">
        <v>0</v>
      </c>
      <c r="E57" s="172">
        <v>0</v>
      </c>
      <c r="F57" s="172">
        <v>0</v>
      </c>
      <c r="G57" s="172">
        <v>0</v>
      </c>
      <c r="H57" s="172">
        <v>0</v>
      </c>
      <c r="I57" s="172">
        <v>25</v>
      </c>
      <c r="J57" s="172">
        <v>103</v>
      </c>
      <c r="K57" s="172">
        <v>0</v>
      </c>
      <c r="L57" s="172">
        <v>98</v>
      </c>
      <c r="M57" s="172">
        <v>96</v>
      </c>
      <c r="N57" s="172">
        <v>0</v>
      </c>
      <c r="O57" s="172">
        <v>0</v>
      </c>
      <c r="P57" s="172">
        <v>0</v>
      </c>
      <c r="Q57" s="172">
        <v>23</v>
      </c>
      <c r="R57" s="159">
        <v>2</v>
      </c>
      <c r="S57" s="159">
        <v>0</v>
      </c>
      <c r="T57" s="159">
        <v>0</v>
      </c>
      <c r="U57" s="159">
        <v>16</v>
      </c>
      <c r="V57" s="159">
        <v>0</v>
      </c>
      <c r="W57" s="159">
        <v>0</v>
      </c>
      <c r="X57" s="173">
        <v>4</v>
      </c>
    </row>
    <row r="58" spans="1:24" ht="14.25" customHeight="1">
      <c r="A58" s="1232"/>
      <c r="B58" s="66" t="s">
        <v>83</v>
      </c>
      <c r="C58" s="172">
        <v>390</v>
      </c>
      <c r="D58" s="172">
        <v>0</v>
      </c>
      <c r="E58" s="172">
        <v>0</v>
      </c>
      <c r="F58" s="172">
        <v>0</v>
      </c>
      <c r="G58" s="172">
        <v>0</v>
      </c>
      <c r="H58" s="172">
        <v>0</v>
      </c>
      <c r="I58" s="172">
        <v>25</v>
      </c>
      <c r="J58" s="172">
        <v>103</v>
      </c>
      <c r="K58" s="172">
        <v>0</v>
      </c>
      <c r="L58" s="172">
        <v>99</v>
      </c>
      <c r="M58" s="172">
        <v>95</v>
      </c>
      <c r="N58" s="172">
        <v>0</v>
      </c>
      <c r="O58" s="172">
        <v>0</v>
      </c>
      <c r="P58" s="172">
        <v>0</v>
      </c>
      <c r="Q58" s="172">
        <v>24</v>
      </c>
      <c r="R58" s="159">
        <v>2</v>
      </c>
      <c r="S58" s="159">
        <v>0</v>
      </c>
      <c r="T58" s="159">
        <v>0</v>
      </c>
      <c r="U58" s="159">
        <v>39</v>
      </c>
      <c r="V58" s="159">
        <v>0</v>
      </c>
      <c r="W58" s="159">
        <v>0</v>
      </c>
      <c r="X58" s="173">
        <v>70</v>
      </c>
    </row>
    <row r="59" spans="1:24" ht="14.25" customHeight="1">
      <c r="A59" s="1232"/>
      <c r="B59" s="66" t="s">
        <v>84</v>
      </c>
      <c r="C59" s="172">
        <v>510</v>
      </c>
      <c r="D59" s="172">
        <v>0</v>
      </c>
      <c r="E59" s="172">
        <v>0</v>
      </c>
      <c r="F59" s="172">
        <v>0</v>
      </c>
      <c r="G59" s="172">
        <v>0</v>
      </c>
      <c r="H59" s="172">
        <v>0</v>
      </c>
      <c r="I59" s="172">
        <v>20</v>
      </c>
      <c r="J59" s="172">
        <v>98</v>
      </c>
      <c r="K59" s="172">
        <v>3</v>
      </c>
      <c r="L59" s="172">
        <v>91</v>
      </c>
      <c r="M59" s="172">
        <v>89</v>
      </c>
      <c r="N59" s="172">
        <v>1</v>
      </c>
      <c r="O59" s="172">
        <v>0</v>
      </c>
      <c r="P59" s="172">
        <v>0</v>
      </c>
      <c r="Q59" s="172">
        <v>48</v>
      </c>
      <c r="R59" s="159">
        <v>4</v>
      </c>
      <c r="S59" s="159">
        <v>0</v>
      </c>
      <c r="T59" s="159">
        <v>0</v>
      </c>
      <c r="U59" s="159">
        <v>288</v>
      </c>
      <c r="V59" s="159">
        <v>6</v>
      </c>
      <c r="W59" s="159">
        <v>0</v>
      </c>
      <c r="X59" s="173">
        <v>20</v>
      </c>
    </row>
    <row r="60" spans="1:24" ht="14.6">
      <c r="A60" s="1232"/>
      <c r="B60" s="66" t="s">
        <v>85</v>
      </c>
      <c r="C60" s="172">
        <v>410</v>
      </c>
      <c r="D60" s="172">
        <v>0</v>
      </c>
      <c r="E60" s="172">
        <v>0</v>
      </c>
      <c r="F60" s="172">
        <v>0</v>
      </c>
      <c r="G60" s="172">
        <v>0</v>
      </c>
      <c r="H60" s="172">
        <v>0</v>
      </c>
      <c r="I60" s="172">
        <v>25</v>
      </c>
      <c r="J60" s="172">
        <v>103</v>
      </c>
      <c r="K60" s="172">
        <v>1</v>
      </c>
      <c r="L60" s="172">
        <v>100</v>
      </c>
      <c r="M60" s="172">
        <v>92</v>
      </c>
      <c r="N60" s="172">
        <v>1</v>
      </c>
      <c r="O60" s="172">
        <v>0</v>
      </c>
      <c r="P60" s="172">
        <v>0</v>
      </c>
      <c r="Q60" s="172">
        <v>33</v>
      </c>
      <c r="R60" s="159">
        <v>2</v>
      </c>
      <c r="S60" s="159">
        <v>0</v>
      </c>
      <c r="T60" s="159">
        <v>0</v>
      </c>
      <c r="U60" s="159">
        <v>171</v>
      </c>
      <c r="V60" s="159">
        <v>4</v>
      </c>
      <c r="W60" s="159">
        <v>0</v>
      </c>
      <c r="X60" s="173">
        <v>500</v>
      </c>
    </row>
    <row r="61" spans="1:24" ht="14.25" customHeight="1">
      <c r="A61" s="1232"/>
      <c r="B61" s="66" t="s">
        <v>88</v>
      </c>
      <c r="C61" s="172">
        <v>440</v>
      </c>
      <c r="D61" s="172">
        <v>0</v>
      </c>
      <c r="E61" s="172">
        <v>0</v>
      </c>
      <c r="F61" s="172">
        <v>0</v>
      </c>
      <c r="G61" s="172">
        <v>0</v>
      </c>
      <c r="H61" s="172">
        <v>0</v>
      </c>
      <c r="I61" s="172">
        <v>25</v>
      </c>
      <c r="J61" s="172">
        <v>109</v>
      </c>
      <c r="K61" s="172">
        <v>0</v>
      </c>
      <c r="L61" s="172">
        <v>107</v>
      </c>
      <c r="M61" s="172">
        <v>96</v>
      </c>
      <c r="N61" s="172">
        <v>1</v>
      </c>
      <c r="O61" s="172">
        <v>0</v>
      </c>
      <c r="P61" s="172">
        <v>0</v>
      </c>
      <c r="Q61" s="172">
        <v>29</v>
      </c>
      <c r="R61" s="159">
        <v>2</v>
      </c>
      <c r="S61" s="159">
        <v>1</v>
      </c>
      <c r="T61" s="159">
        <v>6</v>
      </c>
      <c r="U61" s="159">
        <v>99</v>
      </c>
      <c r="V61" s="159">
        <v>2</v>
      </c>
      <c r="W61" s="159">
        <v>0</v>
      </c>
      <c r="X61" s="173">
        <v>70</v>
      </c>
    </row>
    <row r="62" spans="1:24" ht="14.6">
      <c r="A62" s="1232"/>
      <c r="B62" s="66" t="s">
        <v>87</v>
      </c>
      <c r="C62" s="172">
        <v>390</v>
      </c>
      <c r="D62" s="172">
        <v>15</v>
      </c>
      <c r="E62" s="172">
        <v>1.5</v>
      </c>
      <c r="F62" s="172">
        <v>1.5</v>
      </c>
      <c r="G62" s="172">
        <v>0</v>
      </c>
      <c r="H62" s="172">
        <v>0</v>
      </c>
      <c r="I62" s="172">
        <v>25</v>
      </c>
      <c r="J62" s="172">
        <v>95</v>
      </c>
      <c r="K62" s="172">
        <v>0</v>
      </c>
      <c r="L62" s="172">
        <v>93</v>
      </c>
      <c r="M62" s="172">
        <v>83</v>
      </c>
      <c r="N62" s="172">
        <v>0</v>
      </c>
      <c r="O62" s="172">
        <v>0</v>
      </c>
      <c r="P62" s="172">
        <v>0</v>
      </c>
      <c r="Q62" s="172">
        <v>22</v>
      </c>
      <c r="R62" s="159">
        <v>2</v>
      </c>
      <c r="S62" s="159">
        <v>1</v>
      </c>
      <c r="T62" s="159">
        <v>6</v>
      </c>
      <c r="U62" s="159">
        <v>30</v>
      </c>
      <c r="V62" s="159">
        <v>0</v>
      </c>
      <c r="W62" s="159">
        <v>0</v>
      </c>
      <c r="X62" s="173">
        <v>10</v>
      </c>
    </row>
    <row r="63" spans="1:24" ht="14.6">
      <c r="A63" s="1232"/>
      <c r="B63" s="66" t="s">
        <v>89</v>
      </c>
      <c r="C63" s="137">
        <v>560</v>
      </c>
      <c r="D63" s="137">
        <v>0</v>
      </c>
      <c r="E63" s="137">
        <v>0</v>
      </c>
      <c r="F63" s="137">
        <v>0</v>
      </c>
      <c r="G63" s="137">
        <v>0</v>
      </c>
      <c r="H63" s="137">
        <v>0</v>
      </c>
      <c r="I63" s="137">
        <v>20</v>
      </c>
      <c r="J63" s="137">
        <v>88</v>
      </c>
      <c r="K63" s="137">
        <v>6</v>
      </c>
      <c r="L63" s="137">
        <v>81</v>
      </c>
      <c r="M63" s="137">
        <v>80</v>
      </c>
      <c r="N63" s="137">
        <v>2</v>
      </c>
      <c r="O63" s="137">
        <v>0</v>
      </c>
      <c r="P63" s="137">
        <v>0</v>
      </c>
      <c r="Q63" s="137">
        <v>66</v>
      </c>
      <c r="R63" s="159">
        <v>6</v>
      </c>
      <c r="S63" s="159">
        <v>0</v>
      </c>
      <c r="T63" s="159">
        <v>0</v>
      </c>
      <c r="U63" s="159">
        <v>511</v>
      </c>
      <c r="V63" s="159">
        <v>10</v>
      </c>
      <c r="W63" s="159">
        <v>0</v>
      </c>
      <c r="X63" s="173">
        <v>6</v>
      </c>
    </row>
    <row r="64" spans="1:24" ht="14.25" customHeight="1">
      <c r="A64" s="1232"/>
      <c r="B64" s="66" t="s">
        <v>90</v>
      </c>
      <c r="C64" s="172">
        <v>610</v>
      </c>
      <c r="D64" s="172">
        <v>60</v>
      </c>
      <c r="E64" s="172">
        <v>6</v>
      </c>
      <c r="F64" s="172">
        <v>6</v>
      </c>
      <c r="G64" s="172">
        <v>0</v>
      </c>
      <c r="H64" s="172">
        <v>0</v>
      </c>
      <c r="I64" s="172">
        <v>125</v>
      </c>
      <c r="J64" s="172">
        <v>140</v>
      </c>
      <c r="K64" s="172">
        <v>0</v>
      </c>
      <c r="L64" s="172">
        <v>132</v>
      </c>
      <c r="M64" s="172">
        <v>129</v>
      </c>
      <c r="N64" s="172">
        <v>1</v>
      </c>
      <c r="O64" s="172">
        <v>0</v>
      </c>
      <c r="P64" s="172">
        <v>0</v>
      </c>
      <c r="Q64" s="172">
        <v>16</v>
      </c>
      <c r="R64" s="159">
        <v>2</v>
      </c>
      <c r="S64" s="159">
        <v>0</v>
      </c>
      <c r="T64" s="159">
        <v>0</v>
      </c>
      <c r="U64" s="159">
        <v>70</v>
      </c>
      <c r="V64" s="159">
        <v>2</v>
      </c>
      <c r="W64" s="159">
        <v>0</v>
      </c>
      <c r="X64" s="173">
        <v>80</v>
      </c>
    </row>
    <row r="65" spans="1:24" ht="14.25" customHeight="1">
      <c r="A65" s="1232"/>
      <c r="B65" s="66" t="s">
        <v>91</v>
      </c>
      <c r="C65" s="172">
        <v>440</v>
      </c>
      <c r="D65" s="172">
        <v>0</v>
      </c>
      <c r="E65" s="172">
        <v>0</v>
      </c>
      <c r="F65" s="172">
        <v>0</v>
      </c>
      <c r="G65" s="172">
        <v>0</v>
      </c>
      <c r="H65" s="172">
        <v>0</v>
      </c>
      <c r="I65" s="172">
        <v>25</v>
      </c>
      <c r="J65" s="172">
        <v>83</v>
      </c>
      <c r="K65" s="172">
        <v>3</v>
      </c>
      <c r="L65" s="172">
        <v>79</v>
      </c>
      <c r="M65" s="172">
        <v>75</v>
      </c>
      <c r="N65" s="172">
        <v>1</v>
      </c>
      <c r="O65" s="172">
        <v>0</v>
      </c>
      <c r="P65" s="172">
        <v>0</v>
      </c>
      <c r="Q65" s="172">
        <v>47</v>
      </c>
      <c r="R65" s="159">
        <v>4</v>
      </c>
      <c r="S65" s="159">
        <v>0</v>
      </c>
      <c r="T65" s="159">
        <v>0</v>
      </c>
      <c r="U65" s="159">
        <v>317</v>
      </c>
      <c r="V65" s="159">
        <v>6</v>
      </c>
      <c r="W65" s="159">
        <v>0</v>
      </c>
      <c r="X65" s="173">
        <v>400</v>
      </c>
    </row>
    <row r="66" spans="1:24" ht="14.25" customHeight="1" thickBot="1">
      <c r="A66" s="1233"/>
      <c r="B66" s="158" t="s">
        <v>379</v>
      </c>
      <c r="C66" s="174">
        <v>420</v>
      </c>
      <c r="D66" s="174">
        <v>0</v>
      </c>
      <c r="E66" s="174">
        <v>0</v>
      </c>
      <c r="F66" s="174">
        <v>0</v>
      </c>
      <c r="G66" s="174">
        <v>0</v>
      </c>
      <c r="H66" s="174">
        <v>0</v>
      </c>
      <c r="I66" s="174">
        <v>25</v>
      </c>
      <c r="J66" s="174">
        <v>106</v>
      </c>
      <c r="K66" s="174">
        <v>1</v>
      </c>
      <c r="L66" s="174">
        <v>103</v>
      </c>
      <c r="M66" s="174">
        <v>93</v>
      </c>
      <c r="N66" s="174">
        <v>1</v>
      </c>
      <c r="O66" s="174">
        <v>0</v>
      </c>
      <c r="P66" s="174">
        <v>0</v>
      </c>
      <c r="Q66" s="174">
        <v>31</v>
      </c>
      <c r="R66" s="175">
        <v>2</v>
      </c>
      <c r="S66" s="175">
        <v>1</v>
      </c>
      <c r="T66" s="175">
        <v>6</v>
      </c>
      <c r="U66" s="175">
        <v>142</v>
      </c>
      <c r="V66" s="175">
        <v>4</v>
      </c>
      <c r="W66" s="175">
        <v>0</v>
      </c>
      <c r="X66" s="176">
        <v>240</v>
      </c>
    </row>
    <row r="67" spans="1:24" ht="14.6">
      <c r="A67" s="1228" t="s">
        <v>92</v>
      </c>
      <c r="B67" s="65" t="s">
        <v>94</v>
      </c>
      <c r="C67" s="169">
        <v>610</v>
      </c>
      <c r="D67" s="169">
        <v>70</v>
      </c>
      <c r="E67" s="169">
        <v>8</v>
      </c>
      <c r="F67" s="169">
        <v>6</v>
      </c>
      <c r="G67" s="169">
        <v>0</v>
      </c>
      <c r="H67" s="169">
        <v>0</v>
      </c>
      <c r="I67" s="169">
        <v>320</v>
      </c>
      <c r="J67" s="169">
        <v>136</v>
      </c>
      <c r="K67" s="169">
        <v>0</v>
      </c>
      <c r="L67" s="169">
        <v>122</v>
      </c>
      <c r="M67" s="169">
        <v>105</v>
      </c>
      <c r="N67" s="169">
        <v>1</v>
      </c>
      <c r="O67" s="169">
        <v>0</v>
      </c>
      <c r="P67" s="169">
        <v>0</v>
      </c>
      <c r="Q67" s="169">
        <v>68</v>
      </c>
      <c r="R67" s="170">
        <v>6</v>
      </c>
      <c r="S67" s="170">
        <v>1</v>
      </c>
      <c r="T67" s="170">
        <v>6</v>
      </c>
      <c r="U67" s="170">
        <v>13</v>
      </c>
      <c r="V67" s="170">
        <v>0</v>
      </c>
      <c r="W67" s="170">
        <v>0</v>
      </c>
      <c r="X67" s="171">
        <v>0</v>
      </c>
    </row>
    <row r="68" spans="1:24" ht="14.6">
      <c r="A68" s="1229"/>
      <c r="B68" s="66" t="s">
        <v>380</v>
      </c>
      <c r="C68" s="155">
        <v>610</v>
      </c>
      <c r="D68" s="155">
        <v>80</v>
      </c>
      <c r="E68" s="155">
        <v>9</v>
      </c>
      <c r="F68" s="155">
        <v>7</v>
      </c>
      <c r="G68" s="155">
        <v>0</v>
      </c>
      <c r="H68" s="155">
        <v>0</v>
      </c>
      <c r="I68" s="155">
        <v>85</v>
      </c>
      <c r="J68" s="155">
        <v>137</v>
      </c>
      <c r="K68" s="155">
        <v>0</v>
      </c>
      <c r="L68" s="155">
        <v>129</v>
      </c>
      <c r="M68" s="155">
        <v>50</v>
      </c>
      <c r="N68" s="155">
        <v>1</v>
      </c>
      <c r="O68" s="155">
        <v>0</v>
      </c>
      <c r="P68" s="155">
        <v>0</v>
      </c>
      <c r="Q68" s="155">
        <v>26</v>
      </c>
      <c r="R68" s="160">
        <v>2</v>
      </c>
      <c r="S68" s="160">
        <v>1</v>
      </c>
      <c r="T68" s="160">
        <v>6</v>
      </c>
      <c r="U68" s="160">
        <v>13</v>
      </c>
      <c r="V68" s="160">
        <v>0</v>
      </c>
      <c r="W68" s="160">
        <v>0</v>
      </c>
      <c r="X68" s="165">
        <v>2</v>
      </c>
    </row>
    <row r="69" spans="1:24" ht="14.6">
      <c r="A69" s="1229"/>
      <c r="B69" s="66" t="s">
        <v>95</v>
      </c>
      <c r="C69" s="172">
        <v>590</v>
      </c>
      <c r="D69" s="172">
        <v>60</v>
      </c>
      <c r="E69" s="172">
        <v>7</v>
      </c>
      <c r="F69" s="172">
        <v>6</v>
      </c>
      <c r="G69" s="172">
        <v>0</v>
      </c>
      <c r="H69" s="172">
        <v>5</v>
      </c>
      <c r="I69" s="172">
        <v>130</v>
      </c>
      <c r="J69" s="172">
        <v>134</v>
      </c>
      <c r="K69" s="172">
        <v>0</v>
      </c>
      <c r="L69" s="172">
        <v>125</v>
      </c>
      <c r="M69" s="172">
        <v>51</v>
      </c>
      <c r="N69" s="172">
        <v>1</v>
      </c>
      <c r="O69" s="172">
        <v>0</v>
      </c>
      <c r="P69" s="172">
        <v>0</v>
      </c>
      <c r="Q69" s="172">
        <v>28</v>
      </c>
      <c r="R69" s="159">
        <v>2</v>
      </c>
      <c r="S69" s="159">
        <v>1</v>
      </c>
      <c r="T69" s="159">
        <v>6</v>
      </c>
      <c r="U69" s="159">
        <v>12</v>
      </c>
      <c r="V69" s="159">
        <v>0</v>
      </c>
      <c r="W69" s="159">
        <v>0</v>
      </c>
      <c r="X69" s="173">
        <v>0</v>
      </c>
    </row>
    <row r="70" spans="1:24" ht="14.6">
      <c r="A70" s="1229"/>
      <c r="B70" s="66" t="s">
        <v>97</v>
      </c>
      <c r="C70" s="172">
        <v>670</v>
      </c>
      <c r="D70" s="172">
        <v>60</v>
      </c>
      <c r="E70" s="172">
        <v>7</v>
      </c>
      <c r="F70" s="172">
        <v>6</v>
      </c>
      <c r="G70" s="172">
        <v>0</v>
      </c>
      <c r="H70" s="172">
        <v>5</v>
      </c>
      <c r="I70" s="172">
        <v>280</v>
      </c>
      <c r="J70" s="172">
        <v>152</v>
      </c>
      <c r="K70" s="172">
        <v>0</v>
      </c>
      <c r="L70" s="172">
        <v>135</v>
      </c>
      <c r="M70" s="172">
        <v>107</v>
      </c>
      <c r="N70" s="172">
        <v>1</v>
      </c>
      <c r="O70" s="172">
        <v>0</v>
      </c>
      <c r="P70" s="172">
        <v>0</v>
      </c>
      <c r="Q70" s="172">
        <v>22</v>
      </c>
      <c r="R70" s="159">
        <v>2</v>
      </c>
      <c r="S70" s="159">
        <v>0</v>
      </c>
      <c r="T70" s="159">
        <v>0</v>
      </c>
      <c r="U70" s="159">
        <v>54</v>
      </c>
      <c r="V70" s="159">
        <v>2</v>
      </c>
      <c r="W70" s="159">
        <v>0</v>
      </c>
      <c r="X70" s="173">
        <v>0</v>
      </c>
    </row>
    <row r="71" spans="1:24" ht="14.6">
      <c r="A71" s="1229"/>
      <c r="B71" s="66" t="s">
        <v>98</v>
      </c>
      <c r="C71" s="172">
        <v>580</v>
      </c>
      <c r="D71" s="172">
        <v>60</v>
      </c>
      <c r="E71" s="172">
        <v>7</v>
      </c>
      <c r="F71" s="172">
        <v>6</v>
      </c>
      <c r="G71" s="172">
        <v>0</v>
      </c>
      <c r="H71" s="172">
        <v>5</v>
      </c>
      <c r="I71" s="172">
        <v>135</v>
      </c>
      <c r="J71" s="172">
        <v>129</v>
      </c>
      <c r="K71" s="172">
        <v>0</v>
      </c>
      <c r="L71" s="172">
        <v>124</v>
      </c>
      <c r="M71" s="172">
        <v>53</v>
      </c>
      <c r="N71" s="172">
        <v>1</v>
      </c>
      <c r="O71" s="172">
        <v>0</v>
      </c>
      <c r="P71" s="172">
        <v>0</v>
      </c>
      <c r="Q71" s="172">
        <v>16</v>
      </c>
      <c r="R71" s="159">
        <v>2</v>
      </c>
      <c r="S71" s="159">
        <v>0</v>
      </c>
      <c r="T71" s="159">
        <v>0</v>
      </c>
      <c r="U71" s="159">
        <v>13</v>
      </c>
      <c r="V71" s="159">
        <v>0</v>
      </c>
      <c r="W71" s="159">
        <v>0</v>
      </c>
      <c r="X71" s="173">
        <v>0</v>
      </c>
    </row>
    <row r="72" spans="1:24" ht="14.6">
      <c r="A72" s="1229"/>
      <c r="B72" s="66" t="s">
        <v>99</v>
      </c>
      <c r="C72" s="155">
        <v>630</v>
      </c>
      <c r="D72" s="155">
        <v>100</v>
      </c>
      <c r="E72" s="155">
        <v>11</v>
      </c>
      <c r="F72" s="155">
        <v>8</v>
      </c>
      <c r="G72" s="155">
        <v>0</v>
      </c>
      <c r="H72" s="155">
        <v>5</v>
      </c>
      <c r="I72" s="155">
        <v>130</v>
      </c>
      <c r="J72" s="155">
        <v>137</v>
      </c>
      <c r="K72" s="155">
        <v>0</v>
      </c>
      <c r="L72" s="155">
        <v>129</v>
      </c>
      <c r="M72" s="155">
        <v>52</v>
      </c>
      <c r="N72" s="155">
        <v>2</v>
      </c>
      <c r="O72" s="155">
        <v>0</v>
      </c>
      <c r="P72" s="155">
        <v>0</v>
      </c>
      <c r="Q72" s="155">
        <v>22</v>
      </c>
      <c r="R72" s="160">
        <v>2</v>
      </c>
      <c r="S72" s="160">
        <v>2</v>
      </c>
      <c r="T72" s="160">
        <v>10</v>
      </c>
      <c r="U72" s="160">
        <v>12</v>
      </c>
      <c r="V72" s="160">
        <v>0</v>
      </c>
      <c r="W72" s="160">
        <v>0</v>
      </c>
      <c r="X72" s="165">
        <v>0</v>
      </c>
    </row>
    <row r="73" spans="1:24" ht="14.25" customHeight="1">
      <c r="A73" s="1229"/>
      <c r="B73" s="66" t="s">
        <v>101</v>
      </c>
      <c r="C73" s="155">
        <v>650</v>
      </c>
      <c r="D73" s="155">
        <v>110</v>
      </c>
      <c r="E73" s="155">
        <v>12</v>
      </c>
      <c r="F73" s="155">
        <v>9</v>
      </c>
      <c r="G73" s="155">
        <v>0</v>
      </c>
      <c r="H73" s="155">
        <v>0</v>
      </c>
      <c r="I73" s="155">
        <v>150</v>
      </c>
      <c r="J73" s="155">
        <v>138</v>
      </c>
      <c r="K73" s="155">
        <v>0</v>
      </c>
      <c r="L73" s="155">
        <v>129</v>
      </c>
      <c r="M73" s="155">
        <v>110</v>
      </c>
      <c r="N73" s="155">
        <v>2</v>
      </c>
      <c r="O73" s="155">
        <v>0</v>
      </c>
      <c r="P73" s="155">
        <v>0</v>
      </c>
      <c r="Q73" s="155">
        <v>43</v>
      </c>
      <c r="R73" s="160">
        <v>4</v>
      </c>
      <c r="S73" s="160">
        <v>2</v>
      </c>
      <c r="T73" s="160">
        <v>10</v>
      </c>
      <c r="U73" s="160">
        <v>19</v>
      </c>
      <c r="V73" s="160">
        <v>0</v>
      </c>
      <c r="W73" s="160">
        <v>0</v>
      </c>
      <c r="X73" s="165">
        <v>10</v>
      </c>
    </row>
    <row r="74" spans="1:24" ht="14.6">
      <c r="A74" s="1229"/>
      <c r="B74" s="66" t="s">
        <v>102</v>
      </c>
      <c r="C74" s="172">
        <v>570</v>
      </c>
      <c r="D74" s="172">
        <v>70</v>
      </c>
      <c r="E74" s="172">
        <v>7</v>
      </c>
      <c r="F74" s="172">
        <v>6</v>
      </c>
      <c r="G74" s="172">
        <v>0</v>
      </c>
      <c r="H74" s="172">
        <v>0</v>
      </c>
      <c r="I74" s="172">
        <v>130</v>
      </c>
      <c r="J74" s="172">
        <v>127</v>
      </c>
      <c r="K74" s="172">
        <v>0</v>
      </c>
      <c r="L74" s="172">
        <v>119</v>
      </c>
      <c r="M74" s="172">
        <v>113</v>
      </c>
      <c r="N74" s="172">
        <v>1</v>
      </c>
      <c r="O74" s="172">
        <v>0</v>
      </c>
      <c r="P74" s="172">
        <v>0</v>
      </c>
      <c r="Q74" s="172">
        <v>19</v>
      </c>
      <c r="R74" s="159">
        <v>2</v>
      </c>
      <c r="S74" s="159">
        <v>0</v>
      </c>
      <c r="T74" s="159">
        <v>0</v>
      </c>
      <c r="U74" s="159">
        <v>19</v>
      </c>
      <c r="V74" s="159">
        <v>0</v>
      </c>
      <c r="W74" s="159">
        <v>0</v>
      </c>
      <c r="X74" s="173">
        <v>0</v>
      </c>
    </row>
    <row r="75" spans="1:24" ht="14.6">
      <c r="A75" s="1229"/>
      <c r="B75" s="66" t="s">
        <v>104</v>
      </c>
      <c r="C75" s="155">
        <v>620</v>
      </c>
      <c r="D75" s="155">
        <v>90</v>
      </c>
      <c r="E75" s="155">
        <v>10</v>
      </c>
      <c r="F75" s="155">
        <v>7</v>
      </c>
      <c r="G75" s="155">
        <v>0</v>
      </c>
      <c r="H75" s="155">
        <v>5</v>
      </c>
      <c r="I75" s="155">
        <v>190</v>
      </c>
      <c r="J75" s="155">
        <v>134</v>
      </c>
      <c r="K75" s="155">
        <v>0</v>
      </c>
      <c r="L75" s="155">
        <v>120</v>
      </c>
      <c r="M75" s="155">
        <v>117</v>
      </c>
      <c r="N75" s="155">
        <v>1</v>
      </c>
      <c r="O75" s="155">
        <v>0</v>
      </c>
      <c r="P75" s="155">
        <v>0</v>
      </c>
      <c r="Q75" s="155">
        <v>20</v>
      </c>
      <c r="R75" s="160">
        <v>2</v>
      </c>
      <c r="S75" s="160">
        <v>1</v>
      </c>
      <c r="T75" s="160">
        <v>6</v>
      </c>
      <c r="U75" s="160">
        <v>67</v>
      </c>
      <c r="V75" s="160">
        <v>2</v>
      </c>
      <c r="W75" s="160">
        <v>0</v>
      </c>
      <c r="X75" s="165">
        <v>0</v>
      </c>
    </row>
    <row r="76" spans="1:24" ht="14.6">
      <c r="A76" s="1229"/>
      <c r="B76" s="66" t="s">
        <v>103</v>
      </c>
      <c r="C76" s="172">
        <v>690</v>
      </c>
      <c r="D76" s="172">
        <v>60</v>
      </c>
      <c r="E76" s="172">
        <v>7</v>
      </c>
      <c r="F76" s="172">
        <v>5</v>
      </c>
      <c r="G76" s="172">
        <v>0</v>
      </c>
      <c r="H76" s="172">
        <v>0</v>
      </c>
      <c r="I76" s="172">
        <v>170</v>
      </c>
      <c r="J76" s="172">
        <v>159</v>
      </c>
      <c r="K76" s="172">
        <v>0</v>
      </c>
      <c r="L76" s="172">
        <v>150</v>
      </c>
      <c r="M76" s="172">
        <v>146</v>
      </c>
      <c r="N76" s="172">
        <v>1</v>
      </c>
      <c r="O76" s="172">
        <v>0</v>
      </c>
      <c r="P76" s="172">
        <v>0</v>
      </c>
      <c r="Q76" s="172">
        <v>15</v>
      </c>
      <c r="R76" s="159">
        <v>2</v>
      </c>
      <c r="S76" s="159">
        <v>1</v>
      </c>
      <c r="T76" s="159">
        <v>6</v>
      </c>
      <c r="U76" s="159">
        <v>37</v>
      </c>
      <c r="V76" s="159">
        <v>0</v>
      </c>
      <c r="W76" s="159">
        <v>0</v>
      </c>
      <c r="X76" s="173">
        <v>0</v>
      </c>
    </row>
    <row r="77" spans="1:24" ht="14.6">
      <c r="A77" s="1229"/>
      <c r="B77" s="66" t="s">
        <v>105</v>
      </c>
      <c r="C77" s="155">
        <v>680</v>
      </c>
      <c r="D77" s="155">
        <v>90</v>
      </c>
      <c r="E77" s="155">
        <v>10</v>
      </c>
      <c r="F77" s="155">
        <v>7</v>
      </c>
      <c r="G77" s="155">
        <v>0</v>
      </c>
      <c r="H77" s="155">
        <v>5</v>
      </c>
      <c r="I77" s="155">
        <v>200</v>
      </c>
      <c r="J77" s="155">
        <v>150</v>
      </c>
      <c r="K77" s="155">
        <v>3</v>
      </c>
      <c r="L77" s="155">
        <v>132</v>
      </c>
      <c r="M77" s="155">
        <v>129</v>
      </c>
      <c r="N77" s="155">
        <v>3</v>
      </c>
      <c r="O77" s="155">
        <v>0</v>
      </c>
      <c r="P77" s="155">
        <v>0</v>
      </c>
      <c r="Q77" s="155">
        <v>32</v>
      </c>
      <c r="R77" s="160">
        <v>2</v>
      </c>
      <c r="S77" s="160">
        <v>3</v>
      </c>
      <c r="T77" s="160">
        <v>15</v>
      </c>
      <c r="U77" s="160">
        <v>430</v>
      </c>
      <c r="V77" s="160">
        <v>10</v>
      </c>
      <c r="W77" s="160">
        <v>0</v>
      </c>
      <c r="X77" s="165">
        <v>0</v>
      </c>
    </row>
    <row r="78" spans="1:24" ht="14.6">
      <c r="A78" s="1229"/>
      <c r="B78" s="66" t="s">
        <v>106</v>
      </c>
      <c r="C78" s="172">
        <v>510</v>
      </c>
      <c r="D78" s="172">
        <v>50</v>
      </c>
      <c r="E78" s="172">
        <v>6</v>
      </c>
      <c r="F78" s="172">
        <v>5</v>
      </c>
      <c r="G78" s="172">
        <v>0</v>
      </c>
      <c r="H78" s="172">
        <v>0</v>
      </c>
      <c r="I78" s="172">
        <v>130</v>
      </c>
      <c r="J78" s="172">
        <v>116</v>
      </c>
      <c r="K78" s="172">
        <v>0</v>
      </c>
      <c r="L78" s="172">
        <v>109</v>
      </c>
      <c r="M78" s="172">
        <v>109</v>
      </c>
      <c r="N78" s="172">
        <v>1</v>
      </c>
      <c r="O78" s="172">
        <v>0</v>
      </c>
      <c r="P78" s="172">
        <v>0</v>
      </c>
      <c r="Q78" s="172">
        <v>17</v>
      </c>
      <c r="R78" s="159">
        <v>2</v>
      </c>
      <c r="S78" s="159">
        <v>0</v>
      </c>
      <c r="T78" s="159">
        <v>0</v>
      </c>
      <c r="U78" s="159">
        <v>27</v>
      </c>
      <c r="V78" s="159">
        <v>0</v>
      </c>
      <c r="W78" s="159">
        <v>0</v>
      </c>
      <c r="X78" s="173">
        <v>0</v>
      </c>
    </row>
    <row r="79" spans="1:24" ht="14.6">
      <c r="A79" s="1229"/>
      <c r="B79" s="66" t="s">
        <v>107</v>
      </c>
      <c r="C79" s="172">
        <v>520</v>
      </c>
      <c r="D79" s="172">
        <v>50</v>
      </c>
      <c r="E79" s="172">
        <v>6</v>
      </c>
      <c r="F79" s="172">
        <v>5</v>
      </c>
      <c r="G79" s="172">
        <v>0</v>
      </c>
      <c r="H79" s="172">
        <v>0</v>
      </c>
      <c r="I79" s="172">
        <v>330</v>
      </c>
      <c r="J79" s="172">
        <v>125</v>
      </c>
      <c r="K79" s="172">
        <v>0</v>
      </c>
      <c r="L79" s="172">
        <v>117</v>
      </c>
      <c r="M79" s="172">
        <v>117</v>
      </c>
      <c r="N79" s="172">
        <v>1</v>
      </c>
      <c r="O79" s="172">
        <v>0</v>
      </c>
      <c r="P79" s="172">
        <v>0</v>
      </c>
      <c r="Q79" s="172">
        <v>22</v>
      </c>
      <c r="R79" s="159">
        <v>2</v>
      </c>
      <c r="S79" s="159">
        <v>0</v>
      </c>
      <c r="T79" s="159">
        <v>0</v>
      </c>
      <c r="U79" s="159">
        <v>222</v>
      </c>
      <c r="V79" s="159">
        <v>4</v>
      </c>
      <c r="W79" s="159">
        <v>0</v>
      </c>
      <c r="X79" s="173">
        <v>0</v>
      </c>
    </row>
    <row r="80" spans="1:24" ht="14.6">
      <c r="A80" s="1229"/>
      <c r="B80" s="66" t="s">
        <v>108</v>
      </c>
      <c r="C80" s="155">
        <v>610</v>
      </c>
      <c r="D80" s="155">
        <v>90</v>
      </c>
      <c r="E80" s="155">
        <v>10</v>
      </c>
      <c r="F80" s="155">
        <v>8</v>
      </c>
      <c r="G80" s="155">
        <v>0</v>
      </c>
      <c r="H80" s="155">
        <v>0</v>
      </c>
      <c r="I80" s="155">
        <v>120</v>
      </c>
      <c r="J80" s="155">
        <v>133</v>
      </c>
      <c r="K80" s="155">
        <v>0</v>
      </c>
      <c r="L80" s="155">
        <v>125</v>
      </c>
      <c r="M80" s="155">
        <v>116</v>
      </c>
      <c r="N80" s="155">
        <v>1</v>
      </c>
      <c r="O80" s="155">
        <v>0</v>
      </c>
      <c r="P80" s="155">
        <v>0</v>
      </c>
      <c r="Q80" s="155">
        <v>22</v>
      </c>
      <c r="R80" s="160">
        <v>2</v>
      </c>
      <c r="S80" s="160">
        <v>2</v>
      </c>
      <c r="T80" s="160">
        <v>10</v>
      </c>
      <c r="U80" s="160">
        <v>30</v>
      </c>
      <c r="V80" s="160">
        <v>0</v>
      </c>
      <c r="W80" s="160">
        <v>0</v>
      </c>
      <c r="X80" s="165">
        <v>0</v>
      </c>
    </row>
    <row r="81" spans="1:24" ht="14.6">
      <c r="A81" s="1229"/>
      <c r="B81" s="66" t="s">
        <v>109</v>
      </c>
      <c r="C81" s="172">
        <v>590</v>
      </c>
      <c r="D81" s="172">
        <v>60</v>
      </c>
      <c r="E81" s="172">
        <v>7</v>
      </c>
      <c r="F81" s="172">
        <v>6</v>
      </c>
      <c r="G81" s="172">
        <v>0</v>
      </c>
      <c r="H81" s="172">
        <v>0</v>
      </c>
      <c r="I81" s="172">
        <v>170</v>
      </c>
      <c r="J81" s="172">
        <v>133</v>
      </c>
      <c r="K81" s="172">
        <v>0</v>
      </c>
      <c r="L81" s="172">
        <v>124</v>
      </c>
      <c r="M81" s="172">
        <v>83</v>
      </c>
      <c r="N81" s="172">
        <v>1</v>
      </c>
      <c r="O81" s="172">
        <v>0</v>
      </c>
      <c r="P81" s="172">
        <v>0</v>
      </c>
      <c r="Q81" s="172">
        <v>15</v>
      </c>
      <c r="R81" s="159">
        <v>2</v>
      </c>
      <c r="S81" s="159">
        <v>1</v>
      </c>
      <c r="T81" s="159">
        <v>6</v>
      </c>
      <c r="U81" s="159">
        <v>14</v>
      </c>
      <c r="V81" s="159">
        <v>0</v>
      </c>
      <c r="W81" s="159">
        <v>0</v>
      </c>
      <c r="X81" s="173">
        <v>0</v>
      </c>
    </row>
    <row r="82" spans="1:24" ht="14.6">
      <c r="A82" s="1229"/>
      <c r="B82" s="66" t="s">
        <v>110</v>
      </c>
      <c r="C82" s="137">
        <v>550</v>
      </c>
      <c r="D82" s="137">
        <v>50</v>
      </c>
      <c r="E82" s="137">
        <v>6</v>
      </c>
      <c r="F82" s="137">
        <v>5</v>
      </c>
      <c r="G82" s="137">
        <v>0</v>
      </c>
      <c r="H82" s="137">
        <v>0</v>
      </c>
      <c r="I82" s="137">
        <v>250</v>
      </c>
      <c r="J82" s="137">
        <v>127</v>
      </c>
      <c r="K82" s="137">
        <v>1</v>
      </c>
      <c r="L82" s="137">
        <v>118</v>
      </c>
      <c r="M82" s="137">
        <v>117</v>
      </c>
      <c r="N82" s="137">
        <v>1</v>
      </c>
      <c r="O82" s="137">
        <v>0</v>
      </c>
      <c r="P82" s="137">
        <v>0</v>
      </c>
      <c r="Q82" s="137">
        <v>25</v>
      </c>
      <c r="R82" s="159">
        <v>2</v>
      </c>
      <c r="S82" s="159">
        <v>1</v>
      </c>
      <c r="T82" s="159">
        <v>6</v>
      </c>
      <c r="U82" s="159">
        <v>194</v>
      </c>
      <c r="V82" s="159">
        <v>4</v>
      </c>
      <c r="W82" s="159">
        <v>0</v>
      </c>
      <c r="X82" s="173">
        <v>0</v>
      </c>
    </row>
    <row r="83" spans="1:24" ht="14.6">
      <c r="A83" s="1229"/>
      <c r="B83" s="66" t="s">
        <v>330</v>
      </c>
      <c r="C83" s="87">
        <v>600</v>
      </c>
      <c r="D83" s="87">
        <v>90</v>
      </c>
      <c r="E83" s="87">
        <v>10</v>
      </c>
      <c r="F83" s="87">
        <v>8</v>
      </c>
      <c r="G83" s="87">
        <v>0</v>
      </c>
      <c r="H83" s="87">
        <v>0</v>
      </c>
      <c r="I83" s="87">
        <v>130</v>
      </c>
      <c r="J83" s="87">
        <v>137</v>
      </c>
      <c r="K83" s="87">
        <v>0</v>
      </c>
      <c r="L83" s="87">
        <v>130</v>
      </c>
      <c r="M83" s="87">
        <v>120</v>
      </c>
      <c r="N83" s="87">
        <v>1</v>
      </c>
      <c r="O83" s="87">
        <v>0</v>
      </c>
      <c r="P83" s="87">
        <v>0</v>
      </c>
      <c r="Q83" s="87">
        <v>25</v>
      </c>
      <c r="R83" s="160">
        <v>2</v>
      </c>
      <c r="S83" s="160">
        <v>2</v>
      </c>
      <c r="T83" s="160">
        <v>10</v>
      </c>
      <c r="U83" s="160">
        <v>42</v>
      </c>
      <c r="V83" s="160">
        <v>0</v>
      </c>
      <c r="W83" s="160">
        <v>0</v>
      </c>
      <c r="X83" s="165">
        <v>0</v>
      </c>
    </row>
    <row r="84" spans="1:24" ht="14.6">
      <c r="A84" s="1229"/>
      <c r="B84" s="66" t="s">
        <v>111</v>
      </c>
      <c r="C84" s="172">
        <v>510</v>
      </c>
      <c r="D84" s="172">
        <v>50</v>
      </c>
      <c r="E84" s="172">
        <v>6</v>
      </c>
      <c r="F84" s="172">
        <v>5</v>
      </c>
      <c r="G84" s="172">
        <v>0</v>
      </c>
      <c r="H84" s="172">
        <v>0</v>
      </c>
      <c r="I84" s="172">
        <v>80</v>
      </c>
      <c r="J84" s="172">
        <v>117</v>
      </c>
      <c r="K84" s="172">
        <v>0</v>
      </c>
      <c r="L84" s="172">
        <v>109</v>
      </c>
      <c r="M84" s="172">
        <v>49</v>
      </c>
      <c r="N84" s="172">
        <v>1</v>
      </c>
      <c r="O84" s="172">
        <v>0</v>
      </c>
      <c r="P84" s="172">
        <v>0</v>
      </c>
      <c r="Q84" s="172">
        <v>22</v>
      </c>
      <c r="R84" s="159">
        <v>2</v>
      </c>
      <c r="S84" s="159">
        <v>0</v>
      </c>
      <c r="T84" s="159">
        <v>0</v>
      </c>
      <c r="U84" s="159">
        <v>20</v>
      </c>
      <c r="V84" s="159">
        <v>0</v>
      </c>
      <c r="W84" s="159">
        <v>0</v>
      </c>
      <c r="X84" s="173">
        <v>0</v>
      </c>
    </row>
    <row r="85" spans="1:24" ht="14.6">
      <c r="A85" s="1229"/>
      <c r="B85" s="66" t="s">
        <v>112</v>
      </c>
      <c r="C85" s="137">
        <v>480</v>
      </c>
      <c r="D85" s="137">
        <v>50</v>
      </c>
      <c r="E85" s="137">
        <v>6</v>
      </c>
      <c r="F85" s="137">
        <v>5</v>
      </c>
      <c r="G85" s="137">
        <v>0</v>
      </c>
      <c r="H85" s="137">
        <v>0</v>
      </c>
      <c r="I85" s="137">
        <v>125</v>
      </c>
      <c r="J85" s="137">
        <v>106</v>
      </c>
      <c r="K85" s="137">
        <v>1</v>
      </c>
      <c r="L85" s="137">
        <v>98</v>
      </c>
      <c r="M85" s="137">
        <v>96</v>
      </c>
      <c r="N85" s="137">
        <v>1</v>
      </c>
      <c r="O85" s="137">
        <v>0</v>
      </c>
      <c r="P85" s="137">
        <v>0</v>
      </c>
      <c r="Q85" s="137">
        <v>28</v>
      </c>
      <c r="R85" s="159">
        <v>2</v>
      </c>
      <c r="S85" s="159">
        <v>1</v>
      </c>
      <c r="T85" s="159">
        <v>6</v>
      </c>
      <c r="U85" s="159">
        <v>55</v>
      </c>
      <c r="V85" s="159">
        <v>2</v>
      </c>
      <c r="W85" s="159">
        <v>0</v>
      </c>
      <c r="X85" s="173">
        <v>4</v>
      </c>
    </row>
    <row r="86" spans="1:24" ht="14.6">
      <c r="A86" s="1229"/>
      <c r="B86" s="66" t="s">
        <v>113</v>
      </c>
      <c r="C86" s="172">
        <v>500</v>
      </c>
      <c r="D86" s="172">
        <v>60</v>
      </c>
      <c r="E86" s="172">
        <v>6</v>
      </c>
      <c r="F86" s="172">
        <v>6</v>
      </c>
      <c r="G86" s="172">
        <v>0</v>
      </c>
      <c r="H86" s="172">
        <v>0</v>
      </c>
      <c r="I86" s="172">
        <v>220</v>
      </c>
      <c r="J86" s="172">
        <v>109</v>
      </c>
      <c r="K86" s="172">
        <v>1</v>
      </c>
      <c r="L86" s="172">
        <v>102</v>
      </c>
      <c r="M86" s="172">
        <v>101</v>
      </c>
      <c r="N86" s="172">
        <v>1</v>
      </c>
      <c r="O86" s="172">
        <v>0</v>
      </c>
      <c r="P86" s="172">
        <v>0</v>
      </c>
      <c r="Q86" s="172">
        <v>26</v>
      </c>
      <c r="R86" s="159">
        <v>2</v>
      </c>
      <c r="S86" s="159">
        <v>1</v>
      </c>
      <c r="T86" s="159">
        <v>6</v>
      </c>
      <c r="U86" s="159">
        <v>157</v>
      </c>
      <c r="V86" s="159">
        <v>4</v>
      </c>
      <c r="W86" s="159">
        <v>0</v>
      </c>
      <c r="X86" s="173">
        <v>2</v>
      </c>
    </row>
    <row r="87" spans="1:24" ht="14.25" customHeight="1">
      <c r="A87" s="1229"/>
      <c r="B87" s="66" t="s">
        <v>114</v>
      </c>
      <c r="C87" s="172">
        <v>750</v>
      </c>
      <c r="D87" s="172">
        <v>150</v>
      </c>
      <c r="E87" s="172">
        <v>17</v>
      </c>
      <c r="F87" s="172">
        <v>7</v>
      </c>
      <c r="G87" s="172">
        <v>0</v>
      </c>
      <c r="H87" s="172">
        <v>0</v>
      </c>
      <c r="I87" s="172">
        <v>210</v>
      </c>
      <c r="J87" s="172">
        <v>148</v>
      </c>
      <c r="K87" s="172">
        <v>0</v>
      </c>
      <c r="L87" s="172">
        <v>141</v>
      </c>
      <c r="M87" s="172">
        <v>138</v>
      </c>
      <c r="N87" s="172">
        <v>4</v>
      </c>
      <c r="O87" s="172">
        <v>0</v>
      </c>
      <c r="P87" s="172">
        <v>0</v>
      </c>
      <c r="Q87" s="172">
        <v>31</v>
      </c>
      <c r="R87" s="159">
        <v>2</v>
      </c>
      <c r="S87" s="159">
        <v>1</v>
      </c>
      <c r="T87" s="159">
        <v>6</v>
      </c>
      <c r="U87" s="159">
        <v>39</v>
      </c>
      <c r="V87" s="159">
        <v>0</v>
      </c>
      <c r="W87" s="159">
        <v>0</v>
      </c>
      <c r="X87" s="173">
        <v>0</v>
      </c>
    </row>
    <row r="88" spans="1:24" ht="14.6">
      <c r="A88" s="1229"/>
      <c r="B88" s="66" t="s">
        <v>115</v>
      </c>
      <c r="C88" s="172">
        <v>510</v>
      </c>
      <c r="D88" s="172">
        <v>25</v>
      </c>
      <c r="E88" s="172">
        <v>2.5</v>
      </c>
      <c r="F88" s="172">
        <v>2.5</v>
      </c>
      <c r="G88" s="172">
        <v>0</v>
      </c>
      <c r="H88" s="172">
        <v>0</v>
      </c>
      <c r="I88" s="172">
        <v>100</v>
      </c>
      <c r="J88" s="172">
        <v>125</v>
      </c>
      <c r="K88" s="172">
        <v>0</v>
      </c>
      <c r="L88" s="172">
        <v>118</v>
      </c>
      <c r="M88" s="172">
        <v>89</v>
      </c>
      <c r="N88" s="172">
        <v>0</v>
      </c>
      <c r="O88" s="172">
        <v>0</v>
      </c>
      <c r="P88" s="172">
        <v>0</v>
      </c>
      <c r="Q88" s="172">
        <v>16</v>
      </c>
      <c r="R88" s="159">
        <v>2</v>
      </c>
      <c r="S88" s="159">
        <v>0</v>
      </c>
      <c r="T88" s="159">
        <v>0</v>
      </c>
      <c r="U88" s="159">
        <v>28</v>
      </c>
      <c r="V88" s="159">
        <v>0</v>
      </c>
      <c r="W88" s="159">
        <v>0</v>
      </c>
      <c r="X88" s="173">
        <v>0</v>
      </c>
    </row>
    <row r="89" spans="1:24" ht="14.6">
      <c r="A89" s="1229"/>
      <c r="B89" s="66" t="s">
        <v>116</v>
      </c>
      <c r="C89" s="155">
        <v>670</v>
      </c>
      <c r="D89" s="155">
        <v>70</v>
      </c>
      <c r="E89" s="155">
        <v>8</v>
      </c>
      <c r="F89" s="155">
        <v>7</v>
      </c>
      <c r="G89" s="155">
        <v>0</v>
      </c>
      <c r="H89" s="155">
        <v>0</v>
      </c>
      <c r="I89" s="155">
        <v>125</v>
      </c>
      <c r="J89" s="155">
        <v>152</v>
      </c>
      <c r="K89" s="155">
        <v>0</v>
      </c>
      <c r="L89" s="155">
        <v>145</v>
      </c>
      <c r="M89" s="155">
        <v>139</v>
      </c>
      <c r="N89" s="155">
        <v>1</v>
      </c>
      <c r="O89" s="155">
        <v>0</v>
      </c>
      <c r="P89" s="155">
        <v>0</v>
      </c>
      <c r="Q89" s="155">
        <v>21</v>
      </c>
      <c r="R89" s="160">
        <v>2</v>
      </c>
      <c r="S89" s="160">
        <v>2</v>
      </c>
      <c r="T89" s="160">
        <v>10</v>
      </c>
      <c r="U89" s="160">
        <v>40</v>
      </c>
      <c r="V89" s="160">
        <v>0</v>
      </c>
      <c r="W89" s="160">
        <v>0</v>
      </c>
      <c r="X89" s="165">
        <v>0</v>
      </c>
    </row>
    <row r="90" spans="1:24" ht="14.6">
      <c r="A90" s="1229"/>
      <c r="B90" s="66" t="s">
        <v>117</v>
      </c>
      <c r="C90" s="172">
        <v>610</v>
      </c>
      <c r="D90" s="172">
        <v>60</v>
      </c>
      <c r="E90" s="172">
        <v>6</v>
      </c>
      <c r="F90" s="172">
        <v>6</v>
      </c>
      <c r="G90" s="172">
        <v>0</v>
      </c>
      <c r="H90" s="172">
        <v>0</v>
      </c>
      <c r="I90" s="172">
        <v>125</v>
      </c>
      <c r="J90" s="172">
        <v>140</v>
      </c>
      <c r="K90" s="172">
        <v>0</v>
      </c>
      <c r="L90" s="172">
        <v>132</v>
      </c>
      <c r="M90" s="172">
        <v>129</v>
      </c>
      <c r="N90" s="172">
        <v>1</v>
      </c>
      <c r="O90" s="172">
        <v>0</v>
      </c>
      <c r="P90" s="172">
        <v>0</v>
      </c>
      <c r="Q90" s="172">
        <v>16</v>
      </c>
      <c r="R90" s="159">
        <v>2</v>
      </c>
      <c r="S90" s="159">
        <v>0</v>
      </c>
      <c r="T90" s="159">
        <v>0</v>
      </c>
      <c r="U90" s="159">
        <v>70</v>
      </c>
      <c r="V90" s="159">
        <v>2</v>
      </c>
      <c r="W90" s="159">
        <v>0</v>
      </c>
      <c r="X90" s="173">
        <v>6</v>
      </c>
    </row>
    <row r="91" spans="1:24" ht="14.6">
      <c r="A91" s="1229"/>
      <c r="B91" s="66" t="s">
        <v>118</v>
      </c>
      <c r="C91" s="136">
        <v>600</v>
      </c>
      <c r="D91" s="136">
        <v>60</v>
      </c>
      <c r="E91" s="136">
        <v>7</v>
      </c>
      <c r="F91" s="136">
        <v>6</v>
      </c>
      <c r="G91" s="136">
        <v>0</v>
      </c>
      <c r="H91" s="136">
        <v>5</v>
      </c>
      <c r="I91" s="136">
        <v>135</v>
      </c>
      <c r="J91" s="136">
        <v>137</v>
      </c>
      <c r="K91" s="136">
        <v>0</v>
      </c>
      <c r="L91" s="136">
        <v>130</v>
      </c>
      <c r="M91" s="136">
        <v>57</v>
      </c>
      <c r="N91" s="136">
        <v>1</v>
      </c>
      <c r="O91" s="136">
        <v>0</v>
      </c>
      <c r="P91" s="136">
        <v>0</v>
      </c>
      <c r="Q91" s="136">
        <v>18</v>
      </c>
      <c r="R91" s="159">
        <v>2</v>
      </c>
      <c r="S91" s="159">
        <v>0</v>
      </c>
      <c r="T91" s="159">
        <v>0</v>
      </c>
      <c r="U91" s="159">
        <v>34</v>
      </c>
      <c r="V91" s="159">
        <v>0</v>
      </c>
      <c r="W91" s="159">
        <v>0</v>
      </c>
      <c r="X91" s="173">
        <v>8</v>
      </c>
    </row>
    <row r="92" spans="1:24" ht="14.6">
      <c r="A92" s="1229"/>
      <c r="B92" s="66" t="s">
        <v>119</v>
      </c>
      <c r="C92" s="172">
        <v>530</v>
      </c>
      <c r="D92" s="172">
        <v>50</v>
      </c>
      <c r="E92" s="172">
        <v>5</v>
      </c>
      <c r="F92" s="172">
        <v>5</v>
      </c>
      <c r="G92" s="172">
        <v>0</v>
      </c>
      <c r="H92" s="172">
        <v>0</v>
      </c>
      <c r="I92" s="172">
        <v>130</v>
      </c>
      <c r="J92" s="172">
        <v>120</v>
      </c>
      <c r="K92" s="172">
        <v>0</v>
      </c>
      <c r="L92" s="172">
        <v>113</v>
      </c>
      <c r="M92" s="172">
        <v>113</v>
      </c>
      <c r="N92" s="172">
        <v>0</v>
      </c>
      <c r="O92" s="172">
        <v>0</v>
      </c>
      <c r="P92" s="172">
        <v>0</v>
      </c>
      <c r="Q92" s="172">
        <v>16</v>
      </c>
      <c r="R92" s="159">
        <v>2</v>
      </c>
      <c r="S92" s="159">
        <v>0</v>
      </c>
      <c r="T92" s="159">
        <v>0</v>
      </c>
      <c r="U92" s="159">
        <v>47</v>
      </c>
      <c r="V92" s="159">
        <v>2</v>
      </c>
      <c r="W92" s="159">
        <v>0</v>
      </c>
      <c r="X92" s="173">
        <v>0</v>
      </c>
    </row>
    <row r="93" spans="1:24" ht="15" thickBot="1">
      <c r="A93" s="1230"/>
      <c r="B93" s="67" t="s">
        <v>120</v>
      </c>
      <c r="C93" s="156">
        <v>670</v>
      </c>
      <c r="D93" s="156">
        <v>90</v>
      </c>
      <c r="E93" s="156">
        <v>10</v>
      </c>
      <c r="F93" s="156">
        <v>8</v>
      </c>
      <c r="G93" s="156">
        <v>0</v>
      </c>
      <c r="H93" s="156">
        <v>0</v>
      </c>
      <c r="I93" s="156">
        <v>125</v>
      </c>
      <c r="J93" s="156">
        <v>150</v>
      </c>
      <c r="K93" s="156">
        <v>0</v>
      </c>
      <c r="L93" s="156">
        <v>140</v>
      </c>
      <c r="M93" s="156">
        <v>130</v>
      </c>
      <c r="N93" s="156">
        <v>1</v>
      </c>
      <c r="O93" s="156">
        <v>0</v>
      </c>
      <c r="P93" s="156">
        <v>0</v>
      </c>
      <c r="Q93" s="156">
        <v>22</v>
      </c>
      <c r="R93" s="167">
        <v>2</v>
      </c>
      <c r="S93" s="167">
        <v>2</v>
      </c>
      <c r="T93" s="167">
        <v>10</v>
      </c>
      <c r="U93" s="167">
        <v>33</v>
      </c>
      <c r="V93" s="167">
        <v>0</v>
      </c>
      <c r="W93" s="167">
        <v>0</v>
      </c>
      <c r="X93" s="168">
        <v>10</v>
      </c>
    </row>
    <row r="94" spans="1:24" ht="14.6">
      <c r="A94" s="1228" t="s">
        <v>121</v>
      </c>
      <c r="B94" s="65" t="s">
        <v>122</v>
      </c>
      <c r="C94" s="169">
        <v>230</v>
      </c>
      <c r="D94" s="169">
        <v>0</v>
      </c>
      <c r="E94" s="169">
        <v>0</v>
      </c>
      <c r="F94" s="169">
        <v>0</v>
      </c>
      <c r="G94" s="169">
        <v>0</v>
      </c>
      <c r="H94" s="169">
        <v>0</v>
      </c>
      <c r="I94" s="169">
        <v>45</v>
      </c>
      <c r="J94" s="169">
        <v>82</v>
      </c>
      <c r="K94" s="169">
        <v>0</v>
      </c>
      <c r="L94" s="169">
        <v>0</v>
      </c>
      <c r="M94" s="169">
        <v>0</v>
      </c>
      <c r="N94" s="169">
        <v>1</v>
      </c>
      <c r="O94" s="169">
        <v>0</v>
      </c>
      <c r="P94" s="169">
        <v>0</v>
      </c>
      <c r="Q94" s="169">
        <v>24</v>
      </c>
      <c r="R94" s="170">
        <v>2</v>
      </c>
      <c r="S94" s="170">
        <v>0</v>
      </c>
      <c r="T94" s="170">
        <v>0</v>
      </c>
      <c r="U94" s="170">
        <v>33</v>
      </c>
      <c r="V94" s="170">
        <v>0</v>
      </c>
      <c r="W94" s="170">
        <v>0</v>
      </c>
      <c r="X94" s="171">
        <v>0</v>
      </c>
    </row>
    <row r="95" spans="1:24" ht="14.6">
      <c r="A95" s="1229"/>
      <c r="B95" s="66" t="s">
        <v>123</v>
      </c>
      <c r="C95" s="172">
        <v>310</v>
      </c>
      <c r="D95" s="172">
        <v>0</v>
      </c>
      <c r="E95" s="172">
        <v>0</v>
      </c>
      <c r="F95" s="172">
        <v>0</v>
      </c>
      <c r="G95" s="172">
        <v>0</v>
      </c>
      <c r="H95" s="172">
        <v>0</v>
      </c>
      <c r="I95" s="172">
        <v>55</v>
      </c>
      <c r="J95" s="172">
        <v>107</v>
      </c>
      <c r="K95" s="172">
        <v>0</v>
      </c>
      <c r="L95" s="172">
        <v>0</v>
      </c>
      <c r="M95" s="172">
        <v>0</v>
      </c>
      <c r="N95" s="172">
        <v>0</v>
      </c>
      <c r="O95" s="172">
        <v>0</v>
      </c>
      <c r="P95" s="172">
        <v>0</v>
      </c>
      <c r="Q95" s="172">
        <v>26</v>
      </c>
      <c r="R95" s="159">
        <v>2</v>
      </c>
      <c r="S95" s="159">
        <v>0</v>
      </c>
      <c r="T95" s="159">
        <v>0</v>
      </c>
      <c r="U95" s="159">
        <v>61</v>
      </c>
      <c r="V95" s="159">
        <v>2</v>
      </c>
      <c r="W95" s="159">
        <v>0</v>
      </c>
      <c r="X95" s="173">
        <v>0</v>
      </c>
    </row>
    <row r="96" spans="1:24" ht="14.6">
      <c r="A96" s="1229"/>
      <c r="B96" s="66" t="s">
        <v>124</v>
      </c>
      <c r="C96" s="172">
        <v>220</v>
      </c>
      <c r="D96" s="172">
        <v>0</v>
      </c>
      <c r="E96" s="172">
        <v>0</v>
      </c>
      <c r="F96" s="172">
        <v>0</v>
      </c>
      <c r="G96" s="172">
        <v>0</v>
      </c>
      <c r="H96" s="172">
        <v>0</v>
      </c>
      <c r="I96" s="172">
        <v>45</v>
      </c>
      <c r="J96" s="172">
        <v>77</v>
      </c>
      <c r="K96" s="172">
        <v>0</v>
      </c>
      <c r="L96" s="172">
        <v>0</v>
      </c>
      <c r="M96" s="172">
        <v>0</v>
      </c>
      <c r="N96" s="172">
        <v>0</v>
      </c>
      <c r="O96" s="172">
        <v>0</v>
      </c>
      <c r="P96" s="172">
        <v>0</v>
      </c>
      <c r="Q96" s="172">
        <v>24</v>
      </c>
      <c r="R96" s="159">
        <v>2</v>
      </c>
      <c r="S96" s="159">
        <v>0</v>
      </c>
      <c r="T96" s="159">
        <v>0</v>
      </c>
      <c r="U96" s="159">
        <v>40</v>
      </c>
      <c r="V96" s="159">
        <v>0</v>
      </c>
      <c r="W96" s="159">
        <v>0</v>
      </c>
      <c r="X96" s="173">
        <v>4</v>
      </c>
    </row>
    <row r="97" spans="1:24" ht="14.6">
      <c r="A97" s="1229"/>
      <c r="B97" s="66" t="s">
        <v>125</v>
      </c>
      <c r="C97" s="172">
        <v>230</v>
      </c>
      <c r="D97" s="172">
        <v>0</v>
      </c>
      <c r="E97" s="172">
        <v>0</v>
      </c>
      <c r="F97" s="172">
        <v>0</v>
      </c>
      <c r="G97" s="172">
        <v>0</v>
      </c>
      <c r="H97" s="172">
        <v>0</v>
      </c>
      <c r="I97" s="172">
        <v>55</v>
      </c>
      <c r="J97" s="172">
        <v>75</v>
      </c>
      <c r="K97" s="172">
        <v>0</v>
      </c>
      <c r="L97" s="172">
        <v>0</v>
      </c>
      <c r="M97" s="172">
        <v>0</v>
      </c>
      <c r="N97" s="172">
        <v>0</v>
      </c>
      <c r="O97" s="172">
        <v>0</v>
      </c>
      <c r="P97" s="172">
        <v>0</v>
      </c>
      <c r="Q97" s="172">
        <v>16</v>
      </c>
      <c r="R97" s="159">
        <v>2</v>
      </c>
      <c r="S97" s="159">
        <v>0</v>
      </c>
      <c r="T97" s="159">
        <v>0</v>
      </c>
      <c r="U97" s="159">
        <v>43</v>
      </c>
      <c r="V97" s="159">
        <v>0</v>
      </c>
      <c r="W97" s="159">
        <v>0</v>
      </c>
      <c r="X97" s="173">
        <v>0</v>
      </c>
    </row>
    <row r="98" spans="1:24" ht="14.6">
      <c r="A98" s="1229"/>
      <c r="B98" s="66" t="s">
        <v>126</v>
      </c>
      <c r="C98" s="172">
        <v>230</v>
      </c>
      <c r="D98" s="172">
        <v>0</v>
      </c>
      <c r="E98" s="172">
        <v>0</v>
      </c>
      <c r="F98" s="172">
        <v>0</v>
      </c>
      <c r="G98" s="172">
        <v>0</v>
      </c>
      <c r="H98" s="172">
        <v>0</v>
      </c>
      <c r="I98" s="172">
        <v>65</v>
      </c>
      <c r="J98" s="172">
        <v>81</v>
      </c>
      <c r="K98" s="172">
        <v>1</v>
      </c>
      <c r="L98" s="172">
        <v>1</v>
      </c>
      <c r="M98" s="172">
        <v>0</v>
      </c>
      <c r="N98" s="172">
        <v>0</v>
      </c>
      <c r="O98" s="172">
        <v>0</v>
      </c>
      <c r="P98" s="172">
        <v>0</v>
      </c>
      <c r="Q98" s="172">
        <v>15</v>
      </c>
      <c r="R98" s="159">
        <v>2</v>
      </c>
      <c r="S98" s="159">
        <v>0</v>
      </c>
      <c r="T98" s="159">
        <v>0</v>
      </c>
      <c r="U98" s="159">
        <v>35</v>
      </c>
      <c r="V98" s="159">
        <v>0</v>
      </c>
      <c r="W98" s="159">
        <v>0</v>
      </c>
      <c r="X98" s="173">
        <v>0</v>
      </c>
    </row>
    <row r="99" spans="1:24" ht="15" thickBot="1">
      <c r="A99" s="1230"/>
      <c r="B99" s="67" t="s">
        <v>127</v>
      </c>
      <c r="C99" s="174">
        <v>230</v>
      </c>
      <c r="D99" s="174">
        <v>0</v>
      </c>
      <c r="E99" s="174">
        <v>0</v>
      </c>
      <c r="F99" s="174">
        <v>0</v>
      </c>
      <c r="G99" s="174">
        <v>0</v>
      </c>
      <c r="H99" s="174">
        <v>0</v>
      </c>
      <c r="I99" s="174">
        <v>70</v>
      </c>
      <c r="J99" s="174">
        <v>81</v>
      </c>
      <c r="K99" s="174">
        <v>0</v>
      </c>
      <c r="L99" s="174">
        <v>0</v>
      </c>
      <c r="M99" s="174">
        <v>0</v>
      </c>
      <c r="N99" s="174">
        <v>0</v>
      </c>
      <c r="O99" s="174">
        <v>0</v>
      </c>
      <c r="P99" s="174">
        <v>0</v>
      </c>
      <c r="Q99" s="174">
        <v>15</v>
      </c>
      <c r="R99" s="175">
        <v>2</v>
      </c>
      <c r="S99" s="175">
        <v>0</v>
      </c>
      <c r="T99" s="175">
        <v>0</v>
      </c>
      <c r="U99" s="175">
        <v>45</v>
      </c>
      <c r="V99" s="175">
        <v>0</v>
      </c>
      <c r="W99" s="175">
        <v>0</v>
      </c>
      <c r="X99" s="176">
        <v>0</v>
      </c>
    </row>
    <row r="100" spans="1:24" ht="14.6">
      <c r="A100" s="1228" t="s">
        <v>128</v>
      </c>
      <c r="B100" s="161" t="s">
        <v>131</v>
      </c>
      <c r="C100" s="157">
        <v>540</v>
      </c>
      <c r="D100" s="157">
        <v>260</v>
      </c>
      <c r="E100" s="157">
        <v>28</v>
      </c>
      <c r="F100" s="157">
        <v>18</v>
      </c>
      <c r="G100" s="157">
        <v>0</v>
      </c>
      <c r="H100" s="157">
        <v>170</v>
      </c>
      <c r="I100" s="157">
        <v>370</v>
      </c>
      <c r="J100" s="157">
        <v>65</v>
      </c>
      <c r="K100" s="157">
        <v>0</v>
      </c>
      <c r="L100" s="157">
        <v>52</v>
      </c>
      <c r="M100" s="157">
        <v>10</v>
      </c>
      <c r="N100" s="157">
        <v>25</v>
      </c>
      <c r="O100" s="157">
        <v>0</v>
      </c>
      <c r="P100" s="157">
        <v>40</v>
      </c>
      <c r="Q100" s="157">
        <v>0</v>
      </c>
      <c r="R100" s="162"/>
      <c r="S100" s="162"/>
      <c r="T100" s="162"/>
      <c r="U100" s="162"/>
      <c r="V100" s="162"/>
      <c r="W100" s="162"/>
      <c r="X100" s="163"/>
    </row>
    <row r="101" spans="1:24" ht="14.6">
      <c r="A101" s="1229"/>
      <c r="B101" s="164" t="s">
        <v>356</v>
      </c>
      <c r="C101" s="155">
        <v>530</v>
      </c>
      <c r="D101" s="155">
        <v>260</v>
      </c>
      <c r="E101" s="155">
        <v>29</v>
      </c>
      <c r="F101" s="155">
        <v>18</v>
      </c>
      <c r="G101" s="155">
        <v>0</v>
      </c>
      <c r="H101" s="155">
        <v>170</v>
      </c>
      <c r="I101" s="155">
        <v>370</v>
      </c>
      <c r="J101" s="155">
        <v>62</v>
      </c>
      <c r="K101" s="155">
        <v>0</v>
      </c>
      <c r="L101" s="155">
        <v>48</v>
      </c>
      <c r="M101" s="155">
        <v>11</v>
      </c>
      <c r="N101" s="155">
        <v>25</v>
      </c>
      <c r="O101" s="155">
        <v>0</v>
      </c>
      <c r="P101" s="155">
        <v>40</v>
      </c>
      <c r="Q101" s="155">
        <v>0</v>
      </c>
      <c r="R101" s="160"/>
      <c r="S101" s="160"/>
      <c r="T101" s="160"/>
      <c r="U101" s="160"/>
      <c r="V101" s="160"/>
      <c r="W101" s="160"/>
      <c r="X101" s="165"/>
    </row>
    <row r="102" spans="1:24" ht="14.6">
      <c r="A102" s="1229"/>
      <c r="B102" s="164" t="s">
        <v>133</v>
      </c>
      <c r="C102" s="155">
        <v>538.01</v>
      </c>
      <c r="D102" s="155">
        <v>262.64999999999998</v>
      </c>
      <c r="E102" s="155">
        <v>29.18</v>
      </c>
      <c r="F102" s="155">
        <v>18.57</v>
      </c>
      <c r="G102" s="155">
        <v>0</v>
      </c>
      <c r="H102" s="155">
        <v>172.45</v>
      </c>
      <c r="I102" s="155">
        <v>373.95</v>
      </c>
      <c r="J102" s="155">
        <v>62.91</v>
      </c>
      <c r="K102" s="155">
        <v>0.03</v>
      </c>
      <c r="L102" s="155">
        <v>49.26</v>
      </c>
      <c r="M102" s="155">
        <v>10.61</v>
      </c>
      <c r="N102" s="155">
        <v>25</v>
      </c>
      <c r="O102" s="155">
        <v>0</v>
      </c>
      <c r="P102" s="155">
        <v>40</v>
      </c>
      <c r="Q102" s="155">
        <v>0</v>
      </c>
      <c r="R102" s="160"/>
      <c r="S102" s="160"/>
      <c r="T102" s="160"/>
      <c r="U102" s="160"/>
      <c r="V102" s="160"/>
      <c r="W102" s="160"/>
      <c r="X102" s="165"/>
    </row>
    <row r="103" spans="1:24" ht="14.6">
      <c r="A103" s="1229"/>
      <c r="B103" s="164" t="s">
        <v>98</v>
      </c>
      <c r="C103" s="155">
        <v>551.37</v>
      </c>
      <c r="D103" s="155">
        <v>248.65</v>
      </c>
      <c r="E103" s="155">
        <v>27.63</v>
      </c>
      <c r="F103" s="155">
        <v>17.579999999999998</v>
      </c>
      <c r="G103" s="155">
        <v>0</v>
      </c>
      <c r="H103" s="155">
        <v>163.25</v>
      </c>
      <c r="I103" s="155">
        <v>354.16</v>
      </c>
      <c r="J103" s="155">
        <v>69.900000000000006</v>
      </c>
      <c r="K103" s="155">
        <v>0</v>
      </c>
      <c r="L103" s="155">
        <v>56.59</v>
      </c>
      <c r="M103" s="155">
        <v>10.050000000000001</v>
      </c>
      <c r="N103" s="155">
        <v>25</v>
      </c>
      <c r="O103" s="155">
        <v>0</v>
      </c>
      <c r="P103" s="155">
        <v>40</v>
      </c>
      <c r="Q103" s="155">
        <v>0</v>
      </c>
      <c r="R103" s="160"/>
      <c r="S103" s="160"/>
      <c r="T103" s="160"/>
      <c r="U103" s="160"/>
      <c r="V103" s="160"/>
      <c r="W103" s="160"/>
      <c r="X103" s="165"/>
    </row>
    <row r="104" spans="1:24" ht="14.6">
      <c r="A104" s="1229"/>
      <c r="B104" s="164" t="s">
        <v>129</v>
      </c>
      <c r="C104" s="155">
        <v>565.57000000000005</v>
      </c>
      <c r="D104" s="155">
        <v>242.39</v>
      </c>
      <c r="E104" s="155">
        <v>26.93</v>
      </c>
      <c r="F104" s="155">
        <v>16.16</v>
      </c>
      <c r="G104" s="155">
        <v>0</v>
      </c>
      <c r="H104" s="155">
        <v>148.13</v>
      </c>
      <c r="I104" s="155">
        <v>309.72000000000003</v>
      </c>
      <c r="J104" s="155">
        <v>72.72</v>
      </c>
      <c r="K104" s="155">
        <v>0</v>
      </c>
      <c r="L104" s="155">
        <v>56.56</v>
      </c>
      <c r="M104" s="155">
        <v>10.77</v>
      </c>
      <c r="N104" s="155">
        <v>25</v>
      </c>
      <c r="O104" s="155">
        <v>0</v>
      </c>
      <c r="P104" s="155">
        <v>25</v>
      </c>
      <c r="Q104" s="155">
        <v>15</v>
      </c>
      <c r="R104" s="160"/>
      <c r="S104" s="160"/>
      <c r="T104" s="160"/>
      <c r="U104" s="160"/>
      <c r="V104" s="160"/>
      <c r="W104" s="160"/>
      <c r="X104" s="165"/>
    </row>
    <row r="105" spans="1:24" ht="14.6">
      <c r="A105" s="1229"/>
      <c r="B105" s="164" t="s">
        <v>357</v>
      </c>
      <c r="C105" s="85">
        <v>540</v>
      </c>
      <c r="D105" s="85">
        <v>260</v>
      </c>
      <c r="E105" s="85">
        <v>29</v>
      </c>
      <c r="F105" s="85">
        <v>19</v>
      </c>
      <c r="G105" s="85">
        <v>0</v>
      </c>
      <c r="H105" s="85">
        <v>175</v>
      </c>
      <c r="I105" s="85">
        <v>390</v>
      </c>
      <c r="J105" s="85">
        <v>62</v>
      </c>
      <c r="K105" s="85">
        <v>0</v>
      </c>
      <c r="L105" s="85">
        <v>48</v>
      </c>
      <c r="M105" s="85">
        <v>11</v>
      </c>
      <c r="N105" s="155">
        <v>25</v>
      </c>
      <c r="O105" s="85">
        <v>0</v>
      </c>
      <c r="P105" s="85">
        <v>40</v>
      </c>
      <c r="Q105" s="85">
        <v>0</v>
      </c>
      <c r="R105" s="160"/>
      <c r="S105" s="160"/>
      <c r="T105" s="160"/>
      <c r="U105" s="160"/>
      <c r="V105" s="160"/>
      <c r="W105" s="160"/>
      <c r="X105" s="165"/>
    </row>
    <row r="106" spans="1:24" ht="14.6">
      <c r="A106" s="1229"/>
      <c r="B106" s="164" t="s">
        <v>36</v>
      </c>
      <c r="C106" s="155">
        <v>546.76</v>
      </c>
      <c r="D106" s="155">
        <v>257.75</v>
      </c>
      <c r="E106" s="155">
        <v>28.64</v>
      </c>
      <c r="F106" s="155">
        <v>18.22</v>
      </c>
      <c r="G106" s="155">
        <v>0</v>
      </c>
      <c r="H106" s="155">
        <v>169.23</v>
      </c>
      <c r="I106" s="155">
        <v>365.73</v>
      </c>
      <c r="J106" s="155">
        <v>66.38</v>
      </c>
      <c r="K106" s="155">
        <v>0.01</v>
      </c>
      <c r="L106" s="155">
        <v>52.77</v>
      </c>
      <c r="M106" s="155">
        <v>10.41</v>
      </c>
      <c r="N106" s="155">
        <v>25</v>
      </c>
      <c r="O106" s="155">
        <v>0.03</v>
      </c>
      <c r="P106" s="155">
        <v>40</v>
      </c>
      <c r="Q106" s="155">
        <v>0.01</v>
      </c>
      <c r="R106" s="160"/>
      <c r="S106" s="160"/>
      <c r="T106" s="160"/>
      <c r="U106" s="160"/>
      <c r="V106" s="160"/>
      <c r="W106" s="160"/>
      <c r="X106" s="165"/>
    </row>
    <row r="107" spans="1:24" ht="14.6">
      <c r="A107" s="1229"/>
      <c r="B107" s="164" t="s">
        <v>374</v>
      </c>
      <c r="C107" s="155">
        <v>538.04999999999995</v>
      </c>
      <c r="D107" s="155">
        <v>260.45999999999998</v>
      </c>
      <c r="E107" s="155">
        <v>28.94</v>
      </c>
      <c r="F107" s="155">
        <v>18.420000000000002</v>
      </c>
      <c r="G107" s="155">
        <v>0</v>
      </c>
      <c r="H107" s="155">
        <v>171.01</v>
      </c>
      <c r="I107" s="155">
        <v>369.17</v>
      </c>
      <c r="J107" s="155">
        <v>63.51</v>
      </c>
      <c r="K107" s="155">
        <v>0.04</v>
      </c>
      <c r="L107" s="155">
        <v>49.91</v>
      </c>
      <c r="M107" s="155">
        <v>10.52</v>
      </c>
      <c r="N107" s="155">
        <v>25</v>
      </c>
      <c r="O107" s="155">
        <v>0</v>
      </c>
      <c r="P107" s="155">
        <v>40</v>
      </c>
      <c r="Q107" s="155">
        <v>0</v>
      </c>
      <c r="R107" s="160"/>
      <c r="S107" s="160"/>
      <c r="T107" s="160"/>
      <c r="U107" s="160"/>
      <c r="V107" s="160"/>
      <c r="W107" s="160"/>
      <c r="X107" s="165"/>
    </row>
    <row r="108" spans="1:24" ht="14.6">
      <c r="A108" s="1229"/>
      <c r="B108" s="164" t="s">
        <v>358</v>
      </c>
      <c r="C108" s="155">
        <v>530.57000000000005</v>
      </c>
      <c r="D108" s="155">
        <v>262.91000000000003</v>
      </c>
      <c r="E108" s="155">
        <v>29.21</v>
      </c>
      <c r="F108" s="155">
        <v>18.559999999999999</v>
      </c>
      <c r="G108" s="155">
        <v>0</v>
      </c>
      <c r="H108" s="155">
        <v>172.21</v>
      </c>
      <c r="I108" s="155">
        <v>373.46</v>
      </c>
      <c r="J108" s="155">
        <v>60.99</v>
      </c>
      <c r="K108" s="155">
        <v>0</v>
      </c>
      <c r="L108" s="155">
        <v>47.76</v>
      </c>
      <c r="M108" s="155">
        <v>10.6</v>
      </c>
      <c r="N108" s="155">
        <v>25</v>
      </c>
      <c r="O108" s="155">
        <v>0</v>
      </c>
      <c r="P108" s="155">
        <v>40</v>
      </c>
      <c r="Q108" s="155">
        <v>0</v>
      </c>
      <c r="R108" s="160"/>
      <c r="S108" s="160"/>
      <c r="T108" s="160"/>
      <c r="U108" s="160"/>
      <c r="V108" s="160"/>
      <c r="W108" s="160"/>
      <c r="X108" s="165"/>
    </row>
    <row r="109" spans="1:24" ht="14.6">
      <c r="A109" s="1229"/>
      <c r="B109" s="164" t="s">
        <v>359</v>
      </c>
      <c r="C109" s="155">
        <v>539.80999999999995</v>
      </c>
      <c r="D109" s="155">
        <v>259.83</v>
      </c>
      <c r="E109" s="155">
        <v>28.87</v>
      </c>
      <c r="F109" s="155">
        <v>18.37</v>
      </c>
      <c r="G109" s="155">
        <v>0</v>
      </c>
      <c r="H109" s="155">
        <v>170.59</v>
      </c>
      <c r="I109" s="155">
        <v>370.1</v>
      </c>
      <c r="J109" s="155">
        <v>63.74</v>
      </c>
      <c r="K109" s="155">
        <v>0.02</v>
      </c>
      <c r="L109" s="155">
        <v>50.23</v>
      </c>
      <c r="M109" s="155">
        <v>10.5</v>
      </c>
      <c r="N109" s="155">
        <v>25</v>
      </c>
      <c r="O109" s="155">
        <v>0.01</v>
      </c>
      <c r="P109" s="155">
        <v>40</v>
      </c>
      <c r="Q109" s="155">
        <v>0</v>
      </c>
      <c r="R109" s="160"/>
      <c r="S109" s="160"/>
      <c r="T109" s="160"/>
      <c r="U109" s="160"/>
      <c r="V109" s="160"/>
      <c r="W109" s="160"/>
      <c r="X109" s="165"/>
    </row>
    <row r="110" spans="1:24" ht="14.6">
      <c r="A110" s="1229"/>
      <c r="B110" s="164" t="s">
        <v>139</v>
      </c>
      <c r="C110" s="155">
        <v>542.72</v>
      </c>
      <c r="D110" s="155">
        <v>263</v>
      </c>
      <c r="E110" s="155">
        <v>29.22</v>
      </c>
      <c r="F110" s="155">
        <v>18.600000000000001</v>
      </c>
      <c r="G110" s="155">
        <v>0</v>
      </c>
      <c r="H110" s="155">
        <v>172.68</v>
      </c>
      <c r="I110" s="155">
        <v>373.81</v>
      </c>
      <c r="J110" s="155">
        <v>63.53</v>
      </c>
      <c r="K110" s="155">
        <v>0</v>
      </c>
      <c r="L110" s="155">
        <v>49.41</v>
      </c>
      <c r="M110" s="155">
        <v>10.63</v>
      </c>
      <c r="N110" s="155">
        <v>25</v>
      </c>
      <c r="O110" s="155">
        <v>0</v>
      </c>
      <c r="P110" s="155">
        <v>40</v>
      </c>
      <c r="Q110" s="155">
        <v>0</v>
      </c>
      <c r="R110" s="160"/>
      <c r="S110" s="160"/>
      <c r="T110" s="160"/>
      <c r="U110" s="160"/>
      <c r="V110" s="160"/>
      <c r="W110" s="160"/>
      <c r="X110" s="165"/>
    </row>
    <row r="111" spans="1:24" ht="14.6">
      <c r="A111" s="1229"/>
      <c r="B111" s="164" t="s">
        <v>140</v>
      </c>
      <c r="C111" s="155">
        <v>544.84</v>
      </c>
      <c r="D111" s="155">
        <v>257.89999999999998</v>
      </c>
      <c r="E111" s="155">
        <v>28.66</v>
      </c>
      <c r="F111" s="155">
        <v>18.239999999999998</v>
      </c>
      <c r="G111" s="155">
        <v>0</v>
      </c>
      <c r="H111" s="155">
        <v>169.33</v>
      </c>
      <c r="I111" s="155">
        <v>371.23</v>
      </c>
      <c r="J111" s="155">
        <v>65.97</v>
      </c>
      <c r="K111" s="155">
        <v>7.0000000000000007E-2</v>
      </c>
      <c r="L111" s="155">
        <v>52.3</v>
      </c>
      <c r="M111" s="155">
        <v>10.42</v>
      </c>
      <c r="N111" s="155">
        <v>25</v>
      </c>
      <c r="O111" s="155">
        <v>0</v>
      </c>
      <c r="P111" s="155">
        <v>40</v>
      </c>
      <c r="Q111" s="155">
        <v>0.01</v>
      </c>
      <c r="R111" s="160"/>
      <c r="S111" s="160"/>
      <c r="T111" s="160"/>
      <c r="U111" s="160"/>
      <c r="V111" s="160"/>
      <c r="W111" s="160"/>
      <c r="X111" s="165"/>
    </row>
    <row r="112" spans="1:24" ht="14.6">
      <c r="A112" s="1229"/>
      <c r="B112" s="164" t="s">
        <v>360</v>
      </c>
      <c r="C112" s="155">
        <v>539.48</v>
      </c>
      <c r="D112" s="155">
        <v>262.19</v>
      </c>
      <c r="E112" s="155">
        <v>29.13</v>
      </c>
      <c r="F112" s="155">
        <v>18.54</v>
      </c>
      <c r="G112" s="155">
        <v>0</v>
      </c>
      <c r="H112" s="155">
        <v>172.15</v>
      </c>
      <c r="I112" s="155">
        <v>370.78</v>
      </c>
      <c r="J112" s="155">
        <v>63.28</v>
      </c>
      <c r="K112" s="155">
        <v>0.01</v>
      </c>
      <c r="L112" s="155">
        <v>49.41</v>
      </c>
      <c r="M112" s="155">
        <v>10.6</v>
      </c>
      <c r="N112" s="155">
        <v>25</v>
      </c>
      <c r="O112" s="155">
        <v>0</v>
      </c>
      <c r="P112" s="155">
        <v>40</v>
      </c>
      <c r="Q112" s="155">
        <v>0.01</v>
      </c>
      <c r="R112" s="160"/>
      <c r="S112" s="160"/>
      <c r="T112" s="160"/>
      <c r="U112" s="160"/>
      <c r="V112" s="160"/>
      <c r="W112" s="160"/>
      <c r="X112" s="165"/>
    </row>
    <row r="113" spans="1:24" ht="14.6">
      <c r="A113" s="1229"/>
      <c r="B113" s="164" t="s">
        <v>66</v>
      </c>
      <c r="C113" s="155">
        <v>541.57000000000005</v>
      </c>
      <c r="D113" s="155">
        <v>260.35000000000002</v>
      </c>
      <c r="E113" s="155">
        <v>28.93</v>
      </c>
      <c r="F113" s="155">
        <v>18.41</v>
      </c>
      <c r="G113" s="155">
        <v>0</v>
      </c>
      <c r="H113" s="155">
        <v>170.94</v>
      </c>
      <c r="I113" s="155">
        <v>369.44</v>
      </c>
      <c r="J113" s="155">
        <v>64.400000000000006</v>
      </c>
      <c r="K113" s="155">
        <v>0</v>
      </c>
      <c r="L113" s="155">
        <v>51.11</v>
      </c>
      <c r="M113" s="155">
        <v>10.54</v>
      </c>
      <c r="N113" s="155">
        <v>25</v>
      </c>
      <c r="O113" s="155">
        <v>0</v>
      </c>
      <c r="P113" s="155">
        <v>40</v>
      </c>
      <c r="Q113" s="155">
        <v>0</v>
      </c>
      <c r="R113" s="160"/>
      <c r="S113" s="160"/>
      <c r="T113" s="160"/>
      <c r="U113" s="160"/>
      <c r="V113" s="160"/>
      <c r="W113" s="160"/>
      <c r="X113" s="165"/>
    </row>
    <row r="114" spans="1:24" ht="15" thickBot="1">
      <c r="A114" s="1230"/>
      <c r="B114" s="166" t="s">
        <v>130</v>
      </c>
      <c r="C114" s="156">
        <v>538.64</v>
      </c>
      <c r="D114" s="156">
        <v>266.63</v>
      </c>
      <c r="E114" s="156">
        <v>29.63</v>
      </c>
      <c r="F114" s="156">
        <v>18.850000000000001</v>
      </c>
      <c r="G114" s="156">
        <v>0</v>
      </c>
      <c r="H114" s="156">
        <v>175.06</v>
      </c>
      <c r="I114" s="156">
        <v>377.05</v>
      </c>
      <c r="J114" s="156">
        <v>61.94</v>
      </c>
      <c r="K114" s="156">
        <v>0</v>
      </c>
      <c r="L114" s="156">
        <v>48.48</v>
      </c>
      <c r="M114" s="156">
        <v>10.77</v>
      </c>
      <c r="N114" s="156">
        <v>25</v>
      </c>
      <c r="O114" s="156">
        <v>0</v>
      </c>
      <c r="P114" s="156">
        <v>40</v>
      </c>
      <c r="Q114" s="156">
        <v>0</v>
      </c>
      <c r="R114" s="167"/>
      <c r="S114" s="167"/>
      <c r="T114" s="167"/>
      <c r="U114" s="167"/>
      <c r="V114" s="167"/>
      <c r="W114" s="167"/>
      <c r="X114" s="168"/>
    </row>
    <row r="115" spans="1:24" ht="15">
      <c r="A115" s="31"/>
      <c r="B115" s="31"/>
      <c r="C115" s="31"/>
      <c r="D115" s="31"/>
      <c r="E115" s="31"/>
      <c r="F115" s="31"/>
      <c r="G115" s="31"/>
      <c r="H115" s="31"/>
      <c r="I115" s="31"/>
      <c r="J115" s="31"/>
      <c r="K115" s="31"/>
      <c r="L115" s="31"/>
      <c r="M115" s="31"/>
      <c r="N115" s="31"/>
      <c r="O115" s="31"/>
      <c r="P115" s="31"/>
      <c r="Q115" s="31"/>
    </row>
    <row r="116" spans="1:24" ht="44.25" customHeight="1">
      <c r="B116" s="1227" t="s">
        <v>168</v>
      </c>
      <c r="C116" s="1227"/>
      <c r="D116" s="1227"/>
      <c r="E116" s="1227"/>
      <c r="F116" s="1227"/>
      <c r="G116" s="1227"/>
      <c r="H116" s="1227"/>
      <c r="I116" s="1227"/>
      <c r="J116" s="1227"/>
      <c r="K116" s="1227"/>
      <c r="L116" s="1227"/>
      <c r="M116" s="1227"/>
      <c r="N116" s="1227"/>
      <c r="O116" s="1227"/>
      <c r="P116" s="1227"/>
      <c r="Q116" s="1227"/>
      <c r="R116" s="1227"/>
      <c r="S116" s="1227"/>
      <c r="T116" s="1227"/>
      <c r="U116" s="1227"/>
      <c r="V116" s="1227"/>
      <c r="W116" s="1227"/>
      <c r="X116" s="1227"/>
    </row>
    <row r="117" spans="1:24" ht="15">
      <c r="A117" s="31"/>
      <c r="B117" s="31"/>
      <c r="C117" s="31"/>
      <c r="D117" s="31"/>
      <c r="E117" s="31"/>
      <c r="F117" s="31"/>
      <c r="G117" s="31"/>
      <c r="H117" s="31"/>
      <c r="I117" s="31"/>
      <c r="J117" s="31"/>
      <c r="K117" s="31"/>
      <c r="L117" s="31"/>
      <c r="M117" s="31"/>
      <c r="N117" s="31"/>
      <c r="O117" s="31"/>
      <c r="P117" s="31"/>
      <c r="Q117" s="31"/>
    </row>
    <row r="118" spans="1:24" ht="15">
      <c r="A118" s="31"/>
      <c r="B118" s="5" t="s">
        <v>362</v>
      </c>
      <c r="C118" s="4">
        <f>SUM(AVERAGE(C5:C65),AVERAGE(C100:C114))</f>
        <v>1035.5964918032787</v>
      </c>
      <c r="D118" s="4">
        <f t="shared" ref="D118:X118" si="0">SUM(AVERAGE(D5:D65),AVERAGE(D100:D114))</f>
        <v>265.94787978142074</v>
      </c>
      <c r="E118" s="4">
        <f t="shared" si="0"/>
        <v>29.493628415300549</v>
      </c>
      <c r="F118" s="4">
        <f t="shared" si="0"/>
        <v>18.554338797814207</v>
      </c>
      <c r="G118" s="4">
        <f t="shared" si="0"/>
        <v>0</v>
      </c>
      <c r="H118" s="4">
        <f t="shared" si="0"/>
        <v>169.46866666666665</v>
      </c>
      <c r="I118" s="4">
        <f t="shared" si="0"/>
        <v>439.78098360655736</v>
      </c>
      <c r="J118" s="4">
        <f t="shared" si="0"/>
        <v>186.14149726775958</v>
      </c>
      <c r="K118" s="4">
        <f t="shared" si="0"/>
        <v>0.46200000000000002</v>
      </c>
      <c r="L118" s="4">
        <f t="shared" si="0"/>
        <v>167.2450163934426</v>
      </c>
      <c r="M118" s="4">
        <f t="shared" si="0"/>
        <v>120.20067759562842</v>
      </c>
      <c r="N118" s="4">
        <f t="shared" si="0"/>
        <v>25.409836065573771</v>
      </c>
      <c r="O118" s="4">
        <f t="shared" si="0"/>
        <v>2.6666666666666666E-3</v>
      </c>
      <c r="P118" s="4">
        <f t="shared" si="0"/>
        <v>39</v>
      </c>
      <c r="Q118" s="4">
        <f t="shared" si="0"/>
        <v>22.19760655737705</v>
      </c>
      <c r="R118" s="4" t="e">
        <f t="shared" si="0"/>
        <v>#DIV/0!</v>
      </c>
      <c r="S118" s="4" t="e">
        <f t="shared" si="0"/>
        <v>#DIV/0!</v>
      </c>
      <c r="T118" s="4" t="e">
        <f t="shared" si="0"/>
        <v>#DIV/0!</v>
      </c>
      <c r="U118" s="4" t="e">
        <f t="shared" si="0"/>
        <v>#DIV/0!</v>
      </c>
      <c r="V118" s="4" t="e">
        <f t="shared" si="0"/>
        <v>#DIV/0!</v>
      </c>
      <c r="W118" s="4" t="e">
        <f t="shared" si="0"/>
        <v>#DIV/0!</v>
      </c>
      <c r="X118" s="4" t="e">
        <f t="shared" si="0"/>
        <v>#DIV/0!</v>
      </c>
    </row>
    <row r="119" spans="1:24" ht="29.15">
      <c r="A119" s="29"/>
      <c r="B119" s="5" t="s">
        <v>363</v>
      </c>
      <c r="C119" s="4" t="str">
        <f xml:space="preserve"> ROUND(MIN(C5:C54)+MIN(C100:C114), 0) &amp; " - " &amp; ROUND(MAX(C5:C54)+MAX(C100:C114),0)</f>
        <v>860 - 1286</v>
      </c>
      <c r="D119" s="4" t="str">
        <f t="shared" ref="D119:X119" si="1" xml:space="preserve"> ROUND(MIN(D5:D54)+MIN(D100:D114), 0) &amp; " - " &amp; ROUND(MAX(D5:D54)+MAX(D100:D114),0)</f>
        <v>242 - 427</v>
      </c>
      <c r="E119" s="4" t="str">
        <f t="shared" si="1"/>
        <v>27 - 48</v>
      </c>
      <c r="F119" s="4" t="str">
        <f t="shared" si="1"/>
        <v>16 - 22</v>
      </c>
      <c r="G119" s="4" t="str">
        <f t="shared" si="1"/>
        <v>0 - 0</v>
      </c>
      <c r="H119" s="4" t="str">
        <f t="shared" si="1"/>
        <v>148 - 175</v>
      </c>
      <c r="I119" s="4" t="str">
        <f t="shared" si="1"/>
        <v>360 - 640</v>
      </c>
      <c r="J119" s="4" t="str">
        <f t="shared" si="1"/>
        <v>145 - 257</v>
      </c>
      <c r="K119" s="4" t="str">
        <f t="shared" si="1"/>
        <v>0 - 2</v>
      </c>
      <c r="L119" s="4" t="str">
        <f t="shared" si="1"/>
        <v>129 - 236</v>
      </c>
      <c r="M119" s="4" t="str">
        <f t="shared" si="1"/>
        <v>52 - 190</v>
      </c>
      <c r="N119" s="4" t="str">
        <f t="shared" si="1"/>
        <v>25 - 31</v>
      </c>
      <c r="O119" s="4" t="str">
        <f t="shared" si="1"/>
        <v>0 - 0</v>
      </c>
      <c r="P119" s="4" t="str">
        <f t="shared" si="1"/>
        <v>25 - 40</v>
      </c>
      <c r="Q119" s="4" t="str">
        <f t="shared" si="1"/>
        <v>12 - 52</v>
      </c>
      <c r="R119" s="4" t="str">
        <f t="shared" si="1"/>
        <v>0 - 2</v>
      </c>
      <c r="S119" s="4" t="str">
        <f t="shared" si="1"/>
        <v>0 - 2</v>
      </c>
      <c r="T119" s="4" t="str">
        <f t="shared" si="1"/>
        <v>0 - 10</v>
      </c>
      <c r="U119" s="4" t="str">
        <f t="shared" si="1"/>
        <v>0 - 151</v>
      </c>
      <c r="V119" s="4" t="str">
        <f t="shared" si="1"/>
        <v>0 - 4</v>
      </c>
      <c r="W119" s="4" t="str">
        <f t="shared" si="1"/>
        <v>0 - 2</v>
      </c>
      <c r="X119" s="4" t="str">
        <f t="shared" si="1"/>
        <v>0 - 45</v>
      </c>
    </row>
    <row r="120" spans="1:24" ht="15">
      <c r="A120" s="29"/>
      <c r="B120" s="5" t="s">
        <v>364</v>
      </c>
      <c r="C120" s="4">
        <f>SUM(AVERAGE(C55:C65), AVERAGE(C100:C114))</f>
        <v>1000.0078181818183</v>
      </c>
      <c r="D120" s="4">
        <f t="shared" ref="D120:X120" si="2">SUM(AVERAGE(D55:D65), AVERAGE(D100:D114))</f>
        <v>267.61703030303028</v>
      </c>
      <c r="E120" s="4">
        <f t="shared" si="2"/>
        <v>29.640424242424245</v>
      </c>
      <c r="F120" s="4">
        <f t="shared" si="2"/>
        <v>19.143757575757576</v>
      </c>
      <c r="G120" s="4">
        <f t="shared" si="2"/>
        <v>0</v>
      </c>
      <c r="H120" s="4">
        <f t="shared" si="2"/>
        <v>169.46866666666665</v>
      </c>
      <c r="I120" s="4">
        <f t="shared" si="2"/>
        <v>400.87636363636358</v>
      </c>
      <c r="J120" s="4">
        <f t="shared" si="2"/>
        <v>165.91496969696971</v>
      </c>
      <c r="K120" s="4">
        <f t="shared" si="2"/>
        <v>1.5574545454545454</v>
      </c>
      <c r="L120" s="4">
        <f t="shared" si="2"/>
        <v>147.786</v>
      </c>
      <c r="M120" s="4">
        <f t="shared" si="2"/>
        <v>102.19769696969698</v>
      </c>
      <c r="N120" s="4">
        <f t="shared" si="2"/>
        <v>25.727272727272727</v>
      </c>
      <c r="O120" s="4">
        <f t="shared" si="2"/>
        <v>2.6666666666666666E-3</v>
      </c>
      <c r="P120" s="4">
        <f t="shared" si="2"/>
        <v>39</v>
      </c>
      <c r="Q120" s="4">
        <f t="shared" si="2"/>
        <v>34.729272727272729</v>
      </c>
      <c r="R120" s="4" t="e">
        <f t="shared" si="2"/>
        <v>#DIV/0!</v>
      </c>
      <c r="S120" s="4" t="e">
        <f t="shared" si="2"/>
        <v>#DIV/0!</v>
      </c>
      <c r="T120" s="4" t="e">
        <f t="shared" si="2"/>
        <v>#DIV/0!</v>
      </c>
      <c r="U120" s="4" t="e">
        <f t="shared" si="2"/>
        <v>#DIV/0!</v>
      </c>
      <c r="V120" s="4" t="e">
        <f t="shared" si="2"/>
        <v>#DIV/0!</v>
      </c>
      <c r="W120" s="4" t="e">
        <f t="shared" si="2"/>
        <v>#DIV/0!</v>
      </c>
      <c r="X120" s="4" t="e">
        <f t="shared" si="2"/>
        <v>#DIV/0!</v>
      </c>
    </row>
    <row r="121" spans="1:24" ht="29.15">
      <c r="A121" s="29"/>
      <c r="B121" s="5" t="s">
        <v>365</v>
      </c>
      <c r="C121" s="4" t="str">
        <f xml:space="preserve"> ROUND(MIN(C55:C65)+MIN(C100:C114),0) &amp; " - " &amp; ROUND(MAX(C55:C65)+MAX(C100:C114),0)</f>
        <v>910 - 1176</v>
      </c>
      <c r="D121" s="4" t="str">
        <f t="shared" ref="D121:X121" si="3" xml:space="preserve"> ROUND(MIN(D55:D65)+MIN(D100:D114),0) &amp; " - " &amp; ROUND(MAX(D55:D65)+MAX(D100:D114),0)</f>
        <v>242 - 327</v>
      </c>
      <c r="E121" s="4" t="str">
        <f t="shared" si="3"/>
        <v>27 - 36</v>
      </c>
      <c r="F121" s="4" t="str">
        <f t="shared" si="3"/>
        <v>16 - 25</v>
      </c>
      <c r="G121" s="4" t="str">
        <f t="shared" si="3"/>
        <v>0 - 0</v>
      </c>
      <c r="H121" s="4" t="str">
        <f t="shared" si="3"/>
        <v>148 - 175</v>
      </c>
      <c r="I121" s="4" t="str">
        <f t="shared" si="3"/>
        <v>330 - 515</v>
      </c>
      <c r="J121" s="4" t="str">
        <f t="shared" si="3"/>
        <v>144 - 213</v>
      </c>
      <c r="K121" s="4" t="str">
        <f t="shared" si="3"/>
        <v>0 - 6</v>
      </c>
      <c r="L121" s="4" t="str">
        <f t="shared" si="3"/>
        <v>127 - 189</v>
      </c>
      <c r="M121" s="4" t="str">
        <f t="shared" si="3"/>
        <v>85 - 140</v>
      </c>
      <c r="N121" s="4" t="str">
        <f t="shared" si="3"/>
        <v>25 - 27</v>
      </c>
      <c r="O121" s="4" t="str">
        <f t="shared" si="3"/>
        <v>0 - 0</v>
      </c>
      <c r="P121" s="4" t="str">
        <f t="shared" si="3"/>
        <v>25 - 40</v>
      </c>
      <c r="Q121" s="4" t="str">
        <f t="shared" si="3"/>
        <v>16 - 81</v>
      </c>
      <c r="R121" s="4" t="str">
        <f t="shared" si="3"/>
        <v>2 - 6</v>
      </c>
      <c r="S121" s="4" t="str">
        <f t="shared" si="3"/>
        <v>0 - 2</v>
      </c>
      <c r="T121" s="4" t="str">
        <f t="shared" si="3"/>
        <v>0 - 10</v>
      </c>
      <c r="U121" s="4" t="str">
        <f t="shared" si="3"/>
        <v>16 - 511</v>
      </c>
      <c r="V121" s="4" t="str">
        <f t="shared" si="3"/>
        <v>0 - 10</v>
      </c>
      <c r="W121" s="4" t="str">
        <f t="shared" si="3"/>
        <v>0 - 0</v>
      </c>
      <c r="X121" s="4" t="str">
        <f t="shared" si="3"/>
        <v>2 - 500</v>
      </c>
    </row>
    <row r="122" spans="1:24" ht="15">
      <c r="A122" s="29"/>
      <c r="B122" s="5" t="s">
        <v>366</v>
      </c>
      <c r="C122" s="4">
        <f t="shared" ref="C122" si="4">SUM(AVERAGE(C67:C93),AVERAGE(C100:C114))</f>
        <v>1138.4926666666665</v>
      </c>
      <c r="D122" s="4">
        <f t="shared" ref="D122:X122" si="5">SUM(AVERAGE(D67:D93),AVERAGE(D100:D114))</f>
        <v>329.53622222222219</v>
      </c>
      <c r="E122" s="4">
        <f t="shared" si="5"/>
        <v>36.638740740740744</v>
      </c>
      <c r="F122" s="4">
        <f t="shared" si="5"/>
        <v>24.438370370370368</v>
      </c>
      <c r="G122" s="4">
        <f t="shared" si="5"/>
        <v>0</v>
      </c>
      <c r="H122" s="4">
        <f t="shared" si="5"/>
        <v>170.76496296296295</v>
      </c>
      <c r="I122" s="4">
        <f t="shared" si="5"/>
        <v>531.12888888888881</v>
      </c>
      <c r="J122" s="4">
        <f t="shared" si="5"/>
        <v>198.18096296296295</v>
      </c>
      <c r="K122" s="4">
        <f t="shared" si="5"/>
        <v>0.23422222222222222</v>
      </c>
      <c r="L122" s="4">
        <f t="shared" si="5"/>
        <v>175.41562962962962</v>
      </c>
      <c r="M122" s="4">
        <f t="shared" si="5"/>
        <v>111.89466666666667</v>
      </c>
      <c r="N122" s="4">
        <f t="shared" si="5"/>
        <v>26.185185185185183</v>
      </c>
      <c r="O122" s="4">
        <f t="shared" si="5"/>
        <v>2.6666666666666666E-3</v>
      </c>
      <c r="P122" s="4">
        <f t="shared" si="5"/>
        <v>39</v>
      </c>
      <c r="Q122" s="4">
        <f t="shared" si="5"/>
        <v>25.187185185185186</v>
      </c>
      <c r="R122" s="4" t="e">
        <f t="shared" si="5"/>
        <v>#DIV/0!</v>
      </c>
      <c r="S122" s="4" t="e">
        <f t="shared" si="5"/>
        <v>#DIV/0!</v>
      </c>
      <c r="T122" s="4" t="e">
        <f t="shared" si="5"/>
        <v>#DIV/0!</v>
      </c>
      <c r="U122" s="4" t="e">
        <f t="shared" si="5"/>
        <v>#DIV/0!</v>
      </c>
      <c r="V122" s="4" t="e">
        <f t="shared" si="5"/>
        <v>#DIV/0!</v>
      </c>
      <c r="W122" s="4" t="e">
        <f t="shared" si="5"/>
        <v>#DIV/0!</v>
      </c>
      <c r="X122" s="4" t="e">
        <f t="shared" si="5"/>
        <v>#DIV/0!</v>
      </c>
    </row>
    <row r="123" spans="1:24" ht="29.15">
      <c r="A123" s="29"/>
      <c r="B123" s="5" t="s">
        <v>367</v>
      </c>
      <c r="C123" s="4" t="str">
        <f t="shared" ref="C123" si="6" xml:space="preserve"> ROUND(MIN(C67:C93)+MIN(C100:C114),0) &amp; " - " &amp; ROUND(MAX(C67:C93)+MAX(C100:C114),0)</f>
        <v>1010 - 1316</v>
      </c>
      <c r="D123" s="4" t="str">
        <f t="shared" ref="D123:X123" si="7" xml:space="preserve"> ROUND(MIN(D67:D93)+MIN(D100:D114),0) &amp; " - " &amp; ROUND(MAX(D67:D93)+MAX(D100:D114),0)</f>
        <v>267 - 417</v>
      </c>
      <c r="E123" s="4" t="str">
        <f t="shared" si="7"/>
        <v>29 - 47</v>
      </c>
      <c r="F123" s="4" t="str">
        <f t="shared" si="7"/>
        <v>19 - 28</v>
      </c>
      <c r="G123" s="4" t="str">
        <f t="shared" si="7"/>
        <v>0 - 0</v>
      </c>
      <c r="H123" s="4" t="str">
        <f t="shared" si="7"/>
        <v>148 - 180</v>
      </c>
      <c r="I123" s="4" t="str">
        <f t="shared" si="7"/>
        <v>390 - 720</v>
      </c>
      <c r="J123" s="4" t="str">
        <f t="shared" si="7"/>
        <v>167 - 232</v>
      </c>
      <c r="K123" s="4" t="str">
        <f t="shared" si="7"/>
        <v>0 - 3</v>
      </c>
      <c r="L123" s="4" t="str">
        <f t="shared" si="7"/>
        <v>146 - 207</v>
      </c>
      <c r="M123" s="4" t="str">
        <f t="shared" si="7"/>
        <v>59 - 157</v>
      </c>
      <c r="N123" s="4" t="str">
        <f t="shared" si="7"/>
        <v>25 - 29</v>
      </c>
      <c r="O123" s="4" t="str">
        <f t="shared" si="7"/>
        <v>0 - 0</v>
      </c>
      <c r="P123" s="4" t="str">
        <f t="shared" si="7"/>
        <v>25 - 40</v>
      </c>
      <c r="Q123" s="4" t="str">
        <f t="shared" si="7"/>
        <v>15 - 83</v>
      </c>
      <c r="R123" s="4" t="str">
        <f t="shared" si="7"/>
        <v>2 - 6</v>
      </c>
      <c r="S123" s="4" t="str">
        <f t="shared" si="7"/>
        <v>0 - 3</v>
      </c>
      <c r="T123" s="4" t="str">
        <f t="shared" si="7"/>
        <v>0 - 15</v>
      </c>
      <c r="U123" s="4" t="str">
        <f t="shared" si="7"/>
        <v>12 - 430</v>
      </c>
      <c r="V123" s="4" t="str">
        <f t="shared" si="7"/>
        <v>0 - 10</v>
      </c>
      <c r="W123" s="4" t="str">
        <f t="shared" si="7"/>
        <v>0 - 0</v>
      </c>
      <c r="X123" s="4" t="str">
        <f t="shared" si="7"/>
        <v>0 - 10</v>
      </c>
    </row>
    <row r="124" spans="1:24" ht="15">
      <c r="A124" s="29"/>
      <c r="B124" s="5" t="s">
        <v>368</v>
      </c>
      <c r="C124" s="4">
        <f t="shared" ref="C124" si="8">SUM(AVERAGE(C94:C99), AVERAGE(C100:C114))</f>
        <v>783.49266666666665</v>
      </c>
      <c r="D124" s="4">
        <f t="shared" ref="D124:X124" si="9">SUM(AVERAGE(D94:D99), AVERAGE(D100:D114))</f>
        <v>258.98066666666665</v>
      </c>
      <c r="E124" s="4">
        <f t="shared" si="9"/>
        <v>28.731333333333335</v>
      </c>
      <c r="F124" s="4">
        <f t="shared" si="9"/>
        <v>18.234666666666666</v>
      </c>
      <c r="G124" s="4">
        <f t="shared" si="9"/>
        <v>0</v>
      </c>
      <c r="H124" s="4">
        <f t="shared" si="9"/>
        <v>169.46866666666665</v>
      </c>
      <c r="I124" s="4">
        <f t="shared" si="9"/>
        <v>423.07333333333327</v>
      </c>
      <c r="J124" s="4">
        <f t="shared" si="9"/>
        <v>148.38466666666665</v>
      </c>
      <c r="K124" s="4">
        <f t="shared" si="9"/>
        <v>0.17866666666666667</v>
      </c>
      <c r="L124" s="4">
        <f t="shared" si="9"/>
        <v>50.952666666666651</v>
      </c>
      <c r="M124" s="4">
        <f t="shared" si="9"/>
        <v>10.561333333333332</v>
      </c>
      <c r="N124" s="4">
        <f t="shared" si="9"/>
        <v>25.166666666666668</v>
      </c>
      <c r="O124" s="4">
        <f t="shared" si="9"/>
        <v>2.6666666666666666E-3</v>
      </c>
      <c r="P124" s="4">
        <f t="shared" si="9"/>
        <v>39</v>
      </c>
      <c r="Q124" s="4">
        <f t="shared" si="9"/>
        <v>21.001999999999999</v>
      </c>
      <c r="R124" s="4" t="e">
        <f t="shared" si="9"/>
        <v>#DIV/0!</v>
      </c>
      <c r="S124" s="4" t="e">
        <f t="shared" si="9"/>
        <v>#DIV/0!</v>
      </c>
      <c r="T124" s="4" t="e">
        <f t="shared" si="9"/>
        <v>#DIV/0!</v>
      </c>
      <c r="U124" s="4" t="e">
        <f t="shared" si="9"/>
        <v>#DIV/0!</v>
      </c>
      <c r="V124" s="4" t="e">
        <f t="shared" si="9"/>
        <v>#DIV/0!</v>
      </c>
      <c r="W124" s="4" t="e">
        <f t="shared" si="9"/>
        <v>#DIV/0!</v>
      </c>
      <c r="X124" s="4" t="e">
        <f t="shared" si="9"/>
        <v>#DIV/0!</v>
      </c>
    </row>
    <row r="125" spans="1:24" ht="29.15">
      <c r="A125" s="30"/>
      <c r="B125" s="5" t="s">
        <v>369</v>
      </c>
      <c r="C125" s="4" t="str">
        <f t="shared" ref="C125" si="10">ROUND( MIN(C94:C99)+MIN(C100:C114),0) &amp; " - " &amp; ROUND(MAX(C94:C99)+MAX(C100:C114),0)</f>
        <v>750 - 876</v>
      </c>
      <c r="D125" s="4" t="str">
        <f t="shared" ref="D125:X125" si="11">ROUND( MIN(D94:D99)+MIN(D100:D114),0) &amp; " - " &amp; ROUND(MAX(D94:D99)+MAX(D100:D114),0)</f>
        <v>242 - 267</v>
      </c>
      <c r="E125" s="4" t="str">
        <f t="shared" si="11"/>
        <v>27 - 30</v>
      </c>
      <c r="F125" s="4" t="str">
        <f t="shared" si="11"/>
        <v>16 - 19</v>
      </c>
      <c r="G125" s="4" t="str">
        <f t="shared" si="11"/>
        <v>0 - 0</v>
      </c>
      <c r="H125" s="4" t="str">
        <f t="shared" si="11"/>
        <v>148 - 175</v>
      </c>
      <c r="I125" s="4" t="str">
        <f t="shared" si="11"/>
        <v>355 - 460</v>
      </c>
      <c r="J125" s="4" t="str">
        <f t="shared" si="11"/>
        <v>136 - 180</v>
      </c>
      <c r="K125" s="4" t="str">
        <f t="shared" si="11"/>
        <v>0 - 1</v>
      </c>
      <c r="L125" s="4" t="str">
        <f t="shared" si="11"/>
        <v>48 - 58</v>
      </c>
      <c r="M125" s="4" t="str">
        <f t="shared" si="11"/>
        <v>10 - 11</v>
      </c>
      <c r="N125" s="4" t="str">
        <f t="shared" si="11"/>
        <v>25 - 26</v>
      </c>
      <c r="O125" s="4" t="str">
        <f t="shared" si="11"/>
        <v>0 - 0</v>
      </c>
      <c r="P125" s="4" t="str">
        <f t="shared" si="11"/>
        <v>25 - 40</v>
      </c>
      <c r="Q125" s="4" t="str">
        <f t="shared" si="11"/>
        <v>15 - 41</v>
      </c>
      <c r="R125" s="4" t="str">
        <f t="shared" si="11"/>
        <v>2 - 2</v>
      </c>
      <c r="S125" s="4" t="str">
        <f t="shared" si="11"/>
        <v>0 - 0</v>
      </c>
      <c r="T125" s="4" t="str">
        <f t="shared" si="11"/>
        <v>0 - 0</v>
      </c>
      <c r="U125" s="4" t="str">
        <f t="shared" si="11"/>
        <v>33 - 61</v>
      </c>
      <c r="V125" s="4" t="str">
        <f t="shared" si="11"/>
        <v>0 - 2</v>
      </c>
      <c r="W125" s="4" t="str">
        <f t="shared" si="11"/>
        <v>0 - 0</v>
      </c>
      <c r="X125" s="4" t="str">
        <f t="shared" si="11"/>
        <v>0 - 4</v>
      </c>
    </row>
  </sheetData>
  <mergeCells count="9">
    <mergeCell ref="A1:X1"/>
    <mergeCell ref="A2:X2"/>
    <mergeCell ref="A3:X3"/>
    <mergeCell ref="B116:X116"/>
    <mergeCell ref="A94:A99"/>
    <mergeCell ref="A100:A114"/>
    <mergeCell ref="A5:A54"/>
    <mergeCell ref="A55:A66"/>
    <mergeCell ref="A67:A93"/>
  </mergeCells>
  <pageMargins left="0.7" right="0.7" top="0.75" bottom="0.75" header="0.3" footer="0.3"/>
  <pageSetup scale="45"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170"/>
  <sheetViews>
    <sheetView topLeftCell="A59" zoomScale="80" zoomScaleNormal="80" zoomScalePageLayoutView="78" workbookViewId="0">
      <selection activeCell="B39" sqref="B39"/>
    </sheetView>
    <sheetView workbookViewId="1">
      <selection sqref="A1:V1"/>
    </sheetView>
    <sheetView workbookViewId="2">
      <selection sqref="A1:V1"/>
    </sheetView>
  </sheetViews>
  <sheetFormatPr defaultColWidth="8.84375" defaultRowHeight="15.9"/>
  <cols>
    <col min="1" max="1" width="9.3828125" style="179" customWidth="1"/>
    <col min="2" max="2" width="42.84375" style="179" customWidth="1"/>
    <col min="3" max="3" width="12.15234375" style="179" bestFit="1" customWidth="1"/>
    <col min="4" max="4" width="13" style="179" customWidth="1"/>
    <col min="5" max="5" width="8.53515625" style="179" customWidth="1"/>
    <col min="6" max="6" width="11.53515625" style="179" customWidth="1"/>
    <col min="7" max="7" width="8.53515625" style="179" customWidth="1"/>
    <col min="8" max="8" width="13" style="179" customWidth="1"/>
    <col min="9" max="9" width="9" style="179" customWidth="1"/>
    <col min="10" max="10" width="22.53515625" style="179" customWidth="1"/>
    <col min="11" max="11" width="13.15234375" style="179" customWidth="1"/>
    <col min="12" max="12" width="11.15234375" style="179" customWidth="1"/>
    <col min="13" max="13" width="10.53515625" style="179" customWidth="1"/>
    <col min="14" max="15" width="11.53515625" style="179" customWidth="1"/>
    <col min="16" max="16" width="16" style="179" customWidth="1"/>
    <col min="17" max="17" width="13.3828125" style="179" customWidth="1"/>
    <col min="18" max="18" width="13.15234375" style="179" customWidth="1"/>
    <col min="19" max="19" width="9.53515625" style="179" customWidth="1"/>
    <col min="20" max="22" width="18.84375" style="179" bestFit="1" customWidth="1"/>
    <col min="23" max="16384" width="8.84375" style="179"/>
  </cols>
  <sheetData>
    <row r="1" spans="1:22" ht="22.5" customHeight="1">
      <c r="A1" s="1214" t="s">
        <v>381</v>
      </c>
      <c r="B1" s="1215"/>
      <c r="C1" s="1215"/>
      <c r="D1" s="1215"/>
      <c r="E1" s="1215"/>
      <c r="F1" s="1215"/>
      <c r="G1" s="1215"/>
      <c r="H1" s="1215"/>
      <c r="I1" s="1215"/>
      <c r="J1" s="1215"/>
      <c r="K1" s="1215"/>
      <c r="L1" s="1215"/>
      <c r="M1" s="1215"/>
      <c r="N1" s="1215"/>
      <c r="O1" s="1215"/>
      <c r="P1" s="1215"/>
      <c r="Q1" s="1215"/>
      <c r="R1" s="1215"/>
      <c r="S1" s="1215"/>
      <c r="T1" s="1215"/>
      <c r="U1" s="1215"/>
      <c r="V1" s="1215"/>
    </row>
    <row r="2" spans="1:22" ht="18" customHeight="1">
      <c r="A2" s="1214" t="s">
        <v>382</v>
      </c>
      <c r="B2" s="1215"/>
      <c r="C2" s="1215"/>
      <c r="D2" s="1215"/>
      <c r="E2" s="1215"/>
      <c r="F2" s="1215"/>
      <c r="G2" s="1215"/>
      <c r="H2" s="1215"/>
      <c r="I2" s="1215"/>
      <c r="J2" s="1215"/>
      <c r="K2" s="1215"/>
      <c r="L2" s="1215"/>
      <c r="M2" s="1215"/>
      <c r="N2" s="1215"/>
      <c r="O2" s="1215"/>
      <c r="P2" s="1215"/>
      <c r="Q2" s="1215"/>
      <c r="R2" s="1215"/>
      <c r="S2" s="1215"/>
      <c r="T2" s="1215"/>
      <c r="U2" s="1215"/>
      <c r="V2" s="1215"/>
    </row>
    <row r="3" spans="1:22" ht="18" customHeight="1" thickBot="1">
      <c r="A3" s="1209" t="s">
        <v>383</v>
      </c>
      <c r="B3" s="1210"/>
      <c r="C3" s="1210"/>
      <c r="D3" s="1210"/>
      <c r="E3" s="1210"/>
      <c r="F3" s="1210"/>
      <c r="G3" s="1210"/>
      <c r="H3" s="1210"/>
      <c r="I3" s="1210"/>
      <c r="J3" s="1210"/>
      <c r="K3" s="1210"/>
      <c r="L3" s="1210"/>
      <c r="M3" s="1210"/>
      <c r="N3" s="1210"/>
      <c r="O3" s="1210"/>
      <c r="P3" s="1210"/>
      <c r="Q3" s="1210"/>
      <c r="R3" s="1210"/>
      <c r="S3" s="1210"/>
      <c r="T3" s="1210"/>
      <c r="U3" s="1210"/>
      <c r="V3" s="1210"/>
    </row>
    <row r="4" spans="1:22" s="223" customFormat="1" ht="37.5" customHeight="1">
      <c r="A4" s="259"/>
      <c r="B4" s="193" t="s">
        <v>3</v>
      </c>
      <c r="C4" s="193" t="s">
        <v>4</v>
      </c>
      <c r="D4" s="193" t="s">
        <v>5</v>
      </c>
      <c r="E4" s="193" t="s">
        <v>6</v>
      </c>
      <c r="F4" s="193" t="s">
        <v>7</v>
      </c>
      <c r="G4" s="193" t="s">
        <v>8</v>
      </c>
      <c r="H4" s="193" t="s">
        <v>9</v>
      </c>
      <c r="I4" s="193" t="s">
        <v>10</v>
      </c>
      <c r="J4" s="193" t="s">
        <v>11</v>
      </c>
      <c r="K4" s="193" t="s">
        <v>12</v>
      </c>
      <c r="L4" s="193" t="s">
        <v>13</v>
      </c>
      <c r="M4" s="193" t="s">
        <v>14</v>
      </c>
      <c r="N4" s="193" t="s">
        <v>15</v>
      </c>
      <c r="O4" s="194" t="s">
        <v>16</v>
      </c>
      <c r="P4" s="194" t="s">
        <v>17</v>
      </c>
      <c r="Q4" s="194" t="s">
        <v>18</v>
      </c>
      <c r="R4" s="194" t="s">
        <v>19</v>
      </c>
      <c r="S4" s="194" t="s">
        <v>20</v>
      </c>
      <c r="T4" s="194" t="s">
        <v>21</v>
      </c>
      <c r="U4" s="194" t="s">
        <v>22</v>
      </c>
      <c r="V4" s="194" t="s">
        <v>23</v>
      </c>
    </row>
    <row r="5" spans="1:22" s="223" customFormat="1" ht="37.5" customHeight="1">
      <c r="A5" s="1222" t="s">
        <v>24</v>
      </c>
      <c r="B5" s="186" t="s">
        <v>25</v>
      </c>
      <c r="C5" s="193"/>
      <c r="D5" s="193"/>
      <c r="E5" s="193"/>
      <c r="F5" s="193"/>
      <c r="G5" s="193"/>
      <c r="H5" s="193"/>
      <c r="I5" s="193"/>
      <c r="J5" s="193"/>
      <c r="K5" s="193"/>
      <c r="L5" s="193"/>
      <c r="M5" s="193"/>
      <c r="N5" s="193"/>
      <c r="O5" s="194"/>
      <c r="P5" s="194"/>
      <c r="Q5" s="194"/>
      <c r="R5" s="194"/>
      <c r="S5" s="194"/>
      <c r="T5" s="194"/>
      <c r="U5" s="194"/>
      <c r="V5" s="194"/>
    </row>
    <row r="6" spans="1:22" s="223" customFormat="1" ht="15" customHeight="1">
      <c r="A6" s="1223"/>
      <c r="B6" s="186" t="s">
        <v>26</v>
      </c>
      <c r="C6" s="195">
        <v>100</v>
      </c>
      <c r="D6" s="195">
        <v>0</v>
      </c>
      <c r="E6" s="195">
        <v>0</v>
      </c>
      <c r="F6" s="195">
        <v>0</v>
      </c>
      <c r="G6" s="195">
        <v>0</v>
      </c>
      <c r="H6" s="195">
        <v>0</v>
      </c>
      <c r="I6" s="195">
        <v>10</v>
      </c>
      <c r="J6" s="195">
        <v>27</v>
      </c>
      <c r="K6" s="195">
        <v>0</v>
      </c>
      <c r="L6" s="195">
        <v>25</v>
      </c>
      <c r="M6" s="195">
        <v>25</v>
      </c>
      <c r="N6" s="195">
        <v>0</v>
      </c>
      <c r="O6" s="195">
        <v>0</v>
      </c>
      <c r="P6" s="195">
        <v>0</v>
      </c>
      <c r="Q6" s="195">
        <v>3</v>
      </c>
      <c r="R6" s="188">
        <v>0</v>
      </c>
      <c r="S6" s="188">
        <v>0</v>
      </c>
      <c r="T6" s="188">
        <v>0</v>
      </c>
      <c r="U6" s="188">
        <v>21</v>
      </c>
      <c r="V6" s="188">
        <v>0</v>
      </c>
    </row>
    <row r="7" spans="1:22">
      <c r="A7" s="1223"/>
      <c r="B7" s="186" t="s">
        <v>27</v>
      </c>
      <c r="C7" s="195">
        <v>70</v>
      </c>
      <c r="D7" s="195">
        <v>0</v>
      </c>
      <c r="E7" s="195">
        <v>0</v>
      </c>
      <c r="F7" s="195">
        <v>0</v>
      </c>
      <c r="G7" s="195">
        <v>0</v>
      </c>
      <c r="H7" s="195">
        <v>0</v>
      </c>
      <c r="I7" s="195">
        <v>10</v>
      </c>
      <c r="J7" s="195">
        <v>19</v>
      </c>
      <c r="K7" s="195"/>
      <c r="L7" s="195">
        <v>18</v>
      </c>
      <c r="M7" s="195">
        <v>18</v>
      </c>
      <c r="N7" s="195">
        <v>0</v>
      </c>
      <c r="O7" s="195">
        <v>0</v>
      </c>
      <c r="P7" s="195">
        <v>0</v>
      </c>
      <c r="Q7" s="195">
        <v>2.8441800000000002</v>
      </c>
      <c r="R7" s="195">
        <v>0</v>
      </c>
      <c r="S7" s="195">
        <v>3.3709999999999999E-3</v>
      </c>
      <c r="T7" s="195">
        <v>0</v>
      </c>
      <c r="U7" s="195">
        <v>0</v>
      </c>
      <c r="V7" s="195">
        <v>0</v>
      </c>
    </row>
    <row r="8" spans="1:22">
      <c r="A8" s="1223"/>
      <c r="B8" s="186" t="s">
        <v>28</v>
      </c>
      <c r="C8" s="195">
        <v>90</v>
      </c>
      <c r="D8" s="195">
        <v>0</v>
      </c>
      <c r="E8" s="195">
        <v>0</v>
      </c>
      <c r="F8" s="195">
        <v>0</v>
      </c>
      <c r="G8" s="195">
        <v>0</v>
      </c>
      <c r="H8" s="195">
        <v>0</v>
      </c>
      <c r="I8" s="195">
        <v>10</v>
      </c>
      <c r="J8" s="195">
        <v>22</v>
      </c>
      <c r="K8" s="195">
        <v>0</v>
      </c>
      <c r="L8" s="195">
        <v>21</v>
      </c>
      <c r="M8" s="195">
        <v>21</v>
      </c>
      <c r="N8" s="188">
        <v>0</v>
      </c>
      <c r="O8" s="188">
        <v>0</v>
      </c>
      <c r="P8" s="188">
        <v>0</v>
      </c>
      <c r="Q8" s="188">
        <v>3</v>
      </c>
      <c r="R8" s="188">
        <v>0</v>
      </c>
      <c r="S8" s="188">
        <v>0</v>
      </c>
      <c r="T8" s="188">
        <v>0</v>
      </c>
      <c r="U8" s="188">
        <v>5</v>
      </c>
      <c r="V8" s="188">
        <v>0</v>
      </c>
    </row>
    <row r="9" spans="1:22">
      <c r="A9" s="1223"/>
      <c r="B9" s="186" t="s">
        <v>29</v>
      </c>
      <c r="C9" s="195">
        <v>100</v>
      </c>
      <c r="D9" s="195">
        <v>0</v>
      </c>
      <c r="E9" s="195">
        <v>0</v>
      </c>
      <c r="F9" s="195">
        <v>0</v>
      </c>
      <c r="G9" s="195">
        <v>0</v>
      </c>
      <c r="H9" s="195">
        <v>0</v>
      </c>
      <c r="I9" s="195">
        <v>15</v>
      </c>
      <c r="J9" s="195">
        <v>25</v>
      </c>
      <c r="K9" s="195">
        <v>0</v>
      </c>
      <c r="L9" s="195">
        <v>24</v>
      </c>
      <c r="M9" s="195">
        <v>24</v>
      </c>
      <c r="N9" s="195">
        <v>0</v>
      </c>
      <c r="O9" s="195">
        <v>0</v>
      </c>
      <c r="P9" s="195">
        <v>0</v>
      </c>
      <c r="Q9" s="195">
        <v>3</v>
      </c>
      <c r="R9" s="188">
        <v>0</v>
      </c>
      <c r="S9" s="188">
        <v>0</v>
      </c>
      <c r="T9" s="188">
        <v>0</v>
      </c>
      <c r="U9" s="188">
        <v>0</v>
      </c>
      <c r="V9" s="188">
        <v>0</v>
      </c>
    </row>
    <row r="10" spans="1:22">
      <c r="A10" s="1223"/>
      <c r="B10" s="186" t="s">
        <v>30</v>
      </c>
      <c r="C10" s="195">
        <v>140</v>
      </c>
      <c r="D10" s="195">
        <v>0</v>
      </c>
      <c r="E10" s="195">
        <v>0</v>
      </c>
      <c r="F10" s="195">
        <v>0</v>
      </c>
      <c r="G10" s="195">
        <v>0</v>
      </c>
      <c r="H10" s="195">
        <v>0</v>
      </c>
      <c r="I10" s="195">
        <v>15</v>
      </c>
      <c r="J10" s="195">
        <v>35</v>
      </c>
      <c r="K10" s="195">
        <v>0</v>
      </c>
      <c r="L10" s="195">
        <v>34</v>
      </c>
      <c r="M10" s="195">
        <v>34</v>
      </c>
      <c r="N10" s="195">
        <v>0</v>
      </c>
      <c r="O10" s="195">
        <v>0</v>
      </c>
      <c r="P10" s="195">
        <v>0</v>
      </c>
      <c r="Q10" s="195">
        <v>3</v>
      </c>
      <c r="R10" s="188">
        <v>0</v>
      </c>
      <c r="S10" s="188">
        <v>0</v>
      </c>
      <c r="T10" s="188">
        <v>0</v>
      </c>
      <c r="U10" s="188">
        <v>0</v>
      </c>
      <c r="V10" s="188">
        <v>0</v>
      </c>
    </row>
    <row r="11" spans="1:22">
      <c r="A11" s="1223"/>
      <c r="B11" s="186" t="s">
        <v>31</v>
      </c>
      <c r="C11" s="195">
        <v>80</v>
      </c>
      <c r="D11" s="195">
        <v>0</v>
      </c>
      <c r="E11" s="195">
        <v>0</v>
      </c>
      <c r="F11" s="195">
        <v>0</v>
      </c>
      <c r="G11" s="195">
        <v>0</v>
      </c>
      <c r="H11" s="195">
        <v>0</v>
      </c>
      <c r="I11" s="195">
        <v>15</v>
      </c>
      <c r="J11" s="195">
        <v>20</v>
      </c>
      <c r="K11" s="195">
        <v>0</v>
      </c>
      <c r="L11" s="195">
        <v>19</v>
      </c>
      <c r="M11" s="195">
        <v>18</v>
      </c>
      <c r="N11" s="195">
        <v>0</v>
      </c>
      <c r="O11" s="195">
        <v>0</v>
      </c>
      <c r="P11" s="195">
        <v>0</v>
      </c>
      <c r="Q11" s="195">
        <v>5</v>
      </c>
      <c r="R11" s="188">
        <v>0</v>
      </c>
      <c r="S11" s="188">
        <v>0</v>
      </c>
      <c r="T11" s="188">
        <v>0</v>
      </c>
      <c r="U11" s="188">
        <v>0</v>
      </c>
      <c r="V11" s="188">
        <v>0</v>
      </c>
    </row>
    <row r="12" spans="1:22">
      <c r="A12" s="1223"/>
      <c r="B12" s="186" t="s">
        <v>32</v>
      </c>
      <c r="C12" s="195">
        <v>80</v>
      </c>
      <c r="D12" s="195">
        <v>0</v>
      </c>
      <c r="E12" s="195">
        <v>0</v>
      </c>
      <c r="F12" s="195">
        <v>0</v>
      </c>
      <c r="G12" s="195">
        <v>0</v>
      </c>
      <c r="H12" s="195">
        <v>0</v>
      </c>
      <c r="I12" s="195">
        <v>15</v>
      </c>
      <c r="J12" s="195">
        <v>22</v>
      </c>
      <c r="K12" s="195">
        <v>0</v>
      </c>
      <c r="L12" s="195">
        <v>20</v>
      </c>
      <c r="M12" s="195">
        <v>20</v>
      </c>
      <c r="N12" s="195">
        <v>0</v>
      </c>
      <c r="O12" s="195">
        <v>0</v>
      </c>
      <c r="P12" s="195">
        <v>0</v>
      </c>
      <c r="Q12" s="195">
        <v>3</v>
      </c>
      <c r="R12" s="188">
        <v>0</v>
      </c>
      <c r="S12" s="188">
        <v>0</v>
      </c>
      <c r="T12" s="188">
        <v>0</v>
      </c>
      <c r="U12" s="188">
        <v>7</v>
      </c>
      <c r="V12" s="188">
        <v>0</v>
      </c>
    </row>
    <row r="13" spans="1:22">
      <c r="A13" s="1223"/>
      <c r="B13" s="186" t="s">
        <v>33</v>
      </c>
      <c r="C13" s="195">
        <v>70</v>
      </c>
      <c r="D13" s="195">
        <v>0</v>
      </c>
      <c r="E13" s="195">
        <v>0</v>
      </c>
      <c r="F13" s="195">
        <v>0</v>
      </c>
      <c r="G13" s="195">
        <v>0</v>
      </c>
      <c r="H13" s="195">
        <v>0</v>
      </c>
      <c r="I13" s="195">
        <v>10</v>
      </c>
      <c r="J13" s="195">
        <v>19</v>
      </c>
      <c r="K13" s="195">
        <v>0</v>
      </c>
      <c r="L13" s="195">
        <v>18</v>
      </c>
      <c r="M13" s="195">
        <v>18</v>
      </c>
      <c r="N13" s="195">
        <v>0</v>
      </c>
      <c r="O13" s="195">
        <v>0</v>
      </c>
      <c r="P13" s="195">
        <v>0</v>
      </c>
      <c r="Q13" s="195">
        <v>3.3244400000000001</v>
      </c>
      <c r="R13" s="195">
        <v>0</v>
      </c>
      <c r="S13" s="195">
        <v>2.0296999999999999E-2</v>
      </c>
      <c r="T13" s="195">
        <v>0</v>
      </c>
      <c r="U13" s="195">
        <v>0</v>
      </c>
      <c r="V13" s="195">
        <v>0</v>
      </c>
    </row>
    <row r="14" spans="1:22">
      <c r="A14" s="1223"/>
      <c r="B14" s="186" t="s">
        <v>34</v>
      </c>
      <c r="C14" s="195">
        <v>110</v>
      </c>
      <c r="D14" s="195">
        <v>0</v>
      </c>
      <c r="E14" s="195">
        <v>0</v>
      </c>
      <c r="F14" s="195">
        <v>0</v>
      </c>
      <c r="G14" s="195">
        <v>0</v>
      </c>
      <c r="H14" s="195">
        <v>0</v>
      </c>
      <c r="I14" s="195">
        <v>20</v>
      </c>
      <c r="J14" s="195">
        <v>29</v>
      </c>
      <c r="K14" s="195">
        <v>0</v>
      </c>
      <c r="L14" s="195">
        <v>27</v>
      </c>
      <c r="M14" s="195">
        <v>27</v>
      </c>
      <c r="N14" s="195">
        <v>0</v>
      </c>
      <c r="O14" s="195">
        <v>0</v>
      </c>
      <c r="P14" s="195">
        <v>0</v>
      </c>
      <c r="Q14" s="195">
        <v>5</v>
      </c>
      <c r="R14" s="188">
        <v>0</v>
      </c>
      <c r="S14" s="188">
        <v>0</v>
      </c>
      <c r="T14" s="188">
        <v>0</v>
      </c>
      <c r="U14" s="188">
        <v>29</v>
      </c>
      <c r="V14" s="188">
        <v>0</v>
      </c>
    </row>
    <row r="15" spans="1:22">
      <c r="A15" s="1223"/>
      <c r="B15" s="186" t="s">
        <v>35</v>
      </c>
      <c r="C15" s="195">
        <v>120</v>
      </c>
      <c r="D15" s="195">
        <v>10</v>
      </c>
      <c r="E15" s="195">
        <v>1</v>
      </c>
      <c r="F15" s="195">
        <v>0.5</v>
      </c>
      <c r="G15" s="195">
        <v>0</v>
      </c>
      <c r="H15" s="195">
        <v>0</v>
      </c>
      <c r="I15" s="195">
        <v>20</v>
      </c>
      <c r="J15" s="195">
        <v>30</v>
      </c>
      <c r="K15" s="195">
        <v>0</v>
      </c>
      <c r="L15" s="195">
        <v>28</v>
      </c>
      <c r="M15" s="195">
        <v>26</v>
      </c>
      <c r="N15" s="195">
        <v>0</v>
      </c>
      <c r="O15" s="195">
        <v>0</v>
      </c>
      <c r="P15" s="195">
        <v>0</v>
      </c>
      <c r="Q15" s="195">
        <v>6</v>
      </c>
      <c r="R15" s="188">
        <v>0</v>
      </c>
      <c r="S15" s="188">
        <v>0</v>
      </c>
      <c r="T15" s="188">
        <v>0</v>
      </c>
      <c r="U15" s="188">
        <v>28</v>
      </c>
      <c r="V15" s="188">
        <v>0</v>
      </c>
    </row>
    <row r="16" spans="1:22">
      <c r="A16" s="1223"/>
      <c r="B16" s="186" t="s">
        <v>36</v>
      </c>
      <c r="C16" s="195">
        <v>110</v>
      </c>
      <c r="D16" s="195">
        <v>0</v>
      </c>
      <c r="E16" s="195">
        <v>0</v>
      </c>
      <c r="F16" s="195">
        <v>0</v>
      </c>
      <c r="G16" s="195">
        <v>0</v>
      </c>
      <c r="H16" s="195">
        <v>0</v>
      </c>
      <c r="I16" s="195">
        <v>10</v>
      </c>
      <c r="J16" s="195">
        <v>27</v>
      </c>
      <c r="K16" s="195">
        <v>0</v>
      </c>
      <c r="L16" s="195">
        <v>26</v>
      </c>
      <c r="M16" s="195">
        <v>10</v>
      </c>
      <c r="N16" s="195">
        <v>0</v>
      </c>
      <c r="O16" s="195">
        <v>0</v>
      </c>
      <c r="P16" s="195">
        <v>0</v>
      </c>
      <c r="Q16" s="195">
        <v>3</v>
      </c>
      <c r="R16" s="188">
        <v>0</v>
      </c>
      <c r="S16" s="188">
        <v>0</v>
      </c>
      <c r="T16" s="188">
        <v>0</v>
      </c>
      <c r="U16" s="188">
        <v>0</v>
      </c>
      <c r="V16" s="188">
        <v>0</v>
      </c>
    </row>
    <row r="17" spans="1:22">
      <c r="A17" s="1223"/>
      <c r="B17" s="186" t="s">
        <v>37</v>
      </c>
      <c r="C17" s="195">
        <v>100</v>
      </c>
      <c r="D17" s="195">
        <v>0</v>
      </c>
      <c r="E17" s="195">
        <v>0</v>
      </c>
      <c r="F17" s="195">
        <v>0</v>
      </c>
      <c r="G17" s="195">
        <v>0</v>
      </c>
      <c r="H17" s="195">
        <v>0</v>
      </c>
      <c r="I17" s="195">
        <v>10</v>
      </c>
      <c r="J17" s="195">
        <v>27</v>
      </c>
      <c r="K17" s="195">
        <v>0</v>
      </c>
      <c r="L17" s="195">
        <v>26</v>
      </c>
      <c r="M17" s="195">
        <v>10</v>
      </c>
      <c r="N17" s="195">
        <v>0</v>
      </c>
      <c r="O17" s="195">
        <v>0</v>
      </c>
      <c r="P17" s="195">
        <v>0</v>
      </c>
      <c r="Q17" s="195">
        <v>2</v>
      </c>
      <c r="R17" s="188">
        <v>0</v>
      </c>
      <c r="S17" s="188">
        <v>0</v>
      </c>
      <c r="T17" s="188">
        <v>0</v>
      </c>
      <c r="U17" s="188">
        <v>0</v>
      </c>
      <c r="V17" s="188">
        <v>0</v>
      </c>
    </row>
    <row r="18" spans="1:22">
      <c r="A18" s="1223"/>
      <c r="B18" s="186" t="s">
        <v>38</v>
      </c>
      <c r="C18" s="195">
        <v>90</v>
      </c>
      <c r="D18" s="195">
        <v>0</v>
      </c>
      <c r="E18" s="195">
        <v>0</v>
      </c>
      <c r="F18" s="195">
        <v>0</v>
      </c>
      <c r="G18" s="195">
        <v>0</v>
      </c>
      <c r="H18" s="195">
        <v>0</v>
      </c>
      <c r="I18" s="195">
        <v>15</v>
      </c>
      <c r="J18" s="195">
        <v>23</v>
      </c>
      <c r="K18" s="195">
        <v>0</v>
      </c>
      <c r="L18" s="195">
        <v>21</v>
      </c>
      <c r="M18" s="195">
        <v>20</v>
      </c>
      <c r="N18" s="195">
        <v>0</v>
      </c>
      <c r="O18" s="195">
        <v>0</v>
      </c>
      <c r="P18" s="195">
        <v>0</v>
      </c>
      <c r="Q18" s="195">
        <v>4</v>
      </c>
      <c r="R18" s="188">
        <v>0</v>
      </c>
      <c r="S18" s="188">
        <v>0</v>
      </c>
      <c r="T18" s="188">
        <v>0</v>
      </c>
      <c r="U18" s="188">
        <v>17</v>
      </c>
      <c r="V18" s="188">
        <v>0</v>
      </c>
    </row>
    <row r="19" spans="1:22">
      <c r="A19" s="1223"/>
      <c r="B19" s="186" t="s">
        <v>39</v>
      </c>
      <c r="C19" s="195">
        <v>90</v>
      </c>
      <c r="D19" s="195">
        <v>0</v>
      </c>
      <c r="E19" s="195">
        <v>0</v>
      </c>
      <c r="F19" s="195">
        <v>0</v>
      </c>
      <c r="G19" s="195">
        <v>0</v>
      </c>
      <c r="H19" s="195">
        <v>0</v>
      </c>
      <c r="I19" s="195">
        <v>15</v>
      </c>
      <c r="J19" s="195">
        <v>23</v>
      </c>
      <c r="K19" s="195">
        <v>0</v>
      </c>
      <c r="L19" s="195">
        <v>22</v>
      </c>
      <c r="M19" s="195">
        <v>22</v>
      </c>
      <c r="N19" s="195">
        <v>0</v>
      </c>
      <c r="O19" s="195">
        <v>0</v>
      </c>
      <c r="P19" s="195">
        <v>0</v>
      </c>
      <c r="Q19" s="195">
        <v>3</v>
      </c>
      <c r="R19" s="188">
        <v>0</v>
      </c>
      <c r="S19" s="188">
        <v>0</v>
      </c>
      <c r="T19" s="188">
        <v>0</v>
      </c>
      <c r="U19" s="188">
        <v>1</v>
      </c>
      <c r="V19" s="188">
        <v>0</v>
      </c>
    </row>
    <row r="20" spans="1:22" s="212" customFormat="1">
      <c r="A20" s="1223"/>
      <c r="B20" s="186" t="s">
        <v>40</v>
      </c>
      <c r="C20" s="195">
        <v>90</v>
      </c>
      <c r="D20" s="195">
        <v>0</v>
      </c>
      <c r="E20" s="195">
        <v>0</v>
      </c>
      <c r="F20" s="195">
        <v>0</v>
      </c>
      <c r="G20" s="195">
        <v>0</v>
      </c>
      <c r="H20" s="195">
        <v>0</v>
      </c>
      <c r="I20" s="195">
        <v>15</v>
      </c>
      <c r="J20" s="195">
        <v>24</v>
      </c>
      <c r="K20" s="195">
        <v>0</v>
      </c>
      <c r="L20" s="195">
        <v>23</v>
      </c>
      <c r="M20" s="195">
        <v>22</v>
      </c>
      <c r="N20" s="195">
        <v>0</v>
      </c>
      <c r="O20" s="195">
        <v>0</v>
      </c>
      <c r="P20" s="195">
        <v>0</v>
      </c>
      <c r="Q20" s="195">
        <v>4</v>
      </c>
      <c r="R20" s="195">
        <v>0</v>
      </c>
      <c r="S20" s="195">
        <v>0</v>
      </c>
      <c r="T20" s="195">
        <v>0</v>
      </c>
      <c r="U20" s="195">
        <v>15</v>
      </c>
      <c r="V20" s="195">
        <v>0</v>
      </c>
    </row>
    <row r="21" spans="1:22">
      <c r="A21" s="1223"/>
      <c r="B21" s="186" t="s">
        <v>41</v>
      </c>
      <c r="C21" s="188">
        <v>100</v>
      </c>
      <c r="D21" s="188">
        <v>0</v>
      </c>
      <c r="E21" s="188">
        <v>0</v>
      </c>
      <c r="F21" s="188">
        <v>0</v>
      </c>
      <c r="G21" s="188">
        <v>0</v>
      </c>
      <c r="H21" s="188">
        <v>0</v>
      </c>
      <c r="I21" s="188">
        <v>10</v>
      </c>
      <c r="J21" s="188">
        <v>26</v>
      </c>
      <c r="K21" s="188">
        <v>0</v>
      </c>
      <c r="L21" s="188">
        <v>25</v>
      </c>
      <c r="M21" s="188">
        <v>8</v>
      </c>
      <c r="N21" s="195">
        <v>0</v>
      </c>
      <c r="O21" s="195">
        <v>0</v>
      </c>
      <c r="P21" s="195">
        <v>0</v>
      </c>
      <c r="Q21" s="195">
        <v>3</v>
      </c>
      <c r="R21" s="188">
        <v>0</v>
      </c>
      <c r="S21" s="188">
        <v>0</v>
      </c>
      <c r="T21" s="188">
        <v>0</v>
      </c>
      <c r="U21" s="188">
        <v>0</v>
      </c>
      <c r="V21" s="188">
        <v>0</v>
      </c>
    </row>
    <row r="22" spans="1:22">
      <c r="A22" s="1223"/>
      <c r="B22" s="186" t="s">
        <v>42</v>
      </c>
      <c r="C22" s="195">
        <v>100</v>
      </c>
      <c r="D22" s="195">
        <v>0</v>
      </c>
      <c r="E22" s="195">
        <v>0</v>
      </c>
      <c r="F22" s="195">
        <v>0</v>
      </c>
      <c r="G22" s="195">
        <v>0</v>
      </c>
      <c r="H22" s="195">
        <v>0</v>
      </c>
      <c r="I22" s="195">
        <v>15</v>
      </c>
      <c r="J22" s="195">
        <v>26</v>
      </c>
      <c r="K22" s="195">
        <v>0</v>
      </c>
      <c r="L22" s="195">
        <v>25</v>
      </c>
      <c r="M22" s="195">
        <v>24</v>
      </c>
      <c r="N22" s="195">
        <v>0</v>
      </c>
      <c r="O22" s="195">
        <v>0</v>
      </c>
      <c r="P22" s="195">
        <v>0</v>
      </c>
      <c r="Q22" s="195">
        <v>3</v>
      </c>
      <c r="R22" s="188">
        <v>0</v>
      </c>
      <c r="S22" s="188">
        <v>0</v>
      </c>
      <c r="T22" s="188">
        <v>0</v>
      </c>
      <c r="U22" s="188">
        <v>13</v>
      </c>
      <c r="V22" s="188">
        <v>0</v>
      </c>
    </row>
    <row r="23" spans="1:22">
      <c r="A23" s="1223"/>
      <c r="B23" s="186" t="s">
        <v>43</v>
      </c>
      <c r="C23" s="195">
        <v>80</v>
      </c>
      <c r="D23" s="195">
        <v>0</v>
      </c>
      <c r="E23" s="195">
        <v>0</v>
      </c>
      <c r="F23" s="195">
        <v>0</v>
      </c>
      <c r="G23" s="195">
        <v>0</v>
      </c>
      <c r="H23" s="195">
        <v>0</v>
      </c>
      <c r="I23" s="195">
        <v>15</v>
      </c>
      <c r="J23" s="195">
        <v>21</v>
      </c>
      <c r="K23" s="195">
        <v>0</v>
      </c>
      <c r="L23" s="195">
        <v>21</v>
      </c>
      <c r="M23" s="195">
        <v>21</v>
      </c>
      <c r="N23" s="195">
        <v>0</v>
      </c>
      <c r="O23" s="195">
        <v>0</v>
      </c>
      <c r="P23" s="195">
        <v>0</v>
      </c>
      <c r="Q23" s="195">
        <v>3</v>
      </c>
      <c r="R23" s="188">
        <v>0</v>
      </c>
      <c r="S23" s="188">
        <v>0</v>
      </c>
      <c r="T23" s="188">
        <v>0</v>
      </c>
      <c r="U23" s="188">
        <v>0</v>
      </c>
      <c r="V23" s="188">
        <v>0</v>
      </c>
    </row>
    <row r="24" spans="1:22">
      <c r="A24" s="1223"/>
      <c r="B24" s="186" t="s">
        <v>44</v>
      </c>
      <c r="C24" s="188">
        <v>60</v>
      </c>
      <c r="D24" s="188">
        <v>0</v>
      </c>
      <c r="E24" s="188">
        <v>0</v>
      </c>
      <c r="F24" s="188">
        <v>0</v>
      </c>
      <c r="G24" s="188">
        <v>0</v>
      </c>
      <c r="H24" s="188">
        <v>0</v>
      </c>
      <c r="I24" s="188">
        <v>10</v>
      </c>
      <c r="J24" s="188">
        <v>16</v>
      </c>
      <c r="K24" s="188">
        <v>0</v>
      </c>
      <c r="L24" s="188">
        <v>15</v>
      </c>
      <c r="M24" s="188">
        <v>15</v>
      </c>
      <c r="N24" s="195">
        <v>0</v>
      </c>
      <c r="O24" s="195">
        <v>0</v>
      </c>
      <c r="P24" s="195">
        <v>0</v>
      </c>
      <c r="Q24" s="195">
        <v>3</v>
      </c>
      <c r="R24" s="188">
        <v>0</v>
      </c>
      <c r="S24" s="188">
        <v>0</v>
      </c>
      <c r="T24" s="188">
        <v>0</v>
      </c>
      <c r="U24" s="188">
        <v>0</v>
      </c>
      <c r="V24" s="188">
        <v>0</v>
      </c>
    </row>
    <row r="25" spans="1:22">
      <c r="A25" s="1223"/>
      <c r="B25" s="186" t="s">
        <v>45</v>
      </c>
      <c r="C25" s="195">
        <v>90</v>
      </c>
      <c r="D25" s="195">
        <v>0</v>
      </c>
      <c r="E25" s="195">
        <v>0</v>
      </c>
      <c r="F25" s="195">
        <v>0</v>
      </c>
      <c r="G25" s="195">
        <v>0</v>
      </c>
      <c r="H25" s="195">
        <v>0</v>
      </c>
      <c r="I25" s="195">
        <v>15</v>
      </c>
      <c r="J25" s="195">
        <v>22</v>
      </c>
      <c r="K25" s="195">
        <v>0</v>
      </c>
      <c r="L25" s="195">
        <v>21</v>
      </c>
      <c r="M25" s="195">
        <v>21</v>
      </c>
      <c r="N25" s="195">
        <v>0</v>
      </c>
      <c r="O25" s="195">
        <v>0</v>
      </c>
      <c r="P25" s="195">
        <v>0</v>
      </c>
      <c r="Q25" s="195">
        <v>3</v>
      </c>
      <c r="R25" s="188">
        <v>0</v>
      </c>
      <c r="S25" s="188">
        <v>0</v>
      </c>
      <c r="T25" s="188">
        <v>0</v>
      </c>
      <c r="U25" s="188">
        <v>0</v>
      </c>
      <c r="V25" s="188">
        <v>0</v>
      </c>
    </row>
    <row r="26" spans="1:22">
      <c r="A26" s="1223"/>
      <c r="B26" s="186" t="s">
        <v>46</v>
      </c>
      <c r="C26" s="195">
        <v>80</v>
      </c>
      <c r="D26" s="195">
        <v>0</v>
      </c>
      <c r="E26" s="195">
        <v>0</v>
      </c>
      <c r="F26" s="195">
        <v>0</v>
      </c>
      <c r="G26" s="195">
        <v>0</v>
      </c>
      <c r="H26" s="195">
        <v>0</v>
      </c>
      <c r="I26" s="195">
        <v>20</v>
      </c>
      <c r="J26" s="195">
        <v>22</v>
      </c>
      <c r="K26" s="195">
        <v>0</v>
      </c>
      <c r="L26" s="195">
        <v>21</v>
      </c>
      <c r="M26" s="195">
        <v>21</v>
      </c>
      <c r="N26" s="195">
        <v>0</v>
      </c>
      <c r="O26" s="195">
        <v>0</v>
      </c>
      <c r="P26" s="195">
        <v>0</v>
      </c>
      <c r="Q26" s="195">
        <v>2.9896799999999999</v>
      </c>
      <c r="R26" s="195">
        <v>0</v>
      </c>
      <c r="S26" s="195">
        <v>1.9635E-2</v>
      </c>
      <c r="T26" s="195">
        <v>0</v>
      </c>
      <c r="U26" s="195">
        <v>0</v>
      </c>
      <c r="V26" s="195">
        <v>0</v>
      </c>
    </row>
    <row r="27" spans="1:22">
      <c r="A27" s="1223"/>
      <c r="B27" s="186" t="s">
        <v>47</v>
      </c>
      <c r="C27" s="195">
        <v>90</v>
      </c>
      <c r="D27" s="195">
        <v>0</v>
      </c>
      <c r="E27" s="195">
        <v>0</v>
      </c>
      <c r="F27" s="195">
        <v>0</v>
      </c>
      <c r="G27" s="195">
        <v>0</v>
      </c>
      <c r="H27" s="195">
        <v>0</v>
      </c>
      <c r="I27" s="195">
        <v>15</v>
      </c>
      <c r="J27" s="195">
        <v>23</v>
      </c>
      <c r="K27" s="195">
        <v>0</v>
      </c>
      <c r="L27" s="195">
        <v>22</v>
      </c>
      <c r="M27" s="195">
        <v>22</v>
      </c>
      <c r="N27" s="195">
        <v>0</v>
      </c>
      <c r="O27" s="195">
        <v>0</v>
      </c>
      <c r="P27" s="195">
        <v>0</v>
      </c>
      <c r="Q27" s="195">
        <v>4</v>
      </c>
      <c r="R27" s="188">
        <v>0</v>
      </c>
      <c r="S27" s="188">
        <v>0</v>
      </c>
      <c r="T27" s="188">
        <v>0</v>
      </c>
      <c r="U27" s="188">
        <v>3</v>
      </c>
      <c r="V27" s="188">
        <v>0</v>
      </c>
    </row>
    <row r="28" spans="1:22">
      <c r="A28" s="1223"/>
      <c r="B28" s="186" t="s">
        <v>48</v>
      </c>
      <c r="C28" s="195">
        <v>70</v>
      </c>
      <c r="D28" s="195">
        <v>0</v>
      </c>
      <c r="E28" s="195">
        <v>0</v>
      </c>
      <c r="F28" s="195">
        <v>0</v>
      </c>
      <c r="G28" s="195">
        <v>0</v>
      </c>
      <c r="H28" s="195">
        <v>0</v>
      </c>
      <c r="I28" s="195">
        <v>10</v>
      </c>
      <c r="J28" s="195">
        <v>19</v>
      </c>
      <c r="K28" s="195">
        <v>0</v>
      </c>
      <c r="L28" s="195">
        <v>18</v>
      </c>
      <c r="M28" s="195">
        <v>18</v>
      </c>
      <c r="N28" s="195">
        <v>0</v>
      </c>
      <c r="O28" s="195">
        <v>0</v>
      </c>
      <c r="P28" s="195">
        <v>0</v>
      </c>
      <c r="Q28" s="195">
        <v>4</v>
      </c>
      <c r="R28" s="188">
        <v>0</v>
      </c>
      <c r="S28" s="188">
        <v>0</v>
      </c>
      <c r="T28" s="188">
        <v>0</v>
      </c>
      <c r="U28" s="188">
        <v>4</v>
      </c>
      <c r="V28" s="188">
        <v>0</v>
      </c>
    </row>
    <row r="29" spans="1:22">
      <c r="A29" s="1223"/>
      <c r="B29" s="186" t="s">
        <v>49</v>
      </c>
      <c r="C29" s="195">
        <v>70</v>
      </c>
      <c r="D29" s="195">
        <v>0</v>
      </c>
      <c r="E29" s="195">
        <v>0</v>
      </c>
      <c r="F29" s="195">
        <v>0</v>
      </c>
      <c r="G29" s="195">
        <v>0</v>
      </c>
      <c r="H29" s="195">
        <v>0</v>
      </c>
      <c r="I29" s="195">
        <v>15</v>
      </c>
      <c r="J29" s="195">
        <v>17</v>
      </c>
      <c r="K29" s="195">
        <v>0</v>
      </c>
      <c r="L29" s="195">
        <v>17</v>
      </c>
      <c r="M29" s="195">
        <v>17</v>
      </c>
      <c r="N29" s="195">
        <v>0</v>
      </c>
      <c r="O29" s="195">
        <v>0</v>
      </c>
      <c r="P29" s="195">
        <v>0</v>
      </c>
      <c r="Q29" s="195">
        <v>3</v>
      </c>
      <c r="R29" s="188">
        <v>0</v>
      </c>
      <c r="S29" s="188">
        <v>0</v>
      </c>
      <c r="T29" s="188">
        <v>0</v>
      </c>
      <c r="U29" s="188">
        <v>0</v>
      </c>
      <c r="V29" s="188">
        <v>0</v>
      </c>
    </row>
    <row r="30" spans="1:22">
      <c r="A30" s="1223"/>
      <c r="B30" s="186" t="s">
        <v>50</v>
      </c>
      <c r="C30" s="195">
        <v>100</v>
      </c>
      <c r="D30" s="195">
        <v>0</v>
      </c>
      <c r="E30" s="195">
        <v>0</v>
      </c>
      <c r="F30" s="195">
        <v>0</v>
      </c>
      <c r="G30" s="195">
        <v>0</v>
      </c>
      <c r="H30" s="195">
        <v>0</v>
      </c>
      <c r="I30" s="195">
        <v>15</v>
      </c>
      <c r="J30" s="195">
        <v>25</v>
      </c>
      <c r="K30" s="195">
        <v>0</v>
      </c>
      <c r="L30" s="195">
        <v>23</v>
      </c>
      <c r="M30" s="195">
        <v>23</v>
      </c>
      <c r="N30" s="195">
        <v>0</v>
      </c>
      <c r="O30" s="195">
        <v>0</v>
      </c>
      <c r="P30" s="195">
        <v>0</v>
      </c>
      <c r="Q30" s="195">
        <v>3</v>
      </c>
      <c r="R30" s="188">
        <v>0</v>
      </c>
      <c r="S30" s="188">
        <v>0</v>
      </c>
      <c r="T30" s="188">
        <v>0</v>
      </c>
      <c r="U30" s="188">
        <v>7</v>
      </c>
      <c r="V30" s="188">
        <v>0</v>
      </c>
    </row>
    <row r="31" spans="1:22">
      <c r="A31" s="1223"/>
      <c r="B31" s="186" t="s">
        <v>51</v>
      </c>
      <c r="C31" s="195">
        <v>100</v>
      </c>
      <c r="D31" s="195">
        <v>0</v>
      </c>
      <c r="E31" s="195">
        <v>0</v>
      </c>
      <c r="F31" s="195">
        <v>0</v>
      </c>
      <c r="G31" s="195">
        <v>0</v>
      </c>
      <c r="H31" s="195">
        <v>0</v>
      </c>
      <c r="I31" s="195">
        <v>15</v>
      </c>
      <c r="J31" s="195">
        <v>24</v>
      </c>
      <c r="K31" s="195">
        <v>0</v>
      </c>
      <c r="L31" s="195">
        <v>22</v>
      </c>
      <c r="M31" s="195">
        <v>18</v>
      </c>
      <c r="N31" s="195">
        <v>0</v>
      </c>
      <c r="O31" s="195">
        <v>0</v>
      </c>
      <c r="P31" s="195">
        <v>0</v>
      </c>
      <c r="Q31" s="195">
        <v>3</v>
      </c>
      <c r="R31" s="188">
        <v>0</v>
      </c>
      <c r="S31" s="188">
        <v>0</v>
      </c>
      <c r="T31" s="188">
        <v>0</v>
      </c>
      <c r="U31" s="188">
        <v>4</v>
      </c>
      <c r="V31" s="188">
        <v>0</v>
      </c>
    </row>
    <row r="32" spans="1:22">
      <c r="A32" s="1223"/>
      <c r="B32" s="186" t="s">
        <v>52</v>
      </c>
      <c r="C32" s="195"/>
      <c r="D32" s="195"/>
      <c r="E32" s="195"/>
      <c r="F32" s="195"/>
      <c r="G32" s="195"/>
      <c r="H32" s="195"/>
      <c r="I32" s="195"/>
      <c r="J32" s="195"/>
      <c r="K32" s="195"/>
      <c r="L32" s="195"/>
      <c r="M32" s="195"/>
      <c r="N32" s="195"/>
      <c r="O32" s="195"/>
      <c r="P32" s="195"/>
      <c r="Q32" s="195"/>
      <c r="R32" s="188"/>
      <c r="S32" s="188"/>
      <c r="T32" s="188"/>
      <c r="U32" s="188"/>
      <c r="V32" s="188"/>
    </row>
    <row r="33" spans="1:22">
      <c r="A33" s="1223"/>
      <c r="B33" s="186" t="s">
        <v>53</v>
      </c>
      <c r="C33" s="195">
        <v>100</v>
      </c>
      <c r="D33" s="195">
        <v>0</v>
      </c>
      <c r="E33" s="195">
        <v>0</v>
      </c>
      <c r="F33" s="195">
        <v>0</v>
      </c>
      <c r="G33" s="195">
        <v>0</v>
      </c>
      <c r="H33" s="195">
        <v>0</v>
      </c>
      <c r="I33" s="195">
        <v>15</v>
      </c>
      <c r="J33" s="195">
        <v>24</v>
      </c>
      <c r="K33" s="195">
        <v>0</v>
      </c>
      <c r="L33" s="195">
        <v>24</v>
      </c>
      <c r="M33" s="195">
        <v>23</v>
      </c>
      <c r="N33" s="195">
        <v>0</v>
      </c>
      <c r="O33" s="195">
        <v>0</v>
      </c>
      <c r="P33" s="195">
        <v>0</v>
      </c>
      <c r="Q33" s="195">
        <v>3</v>
      </c>
      <c r="R33" s="188">
        <v>0</v>
      </c>
      <c r="S33" s="188">
        <v>0</v>
      </c>
      <c r="T33" s="188">
        <v>0</v>
      </c>
      <c r="U33" s="188">
        <v>6</v>
      </c>
      <c r="V33" s="188">
        <v>0</v>
      </c>
    </row>
    <row r="34" spans="1:22">
      <c r="A34" s="1223"/>
      <c r="B34" s="186" t="s">
        <v>54</v>
      </c>
      <c r="C34" s="195">
        <v>100</v>
      </c>
      <c r="D34" s="195">
        <v>0</v>
      </c>
      <c r="E34" s="195">
        <v>0</v>
      </c>
      <c r="F34" s="195">
        <v>0</v>
      </c>
      <c r="G34" s="195">
        <v>0</v>
      </c>
      <c r="H34" s="195">
        <v>0</v>
      </c>
      <c r="I34" s="195">
        <v>15</v>
      </c>
      <c r="J34" s="195">
        <v>25</v>
      </c>
      <c r="K34" s="195">
        <v>0</v>
      </c>
      <c r="L34" s="195">
        <v>24</v>
      </c>
      <c r="M34" s="195">
        <v>24</v>
      </c>
      <c r="N34" s="195">
        <v>0</v>
      </c>
      <c r="O34" s="195">
        <v>0</v>
      </c>
      <c r="P34" s="195">
        <v>0</v>
      </c>
      <c r="Q34" s="195">
        <v>3</v>
      </c>
      <c r="R34" s="188">
        <v>0</v>
      </c>
      <c r="S34" s="188">
        <v>0</v>
      </c>
      <c r="T34" s="188">
        <v>0</v>
      </c>
      <c r="U34" s="188">
        <v>4</v>
      </c>
      <c r="V34" s="188">
        <v>0</v>
      </c>
    </row>
    <row r="35" spans="1:22">
      <c r="A35" s="1223"/>
      <c r="B35" s="186" t="s">
        <v>55</v>
      </c>
      <c r="C35" s="195">
        <v>80</v>
      </c>
      <c r="D35" s="195">
        <v>0</v>
      </c>
      <c r="E35" s="195">
        <v>0</v>
      </c>
      <c r="F35" s="195">
        <v>0</v>
      </c>
      <c r="G35" s="195">
        <v>0</v>
      </c>
      <c r="H35" s="195">
        <v>0</v>
      </c>
      <c r="I35" s="195">
        <v>15</v>
      </c>
      <c r="J35" s="195">
        <v>21</v>
      </c>
      <c r="K35" s="195">
        <v>0</v>
      </c>
      <c r="L35" s="195">
        <v>20</v>
      </c>
      <c r="M35" s="195">
        <v>20</v>
      </c>
      <c r="N35" s="195">
        <v>0</v>
      </c>
      <c r="O35" s="195">
        <v>0</v>
      </c>
      <c r="P35" s="195">
        <v>0</v>
      </c>
      <c r="Q35" s="195">
        <v>4</v>
      </c>
      <c r="R35" s="188">
        <v>0</v>
      </c>
      <c r="S35" s="188">
        <v>0</v>
      </c>
      <c r="T35" s="188">
        <v>0</v>
      </c>
      <c r="U35" s="188">
        <v>6</v>
      </c>
      <c r="V35" s="188">
        <v>0</v>
      </c>
    </row>
    <row r="36" spans="1:22">
      <c r="A36" s="1223"/>
      <c r="B36" s="186" t="s">
        <v>56</v>
      </c>
      <c r="C36" s="195">
        <v>60</v>
      </c>
      <c r="D36" s="195">
        <v>0</v>
      </c>
      <c r="E36" s="195">
        <v>0</v>
      </c>
      <c r="F36" s="195">
        <v>0</v>
      </c>
      <c r="G36" s="195">
        <v>0</v>
      </c>
      <c r="H36" s="195">
        <v>0</v>
      </c>
      <c r="I36" s="195">
        <v>15</v>
      </c>
      <c r="J36" s="195">
        <v>16</v>
      </c>
      <c r="K36" s="195">
        <v>0</v>
      </c>
      <c r="L36" s="195">
        <v>15</v>
      </c>
      <c r="M36" s="195">
        <v>15</v>
      </c>
      <c r="N36" s="195">
        <v>0</v>
      </c>
      <c r="O36" s="195">
        <v>0</v>
      </c>
      <c r="P36" s="195">
        <v>0</v>
      </c>
      <c r="Q36" s="195">
        <v>4</v>
      </c>
      <c r="R36" s="195">
        <v>0</v>
      </c>
      <c r="S36" s="195">
        <v>0</v>
      </c>
      <c r="T36" s="195">
        <v>0</v>
      </c>
      <c r="U36" s="195">
        <v>7</v>
      </c>
      <c r="V36" s="195">
        <v>0</v>
      </c>
    </row>
    <row r="37" spans="1:22">
      <c r="A37" s="1223"/>
      <c r="B37" s="186" t="s">
        <v>57</v>
      </c>
      <c r="C37" s="195">
        <v>130</v>
      </c>
      <c r="D37" s="195">
        <v>0</v>
      </c>
      <c r="E37" s="195">
        <v>0</v>
      </c>
      <c r="F37" s="195">
        <v>0</v>
      </c>
      <c r="G37" s="195">
        <v>0</v>
      </c>
      <c r="H37" s="195">
        <v>0</v>
      </c>
      <c r="I37" s="195">
        <v>15</v>
      </c>
      <c r="J37" s="195">
        <v>33</v>
      </c>
      <c r="K37" s="195">
        <v>0</v>
      </c>
      <c r="L37" s="195">
        <v>31</v>
      </c>
      <c r="M37" s="195">
        <v>30</v>
      </c>
      <c r="N37" s="195">
        <v>0</v>
      </c>
      <c r="O37" s="195">
        <v>0</v>
      </c>
      <c r="P37" s="195">
        <v>0</v>
      </c>
      <c r="Q37" s="195">
        <v>3</v>
      </c>
      <c r="R37" s="188">
        <v>0</v>
      </c>
      <c r="S37" s="188">
        <v>0</v>
      </c>
      <c r="T37" s="188">
        <v>0</v>
      </c>
      <c r="U37" s="188">
        <v>19</v>
      </c>
      <c r="V37" s="188">
        <v>0</v>
      </c>
    </row>
    <row r="38" spans="1:22">
      <c r="A38" s="1223"/>
      <c r="B38" s="186" t="s">
        <v>58</v>
      </c>
      <c r="C38" s="195">
        <v>90</v>
      </c>
      <c r="D38" s="195">
        <v>0</v>
      </c>
      <c r="E38" s="195">
        <v>0</v>
      </c>
      <c r="F38" s="195">
        <v>0</v>
      </c>
      <c r="G38" s="195">
        <v>0</v>
      </c>
      <c r="H38" s="195">
        <v>0</v>
      </c>
      <c r="I38" s="195">
        <v>15</v>
      </c>
      <c r="J38" s="195">
        <v>24</v>
      </c>
      <c r="K38" s="195">
        <v>0</v>
      </c>
      <c r="L38" s="195">
        <v>23</v>
      </c>
      <c r="M38" s="195">
        <v>23</v>
      </c>
      <c r="N38" s="195">
        <v>0</v>
      </c>
      <c r="O38" s="195">
        <v>0</v>
      </c>
      <c r="P38" s="195">
        <v>0</v>
      </c>
      <c r="Q38" s="195">
        <v>4</v>
      </c>
      <c r="R38" s="188">
        <v>0</v>
      </c>
      <c r="S38" s="188">
        <v>0</v>
      </c>
      <c r="T38" s="188">
        <v>0</v>
      </c>
      <c r="U38" s="188">
        <v>1</v>
      </c>
      <c r="V38" s="188">
        <v>0</v>
      </c>
    </row>
    <row r="39" spans="1:22">
      <c r="A39" s="1223"/>
      <c r="B39" s="186" t="s">
        <v>59</v>
      </c>
      <c r="C39" s="195">
        <v>90</v>
      </c>
      <c r="D39" s="195">
        <v>0</v>
      </c>
      <c r="E39" s="195">
        <v>0</v>
      </c>
      <c r="F39" s="195">
        <v>0</v>
      </c>
      <c r="G39" s="195">
        <v>0</v>
      </c>
      <c r="H39" s="195">
        <v>0</v>
      </c>
      <c r="I39" s="195">
        <v>15</v>
      </c>
      <c r="J39" s="195">
        <v>22</v>
      </c>
      <c r="K39" s="195">
        <v>0</v>
      </c>
      <c r="L39" s="195">
        <v>21</v>
      </c>
      <c r="M39" s="195">
        <v>21</v>
      </c>
      <c r="N39" s="195">
        <v>0</v>
      </c>
      <c r="O39" s="195">
        <v>0</v>
      </c>
      <c r="P39" s="195">
        <v>0</v>
      </c>
      <c r="Q39" s="195">
        <v>3</v>
      </c>
      <c r="R39" s="188">
        <v>0</v>
      </c>
      <c r="S39" s="188">
        <v>0</v>
      </c>
      <c r="T39" s="188">
        <v>0</v>
      </c>
      <c r="U39" s="188">
        <v>5</v>
      </c>
      <c r="V39" s="188">
        <v>0</v>
      </c>
    </row>
    <row r="40" spans="1:22">
      <c r="A40" s="1223"/>
      <c r="B40" s="186" t="s">
        <v>60</v>
      </c>
      <c r="C40" s="195">
        <v>90</v>
      </c>
      <c r="D40" s="195">
        <v>0</v>
      </c>
      <c r="E40" s="195">
        <v>0</v>
      </c>
      <c r="F40" s="195">
        <v>0</v>
      </c>
      <c r="G40" s="195">
        <v>0</v>
      </c>
      <c r="H40" s="195">
        <v>0</v>
      </c>
      <c r="I40" s="195">
        <v>15</v>
      </c>
      <c r="J40" s="195">
        <v>24</v>
      </c>
      <c r="K40" s="195">
        <v>0</v>
      </c>
      <c r="L40" s="195">
        <v>22</v>
      </c>
      <c r="M40" s="195">
        <v>22</v>
      </c>
      <c r="N40" s="195">
        <v>0</v>
      </c>
      <c r="O40" s="195">
        <v>0</v>
      </c>
      <c r="P40" s="195">
        <v>0</v>
      </c>
      <c r="Q40" s="195">
        <v>4</v>
      </c>
      <c r="R40" s="188">
        <v>0</v>
      </c>
      <c r="S40" s="188">
        <v>0</v>
      </c>
      <c r="T40" s="188">
        <v>0</v>
      </c>
      <c r="U40" s="188">
        <v>9</v>
      </c>
      <c r="V40" s="188">
        <v>0</v>
      </c>
    </row>
    <row r="41" spans="1:22">
      <c r="A41" s="1223"/>
      <c r="B41" s="186" t="s">
        <v>61</v>
      </c>
      <c r="C41" s="195">
        <v>110</v>
      </c>
      <c r="D41" s="195">
        <v>0</v>
      </c>
      <c r="E41" s="195">
        <v>0</v>
      </c>
      <c r="F41" s="195">
        <v>0</v>
      </c>
      <c r="G41" s="195">
        <v>0</v>
      </c>
      <c r="H41" s="195">
        <v>0</v>
      </c>
      <c r="I41" s="195">
        <v>15</v>
      </c>
      <c r="J41" s="195">
        <v>29</v>
      </c>
      <c r="K41" s="195">
        <v>0</v>
      </c>
      <c r="L41" s="195">
        <v>28</v>
      </c>
      <c r="M41" s="195">
        <v>27</v>
      </c>
      <c r="N41" s="195">
        <v>0</v>
      </c>
      <c r="O41" s="195">
        <v>0</v>
      </c>
      <c r="P41" s="195">
        <v>0</v>
      </c>
      <c r="Q41" s="195">
        <v>4</v>
      </c>
      <c r="R41" s="188">
        <v>0</v>
      </c>
      <c r="S41" s="188">
        <v>0</v>
      </c>
      <c r="T41" s="188">
        <v>0</v>
      </c>
      <c r="U41" s="188">
        <v>2</v>
      </c>
      <c r="V41" s="188">
        <v>0</v>
      </c>
    </row>
    <row r="42" spans="1:22" ht="14.25" customHeight="1">
      <c r="A42" s="1223"/>
      <c r="B42" s="186" t="s">
        <v>62</v>
      </c>
      <c r="C42" s="195">
        <v>140</v>
      </c>
      <c r="D42" s="195">
        <v>20</v>
      </c>
      <c r="E42" s="195">
        <v>2.5</v>
      </c>
      <c r="F42" s="195">
        <v>0</v>
      </c>
      <c r="G42" s="195">
        <v>0</v>
      </c>
      <c r="H42" s="195">
        <v>0</v>
      </c>
      <c r="I42" s="195">
        <v>40</v>
      </c>
      <c r="J42" s="195">
        <v>29</v>
      </c>
      <c r="K42" s="195">
        <v>0</v>
      </c>
      <c r="L42" s="195">
        <v>28</v>
      </c>
      <c r="M42" s="195">
        <v>27</v>
      </c>
      <c r="N42" s="195">
        <v>1</v>
      </c>
      <c r="O42" s="195">
        <v>0</v>
      </c>
      <c r="P42" s="195">
        <v>0</v>
      </c>
      <c r="Q42" s="195">
        <v>8</v>
      </c>
      <c r="R42" s="188">
        <v>0</v>
      </c>
      <c r="S42" s="188">
        <v>0</v>
      </c>
      <c r="T42" s="188">
        <v>0</v>
      </c>
      <c r="U42" s="188">
        <v>29</v>
      </c>
      <c r="V42" s="188">
        <v>0</v>
      </c>
    </row>
    <row r="43" spans="1:22">
      <c r="A43" s="1223"/>
      <c r="B43" s="186" t="s">
        <v>63</v>
      </c>
      <c r="C43" s="195">
        <v>130</v>
      </c>
      <c r="D43" s="195">
        <v>30</v>
      </c>
      <c r="E43" s="195">
        <v>3.5</v>
      </c>
      <c r="F43" s="195">
        <v>0.5</v>
      </c>
      <c r="G43" s="195">
        <v>0</v>
      </c>
      <c r="H43" s="195">
        <v>0</v>
      </c>
      <c r="I43" s="195">
        <v>40</v>
      </c>
      <c r="J43" s="195">
        <v>25</v>
      </c>
      <c r="K43" s="195">
        <v>0</v>
      </c>
      <c r="L43" s="195">
        <v>24</v>
      </c>
      <c r="M43" s="195">
        <v>23</v>
      </c>
      <c r="N43" s="195">
        <v>1</v>
      </c>
      <c r="O43" s="195">
        <v>0</v>
      </c>
      <c r="P43" s="195">
        <v>0</v>
      </c>
      <c r="Q43" s="195">
        <v>7</v>
      </c>
      <c r="R43" s="188">
        <v>0</v>
      </c>
      <c r="S43" s="188">
        <v>0</v>
      </c>
      <c r="T43" s="188">
        <v>0</v>
      </c>
      <c r="U43" s="188">
        <v>1</v>
      </c>
      <c r="V43" s="188">
        <v>0</v>
      </c>
    </row>
    <row r="44" spans="1:22">
      <c r="A44" s="1223"/>
      <c r="B44" s="186" t="s">
        <v>64</v>
      </c>
      <c r="C44" s="195">
        <v>90</v>
      </c>
      <c r="D44" s="195">
        <v>0</v>
      </c>
      <c r="E44" s="195">
        <v>0</v>
      </c>
      <c r="F44" s="195">
        <v>0</v>
      </c>
      <c r="G44" s="195">
        <v>0</v>
      </c>
      <c r="H44" s="195">
        <v>0</v>
      </c>
      <c r="I44" s="195">
        <v>15</v>
      </c>
      <c r="J44" s="195">
        <v>23</v>
      </c>
      <c r="K44" s="195">
        <v>0</v>
      </c>
      <c r="L44" s="195">
        <v>22</v>
      </c>
      <c r="M44" s="195">
        <v>22</v>
      </c>
      <c r="N44" s="195">
        <v>0</v>
      </c>
      <c r="O44" s="195">
        <v>0</v>
      </c>
      <c r="P44" s="195">
        <v>0</v>
      </c>
      <c r="Q44" s="195">
        <v>3</v>
      </c>
      <c r="R44" s="188">
        <v>0</v>
      </c>
      <c r="S44" s="188">
        <v>0</v>
      </c>
      <c r="T44" s="188">
        <v>0</v>
      </c>
      <c r="U44" s="188">
        <v>7</v>
      </c>
      <c r="V44" s="188">
        <v>0</v>
      </c>
    </row>
    <row r="45" spans="1:22">
      <c r="A45" s="1223"/>
      <c r="B45" s="186" t="s">
        <v>65</v>
      </c>
      <c r="C45" s="195">
        <v>90</v>
      </c>
      <c r="D45" s="195">
        <v>0</v>
      </c>
      <c r="E45" s="195">
        <v>0</v>
      </c>
      <c r="F45" s="195">
        <v>0</v>
      </c>
      <c r="G45" s="195">
        <v>0</v>
      </c>
      <c r="H45" s="195">
        <v>0</v>
      </c>
      <c r="I45" s="195">
        <v>15</v>
      </c>
      <c r="J45" s="195">
        <v>24</v>
      </c>
      <c r="K45" s="195">
        <v>0</v>
      </c>
      <c r="L45" s="195">
        <v>24</v>
      </c>
      <c r="M45" s="195">
        <v>24</v>
      </c>
      <c r="N45" s="195">
        <v>0</v>
      </c>
      <c r="O45" s="195">
        <v>0</v>
      </c>
      <c r="P45" s="195">
        <v>0</v>
      </c>
      <c r="Q45" s="195">
        <v>3</v>
      </c>
      <c r="R45" s="188">
        <v>0</v>
      </c>
      <c r="S45" s="188">
        <v>0</v>
      </c>
      <c r="T45" s="188">
        <v>0</v>
      </c>
      <c r="U45" s="188">
        <v>0</v>
      </c>
      <c r="V45" s="188">
        <v>0</v>
      </c>
    </row>
    <row r="46" spans="1:22">
      <c r="A46" s="1223"/>
      <c r="B46" s="186" t="s">
        <v>66</v>
      </c>
      <c r="C46" s="195">
        <v>90</v>
      </c>
      <c r="D46" s="195">
        <v>0</v>
      </c>
      <c r="E46" s="195">
        <v>0</v>
      </c>
      <c r="F46" s="195">
        <v>0</v>
      </c>
      <c r="G46" s="195">
        <v>0</v>
      </c>
      <c r="H46" s="195">
        <v>0</v>
      </c>
      <c r="I46" s="195">
        <v>15</v>
      </c>
      <c r="J46" s="195">
        <v>23</v>
      </c>
      <c r="K46" s="195">
        <v>0</v>
      </c>
      <c r="L46" s="195">
        <v>22</v>
      </c>
      <c r="M46" s="195">
        <v>22</v>
      </c>
      <c r="N46" s="195">
        <v>0</v>
      </c>
      <c r="O46" s="195">
        <v>0</v>
      </c>
      <c r="P46" s="195">
        <v>0</v>
      </c>
      <c r="Q46" s="195">
        <v>3</v>
      </c>
      <c r="R46" s="188">
        <v>0</v>
      </c>
      <c r="S46" s="188">
        <v>0</v>
      </c>
      <c r="T46" s="188">
        <v>0</v>
      </c>
      <c r="U46" s="188">
        <v>1</v>
      </c>
      <c r="V46" s="188">
        <v>0</v>
      </c>
    </row>
    <row r="47" spans="1:22">
      <c r="A47" s="1223"/>
      <c r="B47" s="186" t="s">
        <v>67</v>
      </c>
      <c r="C47" s="195">
        <v>100</v>
      </c>
      <c r="D47" s="195">
        <v>0</v>
      </c>
      <c r="E47" s="195">
        <v>0</v>
      </c>
      <c r="F47" s="195">
        <v>0</v>
      </c>
      <c r="G47" s="195">
        <v>0</v>
      </c>
      <c r="H47" s="195">
        <v>0</v>
      </c>
      <c r="I47" s="195">
        <v>15</v>
      </c>
      <c r="J47" s="195">
        <v>25</v>
      </c>
      <c r="K47" s="195">
        <v>0</v>
      </c>
      <c r="L47" s="195">
        <v>24</v>
      </c>
      <c r="M47" s="195">
        <v>24</v>
      </c>
      <c r="N47" s="188">
        <v>0</v>
      </c>
      <c r="O47" s="188">
        <v>0</v>
      </c>
      <c r="P47" s="188">
        <v>0</v>
      </c>
      <c r="Q47" s="188">
        <v>3</v>
      </c>
      <c r="R47" s="188">
        <v>0</v>
      </c>
      <c r="S47" s="188">
        <v>0</v>
      </c>
      <c r="T47" s="188">
        <v>0</v>
      </c>
      <c r="U47" s="188">
        <v>1</v>
      </c>
      <c r="V47" s="188">
        <v>0</v>
      </c>
    </row>
    <row r="48" spans="1:22">
      <c r="A48" s="1223"/>
      <c r="B48" s="186" t="s">
        <v>68</v>
      </c>
      <c r="C48" s="195">
        <v>90</v>
      </c>
      <c r="D48" s="195">
        <v>0</v>
      </c>
      <c r="E48" s="195">
        <v>0</v>
      </c>
      <c r="F48" s="195">
        <v>0</v>
      </c>
      <c r="G48" s="195">
        <v>0</v>
      </c>
      <c r="H48" s="195">
        <v>0</v>
      </c>
      <c r="I48" s="195">
        <v>15</v>
      </c>
      <c r="J48" s="195">
        <v>22</v>
      </c>
      <c r="K48" s="195">
        <v>0</v>
      </c>
      <c r="L48" s="195">
        <v>21</v>
      </c>
      <c r="M48" s="195">
        <v>20</v>
      </c>
      <c r="N48" s="195">
        <v>0</v>
      </c>
      <c r="O48" s="195">
        <v>0</v>
      </c>
      <c r="P48" s="195">
        <v>0</v>
      </c>
      <c r="Q48" s="195">
        <v>4</v>
      </c>
      <c r="R48" s="188">
        <v>0</v>
      </c>
      <c r="S48" s="188">
        <v>0</v>
      </c>
      <c r="T48" s="188">
        <v>0</v>
      </c>
      <c r="U48" s="188">
        <v>10</v>
      </c>
      <c r="V48" s="188">
        <v>0</v>
      </c>
    </row>
    <row r="49" spans="1:22">
      <c r="A49" s="1223"/>
      <c r="B49" s="186" t="s">
        <v>69</v>
      </c>
      <c r="C49" s="195">
        <v>90</v>
      </c>
      <c r="D49" s="195">
        <v>0</v>
      </c>
      <c r="E49" s="195">
        <v>0</v>
      </c>
      <c r="F49" s="195">
        <v>0</v>
      </c>
      <c r="G49" s="195">
        <v>0</v>
      </c>
      <c r="H49" s="195">
        <v>0</v>
      </c>
      <c r="I49" s="195">
        <v>15</v>
      </c>
      <c r="J49" s="195">
        <v>22</v>
      </c>
      <c r="K49" s="195">
        <v>0</v>
      </c>
      <c r="L49" s="195">
        <v>21</v>
      </c>
      <c r="M49" s="195">
        <v>20</v>
      </c>
      <c r="N49" s="195">
        <v>0</v>
      </c>
      <c r="O49" s="195">
        <v>0</v>
      </c>
      <c r="P49" s="195">
        <v>0</v>
      </c>
      <c r="Q49" s="195">
        <v>3</v>
      </c>
      <c r="R49" s="188">
        <v>0</v>
      </c>
      <c r="S49" s="188">
        <v>0</v>
      </c>
      <c r="T49" s="188">
        <v>0</v>
      </c>
      <c r="U49" s="188">
        <v>4</v>
      </c>
      <c r="V49" s="188">
        <v>0</v>
      </c>
    </row>
    <row r="50" spans="1:22">
      <c r="A50" s="1223"/>
      <c r="B50" s="186" t="s">
        <v>70</v>
      </c>
      <c r="C50" s="195">
        <v>70</v>
      </c>
      <c r="D50" s="195">
        <v>0</v>
      </c>
      <c r="E50" s="195">
        <v>0</v>
      </c>
      <c r="F50" s="195">
        <v>0</v>
      </c>
      <c r="G50" s="195">
        <v>0</v>
      </c>
      <c r="H50" s="195">
        <v>0</v>
      </c>
      <c r="I50" s="195">
        <v>15</v>
      </c>
      <c r="J50" s="195">
        <v>17</v>
      </c>
      <c r="K50" s="195">
        <v>0</v>
      </c>
      <c r="L50" s="195">
        <v>16</v>
      </c>
      <c r="M50" s="195">
        <v>16</v>
      </c>
      <c r="N50" s="188">
        <v>0</v>
      </c>
      <c r="O50" s="188">
        <v>0</v>
      </c>
      <c r="P50" s="188">
        <v>0</v>
      </c>
      <c r="Q50" s="188">
        <v>3</v>
      </c>
      <c r="R50" s="188">
        <v>0</v>
      </c>
      <c r="S50" s="188">
        <v>0</v>
      </c>
      <c r="T50" s="188">
        <v>0</v>
      </c>
      <c r="U50" s="188">
        <v>0</v>
      </c>
      <c r="V50" s="188">
        <v>0</v>
      </c>
    </row>
    <row r="51" spans="1:22" s="248" customFormat="1">
      <c r="A51" s="1223"/>
      <c r="B51" s="186" t="s">
        <v>71</v>
      </c>
      <c r="C51" s="195">
        <v>90</v>
      </c>
      <c r="D51" s="195">
        <v>0</v>
      </c>
      <c r="E51" s="195">
        <v>0</v>
      </c>
      <c r="F51" s="195">
        <v>0</v>
      </c>
      <c r="G51" s="195">
        <v>0</v>
      </c>
      <c r="H51" s="195">
        <v>0</v>
      </c>
      <c r="I51" s="195">
        <v>15</v>
      </c>
      <c r="J51" s="195">
        <v>24</v>
      </c>
      <c r="K51" s="195">
        <v>0</v>
      </c>
      <c r="L51" s="195">
        <v>23</v>
      </c>
      <c r="M51" s="195">
        <v>22</v>
      </c>
      <c r="N51" s="195">
        <v>0</v>
      </c>
      <c r="O51" s="195">
        <v>0</v>
      </c>
      <c r="P51" s="195">
        <v>0</v>
      </c>
      <c r="Q51" s="195">
        <v>3</v>
      </c>
      <c r="R51" s="188">
        <v>0</v>
      </c>
      <c r="S51" s="188">
        <v>0</v>
      </c>
      <c r="T51" s="188">
        <v>0</v>
      </c>
      <c r="U51" s="188">
        <v>6</v>
      </c>
      <c r="V51" s="188">
        <v>0</v>
      </c>
    </row>
    <row r="52" spans="1:22" s="223" customFormat="1">
      <c r="A52" s="1223"/>
      <c r="B52" s="186" t="s">
        <v>72</v>
      </c>
      <c r="C52" s="195">
        <v>110</v>
      </c>
      <c r="D52" s="195">
        <v>0</v>
      </c>
      <c r="E52" s="195">
        <v>0</v>
      </c>
      <c r="F52" s="195">
        <v>0</v>
      </c>
      <c r="G52" s="195">
        <v>0</v>
      </c>
      <c r="H52" s="195">
        <v>0</v>
      </c>
      <c r="I52" s="195">
        <v>25</v>
      </c>
      <c r="J52" s="195">
        <v>28</v>
      </c>
      <c r="K52" s="195">
        <v>0</v>
      </c>
      <c r="L52" s="195">
        <v>27</v>
      </c>
      <c r="M52" s="195">
        <v>27</v>
      </c>
      <c r="N52" s="195">
        <v>0</v>
      </c>
      <c r="O52" s="195">
        <v>0</v>
      </c>
      <c r="P52" s="195">
        <v>0</v>
      </c>
      <c r="Q52" s="195">
        <v>3</v>
      </c>
      <c r="R52" s="188">
        <v>0</v>
      </c>
      <c r="S52" s="188">
        <v>0</v>
      </c>
      <c r="T52" s="188">
        <v>0</v>
      </c>
      <c r="U52" s="188">
        <v>0</v>
      </c>
      <c r="V52" s="188">
        <v>0</v>
      </c>
    </row>
    <row r="53" spans="1:22" s="223" customFormat="1">
      <c r="A53" s="1223"/>
      <c r="B53" s="186" t="s">
        <v>73</v>
      </c>
      <c r="C53" s="195">
        <v>110</v>
      </c>
      <c r="D53" s="195">
        <v>0</v>
      </c>
      <c r="E53" s="195">
        <v>0</v>
      </c>
      <c r="F53" s="195">
        <v>0</v>
      </c>
      <c r="G53" s="195">
        <v>0</v>
      </c>
      <c r="H53" s="195">
        <v>0</v>
      </c>
      <c r="I53" s="195">
        <v>15</v>
      </c>
      <c r="J53" s="195">
        <v>26</v>
      </c>
      <c r="K53" s="195">
        <v>0</v>
      </c>
      <c r="L53" s="195">
        <v>25</v>
      </c>
      <c r="M53" s="195">
        <v>24</v>
      </c>
      <c r="N53" s="195">
        <v>0</v>
      </c>
      <c r="O53" s="195">
        <v>0</v>
      </c>
      <c r="P53" s="195">
        <v>0</v>
      </c>
      <c r="Q53" s="195">
        <v>3</v>
      </c>
      <c r="R53" s="195">
        <v>0</v>
      </c>
      <c r="S53" s="195">
        <v>0</v>
      </c>
      <c r="T53" s="195">
        <v>0</v>
      </c>
      <c r="U53" s="195">
        <v>2</v>
      </c>
      <c r="V53" s="195">
        <v>0</v>
      </c>
    </row>
    <row r="54" spans="1:22" s="248" customFormat="1" ht="15" customHeight="1">
      <c r="A54" s="1223"/>
      <c r="B54" s="186" t="s">
        <v>74</v>
      </c>
      <c r="C54" s="195">
        <v>90</v>
      </c>
      <c r="D54" s="195">
        <v>0</v>
      </c>
      <c r="E54" s="195">
        <v>0</v>
      </c>
      <c r="F54" s="195">
        <v>0</v>
      </c>
      <c r="G54" s="195">
        <v>0</v>
      </c>
      <c r="H54" s="195">
        <v>0</v>
      </c>
      <c r="I54" s="195">
        <v>15</v>
      </c>
      <c r="J54" s="195">
        <v>24</v>
      </c>
      <c r="K54" s="195">
        <v>0</v>
      </c>
      <c r="L54" s="195">
        <v>23</v>
      </c>
      <c r="M54" s="195">
        <v>22</v>
      </c>
      <c r="N54" s="195">
        <v>0</v>
      </c>
      <c r="O54" s="195">
        <v>0</v>
      </c>
      <c r="P54" s="195">
        <v>0</v>
      </c>
      <c r="Q54" s="195">
        <v>3</v>
      </c>
      <c r="R54" s="188">
        <v>0</v>
      </c>
      <c r="S54" s="188">
        <v>0</v>
      </c>
      <c r="T54" s="188">
        <v>0</v>
      </c>
      <c r="U54" s="188">
        <v>0</v>
      </c>
      <c r="V54" s="188">
        <v>0</v>
      </c>
    </row>
    <row r="55" spans="1:22" s="248" customFormat="1">
      <c r="A55" s="1223"/>
      <c r="B55" s="186" t="s">
        <v>75</v>
      </c>
      <c r="C55" s="195">
        <v>90</v>
      </c>
      <c r="D55" s="195">
        <v>0</v>
      </c>
      <c r="E55" s="195">
        <v>0</v>
      </c>
      <c r="F55" s="195">
        <v>0</v>
      </c>
      <c r="G55" s="195">
        <v>0</v>
      </c>
      <c r="H55" s="195">
        <v>0</v>
      </c>
      <c r="I55" s="195">
        <v>15</v>
      </c>
      <c r="J55" s="195">
        <v>22</v>
      </c>
      <c r="K55" s="195">
        <v>0</v>
      </c>
      <c r="L55" s="195">
        <v>21</v>
      </c>
      <c r="M55" s="195">
        <v>21</v>
      </c>
      <c r="N55" s="195">
        <v>0</v>
      </c>
      <c r="O55" s="195">
        <v>0</v>
      </c>
      <c r="P55" s="195">
        <v>0</v>
      </c>
      <c r="Q55" s="195">
        <v>3</v>
      </c>
      <c r="R55" s="188">
        <v>0</v>
      </c>
      <c r="S55" s="188">
        <v>0</v>
      </c>
      <c r="T55" s="188">
        <v>0</v>
      </c>
      <c r="U55" s="188">
        <v>7</v>
      </c>
      <c r="V55" s="188">
        <v>0</v>
      </c>
    </row>
    <row r="56" spans="1:22" s="248" customFormat="1">
      <c r="A56" s="1223"/>
      <c r="B56" s="186" t="s">
        <v>76</v>
      </c>
      <c r="C56" s="195">
        <v>100</v>
      </c>
      <c r="D56" s="195">
        <v>0</v>
      </c>
      <c r="E56" s="195">
        <v>0</v>
      </c>
      <c r="F56" s="195">
        <v>0</v>
      </c>
      <c r="G56" s="195">
        <v>0</v>
      </c>
      <c r="H56" s="195">
        <v>0</v>
      </c>
      <c r="I56" s="195">
        <v>15</v>
      </c>
      <c r="J56" s="195">
        <v>26</v>
      </c>
      <c r="K56" s="195">
        <v>0</v>
      </c>
      <c r="L56" s="195">
        <v>25</v>
      </c>
      <c r="M56" s="195">
        <v>25</v>
      </c>
      <c r="N56" s="195">
        <v>0</v>
      </c>
      <c r="O56" s="195">
        <v>0</v>
      </c>
      <c r="P56" s="195">
        <v>0</v>
      </c>
      <c r="Q56" s="195">
        <v>3</v>
      </c>
      <c r="R56" s="188">
        <v>0</v>
      </c>
      <c r="S56" s="188">
        <v>0</v>
      </c>
      <c r="T56" s="188">
        <v>0</v>
      </c>
      <c r="U56" s="188">
        <v>3</v>
      </c>
      <c r="V56" s="188">
        <v>0</v>
      </c>
    </row>
    <row r="57" spans="1:22" s="248" customFormat="1">
      <c r="A57" s="1223"/>
      <c r="B57" s="186" t="s">
        <v>77</v>
      </c>
      <c r="C57" s="195">
        <v>100</v>
      </c>
      <c r="D57" s="195">
        <v>0</v>
      </c>
      <c r="E57" s="195">
        <v>0</v>
      </c>
      <c r="F57" s="195">
        <v>0</v>
      </c>
      <c r="G57" s="195">
        <v>0</v>
      </c>
      <c r="H57" s="195">
        <v>0</v>
      </c>
      <c r="I57" s="195">
        <v>15</v>
      </c>
      <c r="J57" s="195">
        <v>25</v>
      </c>
      <c r="K57" s="195">
        <v>0</v>
      </c>
      <c r="L57" s="195">
        <v>24</v>
      </c>
      <c r="M57" s="195">
        <v>24</v>
      </c>
      <c r="N57" s="195">
        <v>0</v>
      </c>
      <c r="O57" s="195">
        <v>0</v>
      </c>
      <c r="P57" s="195">
        <v>0</v>
      </c>
      <c r="Q57" s="195">
        <v>4</v>
      </c>
      <c r="R57" s="188">
        <v>0</v>
      </c>
      <c r="S57" s="188">
        <v>0</v>
      </c>
      <c r="T57" s="188">
        <v>0</v>
      </c>
      <c r="U57" s="188">
        <v>4</v>
      </c>
      <c r="V57" s="188">
        <v>0</v>
      </c>
    </row>
    <row r="58" spans="1:22" s="248" customFormat="1" ht="16.3" thickBot="1">
      <c r="A58" s="1224"/>
      <c r="B58" s="186" t="s">
        <v>78</v>
      </c>
      <c r="C58" s="195">
        <v>100</v>
      </c>
      <c r="D58" s="195">
        <v>0</v>
      </c>
      <c r="E58" s="195">
        <v>0</v>
      </c>
      <c r="F58" s="195">
        <v>0</v>
      </c>
      <c r="G58" s="195">
        <v>0</v>
      </c>
      <c r="H58" s="195">
        <v>0</v>
      </c>
      <c r="I58" s="195">
        <v>15</v>
      </c>
      <c r="J58" s="195">
        <v>25</v>
      </c>
      <c r="K58" s="195">
        <v>0</v>
      </c>
      <c r="L58" s="195">
        <v>24</v>
      </c>
      <c r="M58" s="195">
        <v>23</v>
      </c>
      <c r="N58" s="195">
        <v>0</v>
      </c>
      <c r="O58" s="195">
        <v>0</v>
      </c>
      <c r="P58" s="195">
        <v>0</v>
      </c>
      <c r="Q58" s="195">
        <v>5</v>
      </c>
      <c r="R58" s="188">
        <v>0</v>
      </c>
      <c r="S58" s="188">
        <v>0</v>
      </c>
      <c r="T58" s="188">
        <v>0</v>
      </c>
      <c r="U58" s="188">
        <v>9</v>
      </c>
      <c r="V58" s="188">
        <v>0</v>
      </c>
    </row>
    <row r="59" spans="1:22" s="248" customFormat="1">
      <c r="A59" s="1189" t="s">
        <v>79</v>
      </c>
      <c r="B59" s="186" t="s">
        <v>80</v>
      </c>
      <c r="C59" s="195">
        <v>100</v>
      </c>
      <c r="D59" s="195">
        <v>0</v>
      </c>
      <c r="E59" s="195">
        <v>0</v>
      </c>
      <c r="F59" s="195">
        <v>0</v>
      </c>
      <c r="G59" s="195">
        <v>0</v>
      </c>
      <c r="H59" s="195">
        <v>0</v>
      </c>
      <c r="I59" s="195">
        <v>0</v>
      </c>
      <c r="J59" s="195">
        <v>19</v>
      </c>
      <c r="K59" s="195">
        <v>1</v>
      </c>
      <c r="L59" s="195">
        <v>18</v>
      </c>
      <c r="M59" s="195">
        <v>17</v>
      </c>
      <c r="N59" s="195">
        <v>0</v>
      </c>
      <c r="O59" s="195">
        <v>0</v>
      </c>
      <c r="P59" s="195">
        <v>0</v>
      </c>
      <c r="Q59" s="195">
        <v>8</v>
      </c>
      <c r="R59" s="188">
        <v>0</v>
      </c>
      <c r="S59" s="188">
        <v>0</v>
      </c>
      <c r="T59" s="188">
        <v>0</v>
      </c>
      <c r="U59" s="188">
        <v>71</v>
      </c>
      <c r="V59" s="188">
        <v>2</v>
      </c>
    </row>
    <row r="60" spans="1:22" ht="15" customHeight="1">
      <c r="A60" s="1190"/>
      <c r="B60" s="186" t="s">
        <v>81</v>
      </c>
      <c r="C60" s="195">
        <v>70</v>
      </c>
      <c r="D60" s="195">
        <v>5</v>
      </c>
      <c r="E60" s="195">
        <v>0</v>
      </c>
      <c r="F60" s="195">
        <v>0</v>
      </c>
      <c r="G60" s="195">
        <v>0</v>
      </c>
      <c r="H60" s="195">
        <v>0</v>
      </c>
      <c r="I60" s="195">
        <v>5</v>
      </c>
      <c r="J60" s="195">
        <v>17</v>
      </c>
      <c r="K60" s="195">
        <v>0</v>
      </c>
      <c r="L60" s="195">
        <v>17</v>
      </c>
      <c r="M60" s="195">
        <v>16</v>
      </c>
      <c r="N60" s="195">
        <v>0</v>
      </c>
      <c r="O60" s="195">
        <v>0</v>
      </c>
      <c r="P60" s="195">
        <v>0</v>
      </c>
      <c r="Q60" s="195">
        <v>4</v>
      </c>
      <c r="R60" s="188">
        <v>0</v>
      </c>
      <c r="S60" s="188">
        <v>0</v>
      </c>
      <c r="T60" s="188">
        <v>0</v>
      </c>
      <c r="U60" s="188">
        <v>3</v>
      </c>
      <c r="V60" s="188">
        <v>0</v>
      </c>
    </row>
    <row r="61" spans="1:22">
      <c r="A61" s="1190"/>
      <c r="B61" s="186" t="s">
        <v>82</v>
      </c>
      <c r="C61" s="195">
        <v>80</v>
      </c>
      <c r="D61" s="195">
        <v>0</v>
      </c>
      <c r="E61" s="195">
        <v>0</v>
      </c>
      <c r="F61" s="195">
        <v>0</v>
      </c>
      <c r="G61" s="195">
        <v>0</v>
      </c>
      <c r="H61" s="195">
        <v>0</v>
      </c>
      <c r="I61" s="195">
        <v>0</v>
      </c>
      <c r="J61" s="195">
        <v>20</v>
      </c>
      <c r="K61" s="195">
        <v>0</v>
      </c>
      <c r="L61" s="195">
        <v>19</v>
      </c>
      <c r="M61" s="195">
        <v>18</v>
      </c>
      <c r="N61" s="195">
        <v>0</v>
      </c>
      <c r="O61" s="195">
        <v>0</v>
      </c>
      <c r="P61" s="195">
        <v>0</v>
      </c>
      <c r="Q61" s="195">
        <v>4</v>
      </c>
      <c r="R61" s="188">
        <v>0</v>
      </c>
      <c r="S61" s="188">
        <v>0</v>
      </c>
      <c r="T61" s="188">
        <v>0</v>
      </c>
      <c r="U61" s="188">
        <v>3</v>
      </c>
      <c r="V61" s="188">
        <v>0</v>
      </c>
    </row>
    <row r="62" spans="1:22">
      <c r="A62" s="1190"/>
      <c r="B62" s="186" t="s">
        <v>83</v>
      </c>
      <c r="C62" s="188">
        <v>70</v>
      </c>
      <c r="D62" s="188">
        <v>0</v>
      </c>
      <c r="E62" s="188">
        <v>0</v>
      </c>
      <c r="F62" s="188">
        <v>0</v>
      </c>
      <c r="G62" s="188">
        <v>0</v>
      </c>
      <c r="H62" s="188">
        <v>0</v>
      </c>
      <c r="I62" s="188">
        <v>0</v>
      </c>
      <c r="J62" s="188">
        <v>20</v>
      </c>
      <c r="K62" s="188">
        <v>0</v>
      </c>
      <c r="L62" s="188">
        <v>19</v>
      </c>
      <c r="M62" s="188">
        <v>18</v>
      </c>
      <c r="N62" s="188">
        <v>0</v>
      </c>
      <c r="O62" s="188">
        <v>0</v>
      </c>
      <c r="P62" s="188">
        <v>0</v>
      </c>
      <c r="Q62" s="188">
        <v>5</v>
      </c>
      <c r="R62" s="188">
        <v>0</v>
      </c>
      <c r="S62" s="188">
        <v>0</v>
      </c>
      <c r="T62" s="188">
        <v>0</v>
      </c>
      <c r="U62" s="188">
        <v>7</v>
      </c>
      <c r="V62" s="188">
        <v>0</v>
      </c>
    </row>
    <row r="63" spans="1:22">
      <c r="A63" s="1190"/>
      <c r="B63" s="186" t="s">
        <v>84</v>
      </c>
      <c r="C63" s="195">
        <v>100</v>
      </c>
      <c r="D63" s="195">
        <v>0</v>
      </c>
      <c r="E63" s="195">
        <v>0</v>
      </c>
      <c r="F63" s="195">
        <v>0</v>
      </c>
      <c r="G63" s="195">
        <v>0</v>
      </c>
      <c r="H63" s="195">
        <v>0</v>
      </c>
      <c r="I63" s="195">
        <v>0</v>
      </c>
      <c r="J63" s="195">
        <v>19</v>
      </c>
      <c r="K63" s="195">
        <v>1</v>
      </c>
      <c r="L63" s="195">
        <v>17</v>
      </c>
      <c r="M63" s="195">
        <v>17</v>
      </c>
      <c r="N63" s="195">
        <v>0</v>
      </c>
      <c r="O63" s="195">
        <v>0</v>
      </c>
      <c r="P63" s="195">
        <v>0</v>
      </c>
      <c r="Q63" s="195">
        <v>9</v>
      </c>
      <c r="R63" s="188">
        <v>0</v>
      </c>
      <c r="S63" s="188">
        <v>0</v>
      </c>
      <c r="T63" s="188">
        <v>0</v>
      </c>
      <c r="U63" s="188">
        <v>55</v>
      </c>
      <c r="V63" s="188">
        <v>2</v>
      </c>
    </row>
    <row r="64" spans="1:22">
      <c r="A64" s="1190"/>
      <c r="B64" s="186" t="s">
        <v>85</v>
      </c>
      <c r="C64" s="195">
        <v>80</v>
      </c>
      <c r="D64" s="195">
        <v>0</v>
      </c>
      <c r="E64" s="195">
        <v>0</v>
      </c>
      <c r="F64" s="195">
        <v>0</v>
      </c>
      <c r="G64" s="195">
        <v>0</v>
      </c>
      <c r="H64" s="195">
        <v>0</v>
      </c>
      <c r="I64" s="195">
        <v>0</v>
      </c>
      <c r="J64" s="195">
        <v>20</v>
      </c>
      <c r="K64" s="195">
        <v>0</v>
      </c>
      <c r="L64" s="195">
        <v>19</v>
      </c>
      <c r="M64" s="195">
        <v>17</v>
      </c>
      <c r="N64" s="195">
        <v>0</v>
      </c>
      <c r="O64" s="195">
        <v>0</v>
      </c>
      <c r="P64" s="195">
        <v>0</v>
      </c>
      <c r="Q64" s="195">
        <v>6</v>
      </c>
      <c r="R64" s="188">
        <v>0</v>
      </c>
      <c r="S64" s="188">
        <v>0</v>
      </c>
      <c r="T64" s="188">
        <v>0</v>
      </c>
      <c r="U64" s="188">
        <v>33</v>
      </c>
      <c r="V64" s="188">
        <v>0</v>
      </c>
    </row>
    <row r="65" spans="1:22">
      <c r="A65" s="1190"/>
      <c r="B65" s="186" t="s">
        <v>88</v>
      </c>
      <c r="C65" s="195">
        <v>80</v>
      </c>
      <c r="D65" s="195">
        <v>0</v>
      </c>
      <c r="E65" s="195">
        <v>0</v>
      </c>
      <c r="F65" s="195">
        <v>0</v>
      </c>
      <c r="G65" s="195">
        <v>0</v>
      </c>
      <c r="H65" s="195">
        <v>0</v>
      </c>
      <c r="I65" s="195">
        <v>0</v>
      </c>
      <c r="J65" s="195">
        <v>21</v>
      </c>
      <c r="K65" s="195">
        <v>0</v>
      </c>
      <c r="L65" s="195">
        <v>20</v>
      </c>
      <c r="M65" s="195">
        <v>18</v>
      </c>
      <c r="N65" s="195">
        <v>0</v>
      </c>
      <c r="O65" s="195">
        <v>0</v>
      </c>
      <c r="P65" s="195">
        <v>0</v>
      </c>
      <c r="Q65" s="195">
        <v>6</v>
      </c>
      <c r="R65" s="188">
        <v>0</v>
      </c>
      <c r="S65" s="188">
        <v>0</v>
      </c>
      <c r="T65" s="188">
        <v>0</v>
      </c>
      <c r="U65" s="188">
        <v>19</v>
      </c>
      <c r="V65" s="188">
        <v>0</v>
      </c>
    </row>
    <row r="66" spans="1:22">
      <c r="A66" s="1190"/>
      <c r="B66" s="186" t="s">
        <v>87</v>
      </c>
      <c r="C66" s="195">
        <v>70</v>
      </c>
      <c r="D66" s="195">
        <v>5</v>
      </c>
      <c r="E66" s="195">
        <v>0</v>
      </c>
      <c r="F66" s="195">
        <v>0</v>
      </c>
      <c r="G66" s="195">
        <v>0</v>
      </c>
      <c r="H66" s="195">
        <v>0</v>
      </c>
      <c r="I66" s="195">
        <v>5</v>
      </c>
      <c r="J66" s="195">
        <v>18</v>
      </c>
      <c r="K66" s="195">
        <v>0</v>
      </c>
      <c r="L66" s="195">
        <v>18</v>
      </c>
      <c r="M66" s="195">
        <v>16</v>
      </c>
      <c r="N66" s="195">
        <v>0</v>
      </c>
      <c r="O66" s="195">
        <v>0</v>
      </c>
      <c r="P66" s="195">
        <v>0</v>
      </c>
      <c r="Q66" s="195">
        <v>4</v>
      </c>
      <c r="R66" s="188">
        <v>0</v>
      </c>
      <c r="S66" s="188">
        <v>0</v>
      </c>
      <c r="T66" s="188">
        <v>0</v>
      </c>
      <c r="U66" s="188">
        <v>6</v>
      </c>
      <c r="V66" s="188">
        <v>0</v>
      </c>
    </row>
    <row r="67" spans="1:22">
      <c r="A67" s="1190"/>
      <c r="B67" s="186" t="s">
        <v>89</v>
      </c>
      <c r="C67" s="195">
        <v>110</v>
      </c>
      <c r="D67" s="195">
        <v>0</v>
      </c>
      <c r="E67" s="195">
        <v>0</v>
      </c>
      <c r="F67" s="195">
        <v>0</v>
      </c>
      <c r="G67" s="195">
        <v>0</v>
      </c>
      <c r="H67" s="195">
        <v>0</v>
      </c>
      <c r="I67" s="195">
        <v>0</v>
      </c>
      <c r="J67" s="195">
        <v>17</v>
      </c>
      <c r="K67" s="195">
        <v>1</v>
      </c>
      <c r="L67" s="195">
        <v>15</v>
      </c>
      <c r="M67" s="195">
        <v>15</v>
      </c>
      <c r="N67" s="195">
        <v>0</v>
      </c>
      <c r="O67" s="195">
        <v>0</v>
      </c>
      <c r="P67" s="195">
        <v>0</v>
      </c>
      <c r="Q67" s="195">
        <v>12</v>
      </c>
      <c r="R67" s="188">
        <v>0</v>
      </c>
      <c r="S67" s="188">
        <v>0</v>
      </c>
      <c r="T67" s="188">
        <v>0</v>
      </c>
      <c r="U67" s="188">
        <v>97</v>
      </c>
      <c r="V67" s="188">
        <v>2</v>
      </c>
    </row>
    <row r="68" spans="1:22">
      <c r="A68" s="1190"/>
      <c r="B68" s="186" t="s">
        <v>90</v>
      </c>
      <c r="C68" s="195">
        <v>90</v>
      </c>
      <c r="D68" s="195">
        <v>0</v>
      </c>
      <c r="E68" s="195">
        <v>0</v>
      </c>
      <c r="F68" s="195">
        <v>0</v>
      </c>
      <c r="G68" s="195">
        <v>0</v>
      </c>
      <c r="H68" s="195">
        <v>0</v>
      </c>
      <c r="I68" s="195">
        <v>0</v>
      </c>
      <c r="J68" s="195">
        <v>17</v>
      </c>
      <c r="K68" s="195">
        <v>1</v>
      </c>
      <c r="L68" s="195">
        <v>16</v>
      </c>
      <c r="M68" s="195">
        <v>16</v>
      </c>
      <c r="N68" s="195">
        <v>0</v>
      </c>
      <c r="O68" s="195">
        <v>0</v>
      </c>
      <c r="P68" s="195">
        <v>0</v>
      </c>
      <c r="Q68" s="195">
        <v>9</v>
      </c>
      <c r="R68" s="188">
        <v>0</v>
      </c>
      <c r="S68" s="188">
        <v>0</v>
      </c>
      <c r="T68" s="188">
        <v>0</v>
      </c>
      <c r="U68" s="188">
        <v>66</v>
      </c>
      <c r="V68" s="188">
        <v>2</v>
      </c>
    </row>
    <row r="69" spans="1:22" s="212" customFormat="1">
      <c r="A69" s="1190"/>
      <c r="B69" s="186" t="s">
        <v>91</v>
      </c>
      <c r="C69" s="195">
        <v>80</v>
      </c>
      <c r="D69" s="195">
        <v>0</v>
      </c>
      <c r="E69" s="195">
        <v>0</v>
      </c>
      <c r="F69" s="195">
        <v>0</v>
      </c>
      <c r="G69" s="195">
        <v>0</v>
      </c>
      <c r="H69" s="195">
        <v>0</v>
      </c>
      <c r="I69" s="195">
        <v>0</v>
      </c>
      <c r="J69" s="195">
        <v>16</v>
      </c>
      <c r="K69" s="195">
        <v>1</v>
      </c>
      <c r="L69" s="195">
        <v>15</v>
      </c>
      <c r="M69" s="195">
        <v>14</v>
      </c>
      <c r="N69" s="195">
        <v>0</v>
      </c>
      <c r="O69" s="195">
        <v>0</v>
      </c>
      <c r="P69" s="195">
        <v>0</v>
      </c>
      <c r="Q69" s="195">
        <v>9</v>
      </c>
      <c r="R69" s="195">
        <v>0</v>
      </c>
      <c r="S69" s="195">
        <v>0</v>
      </c>
      <c r="T69" s="195">
        <v>0</v>
      </c>
      <c r="U69" s="195">
        <v>60</v>
      </c>
      <c r="V69" s="195">
        <v>2</v>
      </c>
    </row>
    <row r="70" spans="1:22" s="212" customFormat="1" ht="16.3" thickBot="1">
      <c r="A70" s="1198"/>
      <c r="B70" s="186" t="s">
        <v>181</v>
      </c>
      <c r="C70" s="195">
        <v>80</v>
      </c>
      <c r="D70" s="195">
        <v>0</v>
      </c>
      <c r="E70" s="195">
        <v>0</v>
      </c>
      <c r="F70" s="195">
        <v>0</v>
      </c>
      <c r="G70" s="195">
        <v>0</v>
      </c>
      <c r="H70" s="195">
        <v>0</v>
      </c>
      <c r="I70" s="195">
        <v>0</v>
      </c>
      <c r="J70" s="195">
        <v>20</v>
      </c>
      <c r="K70" s="195">
        <v>0</v>
      </c>
      <c r="L70" s="195">
        <v>20</v>
      </c>
      <c r="M70" s="195">
        <v>18</v>
      </c>
      <c r="N70" s="195">
        <v>0</v>
      </c>
      <c r="O70" s="195">
        <v>0</v>
      </c>
      <c r="P70" s="195">
        <v>0</v>
      </c>
      <c r="Q70" s="195">
        <v>6</v>
      </c>
      <c r="R70" s="195">
        <v>0</v>
      </c>
      <c r="S70" s="195">
        <v>0</v>
      </c>
      <c r="T70" s="195">
        <v>0</v>
      </c>
      <c r="U70" s="195">
        <v>27</v>
      </c>
      <c r="V70" s="195">
        <v>0</v>
      </c>
    </row>
    <row r="71" spans="1:22" s="212" customFormat="1">
      <c r="A71" s="1189" t="s">
        <v>92</v>
      </c>
      <c r="B71" s="186" t="s">
        <v>94</v>
      </c>
      <c r="C71" s="195">
        <v>120</v>
      </c>
      <c r="D71" s="195">
        <v>15</v>
      </c>
      <c r="E71" s="195">
        <v>1.5</v>
      </c>
      <c r="F71" s="195">
        <v>1</v>
      </c>
      <c r="G71" s="195">
        <v>0</v>
      </c>
      <c r="H71" s="195">
        <v>0</v>
      </c>
      <c r="I71" s="195">
        <v>60</v>
      </c>
      <c r="J71" s="195">
        <v>26</v>
      </c>
      <c r="K71" s="195">
        <v>0</v>
      </c>
      <c r="L71" s="195">
        <v>23</v>
      </c>
      <c r="M71" s="195">
        <v>20</v>
      </c>
      <c r="N71" s="195">
        <v>0</v>
      </c>
      <c r="O71" s="195">
        <v>0</v>
      </c>
      <c r="P71" s="195">
        <v>0</v>
      </c>
      <c r="Q71" s="195">
        <v>13</v>
      </c>
      <c r="R71" s="195">
        <v>2</v>
      </c>
      <c r="S71" s="195">
        <v>0</v>
      </c>
      <c r="T71" s="195">
        <v>0</v>
      </c>
      <c r="U71" s="195">
        <v>2</v>
      </c>
      <c r="V71" s="195">
        <v>0</v>
      </c>
    </row>
    <row r="72" spans="1:22" s="212" customFormat="1">
      <c r="A72" s="1190"/>
      <c r="B72" s="186" t="s">
        <v>93</v>
      </c>
      <c r="C72" s="195">
        <v>120</v>
      </c>
      <c r="D72" s="195">
        <v>15</v>
      </c>
      <c r="E72" s="195">
        <v>1.5</v>
      </c>
      <c r="F72" s="195">
        <v>1.5</v>
      </c>
      <c r="G72" s="195">
        <v>0</v>
      </c>
      <c r="H72" s="195">
        <v>0</v>
      </c>
      <c r="I72" s="195">
        <v>15</v>
      </c>
      <c r="J72" s="195">
        <v>26</v>
      </c>
      <c r="K72" s="195">
        <v>0</v>
      </c>
      <c r="L72" s="195">
        <v>25</v>
      </c>
      <c r="M72" s="195">
        <v>10</v>
      </c>
      <c r="N72" s="195">
        <v>0</v>
      </c>
      <c r="O72" s="195">
        <v>0</v>
      </c>
      <c r="P72" s="195">
        <v>0</v>
      </c>
      <c r="Q72" s="195">
        <v>5</v>
      </c>
      <c r="R72" s="195">
        <v>0</v>
      </c>
      <c r="S72" s="195">
        <v>0</v>
      </c>
      <c r="T72" s="195">
        <v>0</v>
      </c>
      <c r="U72" s="195">
        <v>2</v>
      </c>
      <c r="V72" s="195">
        <v>0</v>
      </c>
    </row>
    <row r="73" spans="1:22">
      <c r="A73" s="1190"/>
      <c r="B73" s="186" t="s">
        <v>95</v>
      </c>
      <c r="C73" s="195">
        <v>110</v>
      </c>
      <c r="D73" s="195">
        <v>10</v>
      </c>
      <c r="E73" s="195">
        <v>1</v>
      </c>
      <c r="F73" s="195">
        <v>1</v>
      </c>
      <c r="G73" s="195">
        <v>0</v>
      </c>
      <c r="H73" s="195">
        <v>0</v>
      </c>
      <c r="I73" s="195">
        <v>25</v>
      </c>
      <c r="J73" s="195">
        <v>26</v>
      </c>
      <c r="K73" s="195">
        <v>0</v>
      </c>
      <c r="L73" s="195">
        <v>24</v>
      </c>
      <c r="M73" s="195">
        <v>10</v>
      </c>
      <c r="N73" s="195">
        <v>0</v>
      </c>
      <c r="O73" s="195">
        <v>0</v>
      </c>
      <c r="P73" s="195">
        <v>0</v>
      </c>
      <c r="Q73" s="195">
        <v>5</v>
      </c>
      <c r="R73" s="188">
        <v>0</v>
      </c>
      <c r="S73" s="188">
        <v>0</v>
      </c>
      <c r="T73" s="188">
        <v>0</v>
      </c>
      <c r="U73" s="188">
        <v>2</v>
      </c>
      <c r="V73" s="188">
        <v>0</v>
      </c>
    </row>
    <row r="74" spans="1:22">
      <c r="A74" s="1190"/>
      <c r="B74" s="186" t="s">
        <v>96</v>
      </c>
      <c r="C74" s="195"/>
      <c r="D74" s="195"/>
      <c r="E74" s="195"/>
      <c r="F74" s="195"/>
      <c r="G74" s="195"/>
      <c r="H74" s="195"/>
      <c r="I74" s="195"/>
      <c r="J74" s="195"/>
      <c r="K74" s="195"/>
      <c r="L74" s="195"/>
      <c r="M74" s="195"/>
      <c r="N74" s="195"/>
      <c r="O74" s="195"/>
      <c r="P74" s="195"/>
      <c r="Q74" s="195"/>
      <c r="R74" s="188"/>
      <c r="S74" s="188"/>
      <c r="T74" s="188"/>
      <c r="U74" s="188"/>
      <c r="V74" s="188"/>
    </row>
    <row r="75" spans="1:22">
      <c r="A75" s="1190"/>
      <c r="B75" s="186" t="s">
        <v>97</v>
      </c>
      <c r="C75" s="195">
        <v>130</v>
      </c>
      <c r="D75" s="195">
        <v>10</v>
      </c>
      <c r="E75" s="195">
        <v>1.5</v>
      </c>
      <c r="F75" s="195">
        <v>1</v>
      </c>
      <c r="G75" s="195">
        <v>0</v>
      </c>
      <c r="H75" s="195">
        <v>0</v>
      </c>
      <c r="I75" s="195">
        <v>55</v>
      </c>
      <c r="J75" s="195">
        <v>29</v>
      </c>
      <c r="K75" s="195">
        <v>0</v>
      </c>
      <c r="L75" s="195">
        <v>26</v>
      </c>
      <c r="M75" s="195">
        <v>20</v>
      </c>
      <c r="N75" s="195">
        <v>0</v>
      </c>
      <c r="O75" s="195">
        <v>0</v>
      </c>
      <c r="P75" s="195">
        <v>0</v>
      </c>
      <c r="Q75" s="195">
        <v>4</v>
      </c>
      <c r="R75" s="188">
        <v>0</v>
      </c>
      <c r="S75" s="188">
        <v>0</v>
      </c>
      <c r="T75" s="188">
        <v>0</v>
      </c>
      <c r="U75" s="188">
        <v>10</v>
      </c>
      <c r="V75" s="188">
        <v>0</v>
      </c>
    </row>
    <row r="76" spans="1:22">
      <c r="A76" s="1190"/>
      <c r="B76" s="186" t="s">
        <v>98</v>
      </c>
      <c r="C76" s="195">
        <v>110</v>
      </c>
      <c r="D76" s="195">
        <v>10</v>
      </c>
      <c r="E76" s="195">
        <v>1.5</v>
      </c>
      <c r="F76" s="195">
        <v>1</v>
      </c>
      <c r="G76" s="195">
        <v>0</v>
      </c>
      <c r="H76" s="195">
        <v>0</v>
      </c>
      <c r="I76" s="195">
        <v>25</v>
      </c>
      <c r="J76" s="195">
        <v>25</v>
      </c>
      <c r="K76" s="195">
        <v>0</v>
      </c>
      <c r="L76" s="195">
        <v>24</v>
      </c>
      <c r="M76" s="195">
        <v>10</v>
      </c>
      <c r="N76" s="195">
        <v>0</v>
      </c>
      <c r="O76" s="195">
        <v>0</v>
      </c>
      <c r="P76" s="195">
        <v>0</v>
      </c>
      <c r="Q76" s="195">
        <v>3</v>
      </c>
      <c r="R76" s="188">
        <v>0</v>
      </c>
      <c r="S76" s="188">
        <v>0</v>
      </c>
      <c r="T76" s="188">
        <v>0</v>
      </c>
      <c r="U76" s="188">
        <v>2</v>
      </c>
      <c r="V76" s="188">
        <v>0</v>
      </c>
    </row>
    <row r="77" spans="1:22">
      <c r="A77" s="1190"/>
      <c r="B77" s="186" t="s">
        <v>99</v>
      </c>
      <c r="C77" s="195">
        <v>120</v>
      </c>
      <c r="D77" s="195">
        <v>20</v>
      </c>
      <c r="E77" s="195">
        <v>2</v>
      </c>
      <c r="F77" s="195">
        <v>1.5</v>
      </c>
      <c r="G77" s="195">
        <v>0</v>
      </c>
      <c r="H77" s="195">
        <v>0</v>
      </c>
      <c r="I77" s="195">
        <v>25</v>
      </c>
      <c r="J77" s="195">
        <v>26</v>
      </c>
      <c r="K77" s="195">
        <v>0</v>
      </c>
      <c r="L77" s="195">
        <v>25</v>
      </c>
      <c r="M77" s="195">
        <v>10</v>
      </c>
      <c r="N77" s="195">
        <v>0</v>
      </c>
      <c r="O77" s="195">
        <v>0</v>
      </c>
      <c r="P77" s="195">
        <v>0</v>
      </c>
      <c r="Q77" s="195">
        <v>4</v>
      </c>
      <c r="R77" s="188">
        <v>0</v>
      </c>
      <c r="S77" s="188">
        <v>0</v>
      </c>
      <c r="T77" s="188">
        <v>0</v>
      </c>
      <c r="U77" s="188">
        <v>2</v>
      </c>
      <c r="V77" s="188">
        <v>0</v>
      </c>
    </row>
    <row r="78" spans="1:22">
      <c r="A78" s="1190"/>
      <c r="B78" s="186" t="s">
        <v>100</v>
      </c>
      <c r="C78" s="195">
        <v>120</v>
      </c>
      <c r="D78" s="195">
        <v>15</v>
      </c>
      <c r="E78" s="195">
        <v>2</v>
      </c>
      <c r="F78" s="195">
        <v>1.5</v>
      </c>
      <c r="G78" s="195">
        <v>0</v>
      </c>
      <c r="H78" s="195">
        <v>0</v>
      </c>
      <c r="I78" s="195">
        <v>25</v>
      </c>
      <c r="J78" s="195">
        <v>27</v>
      </c>
      <c r="K78" s="195">
        <v>0</v>
      </c>
      <c r="L78" s="195">
        <v>25</v>
      </c>
      <c r="M78" s="195">
        <v>10</v>
      </c>
      <c r="N78" s="195">
        <v>0</v>
      </c>
      <c r="O78" s="195">
        <v>0</v>
      </c>
      <c r="P78" s="195">
        <v>0</v>
      </c>
      <c r="Q78" s="195">
        <v>8</v>
      </c>
      <c r="R78" s="195">
        <v>0</v>
      </c>
      <c r="S78" s="195">
        <v>0</v>
      </c>
      <c r="T78" s="195">
        <v>0</v>
      </c>
      <c r="U78" s="195">
        <v>13</v>
      </c>
      <c r="V78" s="195">
        <v>0</v>
      </c>
    </row>
    <row r="79" spans="1:22">
      <c r="A79" s="1190"/>
      <c r="B79" s="186" t="s">
        <v>101</v>
      </c>
      <c r="C79" s="195">
        <v>120</v>
      </c>
      <c r="D79" s="195">
        <v>20</v>
      </c>
      <c r="E79" s="195">
        <v>2</v>
      </c>
      <c r="F79" s="195">
        <v>2</v>
      </c>
      <c r="G79" s="195">
        <v>0</v>
      </c>
      <c r="H79" s="195">
        <v>0</v>
      </c>
      <c r="I79" s="195">
        <v>30</v>
      </c>
      <c r="J79" s="195">
        <v>26</v>
      </c>
      <c r="K79" s="195">
        <v>0</v>
      </c>
      <c r="L79" s="195">
        <v>24</v>
      </c>
      <c r="M79" s="195">
        <v>21</v>
      </c>
      <c r="N79" s="188">
        <v>0</v>
      </c>
      <c r="O79" s="188">
        <v>0</v>
      </c>
      <c r="P79" s="188">
        <v>0</v>
      </c>
      <c r="Q79" s="188">
        <v>8</v>
      </c>
      <c r="R79" s="188">
        <v>0</v>
      </c>
      <c r="S79" s="188">
        <v>0</v>
      </c>
      <c r="T79" s="188">
        <v>0</v>
      </c>
      <c r="U79" s="188">
        <v>4</v>
      </c>
      <c r="V79" s="188">
        <v>0</v>
      </c>
    </row>
    <row r="80" spans="1:22">
      <c r="A80" s="1190"/>
      <c r="B80" s="186" t="s">
        <v>102</v>
      </c>
      <c r="C80" s="195">
        <v>110</v>
      </c>
      <c r="D80" s="195">
        <v>15</v>
      </c>
      <c r="E80" s="195">
        <v>1.5</v>
      </c>
      <c r="F80" s="195">
        <v>1</v>
      </c>
      <c r="G80" s="195">
        <v>0</v>
      </c>
      <c r="H80" s="195">
        <v>0</v>
      </c>
      <c r="I80" s="195">
        <v>25</v>
      </c>
      <c r="J80" s="195">
        <v>24</v>
      </c>
      <c r="K80" s="195">
        <v>0</v>
      </c>
      <c r="L80" s="195">
        <v>23</v>
      </c>
      <c r="M80" s="195">
        <v>22</v>
      </c>
      <c r="N80" s="195">
        <v>0</v>
      </c>
      <c r="O80" s="195">
        <v>0</v>
      </c>
      <c r="P80" s="195">
        <v>0</v>
      </c>
      <c r="Q80" s="195">
        <v>4</v>
      </c>
      <c r="R80" s="188">
        <v>0</v>
      </c>
      <c r="S80" s="188">
        <v>0</v>
      </c>
      <c r="T80" s="188">
        <v>0</v>
      </c>
      <c r="U80" s="188">
        <v>4</v>
      </c>
      <c r="V80" s="188">
        <v>0</v>
      </c>
    </row>
    <row r="81" spans="1:22">
      <c r="A81" s="1190"/>
      <c r="B81" s="186" t="s">
        <v>104</v>
      </c>
      <c r="C81" s="195">
        <v>120</v>
      </c>
      <c r="D81" s="195">
        <v>15</v>
      </c>
      <c r="E81" s="195">
        <v>2</v>
      </c>
      <c r="F81" s="195">
        <v>1.5</v>
      </c>
      <c r="G81" s="195">
        <v>0</v>
      </c>
      <c r="H81" s="195">
        <v>0</v>
      </c>
      <c r="I81" s="195">
        <v>35</v>
      </c>
      <c r="J81" s="195">
        <v>25</v>
      </c>
      <c r="K81" s="195">
        <v>0</v>
      </c>
      <c r="L81" s="195">
        <v>23</v>
      </c>
      <c r="M81" s="195">
        <v>22</v>
      </c>
      <c r="N81" s="195">
        <v>0</v>
      </c>
      <c r="O81" s="195">
        <v>0</v>
      </c>
      <c r="P81" s="195">
        <v>0</v>
      </c>
      <c r="Q81" s="195">
        <v>4</v>
      </c>
      <c r="R81" s="188">
        <v>0</v>
      </c>
      <c r="S81" s="188">
        <v>0</v>
      </c>
      <c r="T81" s="188">
        <v>0</v>
      </c>
      <c r="U81" s="188">
        <v>13</v>
      </c>
      <c r="V81" s="188">
        <v>0</v>
      </c>
    </row>
    <row r="82" spans="1:22">
      <c r="A82" s="1190"/>
      <c r="B82" s="186" t="s">
        <v>103</v>
      </c>
      <c r="C82" s="195">
        <v>130</v>
      </c>
      <c r="D82" s="195">
        <v>10</v>
      </c>
      <c r="E82" s="195">
        <v>1.5</v>
      </c>
      <c r="F82" s="195">
        <v>1</v>
      </c>
      <c r="G82" s="195">
        <v>0</v>
      </c>
      <c r="H82" s="195">
        <v>0</v>
      </c>
      <c r="I82" s="195">
        <v>30</v>
      </c>
      <c r="J82" s="195">
        <v>30</v>
      </c>
      <c r="K82" s="195">
        <v>0</v>
      </c>
      <c r="L82" s="195">
        <v>29</v>
      </c>
      <c r="M82" s="195">
        <v>28</v>
      </c>
      <c r="N82" s="195">
        <v>0</v>
      </c>
      <c r="O82" s="195">
        <v>0</v>
      </c>
      <c r="P82" s="195">
        <v>0</v>
      </c>
      <c r="Q82" s="195">
        <v>3</v>
      </c>
      <c r="R82" s="188">
        <v>0</v>
      </c>
      <c r="S82" s="188">
        <v>0</v>
      </c>
      <c r="T82" s="188">
        <v>0</v>
      </c>
      <c r="U82" s="188">
        <v>7</v>
      </c>
      <c r="V82" s="188">
        <v>0</v>
      </c>
    </row>
    <row r="83" spans="1:22">
      <c r="A83" s="1190"/>
      <c r="B83" s="186" t="s">
        <v>105</v>
      </c>
      <c r="C83" s="195">
        <v>130</v>
      </c>
      <c r="D83" s="195">
        <v>15</v>
      </c>
      <c r="E83" s="195">
        <v>2</v>
      </c>
      <c r="F83" s="195">
        <v>1.5</v>
      </c>
      <c r="G83" s="195">
        <v>0</v>
      </c>
      <c r="H83" s="195">
        <v>0</v>
      </c>
      <c r="I83" s="195">
        <v>40</v>
      </c>
      <c r="J83" s="195">
        <v>29</v>
      </c>
      <c r="K83" s="195">
        <v>1</v>
      </c>
      <c r="L83" s="195">
        <v>25</v>
      </c>
      <c r="M83" s="195">
        <v>25</v>
      </c>
      <c r="N83" s="195">
        <v>1</v>
      </c>
      <c r="O83" s="195">
        <v>0</v>
      </c>
      <c r="P83" s="195">
        <v>0</v>
      </c>
      <c r="Q83" s="195">
        <v>6</v>
      </c>
      <c r="R83" s="188">
        <v>0</v>
      </c>
      <c r="S83" s="188">
        <v>1</v>
      </c>
      <c r="T83" s="188">
        <v>6</v>
      </c>
      <c r="U83" s="188">
        <v>82</v>
      </c>
      <c r="V83" s="188">
        <v>2</v>
      </c>
    </row>
    <row r="84" spans="1:22">
      <c r="A84" s="1190"/>
      <c r="B84" s="186" t="s">
        <v>106</v>
      </c>
      <c r="C84" s="195">
        <v>100</v>
      </c>
      <c r="D84" s="195">
        <v>10</v>
      </c>
      <c r="E84" s="195">
        <v>1</v>
      </c>
      <c r="F84" s="195">
        <v>1</v>
      </c>
      <c r="G84" s="195">
        <v>0</v>
      </c>
      <c r="H84" s="195">
        <v>0</v>
      </c>
      <c r="I84" s="195">
        <v>25</v>
      </c>
      <c r="J84" s="195">
        <v>22</v>
      </c>
      <c r="K84" s="195">
        <v>0</v>
      </c>
      <c r="L84" s="195">
        <v>21</v>
      </c>
      <c r="M84" s="195">
        <v>21</v>
      </c>
      <c r="N84" s="195">
        <v>0</v>
      </c>
      <c r="O84" s="195">
        <v>0</v>
      </c>
      <c r="P84" s="195">
        <v>0</v>
      </c>
      <c r="Q84" s="195">
        <v>3</v>
      </c>
      <c r="R84" s="188">
        <v>0</v>
      </c>
      <c r="S84" s="188">
        <v>0</v>
      </c>
      <c r="T84" s="188">
        <v>0</v>
      </c>
      <c r="U84" s="188">
        <v>5</v>
      </c>
      <c r="V84" s="188">
        <v>0</v>
      </c>
    </row>
    <row r="85" spans="1:22">
      <c r="A85" s="1190"/>
      <c r="B85" s="186" t="s">
        <v>107</v>
      </c>
      <c r="C85" s="195">
        <v>100</v>
      </c>
      <c r="D85" s="195">
        <v>10</v>
      </c>
      <c r="E85" s="195">
        <v>1</v>
      </c>
      <c r="F85" s="195">
        <v>1</v>
      </c>
      <c r="G85" s="195">
        <v>0</v>
      </c>
      <c r="H85" s="195">
        <v>0</v>
      </c>
      <c r="I85" s="195">
        <v>60</v>
      </c>
      <c r="J85" s="195">
        <v>24</v>
      </c>
      <c r="K85" s="195">
        <v>0</v>
      </c>
      <c r="L85" s="195">
        <v>22</v>
      </c>
      <c r="M85" s="195">
        <v>22</v>
      </c>
      <c r="N85" s="195">
        <v>0</v>
      </c>
      <c r="O85" s="195">
        <v>0</v>
      </c>
      <c r="P85" s="195">
        <v>0</v>
      </c>
      <c r="Q85" s="195">
        <v>4</v>
      </c>
      <c r="R85" s="188">
        <v>0</v>
      </c>
      <c r="S85" s="188">
        <v>0</v>
      </c>
      <c r="T85" s="188">
        <v>0</v>
      </c>
      <c r="U85" s="188">
        <v>42</v>
      </c>
      <c r="V85" s="188">
        <v>0</v>
      </c>
    </row>
    <row r="86" spans="1:22">
      <c r="A86" s="1190"/>
      <c r="B86" s="186" t="s">
        <v>108</v>
      </c>
      <c r="C86" s="195">
        <v>120</v>
      </c>
      <c r="D86" s="195">
        <v>15</v>
      </c>
      <c r="E86" s="195">
        <v>2</v>
      </c>
      <c r="F86" s="195">
        <v>1.5</v>
      </c>
      <c r="G86" s="195">
        <v>0</v>
      </c>
      <c r="H86" s="195">
        <v>0</v>
      </c>
      <c r="I86" s="195">
        <v>25</v>
      </c>
      <c r="J86" s="195">
        <v>25</v>
      </c>
      <c r="K86" s="195">
        <v>0</v>
      </c>
      <c r="L86" s="195">
        <v>24</v>
      </c>
      <c r="M86" s="195">
        <v>22</v>
      </c>
      <c r="N86" s="195">
        <v>0</v>
      </c>
      <c r="O86" s="195">
        <v>0</v>
      </c>
      <c r="P86" s="195">
        <v>0</v>
      </c>
      <c r="Q86" s="195">
        <v>4</v>
      </c>
      <c r="R86" s="188">
        <v>0</v>
      </c>
      <c r="S86" s="188">
        <v>0</v>
      </c>
      <c r="T86" s="188">
        <v>0</v>
      </c>
      <c r="U86" s="188">
        <v>6</v>
      </c>
      <c r="V86" s="188">
        <v>0</v>
      </c>
    </row>
    <row r="87" spans="1:22" s="248" customFormat="1">
      <c r="A87" s="1190"/>
      <c r="B87" s="186" t="s">
        <v>109</v>
      </c>
      <c r="C87" s="195">
        <v>110</v>
      </c>
      <c r="D87" s="195">
        <v>10</v>
      </c>
      <c r="E87" s="195">
        <v>1.5</v>
      </c>
      <c r="F87" s="195">
        <v>1</v>
      </c>
      <c r="G87" s="195">
        <v>0</v>
      </c>
      <c r="H87" s="195">
        <v>0</v>
      </c>
      <c r="I87" s="195">
        <v>30</v>
      </c>
      <c r="J87" s="195">
        <v>25</v>
      </c>
      <c r="K87" s="195">
        <v>0</v>
      </c>
      <c r="L87" s="195">
        <v>24</v>
      </c>
      <c r="M87" s="195">
        <v>16</v>
      </c>
      <c r="N87" s="188">
        <v>0</v>
      </c>
      <c r="O87" s="188">
        <v>0</v>
      </c>
      <c r="P87" s="188">
        <v>0</v>
      </c>
      <c r="Q87" s="188">
        <v>3</v>
      </c>
      <c r="R87" s="188">
        <v>0</v>
      </c>
      <c r="S87" s="188">
        <v>0</v>
      </c>
      <c r="T87" s="188">
        <v>0</v>
      </c>
      <c r="U87" s="188">
        <v>3</v>
      </c>
      <c r="V87" s="188">
        <v>0</v>
      </c>
    </row>
    <row r="88" spans="1:22" ht="15" customHeight="1">
      <c r="A88" s="1190"/>
      <c r="B88" s="186" t="s">
        <v>110</v>
      </c>
      <c r="C88" s="195">
        <v>110</v>
      </c>
      <c r="D88" s="195">
        <v>10</v>
      </c>
      <c r="E88" s="195">
        <v>1</v>
      </c>
      <c r="F88" s="195">
        <v>1</v>
      </c>
      <c r="G88" s="195">
        <v>0</v>
      </c>
      <c r="H88" s="195">
        <v>0</v>
      </c>
      <c r="I88" s="195">
        <v>45</v>
      </c>
      <c r="J88" s="195">
        <v>24</v>
      </c>
      <c r="K88" s="195">
        <v>0</v>
      </c>
      <c r="L88" s="195">
        <v>22</v>
      </c>
      <c r="M88" s="195">
        <v>22</v>
      </c>
      <c r="N88" s="195">
        <v>0</v>
      </c>
      <c r="O88" s="195">
        <v>0</v>
      </c>
      <c r="P88" s="195">
        <v>0</v>
      </c>
      <c r="Q88" s="195">
        <v>5</v>
      </c>
      <c r="R88" s="188">
        <v>0</v>
      </c>
      <c r="S88" s="188">
        <v>0</v>
      </c>
      <c r="T88" s="188">
        <v>0</v>
      </c>
      <c r="U88" s="188">
        <v>37</v>
      </c>
      <c r="V88" s="188">
        <v>0</v>
      </c>
    </row>
    <row r="89" spans="1:22" s="212" customFormat="1">
      <c r="A89" s="1190"/>
      <c r="B89" s="186" t="s">
        <v>330</v>
      </c>
      <c r="C89" s="195">
        <v>110</v>
      </c>
      <c r="D89" s="195">
        <v>15</v>
      </c>
      <c r="E89" s="195">
        <v>2</v>
      </c>
      <c r="F89" s="195">
        <v>1.5</v>
      </c>
      <c r="G89" s="195">
        <v>0</v>
      </c>
      <c r="H89" s="195">
        <v>0</v>
      </c>
      <c r="I89" s="195">
        <v>25</v>
      </c>
      <c r="J89" s="195">
        <v>26</v>
      </c>
      <c r="K89" s="195">
        <v>0</v>
      </c>
      <c r="L89" s="195">
        <v>25</v>
      </c>
      <c r="M89" s="195">
        <v>23</v>
      </c>
      <c r="N89" s="195">
        <v>0</v>
      </c>
      <c r="O89" s="195">
        <v>0</v>
      </c>
      <c r="P89" s="195">
        <v>0</v>
      </c>
      <c r="Q89" s="195">
        <v>5</v>
      </c>
      <c r="R89" s="195">
        <v>0</v>
      </c>
      <c r="S89" s="195">
        <v>0</v>
      </c>
      <c r="T89" s="195">
        <v>0</v>
      </c>
      <c r="U89" s="195">
        <v>8</v>
      </c>
      <c r="V89" s="195">
        <v>0</v>
      </c>
    </row>
    <row r="90" spans="1:22">
      <c r="A90" s="1190"/>
      <c r="B90" s="186" t="s">
        <v>111</v>
      </c>
      <c r="C90" s="195">
        <v>100</v>
      </c>
      <c r="D90" s="195">
        <v>10</v>
      </c>
      <c r="E90" s="195">
        <v>1</v>
      </c>
      <c r="F90" s="195">
        <v>1</v>
      </c>
      <c r="G90" s="195">
        <v>0</v>
      </c>
      <c r="H90" s="195">
        <v>0</v>
      </c>
      <c r="I90" s="195">
        <v>15</v>
      </c>
      <c r="J90" s="195">
        <v>22</v>
      </c>
      <c r="K90" s="195">
        <v>0</v>
      </c>
      <c r="L90" s="195">
        <v>21</v>
      </c>
      <c r="M90" s="195">
        <v>9</v>
      </c>
      <c r="N90" s="195">
        <v>0</v>
      </c>
      <c r="O90" s="195">
        <v>0</v>
      </c>
      <c r="P90" s="195">
        <v>0</v>
      </c>
      <c r="Q90" s="195">
        <v>4</v>
      </c>
      <c r="R90" s="188">
        <v>0</v>
      </c>
      <c r="S90" s="188">
        <v>0</v>
      </c>
      <c r="T90" s="188">
        <v>0</v>
      </c>
      <c r="U90" s="188">
        <v>4</v>
      </c>
      <c r="V90" s="188">
        <v>0</v>
      </c>
    </row>
    <row r="91" spans="1:22">
      <c r="A91" s="1190"/>
      <c r="B91" s="186" t="s">
        <v>112</v>
      </c>
      <c r="C91" s="195">
        <v>90</v>
      </c>
      <c r="D91" s="195">
        <v>10</v>
      </c>
      <c r="E91" s="195">
        <v>1</v>
      </c>
      <c r="F91" s="195">
        <v>1</v>
      </c>
      <c r="G91" s="195">
        <v>0</v>
      </c>
      <c r="H91" s="195">
        <v>0</v>
      </c>
      <c r="I91" s="195">
        <v>25</v>
      </c>
      <c r="J91" s="195">
        <v>20</v>
      </c>
      <c r="K91" s="195">
        <v>0</v>
      </c>
      <c r="L91" s="195">
        <v>19</v>
      </c>
      <c r="M91" s="195">
        <v>18</v>
      </c>
      <c r="N91" s="195">
        <v>0</v>
      </c>
      <c r="O91" s="195">
        <v>0</v>
      </c>
      <c r="P91" s="195">
        <v>0</v>
      </c>
      <c r="Q91" s="195">
        <v>5</v>
      </c>
      <c r="R91" s="188">
        <v>0</v>
      </c>
      <c r="S91" s="188">
        <v>0</v>
      </c>
      <c r="T91" s="188">
        <v>0</v>
      </c>
      <c r="U91" s="188">
        <v>10</v>
      </c>
      <c r="V91" s="188">
        <v>0</v>
      </c>
    </row>
    <row r="92" spans="1:22">
      <c r="A92" s="1190"/>
      <c r="B92" s="186" t="s">
        <v>113</v>
      </c>
      <c r="C92" s="195">
        <v>90</v>
      </c>
      <c r="D92" s="195">
        <v>10</v>
      </c>
      <c r="E92" s="195">
        <v>1</v>
      </c>
      <c r="F92" s="195">
        <v>1</v>
      </c>
      <c r="G92" s="195">
        <v>0</v>
      </c>
      <c r="H92" s="195">
        <v>0</v>
      </c>
      <c r="I92" s="195">
        <v>40</v>
      </c>
      <c r="J92" s="195">
        <v>21</v>
      </c>
      <c r="K92" s="195">
        <v>0</v>
      </c>
      <c r="L92" s="195">
        <v>19</v>
      </c>
      <c r="M92" s="195">
        <v>19</v>
      </c>
      <c r="N92" s="188">
        <v>0</v>
      </c>
      <c r="O92" s="188">
        <v>0</v>
      </c>
      <c r="P92" s="188">
        <v>0</v>
      </c>
      <c r="Q92" s="188">
        <v>5</v>
      </c>
      <c r="R92" s="188">
        <v>0</v>
      </c>
      <c r="S92" s="188">
        <v>0</v>
      </c>
      <c r="T92" s="188">
        <v>0</v>
      </c>
      <c r="U92" s="188">
        <v>30</v>
      </c>
      <c r="V92" s="188">
        <v>0</v>
      </c>
    </row>
    <row r="93" spans="1:22" ht="14.25" customHeight="1">
      <c r="A93" s="1190"/>
      <c r="B93" s="186" t="s">
        <v>114</v>
      </c>
      <c r="C93" s="195">
        <v>140</v>
      </c>
      <c r="D93" s="195">
        <v>30</v>
      </c>
      <c r="E93" s="195">
        <v>3.5</v>
      </c>
      <c r="F93" s="195">
        <v>1.5</v>
      </c>
      <c r="G93" s="195">
        <v>0</v>
      </c>
      <c r="H93" s="195">
        <v>0</v>
      </c>
      <c r="I93" s="195">
        <v>40</v>
      </c>
      <c r="J93" s="195">
        <v>28</v>
      </c>
      <c r="K93" s="195">
        <v>0</v>
      </c>
      <c r="L93" s="195">
        <v>27</v>
      </c>
      <c r="M93" s="195">
        <v>26</v>
      </c>
      <c r="N93" s="195">
        <v>1</v>
      </c>
      <c r="O93" s="195">
        <v>0</v>
      </c>
      <c r="P93" s="195">
        <v>0</v>
      </c>
      <c r="Q93" s="195">
        <v>6</v>
      </c>
      <c r="R93" s="188">
        <v>0</v>
      </c>
      <c r="S93" s="188">
        <v>0</v>
      </c>
      <c r="T93" s="188">
        <v>0</v>
      </c>
      <c r="U93" s="188">
        <v>8</v>
      </c>
      <c r="V93" s="188">
        <v>0</v>
      </c>
    </row>
    <row r="94" spans="1:22">
      <c r="A94" s="1190"/>
      <c r="B94" s="186" t="s">
        <v>115</v>
      </c>
      <c r="C94" s="195">
        <v>100</v>
      </c>
      <c r="D94" s="195">
        <v>5</v>
      </c>
      <c r="E94" s="195">
        <v>0</v>
      </c>
      <c r="F94" s="195">
        <v>0</v>
      </c>
      <c r="G94" s="195">
        <v>0</v>
      </c>
      <c r="H94" s="195">
        <v>0</v>
      </c>
      <c r="I94" s="195">
        <v>20</v>
      </c>
      <c r="J94" s="195">
        <v>24</v>
      </c>
      <c r="K94" s="195">
        <v>0</v>
      </c>
      <c r="L94" s="195">
        <v>23</v>
      </c>
      <c r="M94" s="195">
        <v>17</v>
      </c>
      <c r="N94" s="195">
        <v>0</v>
      </c>
      <c r="O94" s="195">
        <v>0</v>
      </c>
      <c r="P94" s="195">
        <v>0</v>
      </c>
      <c r="Q94" s="195">
        <v>3</v>
      </c>
      <c r="R94" s="188">
        <v>0</v>
      </c>
      <c r="S94" s="188">
        <v>0</v>
      </c>
      <c r="T94" s="188">
        <v>0</v>
      </c>
      <c r="U94" s="188">
        <v>5</v>
      </c>
      <c r="V94" s="188">
        <v>0</v>
      </c>
    </row>
    <row r="95" spans="1:22">
      <c r="A95" s="1190"/>
      <c r="B95" s="186" t="s">
        <v>116</v>
      </c>
      <c r="C95" s="195">
        <v>130</v>
      </c>
      <c r="D95" s="195">
        <v>15</v>
      </c>
      <c r="E95" s="195">
        <v>1.5</v>
      </c>
      <c r="F95" s="195">
        <v>1.5</v>
      </c>
      <c r="G95" s="195">
        <v>0</v>
      </c>
      <c r="H95" s="195">
        <v>0</v>
      </c>
      <c r="I95" s="195">
        <v>25</v>
      </c>
      <c r="J95" s="195">
        <v>29</v>
      </c>
      <c r="K95" s="195">
        <v>0</v>
      </c>
      <c r="L95" s="195">
        <v>28</v>
      </c>
      <c r="M95" s="195">
        <v>26</v>
      </c>
      <c r="N95" s="195">
        <v>0</v>
      </c>
      <c r="O95" s="195">
        <v>0</v>
      </c>
      <c r="P95" s="195">
        <v>0</v>
      </c>
      <c r="Q95" s="195">
        <v>4</v>
      </c>
      <c r="R95" s="188">
        <v>0</v>
      </c>
      <c r="S95" s="188">
        <v>0</v>
      </c>
      <c r="T95" s="188">
        <v>0</v>
      </c>
      <c r="U95" s="188">
        <v>8</v>
      </c>
      <c r="V95" s="188">
        <v>0</v>
      </c>
    </row>
    <row r="96" spans="1:22">
      <c r="A96" s="1190"/>
      <c r="B96" s="186" t="s">
        <v>118</v>
      </c>
      <c r="C96" s="195">
        <v>110</v>
      </c>
      <c r="D96" s="195">
        <v>10</v>
      </c>
      <c r="E96" s="195">
        <v>1.5</v>
      </c>
      <c r="F96" s="195">
        <v>1</v>
      </c>
      <c r="G96" s="195">
        <v>0</v>
      </c>
      <c r="H96" s="195">
        <v>0</v>
      </c>
      <c r="I96" s="195">
        <v>25</v>
      </c>
      <c r="J96" s="195">
        <v>26</v>
      </c>
      <c r="K96" s="195">
        <v>0</v>
      </c>
      <c r="L96" s="195">
        <v>25</v>
      </c>
      <c r="M96" s="195">
        <v>11</v>
      </c>
      <c r="N96" s="195">
        <v>0</v>
      </c>
      <c r="O96" s="195">
        <v>0</v>
      </c>
      <c r="P96" s="195">
        <v>0</v>
      </c>
      <c r="Q96" s="195">
        <v>3</v>
      </c>
      <c r="R96" s="188">
        <v>0</v>
      </c>
      <c r="S96" s="188">
        <v>0</v>
      </c>
      <c r="T96" s="188">
        <v>0</v>
      </c>
      <c r="U96" s="188">
        <v>7</v>
      </c>
      <c r="V96" s="188">
        <v>0</v>
      </c>
    </row>
    <row r="97" spans="1:22" ht="15" customHeight="1">
      <c r="A97" s="1190"/>
      <c r="B97" s="186" t="s">
        <v>183</v>
      </c>
      <c r="C97" s="195">
        <v>120</v>
      </c>
      <c r="D97" s="195">
        <v>10</v>
      </c>
      <c r="E97" s="195">
        <v>1</v>
      </c>
      <c r="F97" s="195">
        <v>1</v>
      </c>
      <c r="G97" s="195">
        <v>0</v>
      </c>
      <c r="H97" s="195">
        <v>0</v>
      </c>
      <c r="I97" s="195">
        <v>25</v>
      </c>
      <c r="J97" s="195">
        <v>27</v>
      </c>
      <c r="K97" s="195">
        <v>0</v>
      </c>
      <c r="L97" s="195">
        <v>25</v>
      </c>
      <c r="M97" s="195">
        <v>25</v>
      </c>
      <c r="N97" s="195">
        <v>0</v>
      </c>
      <c r="O97" s="195">
        <v>0</v>
      </c>
      <c r="P97" s="195">
        <v>0</v>
      </c>
      <c r="Q97" s="195">
        <v>3</v>
      </c>
      <c r="R97" s="188">
        <v>0</v>
      </c>
      <c r="S97" s="188">
        <v>0</v>
      </c>
      <c r="T97" s="188">
        <v>0</v>
      </c>
      <c r="U97" s="188">
        <v>13</v>
      </c>
      <c r="V97" s="188">
        <v>0</v>
      </c>
    </row>
    <row r="98" spans="1:22">
      <c r="A98" s="1190"/>
      <c r="B98" s="186" t="s">
        <v>119</v>
      </c>
      <c r="C98" s="195">
        <v>100</v>
      </c>
      <c r="D98" s="195">
        <v>10</v>
      </c>
      <c r="E98" s="195">
        <v>1</v>
      </c>
      <c r="F98" s="195">
        <v>1</v>
      </c>
      <c r="G98" s="195">
        <v>0</v>
      </c>
      <c r="H98" s="195">
        <v>0</v>
      </c>
      <c r="I98" s="195">
        <v>25</v>
      </c>
      <c r="J98" s="195">
        <v>23</v>
      </c>
      <c r="K98" s="195">
        <v>0</v>
      </c>
      <c r="L98" s="195">
        <v>22</v>
      </c>
      <c r="M98" s="195">
        <v>22</v>
      </c>
      <c r="N98" s="195">
        <v>0</v>
      </c>
      <c r="O98" s="195">
        <v>0</v>
      </c>
      <c r="P98" s="195">
        <v>0</v>
      </c>
      <c r="Q98" s="195">
        <v>3</v>
      </c>
      <c r="R98" s="188">
        <v>0</v>
      </c>
      <c r="S98" s="188">
        <v>0</v>
      </c>
      <c r="T98" s="188">
        <v>0</v>
      </c>
      <c r="U98" s="188">
        <v>9</v>
      </c>
      <c r="V98" s="188">
        <v>0</v>
      </c>
    </row>
    <row r="99" spans="1:22" ht="16.3" thickBot="1">
      <c r="A99" s="1198"/>
      <c r="B99" s="186" t="s">
        <v>120</v>
      </c>
      <c r="C99" s="195">
        <v>130</v>
      </c>
      <c r="D99" s="195">
        <v>15</v>
      </c>
      <c r="E99" s="195">
        <v>2</v>
      </c>
      <c r="F99" s="195">
        <v>1.5</v>
      </c>
      <c r="G99" s="195">
        <v>0</v>
      </c>
      <c r="H99" s="195">
        <v>0</v>
      </c>
      <c r="I99" s="195">
        <v>25</v>
      </c>
      <c r="J99" s="195">
        <v>29</v>
      </c>
      <c r="K99" s="195">
        <v>0</v>
      </c>
      <c r="L99" s="195">
        <v>27</v>
      </c>
      <c r="M99" s="195">
        <v>25</v>
      </c>
      <c r="N99" s="195">
        <v>0</v>
      </c>
      <c r="O99" s="195">
        <v>0</v>
      </c>
      <c r="P99" s="195">
        <v>0</v>
      </c>
      <c r="Q99" s="195">
        <v>4</v>
      </c>
      <c r="R99" s="188">
        <v>0</v>
      </c>
      <c r="S99" s="188">
        <v>0</v>
      </c>
      <c r="T99" s="188">
        <v>0</v>
      </c>
      <c r="U99" s="188">
        <v>6</v>
      </c>
      <c r="V99" s="188">
        <v>0</v>
      </c>
    </row>
    <row r="100" spans="1:22">
      <c r="A100" s="1211" t="s">
        <v>121</v>
      </c>
      <c r="B100" s="186" t="s">
        <v>122</v>
      </c>
      <c r="C100" s="195">
        <v>45</v>
      </c>
      <c r="D100" s="195">
        <v>0</v>
      </c>
      <c r="E100" s="195">
        <v>0</v>
      </c>
      <c r="F100" s="195">
        <v>0</v>
      </c>
      <c r="G100" s="195">
        <v>0</v>
      </c>
      <c r="H100" s="195">
        <v>0</v>
      </c>
      <c r="I100" s="195">
        <v>10</v>
      </c>
      <c r="J100" s="195">
        <v>16</v>
      </c>
      <c r="K100" s="195">
        <v>0</v>
      </c>
      <c r="L100" s="195">
        <v>0</v>
      </c>
      <c r="M100" s="195">
        <v>0</v>
      </c>
      <c r="N100" s="188">
        <v>0</v>
      </c>
      <c r="O100" s="188">
        <v>0</v>
      </c>
      <c r="P100" s="188">
        <v>0</v>
      </c>
      <c r="Q100" s="188">
        <v>5</v>
      </c>
      <c r="R100" s="188">
        <v>0</v>
      </c>
      <c r="S100" s="188">
        <v>0</v>
      </c>
      <c r="T100" s="188">
        <v>0</v>
      </c>
      <c r="U100" s="188">
        <v>6</v>
      </c>
      <c r="V100" s="188">
        <v>0</v>
      </c>
    </row>
    <row r="101" spans="1:22">
      <c r="A101" s="1199"/>
      <c r="B101" s="186" t="s">
        <v>123</v>
      </c>
      <c r="C101" s="195">
        <v>60</v>
      </c>
      <c r="D101" s="195">
        <v>0</v>
      </c>
      <c r="E101" s="195">
        <v>0</v>
      </c>
      <c r="F101" s="195">
        <v>0</v>
      </c>
      <c r="G101" s="195">
        <v>0</v>
      </c>
      <c r="H101" s="195">
        <v>0</v>
      </c>
      <c r="I101" s="195">
        <v>10</v>
      </c>
      <c r="J101" s="195">
        <v>20</v>
      </c>
      <c r="K101" s="195">
        <v>0</v>
      </c>
      <c r="L101" s="195">
        <v>0</v>
      </c>
      <c r="M101" s="195">
        <v>0</v>
      </c>
      <c r="N101" s="188">
        <v>0</v>
      </c>
      <c r="O101" s="188">
        <v>0</v>
      </c>
      <c r="P101" s="188">
        <v>0</v>
      </c>
      <c r="Q101" s="188">
        <v>5</v>
      </c>
      <c r="R101" s="188">
        <v>0</v>
      </c>
      <c r="S101" s="188">
        <v>0</v>
      </c>
      <c r="T101" s="188">
        <v>0</v>
      </c>
      <c r="U101" s="188">
        <v>12</v>
      </c>
      <c r="V101" s="188">
        <v>0</v>
      </c>
    </row>
    <row r="102" spans="1:22">
      <c r="A102" s="1199"/>
      <c r="B102" s="186" t="s">
        <v>124</v>
      </c>
      <c r="C102" s="195">
        <v>40</v>
      </c>
      <c r="D102" s="195">
        <v>0</v>
      </c>
      <c r="E102" s="195">
        <v>0</v>
      </c>
      <c r="F102" s="195">
        <v>0</v>
      </c>
      <c r="G102" s="195">
        <v>0</v>
      </c>
      <c r="H102" s="195">
        <v>0</v>
      </c>
      <c r="I102" s="195">
        <v>10</v>
      </c>
      <c r="J102" s="195">
        <v>15</v>
      </c>
      <c r="K102" s="195">
        <v>0</v>
      </c>
      <c r="L102" s="195">
        <v>0</v>
      </c>
      <c r="M102" s="195">
        <v>0</v>
      </c>
      <c r="N102" s="188">
        <v>0</v>
      </c>
      <c r="O102" s="188">
        <v>0</v>
      </c>
      <c r="P102" s="188">
        <v>0</v>
      </c>
      <c r="Q102" s="188">
        <v>5</v>
      </c>
      <c r="R102" s="188">
        <v>0</v>
      </c>
      <c r="S102" s="188">
        <v>0</v>
      </c>
      <c r="T102" s="188">
        <v>0</v>
      </c>
      <c r="U102" s="188">
        <v>8</v>
      </c>
      <c r="V102" s="188">
        <v>0</v>
      </c>
    </row>
    <row r="103" spans="1:22">
      <c r="A103" s="1199"/>
      <c r="B103" s="186" t="s">
        <v>125</v>
      </c>
      <c r="C103" s="195">
        <v>45</v>
      </c>
      <c r="D103" s="195">
        <v>0</v>
      </c>
      <c r="E103" s="195">
        <v>0</v>
      </c>
      <c r="F103" s="195">
        <v>0</v>
      </c>
      <c r="G103" s="195">
        <v>0</v>
      </c>
      <c r="H103" s="195">
        <v>0</v>
      </c>
      <c r="I103" s="195">
        <v>10</v>
      </c>
      <c r="J103" s="195">
        <v>14</v>
      </c>
      <c r="K103" s="195">
        <v>0</v>
      </c>
      <c r="L103" s="195">
        <v>0</v>
      </c>
      <c r="M103" s="195">
        <v>0</v>
      </c>
      <c r="N103" s="188">
        <v>0</v>
      </c>
      <c r="O103" s="188">
        <v>0</v>
      </c>
      <c r="P103" s="188">
        <v>0</v>
      </c>
      <c r="Q103" s="188">
        <v>3</v>
      </c>
      <c r="R103" s="188">
        <v>0</v>
      </c>
      <c r="S103" s="188">
        <v>0</v>
      </c>
      <c r="T103" s="188">
        <v>0</v>
      </c>
      <c r="U103" s="188">
        <v>8</v>
      </c>
      <c r="V103" s="188">
        <v>0</v>
      </c>
    </row>
    <row r="104" spans="1:22">
      <c r="A104" s="1199"/>
      <c r="B104" s="216" t="s">
        <v>126</v>
      </c>
      <c r="C104" s="195">
        <v>45</v>
      </c>
      <c r="D104" s="195">
        <v>0</v>
      </c>
      <c r="E104" s="195">
        <v>0</v>
      </c>
      <c r="F104" s="195">
        <v>0</v>
      </c>
      <c r="G104" s="195">
        <v>0</v>
      </c>
      <c r="H104" s="195">
        <v>0</v>
      </c>
      <c r="I104" s="195">
        <v>10</v>
      </c>
      <c r="J104" s="195">
        <v>15</v>
      </c>
      <c r="K104" s="195">
        <v>0</v>
      </c>
      <c r="L104" s="195">
        <v>0</v>
      </c>
      <c r="M104" s="195">
        <v>0</v>
      </c>
      <c r="N104" s="188">
        <v>0</v>
      </c>
      <c r="O104" s="188">
        <v>0</v>
      </c>
      <c r="P104" s="188">
        <v>0</v>
      </c>
      <c r="Q104" s="188">
        <v>3</v>
      </c>
      <c r="R104" s="188">
        <v>0</v>
      </c>
      <c r="S104" s="188">
        <v>0</v>
      </c>
      <c r="T104" s="188">
        <v>0</v>
      </c>
      <c r="U104" s="188">
        <v>7</v>
      </c>
      <c r="V104" s="188">
        <v>0</v>
      </c>
    </row>
    <row r="105" spans="1:22" ht="16.3" thickBot="1">
      <c r="A105" s="1200"/>
      <c r="B105" s="273" t="s">
        <v>127</v>
      </c>
      <c r="C105" s="195">
        <v>45</v>
      </c>
      <c r="D105" s="195">
        <v>0</v>
      </c>
      <c r="E105" s="195">
        <v>0</v>
      </c>
      <c r="F105" s="195">
        <v>0</v>
      </c>
      <c r="G105" s="195">
        <v>0</v>
      </c>
      <c r="H105" s="195">
        <v>0</v>
      </c>
      <c r="I105" s="195">
        <v>15</v>
      </c>
      <c r="J105" s="195">
        <v>15</v>
      </c>
      <c r="K105" s="195">
        <v>0</v>
      </c>
      <c r="L105" s="195">
        <v>0</v>
      </c>
      <c r="M105" s="195">
        <v>0</v>
      </c>
      <c r="N105" s="188">
        <v>0</v>
      </c>
      <c r="O105" s="188">
        <v>0</v>
      </c>
      <c r="P105" s="188">
        <v>0</v>
      </c>
      <c r="Q105" s="188">
        <v>3</v>
      </c>
      <c r="R105" s="188">
        <v>0</v>
      </c>
      <c r="S105" s="188">
        <v>0</v>
      </c>
      <c r="T105" s="188">
        <v>0</v>
      </c>
      <c r="U105" s="188">
        <v>9</v>
      </c>
      <c r="V105" s="188">
        <v>0</v>
      </c>
    </row>
    <row r="106" spans="1:22" ht="15" customHeight="1">
      <c r="A106" s="1189" t="s">
        <v>128</v>
      </c>
      <c r="B106" s="264" t="s">
        <v>129</v>
      </c>
      <c r="C106" s="195">
        <v>320</v>
      </c>
      <c r="D106" s="195">
        <v>150</v>
      </c>
      <c r="E106" s="195">
        <v>17</v>
      </c>
      <c r="F106" s="195">
        <v>10</v>
      </c>
      <c r="G106" s="195">
        <v>0</v>
      </c>
      <c r="H106" s="195">
        <v>100</v>
      </c>
      <c r="I106" s="195">
        <v>170</v>
      </c>
      <c r="J106" s="195">
        <v>37</v>
      </c>
      <c r="K106" s="195">
        <v>0</v>
      </c>
      <c r="L106" s="195">
        <v>34</v>
      </c>
      <c r="M106" s="195">
        <v>26</v>
      </c>
      <c r="N106" s="195">
        <v>7</v>
      </c>
      <c r="O106" s="195">
        <v>0</v>
      </c>
      <c r="P106" s="195">
        <v>0</v>
      </c>
      <c r="Q106" s="195">
        <v>221.126</v>
      </c>
      <c r="R106" s="195">
        <v>20</v>
      </c>
      <c r="S106" s="195">
        <v>1.8370500000000001</v>
      </c>
      <c r="T106" s="195">
        <v>10</v>
      </c>
      <c r="U106" s="195">
        <v>440</v>
      </c>
      <c r="V106" s="195">
        <v>13</v>
      </c>
    </row>
    <row r="107" spans="1:22" ht="16.3" thickBot="1">
      <c r="A107" s="1190"/>
      <c r="B107" s="265" t="s">
        <v>130</v>
      </c>
      <c r="C107" s="195">
        <v>340</v>
      </c>
      <c r="D107" s="195">
        <v>170</v>
      </c>
      <c r="E107" s="195">
        <v>19</v>
      </c>
      <c r="F107" s="195">
        <v>12</v>
      </c>
      <c r="G107" s="195">
        <v>0</v>
      </c>
      <c r="H107" s="195">
        <v>130</v>
      </c>
      <c r="I107" s="195">
        <v>210</v>
      </c>
      <c r="J107" s="195">
        <v>37</v>
      </c>
      <c r="K107" s="195">
        <v>0</v>
      </c>
      <c r="L107" s="195">
        <v>32</v>
      </c>
      <c r="M107" s="195">
        <v>24</v>
      </c>
      <c r="N107" s="195">
        <v>7</v>
      </c>
      <c r="O107" s="195">
        <v>0</v>
      </c>
      <c r="P107" s="195">
        <v>0</v>
      </c>
      <c r="Q107" s="195">
        <v>238.136</v>
      </c>
      <c r="R107" s="195">
        <v>25</v>
      </c>
      <c r="S107" s="195">
        <v>0</v>
      </c>
      <c r="T107" s="195">
        <v>0</v>
      </c>
      <c r="U107" s="195">
        <v>320</v>
      </c>
      <c r="V107" s="195">
        <v>9</v>
      </c>
    </row>
    <row r="108" spans="1:22">
      <c r="A108" s="1190"/>
      <c r="B108" s="224" t="s">
        <v>131</v>
      </c>
      <c r="C108" s="195">
        <v>340</v>
      </c>
      <c r="D108" s="195">
        <v>160</v>
      </c>
      <c r="E108" s="195">
        <v>18</v>
      </c>
      <c r="F108" s="195">
        <v>11</v>
      </c>
      <c r="G108" s="195">
        <v>0</v>
      </c>
      <c r="H108" s="195">
        <v>125</v>
      </c>
      <c r="I108" s="195">
        <v>210</v>
      </c>
      <c r="J108" s="195">
        <v>39</v>
      </c>
      <c r="K108" s="195">
        <v>0</v>
      </c>
      <c r="L108" s="195">
        <v>34</v>
      </c>
      <c r="M108" s="195">
        <v>26</v>
      </c>
      <c r="N108" s="195">
        <v>7</v>
      </c>
      <c r="O108" s="195">
        <v>0</v>
      </c>
      <c r="P108" s="195">
        <v>0</v>
      </c>
      <c r="Q108" s="195">
        <v>229.023</v>
      </c>
      <c r="R108" s="195">
        <v>25</v>
      </c>
      <c r="S108" s="195">
        <v>1.3300000000000001E-4</v>
      </c>
      <c r="T108" s="195">
        <v>0</v>
      </c>
      <c r="U108" s="195">
        <v>310</v>
      </c>
      <c r="V108" s="195">
        <v>9</v>
      </c>
    </row>
    <row r="109" spans="1:22">
      <c r="A109" s="1190"/>
      <c r="B109" s="264" t="s">
        <v>132</v>
      </c>
      <c r="C109" s="195">
        <v>340</v>
      </c>
      <c r="D109" s="195">
        <v>160</v>
      </c>
      <c r="E109" s="195">
        <v>18</v>
      </c>
      <c r="F109" s="195">
        <v>12</v>
      </c>
      <c r="G109" s="195">
        <v>0</v>
      </c>
      <c r="H109" s="195">
        <v>125</v>
      </c>
      <c r="I109" s="195">
        <v>210</v>
      </c>
      <c r="J109" s="195">
        <v>37</v>
      </c>
      <c r="K109" s="195">
        <v>0</v>
      </c>
      <c r="L109" s="195">
        <v>32</v>
      </c>
      <c r="M109" s="195">
        <v>23</v>
      </c>
      <c r="N109" s="195">
        <v>7</v>
      </c>
      <c r="O109" s="195">
        <v>0</v>
      </c>
      <c r="P109" s="195">
        <v>0</v>
      </c>
      <c r="Q109" s="195">
        <v>233.11699999999999</v>
      </c>
      <c r="R109" s="195">
        <v>25</v>
      </c>
      <c r="S109" s="195">
        <v>3.503E-3</v>
      </c>
      <c r="T109" s="195">
        <v>0</v>
      </c>
      <c r="U109" s="195">
        <v>320</v>
      </c>
      <c r="V109" s="195">
        <v>9</v>
      </c>
    </row>
    <row r="110" spans="1:22">
      <c r="A110" s="1190"/>
      <c r="B110" s="264" t="s">
        <v>133</v>
      </c>
      <c r="C110" s="195">
        <v>340</v>
      </c>
      <c r="D110" s="195">
        <v>170</v>
      </c>
      <c r="E110" s="195">
        <v>18</v>
      </c>
      <c r="F110" s="195">
        <v>12</v>
      </c>
      <c r="G110" s="195">
        <v>0</v>
      </c>
      <c r="H110" s="195">
        <v>125</v>
      </c>
      <c r="I110" s="195">
        <v>210</v>
      </c>
      <c r="J110" s="195">
        <v>38</v>
      </c>
      <c r="K110" s="195">
        <v>0</v>
      </c>
      <c r="L110" s="195">
        <v>33</v>
      </c>
      <c r="M110" s="195">
        <v>23</v>
      </c>
      <c r="N110" s="195">
        <v>7</v>
      </c>
      <c r="O110" s="195">
        <v>0</v>
      </c>
      <c r="P110" s="195">
        <v>0</v>
      </c>
      <c r="Q110" s="195">
        <v>234.63900000000001</v>
      </c>
      <c r="R110" s="195">
        <v>25</v>
      </c>
      <c r="S110" s="195">
        <v>1.549E-3</v>
      </c>
      <c r="T110" s="195">
        <v>0</v>
      </c>
      <c r="U110" s="195">
        <v>320</v>
      </c>
      <c r="V110" s="195">
        <v>9</v>
      </c>
    </row>
    <row r="111" spans="1:22">
      <c r="A111" s="1190"/>
      <c r="B111" s="264" t="s">
        <v>134</v>
      </c>
      <c r="C111" s="195">
        <v>350</v>
      </c>
      <c r="D111" s="195">
        <v>150</v>
      </c>
      <c r="E111" s="195">
        <v>17</v>
      </c>
      <c r="F111" s="195">
        <v>11</v>
      </c>
      <c r="G111" s="195">
        <v>0</v>
      </c>
      <c r="H111" s="195">
        <v>115</v>
      </c>
      <c r="I111" s="195">
        <v>200</v>
      </c>
      <c r="J111" s="195">
        <v>44</v>
      </c>
      <c r="K111" s="195">
        <v>0</v>
      </c>
      <c r="L111" s="195">
        <v>38</v>
      </c>
      <c r="M111" s="195">
        <v>31</v>
      </c>
      <c r="N111" s="195">
        <v>6</v>
      </c>
      <c r="O111" s="195">
        <v>0</v>
      </c>
      <c r="P111" s="195">
        <v>0</v>
      </c>
      <c r="Q111" s="195">
        <v>215</v>
      </c>
      <c r="R111" s="195">
        <v>15</v>
      </c>
      <c r="S111" s="195">
        <v>0</v>
      </c>
      <c r="T111" s="195">
        <v>0</v>
      </c>
      <c r="U111" s="195">
        <v>292</v>
      </c>
      <c r="V111" s="195">
        <v>6</v>
      </c>
    </row>
    <row r="112" spans="1:22">
      <c r="A112" s="1190"/>
      <c r="B112" s="264" t="s">
        <v>98</v>
      </c>
      <c r="C112" s="195">
        <v>350</v>
      </c>
      <c r="D112" s="195">
        <v>160</v>
      </c>
      <c r="E112" s="195">
        <v>17</v>
      </c>
      <c r="F112" s="195">
        <v>11</v>
      </c>
      <c r="G112" s="195">
        <v>0</v>
      </c>
      <c r="H112" s="195">
        <v>120</v>
      </c>
      <c r="I112" s="195">
        <v>200</v>
      </c>
      <c r="J112" s="195">
        <v>42</v>
      </c>
      <c r="K112" s="195">
        <v>0</v>
      </c>
      <c r="L112" s="195">
        <v>37</v>
      </c>
      <c r="M112" s="195">
        <v>29</v>
      </c>
      <c r="N112" s="195">
        <v>6</v>
      </c>
      <c r="O112" s="195">
        <v>0</v>
      </c>
      <c r="P112" s="195">
        <v>0</v>
      </c>
      <c r="Q112" s="195">
        <v>222.227</v>
      </c>
      <c r="R112" s="195">
        <v>20</v>
      </c>
      <c r="S112" s="195">
        <v>2.2900000000000001E-4</v>
      </c>
      <c r="T112" s="195">
        <v>0</v>
      </c>
      <c r="U112" s="195">
        <v>310</v>
      </c>
      <c r="V112" s="195">
        <v>9</v>
      </c>
    </row>
    <row r="113" spans="1:22">
      <c r="A113" s="1190"/>
      <c r="B113" s="264" t="s">
        <v>136</v>
      </c>
      <c r="C113" s="195">
        <v>340</v>
      </c>
      <c r="D113" s="195">
        <v>160</v>
      </c>
      <c r="E113" s="195">
        <v>18</v>
      </c>
      <c r="F113" s="195">
        <v>12</v>
      </c>
      <c r="G113" s="195">
        <v>0</v>
      </c>
      <c r="H113" s="195">
        <v>125</v>
      </c>
      <c r="I113" s="195">
        <v>210</v>
      </c>
      <c r="J113" s="195">
        <v>40</v>
      </c>
      <c r="K113" s="195">
        <v>0</v>
      </c>
      <c r="L113" s="195">
        <v>33</v>
      </c>
      <c r="M113" s="195">
        <v>23</v>
      </c>
      <c r="N113" s="195">
        <v>7</v>
      </c>
      <c r="O113" s="195">
        <v>0</v>
      </c>
      <c r="P113" s="195">
        <v>0</v>
      </c>
      <c r="Q113" s="195">
        <v>233.096</v>
      </c>
      <c r="R113" s="195">
        <v>25</v>
      </c>
      <c r="S113" s="195">
        <v>0</v>
      </c>
      <c r="T113" s="195">
        <v>0</v>
      </c>
      <c r="U113" s="195">
        <v>320</v>
      </c>
      <c r="V113" s="195">
        <v>9</v>
      </c>
    </row>
    <row r="114" spans="1:22" ht="14.25" customHeight="1">
      <c r="A114" s="1190"/>
      <c r="B114" s="264" t="s">
        <v>36</v>
      </c>
      <c r="C114" s="195">
        <v>430</v>
      </c>
      <c r="D114" s="195">
        <v>200</v>
      </c>
      <c r="E114" s="195">
        <v>23</v>
      </c>
      <c r="F114" s="195">
        <v>14</v>
      </c>
      <c r="G114" s="195">
        <v>0</v>
      </c>
      <c r="H114" s="195">
        <v>155</v>
      </c>
      <c r="I114" s="195">
        <v>260</v>
      </c>
      <c r="J114" s="195">
        <v>50</v>
      </c>
      <c r="K114" s="195">
        <v>0</v>
      </c>
      <c r="L114" s="195">
        <v>43</v>
      </c>
      <c r="M114" s="195">
        <v>33</v>
      </c>
      <c r="N114" s="195">
        <v>8</v>
      </c>
      <c r="O114" s="195">
        <v>0</v>
      </c>
      <c r="P114" s="195">
        <v>0</v>
      </c>
      <c r="Q114" s="195">
        <v>287.029</v>
      </c>
      <c r="R114" s="195">
        <v>30</v>
      </c>
      <c r="S114" s="195">
        <v>5.8975E-2</v>
      </c>
      <c r="T114" s="195">
        <v>0</v>
      </c>
      <c r="U114" s="195">
        <v>390</v>
      </c>
      <c r="V114" s="195">
        <v>11</v>
      </c>
    </row>
    <row r="115" spans="1:22">
      <c r="A115" s="1190"/>
      <c r="B115" s="264" t="s">
        <v>48</v>
      </c>
      <c r="C115" s="195">
        <v>340</v>
      </c>
      <c r="D115" s="195">
        <v>160</v>
      </c>
      <c r="E115" s="195">
        <v>18</v>
      </c>
      <c r="F115" s="195">
        <v>12</v>
      </c>
      <c r="G115" s="195">
        <v>0</v>
      </c>
      <c r="H115" s="195">
        <v>125</v>
      </c>
      <c r="I115" s="195">
        <v>210</v>
      </c>
      <c r="J115" s="195">
        <v>38</v>
      </c>
      <c r="K115" s="195">
        <v>0</v>
      </c>
      <c r="L115" s="195">
        <v>33</v>
      </c>
      <c r="M115" s="195">
        <v>25</v>
      </c>
      <c r="N115" s="195">
        <v>7</v>
      </c>
      <c r="O115" s="195">
        <v>0</v>
      </c>
      <c r="P115" s="195">
        <v>0</v>
      </c>
      <c r="Q115" s="195">
        <v>232.666</v>
      </c>
      <c r="R115" s="195">
        <v>25</v>
      </c>
      <c r="S115" s="195">
        <v>7.8999999999999996E-5</v>
      </c>
      <c r="T115" s="195">
        <v>0</v>
      </c>
      <c r="U115" s="195">
        <v>320</v>
      </c>
      <c r="V115" s="195">
        <v>9</v>
      </c>
    </row>
    <row r="116" spans="1:22">
      <c r="A116" s="1190"/>
      <c r="B116" s="264" t="s">
        <v>137</v>
      </c>
      <c r="C116" s="195">
        <v>340</v>
      </c>
      <c r="D116" s="195">
        <v>170</v>
      </c>
      <c r="E116" s="195">
        <v>18</v>
      </c>
      <c r="F116" s="195">
        <v>12</v>
      </c>
      <c r="G116" s="195">
        <v>0</v>
      </c>
      <c r="H116" s="195">
        <v>125</v>
      </c>
      <c r="I116" s="195">
        <v>210</v>
      </c>
      <c r="J116" s="195">
        <v>37</v>
      </c>
      <c r="K116" s="195">
        <v>0</v>
      </c>
      <c r="L116" s="195">
        <v>32</v>
      </c>
      <c r="M116" s="195">
        <v>23</v>
      </c>
      <c r="N116" s="195">
        <v>7</v>
      </c>
      <c r="O116" s="195">
        <v>0</v>
      </c>
      <c r="P116" s="195">
        <v>0</v>
      </c>
      <c r="Q116" s="195">
        <v>234.423</v>
      </c>
      <c r="R116" s="195">
        <v>25</v>
      </c>
      <c r="S116" s="195">
        <v>1.106E-3</v>
      </c>
      <c r="T116" s="195">
        <v>0</v>
      </c>
      <c r="U116" s="195">
        <v>320</v>
      </c>
      <c r="V116" s="195">
        <v>9</v>
      </c>
    </row>
    <row r="117" spans="1:22">
      <c r="A117" s="1190"/>
      <c r="B117" s="264" t="s">
        <v>138</v>
      </c>
      <c r="C117" s="195">
        <v>340</v>
      </c>
      <c r="D117" s="195">
        <v>160</v>
      </c>
      <c r="E117" s="195">
        <v>18</v>
      </c>
      <c r="F117" s="195">
        <v>12</v>
      </c>
      <c r="G117" s="195">
        <v>0</v>
      </c>
      <c r="H117" s="195">
        <v>125</v>
      </c>
      <c r="I117" s="195">
        <v>210</v>
      </c>
      <c r="J117" s="195">
        <v>38</v>
      </c>
      <c r="K117" s="195">
        <v>0</v>
      </c>
      <c r="L117" s="195">
        <v>33</v>
      </c>
      <c r="M117" s="195">
        <v>25</v>
      </c>
      <c r="N117" s="195">
        <v>7</v>
      </c>
      <c r="O117" s="195">
        <v>0</v>
      </c>
      <c r="P117" s="195">
        <v>0</v>
      </c>
      <c r="Q117" s="195">
        <v>233.131</v>
      </c>
      <c r="R117" s="195">
        <v>25</v>
      </c>
      <c r="S117" s="195">
        <v>2.085E-3</v>
      </c>
      <c r="T117" s="195">
        <v>0</v>
      </c>
      <c r="U117" s="195">
        <v>320</v>
      </c>
      <c r="V117" s="195">
        <v>9</v>
      </c>
    </row>
    <row r="118" spans="1:22">
      <c r="A118" s="1190"/>
      <c r="B118" s="264" t="s">
        <v>139</v>
      </c>
      <c r="C118" s="195">
        <v>340</v>
      </c>
      <c r="D118" s="195">
        <v>170</v>
      </c>
      <c r="E118" s="195">
        <v>18</v>
      </c>
      <c r="F118" s="195">
        <v>12</v>
      </c>
      <c r="G118" s="195">
        <v>0</v>
      </c>
      <c r="H118" s="195">
        <v>125</v>
      </c>
      <c r="I118" s="195">
        <v>210</v>
      </c>
      <c r="J118" s="195">
        <v>38</v>
      </c>
      <c r="K118" s="195">
        <v>0</v>
      </c>
      <c r="L118" s="195">
        <v>33</v>
      </c>
      <c r="M118" s="195">
        <v>24</v>
      </c>
      <c r="N118" s="195">
        <v>7</v>
      </c>
      <c r="O118" s="195">
        <v>0</v>
      </c>
      <c r="P118" s="195">
        <v>0</v>
      </c>
      <c r="Q118" s="195">
        <v>234.90100000000001</v>
      </c>
      <c r="R118" s="195">
        <v>25</v>
      </c>
      <c r="S118" s="195">
        <v>4.6E-5</v>
      </c>
      <c r="T118" s="195">
        <v>0</v>
      </c>
      <c r="U118" s="195">
        <v>320</v>
      </c>
      <c r="V118" s="195">
        <v>9</v>
      </c>
    </row>
    <row r="119" spans="1:22">
      <c r="A119" s="1190"/>
      <c r="B119" s="264" t="s">
        <v>140</v>
      </c>
      <c r="C119" s="195">
        <v>340</v>
      </c>
      <c r="D119" s="195">
        <v>160</v>
      </c>
      <c r="E119" s="195">
        <v>18</v>
      </c>
      <c r="F119" s="195">
        <v>12</v>
      </c>
      <c r="G119" s="195">
        <v>0</v>
      </c>
      <c r="H119" s="195">
        <v>125</v>
      </c>
      <c r="I119" s="195">
        <v>210</v>
      </c>
      <c r="J119" s="195">
        <v>40</v>
      </c>
      <c r="K119" s="195">
        <v>0</v>
      </c>
      <c r="L119" s="195">
        <v>35</v>
      </c>
      <c r="M119" s="195">
        <v>26</v>
      </c>
      <c r="N119" s="195">
        <v>7</v>
      </c>
      <c r="O119" s="195">
        <v>0</v>
      </c>
      <c r="P119" s="195">
        <v>0</v>
      </c>
      <c r="Q119" s="195">
        <v>230.464</v>
      </c>
      <c r="R119" s="195">
        <v>25</v>
      </c>
      <c r="S119" s="195">
        <v>6.3449999999999999E-3</v>
      </c>
      <c r="T119" s="195">
        <v>0</v>
      </c>
      <c r="U119" s="195">
        <v>310</v>
      </c>
      <c r="V119" s="195">
        <v>9</v>
      </c>
    </row>
    <row r="120" spans="1:22">
      <c r="A120" s="1190"/>
      <c r="B120" s="264" t="s">
        <v>141</v>
      </c>
      <c r="C120" s="195">
        <v>340</v>
      </c>
      <c r="D120" s="195">
        <v>170</v>
      </c>
      <c r="E120" s="195">
        <v>18</v>
      </c>
      <c r="F120" s="195">
        <v>12</v>
      </c>
      <c r="G120" s="195">
        <v>0</v>
      </c>
      <c r="H120" s="195">
        <v>125</v>
      </c>
      <c r="I120" s="195">
        <v>210</v>
      </c>
      <c r="J120" s="195">
        <v>38</v>
      </c>
      <c r="K120" s="195">
        <v>0</v>
      </c>
      <c r="L120" s="195">
        <v>33</v>
      </c>
      <c r="M120" s="195">
        <v>23</v>
      </c>
      <c r="N120" s="195">
        <v>7</v>
      </c>
      <c r="O120" s="195">
        <v>0</v>
      </c>
      <c r="P120" s="195">
        <v>0</v>
      </c>
      <c r="Q120" s="195">
        <v>234.52500000000001</v>
      </c>
      <c r="R120" s="195">
        <v>25</v>
      </c>
      <c r="S120" s="195">
        <v>6.0829999999999999E-3</v>
      </c>
      <c r="T120" s="195">
        <v>0</v>
      </c>
      <c r="U120" s="195">
        <v>320</v>
      </c>
      <c r="V120" s="195">
        <v>9</v>
      </c>
    </row>
    <row r="121" spans="1:22" ht="16.3" thickBot="1">
      <c r="A121" s="1198"/>
      <c r="B121" s="264" t="s">
        <v>66</v>
      </c>
      <c r="C121" s="195">
        <v>340</v>
      </c>
      <c r="D121" s="195">
        <v>160</v>
      </c>
      <c r="E121" s="195">
        <v>18</v>
      </c>
      <c r="F121" s="195">
        <v>12</v>
      </c>
      <c r="G121" s="195">
        <v>0</v>
      </c>
      <c r="H121" s="195">
        <v>125</v>
      </c>
      <c r="I121" s="195">
        <v>210</v>
      </c>
      <c r="J121" s="195">
        <v>39</v>
      </c>
      <c r="K121" s="195">
        <v>0</v>
      </c>
      <c r="L121" s="195">
        <v>34</v>
      </c>
      <c r="M121" s="195">
        <v>26</v>
      </c>
      <c r="N121" s="195">
        <v>7</v>
      </c>
      <c r="O121" s="195">
        <v>0</v>
      </c>
      <c r="P121" s="195">
        <v>0</v>
      </c>
      <c r="Q121" s="195">
        <v>232.274</v>
      </c>
      <c r="R121" s="195">
        <v>25</v>
      </c>
      <c r="S121" s="195">
        <v>1.27E-4</v>
      </c>
      <c r="T121" s="195">
        <v>0</v>
      </c>
      <c r="U121" s="195">
        <v>320</v>
      </c>
      <c r="V121" s="195">
        <v>9</v>
      </c>
    </row>
    <row r="122" spans="1:22" ht="16.3" thickBot="1"/>
    <row r="123" spans="1:22" ht="37.5" customHeight="1" thickBot="1">
      <c r="A123" s="259"/>
      <c r="B123" s="251" t="s">
        <v>3</v>
      </c>
      <c r="C123" s="214" t="s">
        <v>4</v>
      </c>
      <c r="D123" s="214" t="s">
        <v>5</v>
      </c>
      <c r="E123" s="214" t="s">
        <v>6</v>
      </c>
      <c r="F123" s="214" t="s">
        <v>7</v>
      </c>
      <c r="G123" s="214" t="s">
        <v>8</v>
      </c>
      <c r="H123" s="214" t="s">
        <v>9</v>
      </c>
      <c r="I123" s="214" t="s">
        <v>10</v>
      </c>
      <c r="J123" s="214" t="s">
        <v>11</v>
      </c>
      <c r="K123" s="214" t="s">
        <v>12</v>
      </c>
      <c r="L123" s="214" t="s">
        <v>13</v>
      </c>
      <c r="M123" s="214" t="s">
        <v>14</v>
      </c>
      <c r="N123" s="214" t="s">
        <v>15</v>
      </c>
      <c r="O123" s="215" t="s">
        <v>16</v>
      </c>
      <c r="P123" s="215" t="s">
        <v>17</v>
      </c>
      <c r="Q123" s="215" t="s">
        <v>18</v>
      </c>
      <c r="R123" s="215" t="s">
        <v>19</v>
      </c>
      <c r="S123" s="215" t="s">
        <v>20</v>
      </c>
      <c r="T123" s="215" t="s">
        <v>21</v>
      </c>
      <c r="U123" s="215" t="s">
        <v>22</v>
      </c>
      <c r="V123" s="215" t="s">
        <v>23</v>
      </c>
    </row>
    <row r="124" spans="1:22">
      <c r="A124" s="1189" t="s">
        <v>143</v>
      </c>
      <c r="B124" s="246" t="s">
        <v>144</v>
      </c>
      <c r="C124" s="195">
        <v>130</v>
      </c>
      <c r="D124" s="195">
        <v>70</v>
      </c>
      <c r="E124" s="195">
        <v>7</v>
      </c>
      <c r="F124" s="195">
        <v>4.5</v>
      </c>
      <c r="G124" s="195">
        <v>0</v>
      </c>
      <c r="H124" s="195">
        <v>0</v>
      </c>
      <c r="I124" s="195">
        <v>0</v>
      </c>
      <c r="J124" s="195">
        <v>19</v>
      </c>
      <c r="K124" s="195"/>
      <c r="L124" s="195">
        <v>15</v>
      </c>
      <c r="M124" s="195">
        <v>15</v>
      </c>
      <c r="N124" s="195">
        <v>1</v>
      </c>
      <c r="O124" s="195">
        <v>0</v>
      </c>
      <c r="P124" s="195">
        <v>0</v>
      </c>
      <c r="Q124" s="195">
        <v>11</v>
      </c>
      <c r="R124" s="195">
        <v>0</v>
      </c>
      <c r="S124" s="195">
        <v>2</v>
      </c>
      <c r="T124" s="195">
        <v>10</v>
      </c>
      <c r="U124" s="195">
        <v>124</v>
      </c>
      <c r="V124" s="195">
        <v>2</v>
      </c>
    </row>
    <row r="125" spans="1:22">
      <c r="A125" s="1190"/>
      <c r="B125" s="246" t="s">
        <v>145</v>
      </c>
      <c r="C125" s="195">
        <v>90</v>
      </c>
      <c r="D125" s="195">
        <v>25</v>
      </c>
      <c r="E125" s="195">
        <v>3</v>
      </c>
      <c r="F125" s="195">
        <v>1</v>
      </c>
      <c r="G125" s="195">
        <v>0</v>
      </c>
      <c r="H125" s="195">
        <v>5</v>
      </c>
      <c r="I125" s="195">
        <v>40</v>
      </c>
      <c r="J125" s="195">
        <v>15</v>
      </c>
      <c r="K125" s="195">
        <v>1</v>
      </c>
      <c r="L125" s="195">
        <v>8</v>
      </c>
      <c r="M125" s="195">
        <v>8</v>
      </c>
      <c r="N125" s="195">
        <v>1</v>
      </c>
      <c r="O125" s="195">
        <v>0</v>
      </c>
      <c r="P125" s="195">
        <v>0</v>
      </c>
      <c r="Q125" s="195">
        <v>4</v>
      </c>
      <c r="R125" s="195">
        <v>0</v>
      </c>
      <c r="S125" s="195">
        <v>1</v>
      </c>
      <c r="T125" s="195">
        <v>6</v>
      </c>
      <c r="U125" s="195">
        <v>64</v>
      </c>
      <c r="V125" s="195">
        <v>2</v>
      </c>
    </row>
    <row r="126" spans="1:22" ht="14.25" customHeight="1">
      <c r="A126" s="1190"/>
      <c r="B126" s="246" t="s">
        <v>146</v>
      </c>
      <c r="C126" s="195">
        <v>90</v>
      </c>
      <c r="D126" s="195">
        <v>25</v>
      </c>
      <c r="E126" s="195">
        <v>3</v>
      </c>
      <c r="F126" s="195">
        <v>1</v>
      </c>
      <c r="G126" s="195">
        <v>0</v>
      </c>
      <c r="H126" s="195">
        <v>5</v>
      </c>
      <c r="I126" s="195">
        <v>55</v>
      </c>
      <c r="J126" s="195">
        <v>15</v>
      </c>
      <c r="K126" s="195">
        <v>0</v>
      </c>
      <c r="L126" s="195">
        <v>9</v>
      </c>
      <c r="M126" s="195">
        <v>9</v>
      </c>
      <c r="N126" s="195">
        <v>1</v>
      </c>
      <c r="O126" s="195">
        <v>0</v>
      </c>
      <c r="P126" s="195">
        <v>0</v>
      </c>
      <c r="Q126" s="195">
        <v>3</v>
      </c>
      <c r="R126" s="195">
        <v>0</v>
      </c>
      <c r="S126" s="195">
        <v>0</v>
      </c>
      <c r="T126" s="195">
        <v>0</v>
      </c>
      <c r="U126" s="195">
        <v>20</v>
      </c>
      <c r="V126" s="195">
        <v>0</v>
      </c>
    </row>
    <row r="127" spans="1:22">
      <c r="A127" s="1190"/>
      <c r="B127" s="246" t="s">
        <v>147</v>
      </c>
      <c r="C127" s="195">
        <v>170</v>
      </c>
      <c r="D127" s="195">
        <v>130</v>
      </c>
      <c r="E127" s="195">
        <v>14</v>
      </c>
      <c r="F127" s="195">
        <v>2</v>
      </c>
      <c r="G127" s="195">
        <v>0</v>
      </c>
      <c r="H127" s="195">
        <v>0</v>
      </c>
      <c r="I127" s="195">
        <v>0</v>
      </c>
      <c r="J127" s="195">
        <v>6</v>
      </c>
      <c r="K127" s="195">
        <v>0</v>
      </c>
      <c r="L127" s="195">
        <v>1</v>
      </c>
      <c r="M127" s="195">
        <v>0</v>
      </c>
      <c r="N127" s="195">
        <v>7</v>
      </c>
      <c r="O127" s="195">
        <v>0</v>
      </c>
      <c r="P127" s="195">
        <v>0</v>
      </c>
      <c r="Q127" s="195">
        <v>16</v>
      </c>
      <c r="R127" s="195">
        <v>2</v>
      </c>
      <c r="S127" s="195">
        <v>0</v>
      </c>
      <c r="T127" s="195">
        <v>0</v>
      </c>
      <c r="U127" s="195">
        <v>180</v>
      </c>
      <c r="V127" s="195">
        <v>4</v>
      </c>
    </row>
    <row r="128" spans="1:22">
      <c r="A128" s="1190"/>
      <c r="B128" s="246" t="s">
        <v>148</v>
      </c>
      <c r="C128" s="195">
        <v>45</v>
      </c>
      <c r="D128" s="195">
        <v>5</v>
      </c>
      <c r="E128" s="195">
        <v>0</v>
      </c>
      <c r="F128" s="195">
        <v>0</v>
      </c>
      <c r="G128" s="195">
        <v>0</v>
      </c>
      <c r="H128" s="195">
        <v>0</v>
      </c>
      <c r="I128" s="195">
        <v>70</v>
      </c>
      <c r="J128" s="195">
        <v>10</v>
      </c>
      <c r="K128" s="195">
        <v>0</v>
      </c>
      <c r="L128" s="195">
        <v>4</v>
      </c>
      <c r="M128" s="195"/>
      <c r="N128" s="195">
        <v>0</v>
      </c>
      <c r="O128" s="195">
        <v>0</v>
      </c>
      <c r="P128" s="195">
        <v>0</v>
      </c>
      <c r="Q128" s="195">
        <v>0</v>
      </c>
      <c r="R128" s="195">
        <v>0</v>
      </c>
      <c r="S128" s="195">
        <v>1</v>
      </c>
      <c r="T128" s="195">
        <v>6</v>
      </c>
      <c r="U128" s="195"/>
      <c r="V128" s="195"/>
    </row>
    <row r="129" spans="1:22">
      <c r="A129" s="1190"/>
      <c r="B129" s="246" t="s">
        <v>149</v>
      </c>
      <c r="C129" s="195">
        <v>150</v>
      </c>
      <c r="D129" s="195">
        <v>80</v>
      </c>
      <c r="E129" s="195">
        <v>9</v>
      </c>
      <c r="F129" s="195">
        <v>5</v>
      </c>
      <c r="G129" s="195">
        <v>0</v>
      </c>
      <c r="H129" s="195">
        <v>5</v>
      </c>
      <c r="I129" s="195">
        <v>100</v>
      </c>
      <c r="J129" s="195">
        <v>18</v>
      </c>
      <c r="K129" s="195">
        <v>0</v>
      </c>
      <c r="L129" s="195">
        <v>17</v>
      </c>
      <c r="M129" s="195">
        <v>17</v>
      </c>
      <c r="N129" s="195">
        <v>1</v>
      </c>
      <c r="O129" s="195">
        <v>0</v>
      </c>
      <c r="P129" s="195">
        <v>0</v>
      </c>
      <c r="Q129" s="195">
        <v>17</v>
      </c>
      <c r="R129" s="195">
        <v>2</v>
      </c>
      <c r="S129" s="195">
        <v>0</v>
      </c>
      <c r="T129" s="195">
        <v>0</v>
      </c>
      <c r="U129" s="195">
        <v>39</v>
      </c>
      <c r="V129" s="195">
        <v>0</v>
      </c>
    </row>
    <row r="130" spans="1:22">
      <c r="A130" s="1190"/>
      <c r="B130" s="246" t="s">
        <v>150</v>
      </c>
      <c r="C130" s="195">
        <v>90</v>
      </c>
      <c r="D130" s="195">
        <v>15</v>
      </c>
      <c r="E130" s="195">
        <v>1.5</v>
      </c>
      <c r="F130" s="195">
        <v>1</v>
      </c>
      <c r="G130" s="195">
        <v>0</v>
      </c>
      <c r="H130" s="195">
        <v>5</v>
      </c>
      <c r="I130" s="195">
        <v>70</v>
      </c>
      <c r="J130" s="195">
        <v>19</v>
      </c>
      <c r="K130" s="195">
        <v>0</v>
      </c>
      <c r="L130" s="195">
        <v>14</v>
      </c>
      <c r="M130" s="195">
        <v>14</v>
      </c>
      <c r="N130" s="195">
        <v>1</v>
      </c>
      <c r="O130" s="195">
        <v>0</v>
      </c>
      <c r="P130" s="195">
        <v>0</v>
      </c>
      <c r="Q130" s="195">
        <v>20</v>
      </c>
      <c r="R130" s="195">
        <v>2</v>
      </c>
      <c r="S130" s="195">
        <v>0</v>
      </c>
      <c r="T130" s="195">
        <v>0</v>
      </c>
      <c r="U130" s="195">
        <v>29</v>
      </c>
      <c r="V130" s="195">
        <v>0</v>
      </c>
    </row>
    <row r="131" spans="1:22">
      <c r="A131" s="1190"/>
      <c r="B131" s="246" t="s">
        <v>151</v>
      </c>
      <c r="C131" s="195">
        <v>90</v>
      </c>
      <c r="D131" s="195">
        <v>30</v>
      </c>
      <c r="E131" s="195">
        <v>3</v>
      </c>
      <c r="F131" s="195">
        <v>3</v>
      </c>
      <c r="G131" s="195">
        <v>0</v>
      </c>
      <c r="H131" s="195">
        <v>0</v>
      </c>
      <c r="I131" s="195">
        <v>80</v>
      </c>
      <c r="J131" s="195">
        <v>15</v>
      </c>
      <c r="K131" s="195">
        <v>1</v>
      </c>
      <c r="L131" s="195">
        <v>13</v>
      </c>
      <c r="M131" s="195">
        <v>12</v>
      </c>
      <c r="N131" s="195">
        <v>1</v>
      </c>
      <c r="O131" s="195">
        <v>0</v>
      </c>
      <c r="P131" s="195">
        <v>0</v>
      </c>
      <c r="Q131" s="195">
        <v>18</v>
      </c>
      <c r="R131" s="195">
        <v>2</v>
      </c>
      <c r="S131" s="195">
        <v>1</v>
      </c>
      <c r="T131" s="195">
        <v>6</v>
      </c>
      <c r="U131" s="195">
        <v>104</v>
      </c>
      <c r="V131" s="195">
        <v>2</v>
      </c>
    </row>
    <row r="132" spans="1:22">
      <c r="A132" s="1190"/>
      <c r="B132" s="246" t="s">
        <v>152</v>
      </c>
      <c r="C132" s="195">
        <v>140</v>
      </c>
      <c r="D132" s="195">
        <v>50</v>
      </c>
      <c r="E132" s="195">
        <v>6</v>
      </c>
      <c r="F132" s="195">
        <v>3.5</v>
      </c>
      <c r="G132" s="195">
        <v>0</v>
      </c>
      <c r="H132" s="195">
        <v>0</v>
      </c>
      <c r="I132" s="195">
        <v>20</v>
      </c>
      <c r="J132" s="195">
        <v>20</v>
      </c>
      <c r="K132" s="195">
        <v>1</v>
      </c>
      <c r="L132" s="195">
        <v>18</v>
      </c>
      <c r="M132" s="195">
        <v>17</v>
      </c>
      <c r="N132" s="195">
        <v>1</v>
      </c>
      <c r="O132" s="195">
        <v>0</v>
      </c>
      <c r="P132" s="195">
        <v>0</v>
      </c>
      <c r="Q132" s="195">
        <v>37</v>
      </c>
      <c r="R132" s="195">
        <v>2</v>
      </c>
      <c r="S132" s="195">
        <v>0</v>
      </c>
      <c r="T132" s="195">
        <v>0</v>
      </c>
      <c r="U132" s="195">
        <v>91</v>
      </c>
      <c r="V132" s="195">
        <v>2</v>
      </c>
    </row>
    <row r="133" spans="1:22">
      <c r="A133" s="1190"/>
      <c r="B133" s="246" t="s">
        <v>153</v>
      </c>
      <c r="C133" s="195">
        <v>130</v>
      </c>
      <c r="D133" s="195">
        <v>0</v>
      </c>
      <c r="E133" s="195">
        <v>0</v>
      </c>
      <c r="F133" s="195">
        <v>0</v>
      </c>
      <c r="G133" s="195">
        <v>0</v>
      </c>
      <c r="H133" s="195">
        <v>0</v>
      </c>
      <c r="I133" s="195">
        <v>15</v>
      </c>
      <c r="J133" s="195">
        <v>29</v>
      </c>
      <c r="K133" s="195">
        <v>0</v>
      </c>
      <c r="L133" s="195">
        <v>18</v>
      </c>
      <c r="M133" s="195">
        <v>18</v>
      </c>
      <c r="N133" s="195">
        <v>2</v>
      </c>
      <c r="O133" s="195">
        <v>0</v>
      </c>
      <c r="P133" s="195">
        <v>0</v>
      </c>
      <c r="Q133" s="195">
        <v>0</v>
      </c>
      <c r="R133" s="195">
        <v>0</v>
      </c>
      <c r="S133" s="195">
        <v>0</v>
      </c>
      <c r="T133" s="195">
        <v>0</v>
      </c>
      <c r="U133" s="195"/>
      <c r="V133" s="195"/>
    </row>
    <row r="134" spans="1:22">
      <c r="A134" s="1190"/>
      <c r="B134" s="246" t="s">
        <v>154</v>
      </c>
      <c r="C134" s="195">
        <v>110</v>
      </c>
      <c r="D134" s="195">
        <v>0</v>
      </c>
      <c r="E134" s="195">
        <v>0</v>
      </c>
      <c r="F134" s="195">
        <v>0</v>
      </c>
      <c r="G134" s="195">
        <v>0</v>
      </c>
      <c r="H134" s="195">
        <v>0</v>
      </c>
      <c r="I134" s="195">
        <v>0</v>
      </c>
      <c r="J134" s="195">
        <v>27</v>
      </c>
      <c r="K134" s="195">
        <v>0</v>
      </c>
      <c r="L134" s="195">
        <v>26</v>
      </c>
      <c r="M134" s="195">
        <v>26</v>
      </c>
      <c r="N134" s="195">
        <v>0</v>
      </c>
      <c r="O134" s="195">
        <v>0</v>
      </c>
      <c r="P134" s="195">
        <v>0</v>
      </c>
      <c r="Q134" s="195">
        <v>0</v>
      </c>
      <c r="R134" s="195">
        <v>0</v>
      </c>
      <c r="S134" s="195">
        <v>0</v>
      </c>
      <c r="T134" s="195">
        <v>0</v>
      </c>
      <c r="U134" s="195">
        <v>0</v>
      </c>
      <c r="V134" s="195">
        <v>0</v>
      </c>
    </row>
    <row r="135" spans="1:22" ht="12" customHeight="1">
      <c r="A135" s="1190"/>
      <c r="B135" s="246" t="s">
        <v>155</v>
      </c>
      <c r="C135" s="195">
        <v>120</v>
      </c>
      <c r="D135" s="195">
        <v>25</v>
      </c>
      <c r="E135" s="195">
        <v>3</v>
      </c>
      <c r="F135" s="195">
        <v>1.5</v>
      </c>
      <c r="G135" s="195">
        <v>0</v>
      </c>
      <c r="H135" s="195">
        <v>0</v>
      </c>
      <c r="I135" s="195">
        <v>150</v>
      </c>
      <c r="J135" s="195">
        <v>22</v>
      </c>
      <c r="K135" s="195">
        <v>0</v>
      </c>
      <c r="L135" s="195">
        <v>10</v>
      </c>
      <c r="M135" s="195"/>
      <c r="N135" s="195">
        <v>1</v>
      </c>
      <c r="O135" s="195">
        <v>0</v>
      </c>
      <c r="P135" s="195">
        <v>0</v>
      </c>
      <c r="Q135" s="195">
        <v>5</v>
      </c>
      <c r="R135" s="195">
        <v>0</v>
      </c>
      <c r="S135" s="195">
        <v>1</v>
      </c>
      <c r="T135" s="195">
        <v>6</v>
      </c>
      <c r="U135" s="195"/>
      <c r="V135" s="195"/>
    </row>
    <row r="136" spans="1:22" hidden="1">
      <c r="A136" s="1190"/>
      <c r="B136" s="246" t="s">
        <v>156</v>
      </c>
      <c r="C136" s="195">
        <v>120</v>
      </c>
      <c r="D136" s="195">
        <v>45</v>
      </c>
      <c r="E136" s="195">
        <v>4.5</v>
      </c>
      <c r="F136" s="195">
        <v>1.5</v>
      </c>
      <c r="G136" s="195">
        <v>0</v>
      </c>
      <c r="H136" s="195">
        <v>0</v>
      </c>
      <c r="I136" s="195">
        <v>140</v>
      </c>
      <c r="J136" s="195">
        <v>18</v>
      </c>
      <c r="K136" s="195">
        <v>0</v>
      </c>
      <c r="L136" s="195">
        <v>10</v>
      </c>
      <c r="M136" s="195"/>
      <c r="N136" s="195">
        <v>1</v>
      </c>
      <c r="O136" s="195">
        <v>0</v>
      </c>
      <c r="P136" s="195">
        <v>0</v>
      </c>
      <c r="Q136" s="195">
        <v>0</v>
      </c>
      <c r="R136" s="195">
        <v>0</v>
      </c>
      <c r="S136" s="195">
        <v>1</v>
      </c>
      <c r="T136" s="195">
        <v>6</v>
      </c>
      <c r="U136" s="195"/>
      <c r="V136" s="195"/>
    </row>
    <row r="137" spans="1:22">
      <c r="A137" s="1190"/>
      <c r="B137" s="246" t="s">
        <v>157</v>
      </c>
      <c r="C137" s="195">
        <v>140</v>
      </c>
      <c r="D137" s="195">
        <v>70</v>
      </c>
      <c r="E137" s="195">
        <v>8</v>
      </c>
      <c r="F137" s="195">
        <v>3</v>
      </c>
      <c r="G137" s="195">
        <v>0</v>
      </c>
      <c r="H137" s="195">
        <v>0</v>
      </c>
      <c r="I137" s="195">
        <v>100</v>
      </c>
      <c r="J137" s="195">
        <v>16</v>
      </c>
      <c r="K137" s="195">
        <v>1</v>
      </c>
      <c r="L137" s="195">
        <v>14</v>
      </c>
      <c r="M137" s="195">
        <v>13</v>
      </c>
      <c r="N137" s="195">
        <v>3</v>
      </c>
      <c r="O137" s="195">
        <v>0</v>
      </c>
      <c r="P137" s="195">
        <v>0</v>
      </c>
      <c r="Q137" s="195">
        <v>26</v>
      </c>
      <c r="R137" s="195">
        <v>2</v>
      </c>
      <c r="S137" s="195">
        <v>1</v>
      </c>
      <c r="T137" s="195">
        <v>6</v>
      </c>
      <c r="U137" s="195">
        <v>102</v>
      </c>
      <c r="V137" s="195">
        <v>2</v>
      </c>
    </row>
    <row r="138" spans="1:22">
      <c r="A138" s="1190"/>
      <c r="B138" s="246" t="s">
        <v>158</v>
      </c>
      <c r="C138" s="195">
        <v>190</v>
      </c>
      <c r="D138" s="195">
        <v>160</v>
      </c>
      <c r="E138" s="195">
        <v>18</v>
      </c>
      <c r="F138" s="195">
        <v>3</v>
      </c>
      <c r="G138" s="195">
        <v>0</v>
      </c>
      <c r="H138" s="195">
        <v>0</v>
      </c>
      <c r="I138" s="195">
        <v>130</v>
      </c>
      <c r="J138" s="195">
        <v>6</v>
      </c>
      <c r="K138" s="195">
        <v>2</v>
      </c>
      <c r="L138" s="195">
        <v>3</v>
      </c>
      <c r="M138" s="195">
        <v>2</v>
      </c>
      <c r="N138" s="195">
        <v>6</v>
      </c>
      <c r="O138" s="195">
        <v>0</v>
      </c>
      <c r="P138" s="195">
        <v>0</v>
      </c>
      <c r="Q138" s="195">
        <v>21</v>
      </c>
      <c r="R138" s="195">
        <v>2</v>
      </c>
      <c r="S138" s="195">
        <v>1</v>
      </c>
      <c r="T138" s="195">
        <v>6</v>
      </c>
      <c r="U138" s="195">
        <v>159</v>
      </c>
      <c r="V138" s="195">
        <v>4</v>
      </c>
    </row>
    <row r="139" spans="1:22">
      <c r="A139" s="1190"/>
      <c r="B139" s="246" t="s">
        <v>159</v>
      </c>
      <c r="C139" s="195">
        <v>130</v>
      </c>
      <c r="D139" s="195">
        <v>60</v>
      </c>
      <c r="E139" s="195">
        <v>6</v>
      </c>
      <c r="F139" s="195">
        <v>2.5</v>
      </c>
      <c r="G139" s="195">
        <v>0</v>
      </c>
      <c r="H139" s="195">
        <v>0</v>
      </c>
      <c r="I139" s="195">
        <v>65</v>
      </c>
      <c r="J139" s="195">
        <v>18</v>
      </c>
      <c r="K139" s="195">
        <v>1</v>
      </c>
      <c r="L139" s="195">
        <v>15</v>
      </c>
      <c r="M139" s="195">
        <v>13</v>
      </c>
      <c r="N139" s="195">
        <v>2</v>
      </c>
      <c r="O139" s="195">
        <v>0</v>
      </c>
      <c r="P139" s="195">
        <v>0</v>
      </c>
      <c r="Q139" s="195">
        <v>27</v>
      </c>
      <c r="R139" s="195">
        <v>2</v>
      </c>
      <c r="S139" s="195">
        <v>0</v>
      </c>
      <c r="T139" s="195">
        <v>0</v>
      </c>
      <c r="U139" s="195">
        <v>83</v>
      </c>
      <c r="V139" s="195">
        <v>2</v>
      </c>
    </row>
    <row r="140" spans="1:22">
      <c r="A140" s="1190"/>
      <c r="B140" s="246" t="s">
        <v>160</v>
      </c>
      <c r="C140" s="195">
        <v>140</v>
      </c>
      <c r="D140" s="195">
        <v>50</v>
      </c>
      <c r="E140" s="195">
        <v>5</v>
      </c>
      <c r="F140" s="195">
        <v>4.5</v>
      </c>
      <c r="G140" s="195">
        <v>0</v>
      </c>
      <c r="H140" s="195">
        <v>0</v>
      </c>
      <c r="I140" s="195">
        <v>0</v>
      </c>
      <c r="J140" s="195">
        <v>22</v>
      </c>
      <c r="K140" s="195">
        <v>0</v>
      </c>
      <c r="L140" s="195">
        <v>14</v>
      </c>
      <c r="M140" s="195">
        <v>14</v>
      </c>
      <c r="N140" s="195">
        <v>1</v>
      </c>
      <c r="O140" s="195">
        <v>0</v>
      </c>
      <c r="P140" s="195">
        <v>0</v>
      </c>
      <c r="Q140" s="195">
        <v>1</v>
      </c>
      <c r="R140" s="195">
        <v>0</v>
      </c>
      <c r="S140" s="195">
        <v>1</v>
      </c>
      <c r="T140" s="195">
        <v>6</v>
      </c>
      <c r="U140" s="195">
        <v>0</v>
      </c>
      <c r="V140" s="195">
        <v>0</v>
      </c>
    </row>
    <row r="141" spans="1:22">
      <c r="A141" s="1190"/>
      <c r="B141" s="246" t="s">
        <v>161</v>
      </c>
      <c r="C141" s="195">
        <v>130</v>
      </c>
      <c r="D141" s="195">
        <v>50</v>
      </c>
      <c r="E141" s="195">
        <v>5</v>
      </c>
      <c r="F141" s="195">
        <v>4.5</v>
      </c>
      <c r="G141" s="195">
        <v>0</v>
      </c>
      <c r="H141" s="195">
        <v>0</v>
      </c>
      <c r="I141" s="195">
        <v>0</v>
      </c>
      <c r="J141" s="195">
        <v>22</v>
      </c>
      <c r="K141" s="195">
        <v>0</v>
      </c>
      <c r="L141" s="195">
        <v>14</v>
      </c>
      <c r="M141" s="195">
        <v>14</v>
      </c>
      <c r="N141" s="195">
        <v>0</v>
      </c>
      <c r="O141" s="195">
        <v>0</v>
      </c>
      <c r="P141" s="195">
        <v>0</v>
      </c>
      <c r="Q141" s="195">
        <v>1</v>
      </c>
      <c r="R141" s="195">
        <v>0</v>
      </c>
      <c r="S141" s="195">
        <v>0</v>
      </c>
      <c r="T141" s="195">
        <v>0</v>
      </c>
      <c r="U141" s="195">
        <v>0</v>
      </c>
      <c r="V141" s="195">
        <v>0</v>
      </c>
    </row>
    <row r="142" spans="1:22">
      <c r="A142" s="1190"/>
      <c r="B142" s="246" t="s">
        <v>162</v>
      </c>
      <c r="C142" s="195">
        <v>80</v>
      </c>
      <c r="D142" s="195">
        <v>0</v>
      </c>
      <c r="E142" s="195">
        <v>0</v>
      </c>
      <c r="F142" s="195">
        <v>0</v>
      </c>
      <c r="G142" s="195">
        <v>0</v>
      </c>
      <c r="H142" s="195">
        <v>0</v>
      </c>
      <c r="I142" s="195">
        <v>10</v>
      </c>
      <c r="J142" s="195">
        <v>21</v>
      </c>
      <c r="K142" s="195">
        <v>1</v>
      </c>
      <c r="L142" s="195">
        <v>18</v>
      </c>
      <c r="M142" s="195">
        <v>11</v>
      </c>
      <c r="N142" s="195">
        <v>0</v>
      </c>
      <c r="O142" s="195">
        <v>0</v>
      </c>
      <c r="P142" s="195">
        <v>0</v>
      </c>
      <c r="Q142" s="195">
        <v>6</v>
      </c>
      <c r="R142" s="195">
        <v>0</v>
      </c>
      <c r="S142" s="195">
        <v>0</v>
      </c>
      <c r="T142" s="195">
        <v>0</v>
      </c>
      <c r="U142" s="195">
        <v>53</v>
      </c>
      <c r="V142" s="195">
        <v>2</v>
      </c>
    </row>
    <row r="143" spans="1:22" ht="16.3" thickBot="1">
      <c r="A143" s="1190"/>
      <c r="B143" s="246" t="s">
        <v>163</v>
      </c>
      <c r="C143" s="195">
        <v>280</v>
      </c>
      <c r="D143" s="195">
        <v>160</v>
      </c>
      <c r="E143" s="195">
        <v>18</v>
      </c>
      <c r="F143" s="195">
        <v>1.5</v>
      </c>
      <c r="G143" s="195">
        <v>0</v>
      </c>
      <c r="H143" s="195">
        <v>0</v>
      </c>
      <c r="I143" s="195">
        <v>0</v>
      </c>
      <c r="J143" s="195">
        <v>25</v>
      </c>
      <c r="K143" s="195">
        <v>3</v>
      </c>
      <c r="L143" s="195">
        <v>20</v>
      </c>
      <c r="M143" s="195"/>
      <c r="N143" s="195">
        <v>4</v>
      </c>
      <c r="O143" s="195">
        <v>0</v>
      </c>
      <c r="P143" s="195">
        <v>0</v>
      </c>
      <c r="Q143" s="195">
        <v>24</v>
      </c>
      <c r="R143" s="195">
        <v>2</v>
      </c>
      <c r="S143" s="195">
        <v>1</v>
      </c>
      <c r="T143" s="195">
        <v>6</v>
      </c>
      <c r="U143" s="195">
        <v>124</v>
      </c>
      <c r="V143" s="195">
        <v>2</v>
      </c>
    </row>
    <row r="144" spans="1:22">
      <c r="A144" s="1189" t="s">
        <v>164</v>
      </c>
      <c r="B144" s="224" t="s">
        <v>165</v>
      </c>
      <c r="C144" s="270">
        <f t="shared" ref="C144:V144" si="0">C131*2</f>
        <v>180</v>
      </c>
      <c r="D144" s="237">
        <f t="shared" si="0"/>
        <v>60</v>
      </c>
      <c r="E144" s="237">
        <f t="shared" si="0"/>
        <v>6</v>
      </c>
      <c r="F144" s="237">
        <f t="shared" si="0"/>
        <v>6</v>
      </c>
      <c r="G144" s="237">
        <f t="shared" si="0"/>
        <v>0</v>
      </c>
      <c r="H144" s="237">
        <f t="shared" si="0"/>
        <v>0</v>
      </c>
      <c r="I144" s="237">
        <f t="shared" si="0"/>
        <v>160</v>
      </c>
      <c r="J144" s="237">
        <f t="shared" si="0"/>
        <v>30</v>
      </c>
      <c r="K144" s="237">
        <f t="shared" si="0"/>
        <v>2</v>
      </c>
      <c r="L144" s="237">
        <f t="shared" si="0"/>
        <v>26</v>
      </c>
      <c r="M144" s="237">
        <f t="shared" si="0"/>
        <v>24</v>
      </c>
      <c r="N144" s="237">
        <f t="shared" si="0"/>
        <v>2</v>
      </c>
      <c r="O144" s="237">
        <v>0</v>
      </c>
      <c r="P144" s="237">
        <v>0</v>
      </c>
      <c r="Q144" s="237">
        <f t="shared" si="0"/>
        <v>36</v>
      </c>
      <c r="R144" s="237">
        <f t="shared" si="0"/>
        <v>4</v>
      </c>
      <c r="S144" s="237">
        <f t="shared" si="0"/>
        <v>2</v>
      </c>
      <c r="T144" s="237">
        <f t="shared" si="0"/>
        <v>12</v>
      </c>
      <c r="U144" s="237">
        <f t="shared" si="0"/>
        <v>208</v>
      </c>
      <c r="V144" s="238">
        <f t="shared" si="0"/>
        <v>4</v>
      </c>
    </row>
    <row r="145" spans="1:22" ht="14.25" customHeight="1">
      <c r="A145" s="1191"/>
      <c r="B145" s="264" t="s">
        <v>166</v>
      </c>
      <c r="C145" s="271">
        <f t="shared" ref="C145:V145" si="1">C130*2</f>
        <v>180</v>
      </c>
      <c r="D145" s="195">
        <f t="shared" si="1"/>
        <v>30</v>
      </c>
      <c r="E145" s="195">
        <f t="shared" si="1"/>
        <v>3</v>
      </c>
      <c r="F145" s="195">
        <f t="shared" si="1"/>
        <v>2</v>
      </c>
      <c r="G145" s="195">
        <f t="shared" si="1"/>
        <v>0</v>
      </c>
      <c r="H145" s="195">
        <f t="shared" si="1"/>
        <v>10</v>
      </c>
      <c r="I145" s="195">
        <f t="shared" si="1"/>
        <v>140</v>
      </c>
      <c r="J145" s="195">
        <f t="shared" si="1"/>
        <v>38</v>
      </c>
      <c r="K145" s="195">
        <f t="shared" si="1"/>
        <v>0</v>
      </c>
      <c r="L145" s="195">
        <f t="shared" si="1"/>
        <v>28</v>
      </c>
      <c r="M145" s="195">
        <f t="shared" si="1"/>
        <v>28</v>
      </c>
      <c r="N145" s="195">
        <f t="shared" si="1"/>
        <v>2</v>
      </c>
      <c r="O145" s="195">
        <v>0</v>
      </c>
      <c r="P145" s="195">
        <v>0</v>
      </c>
      <c r="Q145" s="195">
        <f t="shared" si="1"/>
        <v>40</v>
      </c>
      <c r="R145" s="195">
        <f t="shared" si="1"/>
        <v>4</v>
      </c>
      <c r="S145" s="195">
        <f t="shared" si="1"/>
        <v>0</v>
      </c>
      <c r="T145" s="195">
        <f t="shared" si="1"/>
        <v>0</v>
      </c>
      <c r="U145" s="195">
        <f t="shared" si="1"/>
        <v>58</v>
      </c>
      <c r="V145" s="239">
        <f t="shared" si="1"/>
        <v>0</v>
      </c>
    </row>
    <row r="146" spans="1:22" ht="14.25" customHeight="1">
      <c r="A146" s="1191"/>
      <c r="B146" s="264" t="s">
        <v>162</v>
      </c>
      <c r="C146" s="271">
        <v>80</v>
      </c>
      <c r="D146" s="195">
        <v>0</v>
      </c>
      <c r="E146" s="195">
        <v>0</v>
      </c>
      <c r="F146" s="195">
        <v>0</v>
      </c>
      <c r="G146" s="195">
        <v>0</v>
      </c>
      <c r="H146" s="195">
        <v>0</v>
      </c>
      <c r="I146" s="195">
        <v>10</v>
      </c>
      <c r="J146" s="195">
        <v>21</v>
      </c>
      <c r="K146" s="195">
        <v>1</v>
      </c>
      <c r="L146" s="195">
        <v>18</v>
      </c>
      <c r="M146" s="195">
        <v>11</v>
      </c>
      <c r="N146" s="195">
        <v>0</v>
      </c>
      <c r="O146" s="195">
        <v>0</v>
      </c>
      <c r="P146" s="195">
        <v>0</v>
      </c>
      <c r="Q146" s="195">
        <v>6</v>
      </c>
      <c r="R146" s="195">
        <v>0</v>
      </c>
      <c r="S146" s="195">
        <v>0</v>
      </c>
      <c r="T146" s="195">
        <v>0</v>
      </c>
      <c r="U146" s="195">
        <v>53</v>
      </c>
      <c r="V146" s="239">
        <v>2</v>
      </c>
    </row>
    <row r="147" spans="1:22" ht="19.5" customHeight="1" thickBot="1">
      <c r="A147" s="1192"/>
      <c r="B147" s="265" t="s">
        <v>167</v>
      </c>
      <c r="C147" s="274">
        <f t="shared" ref="C147:V147" si="2">C138*2</f>
        <v>380</v>
      </c>
      <c r="D147" s="241">
        <f t="shared" si="2"/>
        <v>320</v>
      </c>
      <c r="E147" s="241">
        <f t="shared" si="2"/>
        <v>36</v>
      </c>
      <c r="F147" s="241">
        <f t="shared" si="2"/>
        <v>6</v>
      </c>
      <c r="G147" s="241">
        <f t="shared" si="2"/>
        <v>0</v>
      </c>
      <c r="H147" s="241">
        <f t="shared" si="2"/>
        <v>0</v>
      </c>
      <c r="I147" s="241">
        <f t="shared" si="2"/>
        <v>260</v>
      </c>
      <c r="J147" s="241">
        <f t="shared" si="2"/>
        <v>12</v>
      </c>
      <c r="K147" s="241">
        <f t="shared" si="2"/>
        <v>4</v>
      </c>
      <c r="L147" s="241">
        <f t="shared" si="2"/>
        <v>6</v>
      </c>
      <c r="M147" s="241">
        <f t="shared" si="2"/>
        <v>4</v>
      </c>
      <c r="N147" s="241">
        <f t="shared" si="2"/>
        <v>12</v>
      </c>
      <c r="O147" s="241">
        <v>0</v>
      </c>
      <c r="P147" s="241">
        <v>0</v>
      </c>
      <c r="Q147" s="241">
        <f t="shared" si="2"/>
        <v>42</v>
      </c>
      <c r="R147" s="241">
        <f t="shared" si="2"/>
        <v>4</v>
      </c>
      <c r="S147" s="241">
        <f t="shared" si="2"/>
        <v>2</v>
      </c>
      <c r="T147" s="241">
        <f t="shared" si="2"/>
        <v>12</v>
      </c>
      <c r="U147" s="241">
        <f t="shared" si="2"/>
        <v>318</v>
      </c>
      <c r="V147" s="242">
        <f t="shared" si="2"/>
        <v>8</v>
      </c>
    </row>
    <row r="148" spans="1:22" ht="12.75" customHeight="1"/>
    <row r="149" spans="1:22" ht="45" customHeight="1">
      <c r="B149" s="1193" t="s">
        <v>168</v>
      </c>
      <c r="C149" s="1194"/>
      <c r="D149" s="1194"/>
      <c r="E149" s="1194"/>
      <c r="F149" s="1194"/>
      <c r="G149" s="1194"/>
      <c r="H149" s="1194"/>
      <c r="I149" s="1194"/>
      <c r="J149" s="1194"/>
      <c r="K149" s="1194"/>
      <c r="L149" s="1194"/>
      <c r="M149" s="1194"/>
      <c r="N149" s="1194"/>
      <c r="O149" s="1194"/>
      <c r="P149" s="1194"/>
      <c r="Q149" s="1194"/>
      <c r="R149" s="1194"/>
      <c r="S149" s="1194"/>
      <c r="T149" s="1194"/>
      <c r="U149" s="1194"/>
      <c r="V149" s="1195"/>
    </row>
    <row r="150" spans="1:22" ht="12.75" customHeight="1"/>
    <row r="151" spans="1:22" ht="15" customHeight="1">
      <c r="A151" s="275"/>
      <c r="B151" s="191" t="s">
        <v>169</v>
      </c>
      <c r="C151" s="276">
        <f t="shared" ref="C151:V151" si="3">SUM(AVERAGE(C6:C58),AVERAGE(C106:C121),AVERAGE(C124:C143))</f>
        <v>568.29807692307691</v>
      </c>
      <c r="D151" s="276">
        <f t="shared" si="3"/>
        <v>218.02884615384616</v>
      </c>
      <c r="E151" s="276">
        <f t="shared" si="3"/>
        <v>24.022115384615383</v>
      </c>
      <c r="F151" s="276">
        <f t="shared" si="3"/>
        <v>13.98173076923077</v>
      </c>
      <c r="G151" s="276">
        <f t="shared" si="3"/>
        <v>0</v>
      </c>
      <c r="H151" s="276">
        <f t="shared" si="3"/>
        <v>125.6875</v>
      </c>
      <c r="I151" s="276">
        <f t="shared" si="3"/>
        <v>277.20192307692309</v>
      </c>
      <c r="J151" s="276">
        <f t="shared" si="3"/>
        <v>81.515384615384619</v>
      </c>
      <c r="K151" s="276">
        <f t="shared" si="3"/>
        <v>0.57894736842105265</v>
      </c>
      <c r="L151" s="276">
        <f t="shared" si="3"/>
        <v>70.131730769230771</v>
      </c>
      <c r="M151" s="276">
        <f t="shared" si="3"/>
        <v>59.73557692307692</v>
      </c>
      <c r="N151" s="276">
        <f t="shared" si="3"/>
        <v>8.6759615384615376</v>
      </c>
      <c r="O151" s="276">
        <f t="shared" si="3"/>
        <v>0</v>
      </c>
      <c r="P151" s="276">
        <f t="shared" si="3"/>
        <v>0</v>
      </c>
      <c r="Q151" s="276">
        <f t="shared" si="3"/>
        <v>249.50256826923075</v>
      </c>
      <c r="R151" s="276">
        <f t="shared" si="3"/>
        <v>24.962499999999999</v>
      </c>
      <c r="S151" s="276">
        <f t="shared" si="3"/>
        <v>0.67066462500000001</v>
      </c>
      <c r="T151" s="276">
        <f t="shared" si="3"/>
        <v>3.8250000000000002</v>
      </c>
      <c r="U151" s="276">
        <f t="shared" si="3"/>
        <v>407.21153846153845</v>
      </c>
      <c r="V151" s="276">
        <f t="shared" si="3"/>
        <v>10.6875</v>
      </c>
    </row>
    <row r="152" spans="1:22" ht="31.75">
      <c r="A152" s="275"/>
      <c r="B152" s="191" t="s">
        <v>170</v>
      </c>
      <c r="C152" s="276" t="str">
        <f t="shared" ref="C152:V152" si="4" xml:space="preserve"> ROUND(MIN(C6:C58)+MIN(C124:C143) + MIN(C106:C121), 0) &amp; " - " &amp; ROUND(MAX(C6:C58)+MAX(C124:C143)+MAX(C106:C121), 0)</f>
        <v>425 - 850</v>
      </c>
      <c r="D152" s="276" t="str">
        <f t="shared" si="4"/>
        <v>150 - 390</v>
      </c>
      <c r="E152" s="276" t="str">
        <f t="shared" si="4"/>
        <v>17 - 45</v>
      </c>
      <c r="F152" s="276" t="str">
        <f t="shared" si="4"/>
        <v>10 - 20</v>
      </c>
      <c r="G152" s="276" t="str">
        <f t="shared" si="4"/>
        <v>0 - 0</v>
      </c>
      <c r="H152" s="276" t="str">
        <f t="shared" si="4"/>
        <v>100 - 160</v>
      </c>
      <c r="I152" s="276" t="str">
        <f t="shared" si="4"/>
        <v>180 - 450</v>
      </c>
      <c r="J152" s="276" t="str">
        <f t="shared" si="4"/>
        <v>59 - 114</v>
      </c>
      <c r="K152" s="276" t="str">
        <f t="shared" si="4"/>
        <v>0 - 3</v>
      </c>
      <c r="L152" s="276" t="str">
        <f t="shared" si="4"/>
        <v>48 - 103</v>
      </c>
      <c r="M152" s="276" t="str">
        <f t="shared" si="4"/>
        <v>31 - 93</v>
      </c>
      <c r="N152" s="276" t="str">
        <f t="shared" si="4"/>
        <v>6 - 16</v>
      </c>
      <c r="O152" s="276" t="str">
        <f t="shared" si="4"/>
        <v>0 - 0</v>
      </c>
      <c r="P152" s="276" t="str">
        <f t="shared" si="4"/>
        <v>0 - 0</v>
      </c>
      <c r="Q152" s="276" t="str">
        <f t="shared" si="4"/>
        <v>217 - 332</v>
      </c>
      <c r="R152" s="276" t="str">
        <f t="shared" si="4"/>
        <v>15 - 32</v>
      </c>
      <c r="S152" s="276" t="str">
        <f t="shared" si="4"/>
        <v>0 - 4</v>
      </c>
      <c r="T152" s="276" t="str">
        <f t="shared" si="4"/>
        <v>0 - 20</v>
      </c>
      <c r="U152" s="276" t="str">
        <f t="shared" si="4"/>
        <v>292 - 649</v>
      </c>
      <c r="V152" s="276" t="str">
        <f t="shared" si="4"/>
        <v>6 - 17</v>
      </c>
    </row>
    <row r="153" spans="1:22">
      <c r="A153" s="275"/>
      <c r="B153" s="191" t="s">
        <v>171</v>
      </c>
      <c r="C153" s="276">
        <f t="shared" ref="C153:V153" si="5">SUM(AVERAGE(C59:C70),AVERAGE(C124:C143),AVERAGE(C106:C121))</f>
        <v>558.04166666666674</v>
      </c>
      <c r="D153" s="276">
        <f t="shared" si="5"/>
        <v>217.70833333333334</v>
      </c>
      <c r="E153" s="276">
        <f t="shared" si="5"/>
        <v>23.887499999999999</v>
      </c>
      <c r="F153" s="276">
        <f t="shared" si="5"/>
        <v>13.9625</v>
      </c>
      <c r="G153" s="276">
        <f t="shared" si="5"/>
        <v>0</v>
      </c>
      <c r="H153" s="276">
        <f t="shared" si="5"/>
        <v>125.6875</v>
      </c>
      <c r="I153" s="276">
        <f t="shared" si="5"/>
        <v>262.45833333333331</v>
      </c>
      <c r="J153" s="276">
        <f t="shared" si="5"/>
        <v>76.316666666666663</v>
      </c>
      <c r="K153" s="276">
        <f t="shared" si="5"/>
        <v>0.9956140350877194</v>
      </c>
      <c r="L153" s="276">
        <f t="shared" si="5"/>
        <v>65.112499999999997</v>
      </c>
      <c r="M153" s="276">
        <f t="shared" si="5"/>
        <v>54.979166666666671</v>
      </c>
      <c r="N153" s="276">
        <f t="shared" si="5"/>
        <v>8.6374999999999993</v>
      </c>
      <c r="O153" s="276">
        <f t="shared" si="5"/>
        <v>0</v>
      </c>
      <c r="P153" s="276">
        <f t="shared" si="5"/>
        <v>0</v>
      </c>
      <c r="Q153" s="276">
        <f t="shared" si="5"/>
        <v>252.79439583333331</v>
      </c>
      <c r="R153" s="276">
        <f t="shared" si="5"/>
        <v>24.962499999999999</v>
      </c>
      <c r="S153" s="276">
        <f t="shared" si="5"/>
        <v>0.66983187500000008</v>
      </c>
      <c r="T153" s="276">
        <f t="shared" si="5"/>
        <v>3.8250000000000002</v>
      </c>
      <c r="U153" s="276">
        <f t="shared" si="5"/>
        <v>438.75</v>
      </c>
      <c r="V153" s="276">
        <f t="shared" si="5"/>
        <v>11.520833333333334</v>
      </c>
    </row>
    <row r="154" spans="1:22" ht="31.75">
      <c r="A154" s="275"/>
      <c r="B154" s="191" t="s">
        <v>172</v>
      </c>
      <c r="C154" s="276" t="str">
        <f t="shared" ref="C154:V154" si="6">ROUND(MIN(C59:C70)+MIN(C124:C143)+MIN(C106:C121), 0) &amp;" - "&amp; ROUND(MAX(C59:C70)+MAX(C124:C143)+MAX(C106:C121),0)</f>
        <v>435 - 820</v>
      </c>
      <c r="D154" s="276" t="str">
        <f t="shared" si="6"/>
        <v>150 - 365</v>
      </c>
      <c r="E154" s="276" t="str">
        <f t="shared" si="6"/>
        <v>17 - 41</v>
      </c>
      <c r="F154" s="276" t="str">
        <f t="shared" si="6"/>
        <v>10 - 19</v>
      </c>
      <c r="G154" s="276" t="str">
        <f t="shared" si="6"/>
        <v>0 - 0</v>
      </c>
      <c r="H154" s="276" t="str">
        <f t="shared" si="6"/>
        <v>100 - 160</v>
      </c>
      <c r="I154" s="276" t="str">
        <f t="shared" si="6"/>
        <v>170 - 415</v>
      </c>
      <c r="J154" s="276" t="str">
        <f t="shared" si="6"/>
        <v>59 - 100</v>
      </c>
      <c r="K154" s="276" t="str">
        <f t="shared" si="6"/>
        <v>0 - 4</v>
      </c>
      <c r="L154" s="276" t="str">
        <f t="shared" si="6"/>
        <v>48 - 89</v>
      </c>
      <c r="M154" s="276" t="str">
        <f t="shared" si="6"/>
        <v>37 - 77</v>
      </c>
      <c r="N154" s="276" t="str">
        <f t="shared" si="6"/>
        <v>6 - 15</v>
      </c>
      <c r="O154" s="276" t="str">
        <f t="shared" si="6"/>
        <v>0 - 0</v>
      </c>
      <c r="P154" s="276" t="str">
        <f t="shared" si="6"/>
        <v>0 - 0</v>
      </c>
      <c r="Q154" s="276" t="str">
        <f t="shared" si="6"/>
        <v>219 - 336</v>
      </c>
      <c r="R154" s="276" t="str">
        <f t="shared" si="6"/>
        <v>15 - 32</v>
      </c>
      <c r="S154" s="276" t="str">
        <f t="shared" si="6"/>
        <v>0 - 4</v>
      </c>
      <c r="T154" s="276" t="str">
        <f t="shared" si="6"/>
        <v>0 - 20</v>
      </c>
      <c r="U154" s="276" t="str">
        <f t="shared" si="6"/>
        <v>295 - 717</v>
      </c>
      <c r="V154" s="276" t="str">
        <f t="shared" si="6"/>
        <v>6 - 19</v>
      </c>
    </row>
    <row r="155" spans="1:22">
      <c r="A155" s="275"/>
      <c r="B155" s="191" t="s">
        <v>173</v>
      </c>
      <c r="C155" s="276">
        <f t="shared" ref="C155:V155" si="7">SUM(AVERAGE(C71:C99),AVERAGE(C124:C143), AVERAGE(C106:C121))</f>
        <v>588.16071428571422</v>
      </c>
      <c r="D155" s="276">
        <f t="shared" si="7"/>
        <v>229.91071428571428</v>
      </c>
      <c r="E155" s="276">
        <f t="shared" si="7"/>
        <v>25.387499999999999</v>
      </c>
      <c r="F155" s="276">
        <f t="shared" si="7"/>
        <v>15.141071428571429</v>
      </c>
      <c r="G155" s="276">
        <f t="shared" si="7"/>
        <v>0</v>
      </c>
      <c r="H155" s="276">
        <f t="shared" si="7"/>
        <v>125.6875</v>
      </c>
      <c r="I155" s="276">
        <f t="shared" si="7"/>
        <v>292.51785714285711</v>
      </c>
      <c r="J155" s="276">
        <f t="shared" si="7"/>
        <v>83.15</v>
      </c>
      <c r="K155" s="276">
        <f t="shared" si="7"/>
        <v>0.61466165413533835</v>
      </c>
      <c r="L155" s="276">
        <f t="shared" si="7"/>
        <v>71.291071428571428</v>
      </c>
      <c r="M155" s="276">
        <f t="shared" si="7"/>
        <v>57.3125</v>
      </c>
      <c r="N155" s="276">
        <f t="shared" si="7"/>
        <v>8.7089285714285722</v>
      </c>
      <c r="O155" s="276">
        <f t="shared" si="7"/>
        <v>0</v>
      </c>
      <c r="P155" s="276">
        <f t="shared" si="7"/>
        <v>0</v>
      </c>
      <c r="Q155" s="276">
        <f t="shared" si="7"/>
        <v>250.63963392857141</v>
      </c>
      <c r="R155" s="276">
        <f t="shared" si="7"/>
        <v>25.033928571428572</v>
      </c>
      <c r="S155" s="276">
        <f t="shared" si="7"/>
        <v>0.70554616071428577</v>
      </c>
      <c r="T155" s="276">
        <f t="shared" si="7"/>
        <v>4.0392857142857146</v>
      </c>
      <c r="U155" s="276">
        <f t="shared" si="7"/>
        <v>413.78571428571428</v>
      </c>
      <c r="V155" s="276">
        <f t="shared" si="7"/>
        <v>10.758928571428571</v>
      </c>
    </row>
    <row r="156" spans="1:22" ht="31.75">
      <c r="A156" s="275"/>
      <c r="B156" s="191" t="s">
        <v>174</v>
      </c>
      <c r="C156" s="276" t="str">
        <f t="shared" ref="C156:V156" si="8">ROUND(MIN(C71:C99)+MIN(C124:C143)+MIN(C106:C121), 0) &amp;" - "&amp;ROUND(MAX(C71:C99)+MAX(C124:C143)+MAX(C106:C121),0)</f>
        <v>455 - 850</v>
      </c>
      <c r="D156" s="276" t="str">
        <f t="shared" si="8"/>
        <v>155 - 390</v>
      </c>
      <c r="E156" s="276" t="str">
        <f t="shared" si="8"/>
        <v>17 - 45</v>
      </c>
      <c r="F156" s="276" t="str">
        <f t="shared" si="8"/>
        <v>10 - 21</v>
      </c>
      <c r="G156" s="276" t="str">
        <f t="shared" si="8"/>
        <v>0 - 0</v>
      </c>
      <c r="H156" s="276" t="str">
        <f t="shared" si="8"/>
        <v>100 - 160</v>
      </c>
      <c r="I156" s="276" t="str">
        <f t="shared" si="8"/>
        <v>185 - 470</v>
      </c>
      <c r="J156" s="276" t="str">
        <f t="shared" si="8"/>
        <v>63 - 109</v>
      </c>
      <c r="K156" s="276" t="str">
        <f t="shared" si="8"/>
        <v>0 - 4</v>
      </c>
      <c r="L156" s="276" t="str">
        <f t="shared" si="8"/>
        <v>52 - 98</v>
      </c>
      <c r="M156" s="276" t="str">
        <f t="shared" si="8"/>
        <v>32 - 87</v>
      </c>
      <c r="N156" s="276" t="str">
        <f t="shared" si="8"/>
        <v>6 - 16</v>
      </c>
      <c r="O156" s="276" t="str">
        <f t="shared" si="8"/>
        <v>0 - 0</v>
      </c>
      <c r="P156" s="276" t="str">
        <f t="shared" si="8"/>
        <v>0 - 0</v>
      </c>
      <c r="Q156" s="276" t="str">
        <f t="shared" si="8"/>
        <v>218 - 337</v>
      </c>
      <c r="R156" s="276" t="str">
        <f t="shared" si="8"/>
        <v>15 - 34</v>
      </c>
      <c r="S156" s="276" t="str">
        <f t="shared" si="8"/>
        <v>0 - 5</v>
      </c>
      <c r="T156" s="276" t="str">
        <f t="shared" si="8"/>
        <v>0 - 26</v>
      </c>
      <c r="U156" s="276" t="str">
        <f t="shared" si="8"/>
        <v>294 - 702</v>
      </c>
      <c r="V156" s="276" t="str">
        <f t="shared" si="8"/>
        <v>6 - 19</v>
      </c>
    </row>
    <row r="157" spans="1:22">
      <c r="A157" s="275"/>
      <c r="B157" s="191" t="s">
        <v>175</v>
      </c>
      <c r="C157" s="276">
        <f t="shared" ref="C157:V157" si="9">SUM(AVERAGE(C100:C105), AVERAGE(C124:C143), AVERAGE(C106:C121))</f>
        <v>520.54166666666663</v>
      </c>
      <c r="D157" s="276">
        <f t="shared" si="9"/>
        <v>216.875</v>
      </c>
      <c r="E157" s="276">
        <f t="shared" si="9"/>
        <v>23.887499999999999</v>
      </c>
      <c r="F157" s="276">
        <f t="shared" si="9"/>
        <v>13.9625</v>
      </c>
      <c r="G157" s="276">
        <f t="shared" si="9"/>
        <v>0</v>
      </c>
      <c r="H157" s="276">
        <f t="shared" si="9"/>
        <v>125.6875</v>
      </c>
      <c r="I157" s="276">
        <f t="shared" si="9"/>
        <v>272.45833333333331</v>
      </c>
      <c r="J157" s="276">
        <f t="shared" si="9"/>
        <v>73.483333333333334</v>
      </c>
      <c r="K157" s="276">
        <f t="shared" si="9"/>
        <v>0.57894736842105265</v>
      </c>
      <c r="L157" s="276">
        <f t="shared" si="9"/>
        <v>47.362499999999997</v>
      </c>
      <c r="M157" s="276">
        <f t="shared" si="9"/>
        <v>38.3125</v>
      </c>
      <c r="N157" s="276">
        <f t="shared" si="9"/>
        <v>8.6374999999999993</v>
      </c>
      <c r="O157" s="276">
        <f t="shared" si="9"/>
        <v>0</v>
      </c>
      <c r="P157" s="276">
        <f t="shared" si="9"/>
        <v>0</v>
      </c>
      <c r="Q157" s="276">
        <f t="shared" si="9"/>
        <v>249.96106249999997</v>
      </c>
      <c r="R157" s="276">
        <f t="shared" si="9"/>
        <v>24.962499999999999</v>
      </c>
      <c r="S157" s="276">
        <f t="shared" si="9"/>
        <v>0.66983187500000008</v>
      </c>
      <c r="T157" s="276">
        <f t="shared" si="9"/>
        <v>3.8250000000000002</v>
      </c>
      <c r="U157" s="276">
        <f t="shared" si="9"/>
        <v>409.83333333333331</v>
      </c>
      <c r="V157" s="276">
        <f t="shared" si="9"/>
        <v>10.6875</v>
      </c>
    </row>
    <row r="158" spans="1:22" ht="31.75">
      <c r="A158" s="275"/>
      <c r="B158" s="191" t="s">
        <v>176</v>
      </c>
      <c r="C158" s="276" t="str">
        <f t="shared" ref="C158:V158" si="10">ROUND(MIN(C100:C105)+MIN(C106:C121)+MIN(C124:C143),0)&amp;" - "&amp;ROUND(MAX(C100:C105)+MAX(C106:C121)+MAX(C124:C143),0)</f>
        <v>405 - 770</v>
      </c>
      <c r="D158" s="276" t="str">
        <f t="shared" si="10"/>
        <v>150 - 360</v>
      </c>
      <c r="E158" s="276" t="str">
        <f t="shared" si="10"/>
        <v>17 - 41</v>
      </c>
      <c r="F158" s="276" t="str">
        <f t="shared" si="10"/>
        <v>10 - 19</v>
      </c>
      <c r="G158" s="276" t="str">
        <f t="shared" si="10"/>
        <v>0 - 0</v>
      </c>
      <c r="H158" s="276" t="str">
        <f t="shared" si="10"/>
        <v>100 - 160</v>
      </c>
      <c r="I158" s="276" t="str">
        <f t="shared" si="10"/>
        <v>180 - 425</v>
      </c>
      <c r="J158" s="276" t="str">
        <f t="shared" si="10"/>
        <v>57 - 99</v>
      </c>
      <c r="K158" s="276" t="str">
        <f t="shared" si="10"/>
        <v>0 - 3</v>
      </c>
      <c r="L158" s="276" t="str">
        <f t="shared" si="10"/>
        <v>33 - 69</v>
      </c>
      <c r="M158" s="276" t="str">
        <f t="shared" si="10"/>
        <v>23 - 59</v>
      </c>
      <c r="N158" s="276" t="str">
        <f t="shared" si="10"/>
        <v>6 - 15</v>
      </c>
      <c r="O158" s="276" t="str">
        <f t="shared" si="10"/>
        <v>0 - 0</v>
      </c>
      <c r="P158" s="276" t="str">
        <f t="shared" si="10"/>
        <v>0 - 0</v>
      </c>
      <c r="Q158" s="276" t="str">
        <f t="shared" si="10"/>
        <v>218 - 329</v>
      </c>
      <c r="R158" s="276" t="str">
        <f t="shared" si="10"/>
        <v>15 - 32</v>
      </c>
      <c r="S158" s="276" t="str">
        <f t="shared" si="10"/>
        <v>0 - 4</v>
      </c>
      <c r="T158" s="276" t="str">
        <f t="shared" si="10"/>
        <v>0 - 20</v>
      </c>
      <c r="U158" s="276" t="str">
        <f t="shared" si="10"/>
        <v>298 - 632</v>
      </c>
      <c r="V158" s="276" t="str">
        <f t="shared" si="10"/>
        <v>6 - 17</v>
      </c>
    </row>
    <row r="159" spans="1:22" ht="16.3" thickBot="1">
      <c r="B159" s="223"/>
      <c r="C159" s="223"/>
      <c r="D159" s="223"/>
      <c r="E159" s="223"/>
      <c r="F159" s="223"/>
      <c r="G159" s="223"/>
      <c r="H159" s="223"/>
      <c r="I159" s="223"/>
      <c r="J159" s="223"/>
      <c r="K159" s="223"/>
      <c r="L159" s="223"/>
      <c r="M159" s="223"/>
      <c r="N159" s="223"/>
      <c r="O159" s="223"/>
      <c r="P159" s="223"/>
      <c r="Q159" s="223"/>
      <c r="R159" s="223"/>
      <c r="S159" s="223"/>
      <c r="T159" s="223"/>
      <c r="U159" s="223"/>
      <c r="V159" s="223"/>
    </row>
    <row r="160" spans="1:22" ht="28.5" hidden="1" customHeight="1">
      <c r="A160" s="275"/>
      <c r="B160" s="191" t="s">
        <v>384</v>
      </c>
      <c r="C160" s="276">
        <f t="shared" ref="C160:V160" si="11">SUM(AVERAGE(C6:C58),AVERAGE(C106:C121),AVERAGE(C124:C143),AVERAGE(C144:C147))</f>
        <v>773.29807692307691</v>
      </c>
      <c r="D160" s="276">
        <f t="shared" si="11"/>
        <v>320.52884615384619</v>
      </c>
      <c r="E160" s="276">
        <f t="shared" si="11"/>
        <v>35.272115384615383</v>
      </c>
      <c r="F160" s="276">
        <f t="shared" si="11"/>
        <v>17.481730769230772</v>
      </c>
      <c r="G160" s="276">
        <f t="shared" si="11"/>
        <v>0</v>
      </c>
      <c r="H160" s="276">
        <f t="shared" si="11"/>
        <v>128.1875</v>
      </c>
      <c r="I160" s="276">
        <f t="shared" si="11"/>
        <v>419.70192307692309</v>
      </c>
      <c r="J160" s="276">
        <f t="shared" si="11"/>
        <v>106.76538461538462</v>
      </c>
      <c r="K160" s="276">
        <f t="shared" si="11"/>
        <v>2.3289473684210527</v>
      </c>
      <c r="L160" s="276">
        <f t="shared" si="11"/>
        <v>89.631730769230771</v>
      </c>
      <c r="M160" s="276">
        <f t="shared" si="11"/>
        <v>76.48557692307692</v>
      </c>
      <c r="N160" s="276">
        <f t="shared" si="11"/>
        <v>12.675961538461538</v>
      </c>
      <c r="O160" s="276">
        <f t="shared" si="11"/>
        <v>0</v>
      </c>
      <c r="P160" s="276">
        <f t="shared" si="11"/>
        <v>0</v>
      </c>
      <c r="Q160" s="276">
        <f t="shared" si="11"/>
        <v>280.50256826923078</v>
      </c>
      <c r="R160" s="276">
        <f t="shared" si="11"/>
        <v>27.962499999999999</v>
      </c>
      <c r="S160" s="276">
        <f t="shared" si="11"/>
        <v>1.6706646250000001</v>
      </c>
      <c r="T160" s="276">
        <f t="shared" si="11"/>
        <v>9.8249999999999993</v>
      </c>
      <c r="U160" s="276">
        <f t="shared" si="11"/>
        <v>566.46153846153845</v>
      </c>
      <c r="V160" s="276">
        <f t="shared" si="11"/>
        <v>14.1875</v>
      </c>
    </row>
    <row r="161" spans="1:22" ht="31.75" hidden="1">
      <c r="A161" s="275"/>
      <c r="B161" s="191" t="s">
        <v>385</v>
      </c>
      <c r="C161" s="276" t="str">
        <f t="shared" ref="C161:V161" si="12">ROUND(MIN(C6:C58)+MIN(C124:C143)+MIN(C106:C121)+MIN(C144:C147), 0) &amp;" - "&amp;ROUND(MAX(C6:C58)+MAX(C124:C143)+MAX(C106:C121)+MAX(C144:C147),0)</f>
        <v>505 - 1230</v>
      </c>
      <c r="D161" s="276" t="str">
        <f t="shared" si="12"/>
        <v>150 - 710</v>
      </c>
      <c r="E161" s="276" t="str">
        <f t="shared" si="12"/>
        <v>17 - 81</v>
      </c>
      <c r="F161" s="276" t="str">
        <f t="shared" si="12"/>
        <v>10 - 26</v>
      </c>
      <c r="G161" s="276" t="str">
        <f t="shared" si="12"/>
        <v>0 - 0</v>
      </c>
      <c r="H161" s="276" t="str">
        <f t="shared" si="12"/>
        <v>100 - 170</v>
      </c>
      <c r="I161" s="276" t="str">
        <f t="shared" si="12"/>
        <v>190 - 710</v>
      </c>
      <c r="J161" s="276" t="str">
        <f t="shared" si="12"/>
        <v>71 - 152</v>
      </c>
      <c r="K161" s="276" t="str">
        <f t="shared" si="12"/>
        <v>0 - 7</v>
      </c>
      <c r="L161" s="276" t="str">
        <f t="shared" si="12"/>
        <v>54 - 131</v>
      </c>
      <c r="M161" s="276" t="str">
        <f t="shared" si="12"/>
        <v>35 - 121</v>
      </c>
      <c r="N161" s="276" t="str">
        <f t="shared" si="12"/>
        <v>6 - 28</v>
      </c>
      <c r="O161" s="276" t="str">
        <f t="shared" si="12"/>
        <v>0 - 0</v>
      </c>
      <c r="P161" s="276" t="str">
        <f t="shared" si="12"/>
        <v>0 - 0</v>
      </c>
      <c r="Q161" s="276" t="str">
        <f t="shared" si="12"/>
        <v>223 - 374</v>
      </c>
      <c r="R161" s="276" t="str">
        <f t="shared" si="12"/>
        <v>15 - 36</v>
      </c>
      <c r="S161" s="276" t="str">
        <f t="shared" si="12"/>
        <v>0 - 6</v>
      </c>
      <c r="T161" s="276" t="str">
        <f t="shared" si="12"/>
        <v>0 - 32</v>
      </c>
      <c r="U161" s="276" t="str">
        <f t="shared" si="12"/>
        <v>345 - 967</v>
      </c>
      <c r="V161" s="276" t="str">
        <f t="shared" si="12"/>
        <v>6 - 25</v>
      </c>
    </row>
    <row r="162" spans="1:22" ht="30" hidden="1" customHeight="1">
      <c r="A162" s="275"/>
      <c r="B162" s="191" t="s">
        <v>386</v>
      </c>
      <c r="C162" s="276">
        <f t="shared" ref="C162:V162" si="13">SUM(AVERAGE(C59:C70),AVERAGE(C124:C143),AVERAGE(C106:C121),AVERAGE(C144:C147))</f>
        <v>763.04166666666674</v>
      </c>
      <c r="D162" s="276">
        <f t="shared" si="13"/>
        <v>320.20833333333337</v>
      </c>
      <c r="E162" s="276">
        <f t="shared" si="13"/>
        <v>35.137500000000003</v>
      </c>
      <c r="F162" s="276">
        <f t="shared" si="13"/>
        <v>17.462499999999999</v>
      </c>
      <c r="G162" s="276">
        <f t="shared" si="13"/>
        <v>0</v>
      </c>
      <c r="H162" s="276">
        <f t="shared" si="13"/>
        <v>128.1875</v>
      </c>
      <c r="I162" s="276">
        <f t="shared" si="13"/>
        <v>404.95833333333331</v>
      </c>
      <c r="J162" s="276">
        <f t="shared" si="13"/>
        <v>101.56666666666666</v>
      </c>
      <c r="K162" s="276">
        <f t="shared" si="13"/>
        <v>2.7456140350877192</v>
      </c>
      <c r="L162" s="276">
        <f t="shared" si="13"/>
        <v>84.612499999999997</v>
      </c>
      <c r="M162" s="276">
        <f t="shared" si="13"/>
        <v>71.729166666666671</v>
      </c>
      <c r="N162" s="276">
        <f t="shared" si="13"/>
        <v>12.637499999999999</v>
      </c>
      <c r="O162" s="276">
        <f t="shared" si="13"/>
        <v>0</v>
      </c>
      <c r="P162" s="276">
        <f t="shared" si="13"/>
        <v>0</v>
      </c>
      <c r="Q162" s="276">
        <f t="shared" si="13"/>
        <v>283.79439583333328</v>
      </c>
      <c r="R162" s="276">
        <f t="shared" si="13"/>
        <v>27.962499999999999</v>
      </c>
      <c r="S162" s="276">
        <f t="shared" si="13"/>
        <v>1.6698318750000001</v>
      </c>
      <c r="T162" s="276">
        <f t="shared" si="13"/>
        <v>9.8249999999999993</v>
      </c>
      <c r="U162" s="276">
        <f t="shared" si="13"/>
        <v>598</v>
      </c>
      <c r="V162" s="276">
        <f t="shared" si="13"/>
        <v>15.020833333333334</v>
      </c>
    </row>
    <row r="163" spans="1:22" ht="31.75" hidden="1">
      <c r="A163" s="275"/>
      <c r="B163" s="191" t="s">
        <v>387</v>
      </c>
      <c r="C163" s="276" t="str">
        <f t="shared" ref="C163:V163" si="14">ROUND( MIN(C59:C70)+MIN(C106:C121)+ MIN(C124:C143)+ MIN(C144:C147),0) &amp; " - " &amp; ROUND(MAX(C59:C70)+MAX(C106:C121)+MIN(C124:C143)+ MIN(C144:C147),0)</f>
        <v>515 - 665</v>
      </c>
      <c r="D163" s="276" t="str">
        <f t="shared" si="14"/>
        <v>150 - 205</v>
      </c>
      <c r="E163" s="276" t="str">
        <f t="shared" si="14"/>
        <v>17 - 23</v>
      </c>
      <c r="F163" s="276" t="str">
        <f t="shared" si="14"/>
        <v>10 - 14</v>
      </c>
      <c r="G163" s="276" t="str">
        <f t="shared" si="14"/>
        <v>0 - 0</v>
      </c>
      <c r="H163" s="276" t="str">
        <f t="shared" si="14"/>
        <v>100 - 155</v>
      </c>
      <c r="I163" s="276" t="str">
        <f t="shared" si="14"/>
        <v>180 - 275</v>
      </c>
      <c r="J163" s="276" t="str">
        <f t="shared" si="14"/>
        <v>71 - 89</v>
      </c>
      <c r="K163" s="276" t="str">
        <f t="shared" si="14"/>
        <v>0 - 1</v>
      </c>
      <c r="L163" s="276" t="str">
        <f t="shared" si="14"/>
        <v>54 - 70</v>
      </c>
      <c r="M163" s="276" t="str">
        <f t="shared" si="14"/>
        <v>41 - 55</v>
      </c>
      <c r="N163" s="276" t="str">
        <f t="shared" si="14"/>
        <v>6 - 8</v>
      </c>
      <c r="O163" s="276" t="str">
        <f t="shared" si="14"/>
        <v>0 - 0</v>
      </c>
      <c r="P163" s="276" t="str">
        <f t="shared" si="14"/>
        <v>0 - 0</v>
      </c>
      <c r="Q163" s="276" t="str">
        <f t="shared" si="14"/>
        <v>225 - 305</v>
      </c>
      <c r="R163" s="276" t="str">
        <f t="shared" si="14"/>
        <v>15 - 30</v>
      </c>
      <c r="S163" s="276" t="str">
        <f t="shared" si="14"/>
        <v>0 - 2</v>
      </c>
      <c r="T163" s="276" t="str">
        <f t="shared" si="14"/>
        <v>0 - 10</v>
      </c>
      <c r="U163" s="276" t="str">
        <f t="shared" si="14"/>
        <v>348 - 590</v>
      </c>
      <c r="V163" s="276" t="str">
        <f t="shared" si="14"/>
        <v>6 - 15</v>
      </c>
    </row>
    <row r="164" spans="1:22" hidden="1">
      <c r="A164" s="275"/>
      <c r="B164" s="191" t="s">
        <v>388</v>
      </c>
      <c r="C164" s="276">
        <f t="shared" ref="C164:V164" si="15">SUM(AVERAGE(C71:C99),AVERAGE(C106:C121),AVERAGE(C144:C147),AVERAGE(C124:C143))</f>
        <v>793.16071428571422</v>
      </c>
      <c r="D164" s="276">
        <f t="shared" si="15"/>
        <v>332.41071428571428</v>
      </c>
      <c r="E164" s="276">
        <f t="shared" si="15"/>
        <v>36.637500000000003</v>
      </c>
      <c r="F164" s="276">
        <f t="shared" si="15"/>
        <v>18.641071428571429</v>
      </c>
      <c r="G164" s="276">
        <f t="shared" si="15"/>
        <v>0</v>
      </c>
      <c r="H164" s="276">
        <f t="shared" si="15"/>
        <v>128.1875</v>
      </c>
      <c r="I164" s="276">
        <f t="shared" si="15"/>
        <v>435.01785714285711</v>
      </c>
      <c r="J164" s="276">
        <f t="shared" si="15"/>
        <v>108.4</v>
      </c>
      <c r="K164" s="276">
        <f t="shared" si="15"/>
        <v>2.3646616541353387</v>
      </c>
      <c r="L164" s="276">
        <f t="shared" si="15"/>
        <v>90.791071428571428</v>
      </c>
      <c r="M164" s="276">
        <f t="shared" si="15"/>
        <v>74.0625</v>
      </c>
      <c r="N164" s="276">
        <f t="shared" si="15"/>
        <v>12.70892857142857</v>
      </c>
      <c r="O164" s="276">
        <f t="shared" si="15"/>
        <v>0</v>
      </c>
      <c r="P164" s="276">
        <f t="shared" si="15"/>
        <v>0</v>
      </c>
      <c r="Q164" s="276">
        <f t="shared" si="15"/>
        <v>281.63963392857141</v>
      </c>
      <c r="R164" s="276">
        <f t="shared" si="15"/>
        <v>28.033928571428572</v>
      </c>
      <c r="S164" s="276">
        <f t="shared" si="15"/>
        <v>1.7055461607142857</v>
      </c>
      <c r="T164" s="276">
        <f t="shared" si="15"/>
        <v>10.039285714285715</v>
      </c>
      <c r="U164" s="276">
        <f t="shared" si="15"/>
        <v>573.03571428571422</v>
      </c>
      <c r="V164" s="276">
        <f t="shared" si="15"/>
        <v>14.258928571428571</v>
      </c>
    </row>
    <row r="165" spans="1:22" ht="31.75" hidden="1">
      <c r="A165" s="275"/>
      <c r="B165" s="191" t="s">
        <v>389</v>
      </c>
      <c r="C165" s="276" t="str">
        <f t="shared" ref="C165:V165" si="16">ROUND(MIN(C71:C99)+MIN(C106:C121)+MIN(C124:C143)+MIN(C144:C147),0)&amp;" - "&amp;ROUND(MAX(C71:C99)+MAX(C106:C121)+MAX(C124:C143)+MAX(C144:C147),0)</f>
        <v>535 - 1230</v>
      </c>
      <c r="D165" s="276" t="str">
        <f t="shared" si="16"/>
        <v>155 - 710</v>
      </c>
      <c r="E165" s="276" t="str">
        <f t="shared" si="16"/>
        <v>17 - 81</v>
      </c>
      <c r="F165" s="276" t="str">
        <f t="shared" si="16"/>
        <v>10 - 27</v>
      </c>
      <c r="G165" s="276" t="str">
        <f t="shared" si="16"/>
        <v>0 - 0</v>
      </c>
      <c r="H165" s="276" t="str">
        <f t="shared" si="16"/>
        <v>100 - 170</v>
      </c>
      <c r="I165" s="276" t="str">
        <f t="shared" si="16"/>
        <v>195 - 730</v>
      </c>
      <c r="J165" s="276" t="str">
        <f t="shared" si="16"/>
        <v>75 - 147</v>
      </c>
      <c r="K165" s="276" t="str">
        <f t="shared" si="16"/>
        <v>0 - 8</v>
      </c>
      <c r="L165" s="276" t="str">
        <f t="shared" si="16"/>
        <v>58 - 126</v>
      </c>
      <c r="M165" s="276" t="str">
        <f t="shared" si="16"/>
        <v>36 - 115</v>
      </c>
      <c r="N165" s="276" t="str">
        <f t="shared" si="16"/>
        <v>6 - 28</v>
      </c>
      <c r="O165" s="276" t="str">
        <f t="shared" si="16"/>
        <v>0 - 0</v>
      </c>
      <c r="P165" s="276" t="str">
        <f t="shared" si="16"/>
        <v>0 - 0</v>
      </c>
      <c r="Q165" s="276" t="str">
        <f t="shared" si="16"/>
        <v>224 - 379</v>
      </c>
      <c r="R165" s="276" t="str">
        <f t="shared" si="16"/>
        <v>15 - 38</v>
      </c>
      <c r="S165" s="276" t="str">
        <f t="shared" si="16"/>
        <v>0 - 7</v>
      </c>
      <c r="T165" s="276" t="str">
        <f t="shared" si="16"/>
        <v>0 - 38</v>
      </c>
      <c r="U165" s="276" t="str">
        <f t="shared" si="16"/>
        <v>347 - 1020</v>
      </c>
      <c r="V165" s="276" t="str">
        <f t="shared" si="16"/>
        <v>6 - 27</v>
      </c>
    </row>
    <row r="166" spans="1:22" hidden="1">
      <c r="A166" s="275"/>
      <c r="B166" s="191" t="s">
        <v>390</v>
      </c>
      <c r="C166" s="276">
        <f t="shared" ref="C166:V166" si="17">SUM(AVERAGE(C100:C105), AVERAGE(C106:C121),AVERAGE(C124:C143), AVERAGE(C144:C147))</f>
        <v>725.54166666666674</v>
      </c>
      <c r="D166" s="276">
        <f t="shared" si="17"/>
        <v>319.375</v>
      </c>
      <c r="E166" s="276">
        <f t="shared" si="17"/>
        <v>35.137500000000003</v>
      </c>
      <c r="F166" s="276">
        <f t="shared" si="17"/>
        <v>17.462499999999999</v>
      </c>
      <c r="G166" s="276">
        <f t="shared" si="17"/>
        <v>0</v>
      </c>
      <c r="H166" s="276">
        <f t="shared" si="17"/>
        <v>128.1875</v>
      </c>
      <c r="I166" s="276">
        <f t="shared" si="17"/>
        <v>414.95833333333337</v>
      </c>
      <c r="J166" s="276">
        <f t="shared" si="17"/>
        <v>98.733333333333334</v>
      </c>
      <c r="K166" s="276">
        <f t="shared" si="17"/>
        <v>2.3289473684210527</v>
      </c>
      <c r="L166" s="276">
        <f t="shared" si="17"/>
        <v>66.862499999999997</v>
      </c>
      <c r="M166" s="276">
        <f t="shared" si="17"/>
        <v>55.0625</v>
      </c>
      <c r="N166" s="276">
        <f t="shared" si="17"/>
        <v>12.637499999999999</v>
      </c>
      <c r="O166" s="276">
        <f t="shared" si="17"/>
        <v>0</v>
      </c>
      <c r="P166" s="276">
        <f t="shared" si="17"/>
        <v>0</v>
      </c>
      <c r="Q166" s="276">
        <f t="shared" si="17"/>
        <v>280.96106249999997</v>
      </c>
      <c r="R166" s="276">
        <f t="shared" si="17"/>
        <v>27.962499999999999</v>
      </c>
      <c r="S166" s="276">
        <f t="shared" si="17"/>
        <v>1.6698318750000001</v>
      </c>
      <c r="T166" s="276">
        <f t="shared" si="17"/>
        <v>9.8249999999999993</v>
      </c>
      <c r="U166" s="276">
        <f t="shared" si="17"/>
        <v>569.08333333333326</v>
      </c>
      <c r="V166" s="276">
        <f t="shared" si="17"/>
        <v>14.1875</v>
      </c>
    </row>
    <row r="167" spans="1:22" ht="31.75" hidden="1">
      <c r="A167" s="275"/>
      <c r="B167" s="191" t="s">
        <v>391</v>
      </c>
      <c r="C167" s="276" t="str">
        <f xml:space="preserve"> ROUND(MIN(C100:C105)+MIN(C106:C121) + MIN(C124:C143) + MIN(C144:C147),0) &amp; " - " &amp; ROUND(MAX(C100:C105)+MAX(C106:C121) +MAX(C124:C143) + MAX(C144:C147),0)</f>
        <v>485 - 1150</v>
      </c>
      <c r="D167" s="276" t="str">
        <f t="shared" ref="D167:V167" si="18" xml:space="preserve"> ROUND(MIN(D100:D105)+MIN(D106:D121) + MIN(D124:D143) + MIN(D144:D147),0) &amp; " - " &amp; ROUND(MAX(D100:D105)+MAX(D106:D121) +MAX(D124:D143) + MAX(D144:D147),0)</f>
        <v>150 - 680</v>
      </c>
      <c r="E167" s="276" t="str">
        <f t="shared" si="18"/>
        <v>17 - 77</v>
      </c>
      <c r="F167" s="276" t="str">
        <f t="shared" si="18"/>
        <v>10 - 25</v>
      </c>
      <c r="G167" s="276" t="str">
        <f t="shared" si="18"/>
        <v>0 - 0</v>
      </c>
      <c r="H167" s="276" t="str">
        <f t="shared" si="18"/>
        <v>100 - 170</v>
      </c>
      <c r="I167" s="276" t="str">
        <f t="shared" si="18"/>
        <v>190 - 685</v>
      </c>
      <c r="J167" s="276" t="str">
        <f t="shared" si="18"/>
        <v>69 - 137</v>
      </c>
      <c r="K167" s="276" t="str">
        <f t="shared" si="18"/>
        <v>0 - 7</v>
      </c>
      <c r="L167" s="276" t="str">
        <f t="shared" si="18"/>
        <v>39 - 97</v>
      </c>
      <c r="M167" s="276" t="str">
        <f t="shared" si="18"/>
        <v>27 - 87</v>
      </c>
      <c r="N167" s="276" t="str">
        <f t="shared" si="18"/>
        <v>6 - 27</v>
      </c>
      <c r="O167" s="276" t="str">
        <f t="shared" si="18"/>
        <v>0 - 0</v>
      </c>
      <c r="P167" s="276" t="str">
        <f t="shared" si="18"/>
        <v>0 - 0</v>
      </c>
      <c r="Q167" s="276" t="str">
        <f t="shared" si="18"/>
        <v>224 - 371</v>
      </c>
      <c r="R167" s="276" t="str">
        <f t="shared" si="18"/>
        <v>15 - 36</v>
      </c>
      <c r="S167" s="276" t="str">
        <f t="shared" si="18"/>
        <v>0 - 6</v>
      </c>
      <c r="T167" s="276" t="str">
        <f t="shared" si="18"/>
        <v>0 - 32</v>
      </c>
      <c r="U167" s="276" t="str">
        <f t="shared" si="18"/>
        <v>351 - 950</v>
      </c>
      <c r="V167" s="276" t="str">
        <f t="shared" si="18"/>
        <v>6 - 25</v>
      </c>
    </row>
    <row r="168" spans="1:22" ht="16.3" hidden="1" thickBot="1"/>
    <row r="169" spans="1:22">
      <c r="B169" s="231" t="s">
        <v>392</v>
      </c>
      <c r="C169" s="232">
        <f>AVERAGE(C144:C147)</f>
        <v>205</v>
      </c>
      <c r="D169" s="232">
        <f t="shared" ref="D169:V169" si="19">AVERAGE(D144:D147)</f>
        <v>102.5</v>
      </c>
      <c r="E169" s="232">
        <f t="shared" si="19"/>
        <v>11.25</v>
      </c>
      <c r="F169" s="232">
        <f t="shared" si="19"/>
        <v>3.5</v>
      </c>
      <c r="G169" s="232">
        <f t="shared" si="19"/>
        <v>0</v>
      </c>
      <c r="H169" s="232">
        <f t="shared" si="19"/>
        <v>2.5</v>
      </c>
      <c r="I169" s="232">
        <f t="shared" si="19"/>
        <v>142.5</v>
      </c>
      <c r="J169" s="232">
        <f t="shared" si="19"/>
        <v>25.25</v>
      </c>
      <c r="K169" s="232">
        <f t="shared" si="19"/>
        <v>1.75</v>
      </c>
      <c r="L169" s="232">
        <f t="shared" si="19"/>
        <v>19.5</v>
      </c>
      <c r="M169" s="232">
        <f t="shared" si="19"/>
        <v>16.75</v>
      </c>
      <c r="N169" s="232">
        <f t="shared" si="19"/>
        <v>4</v>
      </c>
      <c r="O169" s="232">
        <f t="shared" si="19"/>
        <v>0</v>
      </c>
      <c r="P169" s="232">
        <f t="shared" si="19"/>
        <v>0</v>
      </c>
      <c r="Q169" s="232">
        <f t="shared" si="19"/>
        <v>31</v>
      </c>
      <c r="R169" s="232">
        <f t="shared" si="19"/>
        <v>3</v>
      </c>
      <c r="S169" s="232">
        <f t="shared" si="19"/>
        <v>1</v>
      </c>
      <c r="T169" s="232">
        <f t="shared" si="19"/>
        <v>6</v>
      </c>
      <c r="U169" s="232">
        <f t="shared" si="19"/>
        <v>159.25</v>
      </c>
      <c r="V169" s="233">
        <f t="shared" si="19"/>
        <v>3.5</v>
      </c>
    </row>
    <row r="170" spans="1:22" ht="16.3" thickBot="1">
      <c r="B170" s="235" t="s">
        <v>393</v>
      </c>
      <c r="C170" s="257" t="str">
        <f>MIN(C144:C147) &amp; " - " &amp;  MAX(C144:C147)</f>
        <v>80 - 380</v>
      </c>
      <c r="D170" s="257" t="str">
        <f t="shared" ref="D170:V170" si="20">MIN(D144:D147) &amp; " - " &amp;  MAX(D144:D147)</f>
        <v>0 - 320</v>
      </c>
      <c r="E170" s="257" t="str">
        <f t="shared" si="20"/>
        <v>0 - 36</v>
      </c>
      <c r="F170" s="257" t="str">
        <f t="shared" si="20"/>
        <v>0 - 6</v>
      </c>
      <c r="G170" s="257" t="str">
        <f t="shared" si="20"/>
        <v>0 - 0</v>
      </c>
      <c r="H170" s="257" t="str">
        <f t="shared" si="20"/>
        <v>0 - 10</v>
      </c>
      <c r="I170" s="257" t="str">
        <f t="shared" si="20"/>
        <v>10 - 260</v>
      </c>
      <c r="J170" s="257" t="str">
        <f t="shared" si="20"/>
        <v>12 - 38</v>
      </c>
      <c r="K170" s="257" t="str">
        <f t="shared" si="20"/>
        <v>0 - 4</v>
      </c>
      <c r="L170" s="257" t="str">
        <f t="shared" si="20"/>
        <v>6 - 28</v>
      </c>
      <c r="M170" s="257" t="str">
        <f t="shared" si="20"/>
        <v>4 - 28</v>
      </c>
      <c r="N170" s="257" t="str">
        <f t="shared" si="20"/>
        <v>0 - 12</v>
      </c>
      <c r="O170" s="257" t="str">
        <f t="shared" si="20"/>
        <v>0 - 0</v>
      </c>
      <c r="P170" s="257" t="str">
        <f t="shared" si="20"/>
        <v>0 - 0</v>
      </c>
      <c r="Q170" s="257" t="str">
        <f t="shared" si="20"/>
        <v>6 - 42</v>
      </c>
      <c r="R170" s="257" t="str">
        <f t="shared" si="20"/>
        <v>0 - 4</v>
      </c>
      <c r="S170" s="257" t="str">
        <f t="shared" si="20"/>
        <v>0 - 2</v>
      </c>
      <c r="T170" s="257" t="str">
        <f t="shared" si="20"/>
        <v>0 - 12</v>
      </c>
      <c r="U170" s="257" t="str">
        <f t="shared" si="20"/>
        <v>53 - 318</v>
      </c>
      <c r="V170" s="258" t="str">
        <f t="shared" si="20"/>
        <v>0 - 8</v>
      </c>
    </row>
  </sheetData>
  <mergeCells count="11">
    <mergeCell ref="B149:V149"/>
    <mergeCell ref="A1:V1"/>
    <mergeCell ref="A2:V2"/>
    <mergeCell ref="A3:V3"/>
    <mergeCell ref="A144:A147"/>
    <mergeCell ref="A124:A143"/>
    <mergeCell ref="A59:A70"/>
    <mergeCell ref="A71:A99"/>
    <mergeCell ref="A100:A105"/>
    <mergeCell ref="A106:A121"/>
    <mergeCell ref="A5:A58"/>
  </mergeCells>
  <pageMargins left="0.7" right="0.7" top="0.75" bottom="0.75" header="0.3" footer="0.3"/>
  <pageSetup scale="39" fitToHeight="0" orientation="landscape" r:id="rId1"/>
  <headerFooter>
    <oddHeader>&amp;LRita's Nutrition Supplement&amp;RUpdated:  8/23/16</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F444B-CCA9-4F69-8A9C-548081876B52}">
  <dimension ref="A1:AH195"/>
  <sheetViews>
    <sheetView zoomScale="80" zoomScaleNormal="80" zoomScalePageLayoutView="69" workbookViewId="0">
      <pane xSplit="1" ySplit="5" topLeftCell="B40" activePane="bottomRight" state="frozen"/>
      <selection pane="topRight"/>
      <selection pane="bottomLeft"/>
      <selection pane="bottomRight" activeCell="A4" sqref="A4:XFD4"/>
    </sheetView>
    <sheetView zoomScale="80" zoomScaleNormal="80" workbookViewId="1">
      <pane ySplit="4" topLeftCell="A6" activePane="bottomLeft" state="frozen"/>
      <selection pane="bottomLeft" activeCell="F137" sqref="F137"/>
    </sheetView>
    <sheetView workbookViewId="2">
      <selection activeCell="H15" sqref="H15"/>
    </sheetView>
  </sheetViews>
  <sheetFormatPr defaultColWidth="8.84375" defaultRowHeight="15.9"/>
  <cols>
    <col min="1" max="1" width="6.53515625" style="179" customWidth="1"/>
    <col min="2" max="2" width="42.84375" style="179" customWidth="1"/>
    <col min="3" max="3" width="10.53515625" style="868" customWidth="1"/>
    <col min="4" max="4" width="13" style="179" customWidth="1"/>
    <col min="5" max="5" width="10.53515625" style="868" customWidth="1"/>
    <col min="6" max="6" width="10.53515625" style="179" customWidth="1"/>
    <col min="7" max="7" width="8.53515625" style="868" customWidth="1"/>
    <col min="8" max="8" width="8.53515625" style="179" customWidth="1"/>
    <col min="9" max="9" width="11.53515625" style="868" customWidth="1"/>
    <col min="10" max="10" width="11.53515625" style="179" customWidth="1"/>
    <col min="11" max="11" width="8.53515625" style="868" customWidth="1"/>
    <col min="12" max="12" width="8.53515625" style="179" customWidth="1"/>
    <col min="13" max="13" width="13" style="868" customWidth="1"/>
    <col min="14" max="14" width="13" style="179" customWidth="1"/>
    <col min="15" max="15" width="9" style="868" customWidth="1"/>
    <col min="16" max="16" width="9" style="179" customWidth="1"/>
    <col min="17" max="17" width="16.84375" style="868" customWidth="1"/>
    <col min="18" max="18" width="16.84375" style="179" customWidth="1"/>
    <col min="19" max="19" width="9" style="868" customWidth="1"/>
    <col min="20" max="20" width="9" style="179" customWidth="1"/>
    <col min="21" max="21" width="7.84375" style="868" customWidth="1"/>
    <col min="22" max="22" width="7.84375" style="179" customWidth="1"/>
    <col min="23" max="23" width="9" style="868" customWidth="1"/>
    <col min="24" max="24" width="9" style="179" customWidth="1"/>
    <col min="25" max="25" width="11.53515625" style="868" customWidth="1"/>
    <col min="26" max="26" width="11.53515625" style="179" customWidth="1"/>
    <col min="27" max="27" width="13.3828125" style="179" customWidth="1"/>
    <col min="28" max="28" width="11.53515625" style="179" customWidth="1"/>
    <col min="29" max="29" width="11.15234375" style="179" customWidth="1"/>
    <col min="30" max="30" width="18.53515625" style="179" customWidth="1"/>
    <col min="31" max="31" width="12.3828125" style="179" customWidth="1"/>
    <col min="32" max="32" width="18.53515625" style="179" customWidth="1"/>
    <col min="33" max="33" width="12.53515625" style="179" customWidth="1"/>
    <col min="34" max="34" width="12.3828125" style="179" bestFit="1" customWidth="1"/>
    <col min="35" max="16384" width="8.84375" style="179"/>
  </cols>
  <sheetData>
    <row r="1" spans="1:34" ht="22.5" customHeight="1">
      <c r="A1" s="926" t="s">
        <v>354</v>
      </c>
      <c r="B1" s="926"/>
      <c r="C1" s="927"/>
      <c r="D1" s="926"/>
      <c r="E1" s="927"/>
      <c r="F1" s="926"/>
      <c r="G1" s="927"/>
      <c r="H1" s="926"/>
      <c r="I1" s="927"/>
      <c r="J1" s="926"/>
      <c r="K1" s="927"/>
      <c r="L1" s="926"/>
      <c r="M1" s="927"/>
      <c r="N1" s="926"/>
      <c r="O1" s="927"/>
      <c r="P1" s="926"/>
      <c r="Q1" s="927"/>
      <c r="R1" s="926"/>
      <c r="S1" s="927"/>
      <c r="T1" s="926"/>
      <c r="U1" s="927"/>
      <c r="V1" s="926"/>
      <c r="W1" s="927"/>
      <c r="X1" s="926"/>
      <c r="Y1" s="927"/>
      <c r="Z1" s="926"/>
      <c r="AA1" s="926"/>
      <c r="AB1" s="926"/>
      <c r="AC1" s="926"/>
      <c r="AD1" s="926"/>
      <c r="AE1" s="926"/>
      <c r="AF1" s="926"/>
      <c r="AG1" s="926"/>
      <c r="AH1" s="926"/>
    </row>
    <row r="2" spans="1:34" ht="18" customHeight="1">
      <c r="A2" s="926" t="s">
        <v>370</v>
      </c>
      <c r="B2" s="926"/>
      <c r="C2" s="927"/>
      <c r="D2" s="926"/>
      <c r="E2" s="927"/>
      <c r="F2" s="926"/>
      <c r="G2" s="927"/>
      <c r="H2" s="926"/>
      <c r="I2" s="927"/>
      <c r="J2" s="926"/>
      <c r="K2" s="927"/>
      <c r="L2" s="926"/>
      <c r="M2" s="927"/>
      <c r="N2" s="926"/>
      <c r="O2" s="927"/>
      <c r="P2" s="926"/>
      <c r="Q2" s="927"/>
      <c r="R2" s="926"/>
      <c r="S2" s="927"/>
      <c r="T2" s="926"/>
      <c r="U2" s="927"/>
      <c r="V2" s="926"/>
      <c r="W2" s="927"/>
      <c r="X2" s="926"/>
      <c r="Y2" s="927"/>
      <c r="Z2" s="926"/>
      <c r="AA2" s="926"/>
      <c r="AB2" s="926"/>
      <c r="AC2" s="926"/>
      <c r="AD2" s="926"/>
      <c r="AE2" s="926"/>
      <c r="AF2" s="926"/>
      <c r="AG2" s="926"/>
      <c r="AH2" s="926"/>
    </row>
    <row r="3" spans="1:34" ht="18" customHeight="1">
      <c r="A3" s="926" t="s">
        <v>355</v>
      </c>
      <c r="B3" s="926"/>
      <c r="C3" s="927"/>
      <c r="D3" s="926"/>
      <c r="E3" s="927"/>
      <c r="F3" s="926"/>
      <c r="G3" s="927"/>
      <c r="H3" s="926"/>
      <c r="I3" s="927"/>
      <c r="J3" s="926"/>
      <c r="K3" s="927"/>
      <c r="L3" s="926"/>
      <c r="M3" s="927"/>
      <c r="N3" s="926"/>
      <c r="O3" s="927"/>
      <c r="P3" s="926"/>
      <c r="Q3" s="927"/>
      <c r="R3" s="926"/>
      <c r="S3" s="927"/>
      <c r="T3" s="926"/>
      <c r="U3" s="927"/>
      <c r="V3" s="926"/>
      <c r="W3" s="927"/>
      <c r="X3" s="926"/>
      <c r="Y3" s="927"/>
      <c r="Z3" s="926"/>
      <c r="AA3" s="926"/>
      <c r="AB3" s="926"/>
      <c r="AC3" s="926"/>
      <c r="AD3" s="926"/>
      <c r="AE3" s="926"/>
      <c r="AF3" s="926"/>
      <c r="AG3" s="926"/>
      <c r="AH3" s="926"/>
    </row>
    <row r="4" spans="1:34" s="223" customFormat="1" ht="37.5" customHeight="1">
      <c r="A4" s="193"/>
      <c r="B4" s="193" t="s">
        <v>3</v>
      </c>
      <c r="C4" s="928" t="s">
        <v>4</v>
      </c>
      <c r="D4" s="193" t="s">
        <v>4</v>
      </c>
      <c r="E4" s="928" t="s">
        <v>5</v>
      </c>
      <c r="F4" s="193" t="s">
        <v>5</v>
      </c>
      <c r="G4" s="928" t="s">
        <v>6</v>
      </c>
      <c r="H4" s="193" t="s">
        <v>6</v>
      </c>
      <c r="I4" s="928" t="s">
        <v>7</v>
      </c>
      <c r="J4" s="193" t="s">
        <v>7</v>
      </c>
      <c r="K4" s="928" t="s">
        <v>8</v>
      </c>
      <c r="L4" s="193" t="s">
        <v>8</v>
      </c>
      <c r="M4" s="928" t="s">
        <v>9</v>
      </c>
      <c r="N4" s="193" t="s">
        <v>9</v>
      </c>
      <c r="O4" s="928" t="s">
        <v>10</v>
      </c>
      <c r="P4" s="193" t="s">
        <v>10</v>
      </c>
      <c r="Q4" s="928" t="s">
        <v>11</v>
      </c>
      <c r="R4" s="193" t="s">
        <v>11</v>
      </c>
      <c r="S4" s="928" t="s">
        <v>12</v>
      </c>
      <c r="T4" s="193" t="s">
        <v>12</v>
      </c>
      <c r="U4" s="928" t="s">
        <v>13</v>
      </c>
      <c r="V4" s="193" t="s">
        <v>13</v>
      </c>
      <c r="W4" s="928" t="s">
        <v>14</v>
      </c>
      <c r="X4" s="193" t="s">
        <v>14</v>
      </c>
      <c r="Y4" s="928" t="s">
        <v>15</v>
      </c>
      <c r="Z4" s="193" t="s">
        <v>15</v>
      </c>
      <c r="AA4" s="194" t="s">
        <v>16</v>
      </c>
      <c r="AB4" s="194" t="s">
        <v>17</v>
      </c>
      <c r="AC4" s="194" t="s">
        <v>18</v>
      </c>
      <c r="AD4" s="194" t="s">
        <v>19</v>
      </c>
      <c r="AE4" s="194" t="s">
        <v>20</v>
      </c>
      <c r="AF4" s="194" t="s">
        <v>21</v>
      </c>
      <c r="AG4" s="194" t="s">
        <v>22</v>
      </c>
      <c r="AH4" s="194" t="s">
        <v>23</v>
      </c>
    </row>
    <row r="5" spans="1:34" s="223" customFormat="1" ht="15.75" customHeight="1">
      <c r="A5" s="924" t="s">
        <v>394</v>
      </c>
      <c r="B5" s="186" t="s">
        <v>124</v>
      </c>
      <c r="C5" s="860">
        <v>138.203</v>
      </c>
      <c r="D5" s="195">
        <f t="shared" ref="D5:D36" si="0">MROUND(C5,10)</f>
        <v>140</v>
      </c>
      <c r="E5" s="860">
        <v>0.11700000000000001</v>
      </c>
      <c r="F5" s="536">
        <v>0</v>
      </c>
      <c r="G5" s="536">
        <v>1.2999999999999999E-2</v>
      </c>
      <c r="H5" s="536">
        <v>0</v>
      </c>
      <c r="I5" s="860">
        <v>8.9999999999999993E-3</v>
      </c>
      <c r="J5" s="536">
        <v>0</v>
      </c>
      <c r="K5" s="860">
        <v>0</v>
      </c>
      <c r="L5" s="696">
        <v>0</v>
      </c>
      <c r="M5" s="860">
        <v>0</v>
      </c>
      <c r="N5" s="536">
        <v>0</v>
      </c>
      <c r="O5" s="860">
        <v>28.617999999999999</v>
      </c>
      <c r="P5" s="730">
        <f t="shared" ref="P5:P36" si="1">MROUND(O5,5)</f>
        <v>30</v>
      </c>
      <c r="Q5" s="860">
        <v>47.991999999999997</v>
      </c>
      <c r="R5" s="747">
        <f t="shared" ref="R5:R36" si="2">MROUND(Q5,1)</f>
        <v>48</v>
      </c>
      <c r="S5" s="860">
        <v>2.8000000000000001E-2</v>
      </c>
      <c r="T5" s="747">
        <v>0</v>
      </c>
      <c r="U5" s="860">
        <v>0.247</v>
      </c>
      <c r="V5" s="696">
        <v>0</v>
      </c>
      <c r="W5" s="860">
        <v>0</v>
      </c>
      <c r="X5" s="696">
        <v>0</v>
      </c>
      <c r="Y5" s="860">
        <v>0</v>
      </c>
      <c r="Z5" s="536">
        <v>0</v>
      </c>
      <c r="AA5" s="555">
        <v>0</v>
      </c>
      <c r="AB5" s="555">
        <v>0</v>
      </c>
      <c r="AC5" s="536">
        <v>15.186</v>
      </c>
      <c r="AD5" s="536">
        <v>1.1679999999999999</v>
      </c>
      <c r="AE5" s="536">
        <v>8.8999999999999996E-2</v>
      </c>
      <c r="AF5" s="536">
        <v>0.496</v>
      </c>
      <c r="AG5" s="536">
        <v>25.111999999999998</v>
      </c>
      <c r="AH5" s="536">
        <v>0.53400000000000003</v>
      </c>
    </row>
    <row r="6" spans="1:34" s="223" customFormat="1" ht="15" customHeight="1">
      <c r="A6" s="186" t="s">
        <v>296</v>
      </c>
      <c r="B6" s="186" t="s">
        <v>37</v>
      </c>
      <c r="C6" s="860">
        <v>160.59299999999999</v>
      </c>
      <c r="D6" s="195">
        <f t="shared" si="0"/>
        <v>160</v>
      </c>
      <c r="E6" s="860">
        <v>0</v>
      </c>
      <c r="F6" s="536">
        <v>0</v>
      </c>
      <c r="G6" s="860">
        <v>0</v>
      </c>
      <c r="H6" s="536">
        <v>0</v>
      </c>
      <c r="I6" s="860">
        <v>0</v>
      </c>
      <c r="J6" s="536">
        <v>0</v>
      </c>
      <c r="K6" s="860">
        <v>0</v>
      </c>
      <c r="L6" s="696">
        <v>0</v>
      </c>
      <c r="M6" s="860">
        <v>0</v>
      </c>
      <c r="N6" s="536">
        <v>0</v>
      </c>
      <c r="O6" s="860">
        <v>42.281999999999996</v>
      </c>
      <c r="P6" s="730">
        <f t="shared" si="1"/>
        <v>40</v>
      </c>
      <c r="Q6" s="860">
        <v>41.905999999999999</v>
      </c>
      <c r="R6" s="747">
        <f t="shared" si="2"/>
        <v>42</v>
      </c>
      <c r="S6" s="860">
        <v>0</v>
      </c>
      <c r="T6" s="747">
        <v>0</v>
      </c>
      <c r="U6" s="860">
        <v>40.664000000000001</v>
      </c>
      <c r="V6" s="747">
        <f t="shared" ref="V6:V23" si="3">MROUND(U6,1)</f>
        <v>41</v>
      </c>
      <c r="W6" s="860">
        <v>30.777999999999999</v>
      </c>
      <c r="X6" s="747">
        <f t="shared" ref="X6:X23" si="4">MROUND(W6,1)</f>
        <v>31</v>
      </c>
      <c r="Y6" s="860">
        <v>0</v>
      </c>
      <c r="Z6" s="536">
        <v>0</v>
      </c>
      <c r="AA6" s="697">
        <v>0</v>
      </c>
      <c r="AB6" s="697">
        <v>0</v>
      </c>
      <c r="AC6" s="697">
        <v>8.0389999999999997</v>
      </c>
      <c r="AD6" s="697">
        <v>0.61799999999999999</v>
      </c>
      <c r="AE6" s="697">
        <v>1.4999999999999999E-2</v>
      </c>
      <c r="AF6" s="697">
        <v>8.2000000000000003E-2</v>
      </c>
      <c r="AG6" s="697">
        <v>0.61699999999999999</v>
      </c>
      <c r="AH6" s="697">
        <v>1.2999999999999999E-2</v>
      </c>
    </row>
    <row r="7" spans="1:34" ht="31.75">
      <c r="A7" s="186" t="s">
        <v>296</v>
      </c>
      <c r="B7" s="186" t="s">
        <v>313</v>
      </c>
      <c r="C7" s="860">
        <v>257.428</v>
      </c>
      <c r="D7" s="195">
        <f t="shared" si="0"/>
        <v>260</v>
      </c>
      <c r="E7" s="860">
        <v>0</v>
      </c>
      <c r="F7" s="536">
        <v>0</v>
      </c>
      <c r="G7" s="860">
        <v>0</v>
      </c>
      <c r="H7" s="536">
        <v>0</v>
      </c>
      <c r="I7" s="860">
        <v>0</v>
      </c>
      <c r="J7" s="536">
        <v>0</v>
      </c>
      <c r="K7" s="860">
        <v>0</v>
      </c>
      <c r="L7" s="696">
        <v>0</v>
      </c>
      <c r="M7" s="860">
        <v>0</v>
      </c>
      <c r="N7" s="536">
        <v>0</v>
      </c>
      <c r="O7" s="860">
        <v>37.576999999999998</v>
      </c>
      <c r="P7" s="730">
        <f t="shared" si="1"/>
        <v>40</v>
      </c>
      <c r="Q7" s="932">
        <v>64.984999999999999</v>
      </c>
      <c r="R7" s="747">
        <f t="shared" si="2"/>
        <v>65</v>
      </c>
      <c r="S7" s="860">
        <v>0</v>
      </c>
      <c r="T7" s="747">
        <v>0</v>
      </c>
      <c r="U7" s="860">
        <v>62.424999999999997</v>
      </c>
      <c r="V7" s="747">
        <f t="shared" si="3"/>
        <v>62</v>
      </c>
      <c r="W7" s="860">
        <v>62.424999999999997</v>
      </c>
      <c r="X7" s="747">
        <f t="shared" si="4"/>
        <v>62</v>
      </c>
      <c r="Y7" s="860">
        <v>0</v>
      </c>
      <c r="Z7" s="536">
        <v>0</v>
      </c>
      <c r="AA7" s="697">
        <v>0</v>
      </c>
      <c r="AB7" s="697">
        <v>0</v>
      </c>
      <c r="AC7" s="696">
        <v>8.8710000000000004</v>
      </c>
      <c r="AD7" s="696">
        <v>0.68200000000000005</v>
      </c>
      <c r="AE7" s="696">
        <v>1.0999999999999999E-2</v>
      </c>
      <c r="AF7" s="696">
        <v>6.2E-2</v>
      </c>
      <c r="AG7" s="696">
        <v>0.47199999999999998</v>
      </c>
      <c r="AH7" s="696">
        <v>0.01</v>
      </c>
    </row>
    <row r="8" spans="1:34" ht="31.75">
      <c r="A8" s="186" t="s">
        <v>296</v>
      </c>
      <c r="B8" s="186" t="s">
        <v>25</v>
      </c>
      <c r="C8" s="860">
        <v>295.08199999999999</v>
      </c>
      <c r="D8" s="195">
        <f t="shared" si="0"/>
        <v>300</v>
      </c>
      <c r="E8" s="860">
        <v>0</v>
      </c>
      <c r="F8" s="536">
        <v>0</v>
      </c>
      <c r="G8" s="860">
        <v>0</v>
      </c>
      <c r="H8" s="536">
        <v>0</v>
      </c>
      <c r="I8" s="860">
        <v>0</v>
      </c>
      <c r="J8" s="536">
        <v>0</v>
      </c>
      <c r="K8" s="860">
        <v>0</v>
      </c>
      <c r="L8" s="696">
        <v>0</v>
      </c>
      <c r="M8" s="860">
        <v>0</v>
      </c>
      <c r="N8" s="536">
        <v>0</v>
      </c>
      <c r="O8" s="860">
        <v>47.53</v>
      </c>
      <c r="P8" s="730">
        <f t="shared" si="1"/>
        <v>50</v>
      </c>
      <c r="Q8" s="860">
        <v>74.697999999999993</v>
      </c>
      <c r="R8" s="747">
        <f t="shared" si="2"/>
        <v>75</v>
      </c>
      <c r="S8" s="860">
        <v>2.5000000000000001E-2</v>
      </c>
      <c r="T8" s="747">
        <v>0</v>
      </c>
      <c r="U8" s="860">
        <v>72.400000000000006</v>
      </c>
      <c r="V8" s="747">
        <f t="shared" si="3"/>
        <v>72</v>
      </c>
      <c r="W8" s="860">
        <v>70.028000000000006</v>
      </c>
      <c r="X8" s="747">
        <f t="shared" si="4"/>
        <v>70</v>
      </c>
      <c r="Y8" s="860">
        <v>0</v>
      </c>
      <c r="Z8" s="536">
        <v>0</v>
      </c>
      <c r="AA8" s="555">
        <v>0</v>
      </c>
      <c r="AB8" s="555">
        <v>0</v>
      </c>
      <c r="AC8" s="555">
        <v>9.6969999999999992</v>
      </c>
      <c r="AD8" s="555">
        <v>0.746</v>
      </c>
      <c r="AE8" s="555">
        <v>0.04</v>
      </c>
      <c r="AF8" s="555">
        <v>0.223</v>
      </c>
      <c r="AG8" s="555">
        <v>0.82399999999999995</v>
      </c>
      <c r="AH8" s="555">
        <v>1.7999999999999999E-2</v>
      </c>
    </row>
    <row r="9" spans="1:34" ht="31.75">
      <c r="A9" s="186" t="s">
        <v>296</v>
      </c>
      <c r="B9" s="186" t="s">
        <v>75</v>
      </c>
      <c r="C9" s="860">
        <v>293.73399999999998</v>
      </c>
      <c r="D9" s="195">
        <f t="shared" si="0"/>
        <v>290</v>
      </c>
      <c r="E9" s="860">
        <v>0</v>
      </c>
      <c r="F9" s="536">
        <v>0</v>
      </c>
      <c r="G9" s="860">
        <v>0</v>
      </c>
      <c r="H9" s="536">
        <v>0</v>
      </c>
      <c r="I9" s="860">
        <v>0</v>
      </c>
      <c r="J9" s="536">
        <v>0</v>
      </c>
      <c r="K9" s="860">
        <v>0</v>
      </c>
      <c r="L9" s="696">
        <v>0</v>
      </c>
      <c r="M9" s="860">
        <v>0</v>
      </c>
      <c r="N9" s="536">
        <v>0</v>
      </c>
      <c r="O9" s="860">
        <v>48.758000000000003</v>
      </c>
      <c r="P9" s="730">
        <f t="shared" si="1"/>
        <v>50</v>
      </c>
      <c r="Q9" s="860">
        <v>74.027000000000001</v>
      </c>
      <c r="R9" s="747">
        <f t="shared" si="2"/>
        <v>74</v>
      </c>
      <c r="S9" s="860">
        <v>4.7E-2</v>
      </c>
      <c r="T9" s="747">
        <v>0</v>
      </c>
      <c r="U9" s="860">
        <v>71.757000000000005</v>
      </c>
      <c r="V9" s="747">
        <f t="shared" si="3"/>
        <v>72</v>
      </c>
      <c r="W9" s="860">
        <v>71.668999999999997</v>
      </c>
      <c r="X9" s="747">
        <f t="shared" si="4"/>
        <v>72</v>
      </c>
      <c r="Y9" s="860">
        <v>0</v>
      </c>
      <c r="Z9" s="536">
        <v>0</v>
      </c>
      <c r="AA9" s="555">
        <v>0</v>
      </c>
      <c r="AB9" s="555">
        <v>0</v>
      </c>
      <c r="AC9" s="536">
        <v>9.891</v>
      </c>
      <c r="AD9" s="536">
        <v>0.76100000000000001</v>
      </c>
      <c r="AE9" s="536">
        <v>6.7000000000000004E-2</v>
      </c>
      <c r="AF9" s="536">
        <v>0.372</v>
      </c>
      <c r="AG9" s="536">
        <v>22.404</v>
      </c>
      <c r="AH9" s="536">
        <v>0.47699999999999998</v>
      </c>
    </row>
    <row r="10" spans="1:34" ht="31.75">
      <c r="A10" s="186" t="s">
        <v>296</v>
      </c>
      <c r="B10" s="186" t="s">
        <v>336</v>
      </c>
      <c r="C10" s="859">
        <v>306.35300000000001</v>
      </c>
      <c r="D10" s="195">
        <f t="shared" si="0"/>
        <v>310</v>
      </c>
      <c r="E10" s="859">
        <v>0</v>
      </c>
      <c r="F10" s="536">
        <v>0</v>
      </c>
      <c r="G10" s="859">
        <v>0</v>
      </c>
      <c r="H10" s="536">
        <v>0</v>
      </c>
      <c r="I10" s="859">
        <v>0</v>
      </c>
      <c r="J10" s="536">
        <v>0</v>
      </c>
      <c r="K10" s="859">
        <v>0</v>
      </c>
      <c r="L10" s="696">
        <v>0</v>
      </c>
      <c r="M10" s="859">
        <v>0</v>
      </c>
      <c r="N10" s="536">
        <v>0</v>
      </c>
      <c r="O10" s="859">
        <v>37.417999999999999</v>
      </c>
      <c r="P10" s="730">
        <f t="shared" si="1"/>
        <v>35</v>
      </c>
      <c r="Q10" s="859">
        <v>76.103999999999999</v>
      </c>
      <c r="R10" s="747">
        <f t="shared" si="2"/>
        <v>76</v>
      </c>
      <c r="S10" s="859">
        <v>0</v>
      </c>
      <c r="T10" s="747">
        <v>0</v>
      </c>
      <c r="U10" s="859">
        <v>74.149000000000001</v>
      </c>
      <c r="V10" s="747">
        <f t="shared" si="3"/>
        <v>74</v>
      </c>
      <c r="W10" s="859">
        <v>74.149000000000001</v>
      </c>
      <c r="X10" s="747">
        <f t="shared" si="4"/>
        <v>74</v>
      </c>
      <c r="Y10" s="859">
        <v>0</v>
      </c>
      <c r="Z10" s="536">
        <v>0</v>
      </c>
      <c r="AA10" s="694">
        <v>0</v>
      </c>
      <c r="AB10" s="694">
        <v>0</v>
      </c>
      <c r="AC10" s="694">
        <v>8.5389999999999997</v>
      </c>
      <c r="AD10" s="694">
        <v>0.65700000000000003</v>
      </c>
      <c r="AE10" s="694">
        <v>1.6E-2</v>
      </c>
      <c r="AF10" s="694">
        <v>8.8999999999999996E-2</v>
      </c>
      <c r="AG10" s="694">
        <v>0.67</v>
      </c>
      <c r="AH10" s="694">
        <v>1.4E-2</v>
      </c>
    </row>
    <row r="11" spans="1:34" ht="31.75">
      <c r="A11" s="186" t="s">
        <v>296</v>
      </c>
      <c r="B11" s="186" t="s">
        <v>64</v>
      </c>
      <c r="C11" s="860">
        <v>302.34699999999998</v>
      </c>
      <c r="D11" s="195">
        <f t="shared" si="0"/>
        <v>300</v>
      </c>
      <c r="E11" s="860">
        <v>0</v>
      </c>
      <c r="F11" s="536">
        <v>0</v>
      </c>
      <c r="G11" s="860">
        <v>0</v>
      </c>
      <c r="H11" s="536">
        <v>0</v>
      </c>
      <c r="I11" s="860">
        <v>0</v>
      </c>
      <c r="J11" s="536">
        <v>0</v>
      </c>
      <c r="K11" s="860">
        <v>0</v>
      </c>
      <c r="L11" s="696">
        <v>0</v>
      </c>
      <c r="M11" s="860">
        <v>0</v>
      </c>
      <c r="N11" s="536">
        <v>0</v>
      </c>
      <c r="O11" s="860">
        <v>47.031999999999996</v>
      </c>
      <c r="P11" s="730">
        <f t="shared" si="1"/>
        <v>45</v>
      </c>
      <c r="Q11" s="860">
        <v>76.391999999999996</v>
      </c>
      <c r="R11" s="747">
        <f t="shared" si="2"/>
        <v>76</v>
      </c>
      <c r="S11" s="860">
        <v>2.4E-2</v>
      </c>
      <c r="T11" s="747">
        <v>0</v>
      </c>
      <c r="U11" s="860">
        <v>74.206000000000003</v>
      </c>
      <c r="V11" s="747">
        <f t="shared" si="3"/>
        <v>74</v>
      </c>
      <c r="W11" s="860">
        <v>74.206000000000003</v>
      </c>
      <c r="X11" s="747">
        <f t="shared" si="4"/>
        <v>74</v>
      </c>
      <c r="Y11" s="860">
        <v>0</v>
      </c>
      <c r="Z11" s="536">
        <v>0</v>
      </c>
      <c r="AA11" s="555">
        <v>0</v>
      </c>
      <c r="AB11" s="555">
        <v>0</v>
      </c>
      <c r="AC11" s="536">
        <v>10.907999999999999</v>
      </c>
      <c r="AD11" s="536">
        <v>0.83899999999999997</v>
      </c>
      <c r="AE11" s="536">
        <v>6.9000000000000006E-2</v>
      </c>
      <c r="AF11" s="536">
        <v>0.38400000000000001</v>
      </c>
      <c r="AG11" s="536">
        <v>23.693999999999999</v>
      </c>
      <c r="AH11" s="536">
        <v>0.504</v>
      </c>
    </row>
    <row r="12" spans="1:34" ht="31.75">
      <c r="A12" s="924" t="s">
        <v>92</v>
      </c>
      <c r="B12" s="186" t="s">
        <v>115</v>
      </c>
      <c r="C12" s="860">
        <v>302.34699999999998</v>
      </c>
      <c r="D12" s="195">
        <f t="shared" si="0"/>
        <v>300</v>
      </c>
      <c r="E12" s="860">
        <v>0</v>
      </c>
      <c r="F12" s="536">
        <v>0</v>
      </c>
      <c r="G12" s="696">
        <v>0</v>
      </c>
      <c r="H12" s="536">
        <v>0</v>
      </c>
      <c r="I12" s="860">
        <v>0</v>
      </c>
      <c r="J12" s="536">
        <v>0</v>
      </c>
      <c r="K12" s="860">
        <v>0</v>
      </c>
      <c r="L12" s="696">
        <v>0</v>
      </c>
      <c r="M12" s="860">
        <v>0</v>
      </c>
      <c r="N12" s="536">
        <v>0</v>
      </c>
      <c r="O12" s="860">
        <v>47.031999999999996</v>
      </c>
      <c r="P12" s="730">
        <f t="shared" si="1"/>
        <v>45</v>
      </c>
      <c r="Q12" s="860">
        <v>76.391999999999996</v>
      </c>
      <c r="R12" s="747">
        <f t="shared" si="2"/>
        <v>76</v>
      </c>
      <c r="S12" s="860">
        <v>2.4E-2</v>
      </c>
      <c r="T12" s="747">
        <v>0</v>
      </c>
      <c r="U12" s="860">
        <v>74.206000000000003</v>
      </c>
      <c r="V12" s="747">
        <f t="shared" si="3"/>
        <v>74</v>
      </c>
      <c r="W12" s="860">
        <v>74.206000000000003</v>
      </c>
      <c r="X12" s="747">
        <f t="shared" si="4"/>
        <v>74</v>
      </c>
      <c r="Y12" s="860">
        <v>0</v>
      </c>
      <c r="Z12" s="536">
        <v>0</v>
      </c>
      <c r="AA12" s="697">
        <v>0</v>
      </c>
      <c r="AB12" s="697">
        <v>0</v>
      </c>
      <c r="AC12" s="696">
        <v>10.907999999999999</v>
      </c>
      <c r="AD12" s="696">
        <v>0.82899999999999996</v>
      </c>
      <c r="AE12" s="696">
        <v>6.9000000000000006E-2</v>
      </c>
      <c r="AF12" s="696">
        <v>0.38400000000000001</v>
      </c>
      <c r="AG12" s="696">
        <v>23.693999999999999</v>
      </c>
      <c r="AH12" s="696">
        <v>0.504</v>
      </c>
    </row>
    <row r="13" spans="1:34" ht="31.75">
      <c r="A13" s="186" t="s">
        <v>296</v>
      </c>
      <c r="B13" s="186" t="s">
        <v>308</v>
      </c>
      <c r="C13" s="859">
        <v>301.68</v>
      </c>
      <c r="D13" s="195">
        <f t="shared" si="0"/>
        <v>300</v>
      </c>
      <c r="E13" s="859">
        <v>0</v>
      </c>
      <c r="F13" s="536">
        <v>0</v>
      </c>
      <c r="G13" s="859">
        <v>0</v>
      </c>
      <c r="H13" s="536">
        <v>0</v>
      </c>
      <c r="I13" s="859">
        <v>0</v>
      </c>
      <c r="J13" s="536">
        <v>0</v>
      </c>
      <c r="K13" s="859">
        <v>0</v>
      </c>
      <c r="L13" s="696">
        <v>0</v>
      </c>
      <c r="M13" s="859">
        <v>0</v>
      </c>
      <c r="N13" s="536">
        <v>0</v>
      </c>
      <c r="O13" s="859">
        <v>37.076999999999998</v>
      </c>
      <c r="P13" s="730">
        <f t="shared" si="1"/>
        <v>35</v>
      </c>
      <c r="Q13" s="859">
        <v>74.942999999999998</v>
      </c>
      <c r="R13" s="747">
        <f t="shared" si="2"/>
        <v>75</v>
      </c>
      <c r="S13" s="859">
        <v>0</v>
      </c>
      <c r="T13" s="747">
        <v>0</v>
      </c>
      <c r="U13" s="859">
        <v>74.424999999999997</v>
      </c>
      <c r="V13" s="747">
        <f t="shared" si="3"/>
        <v>74</v>
      </c>
      <c r="W13" s="859">
        <v>74.424999999999997</v>
      </c>
      <c r="X13" s="747">
        <f t="shared" si="4"/>
        <v>74</v>
      </c>
      <c r="Y13" s="859">
        <v>0</v>
      </c>
      <c r="Z13" s="536">
        <v>0</v>
      </c>
      <c r="AA13" s="694">
        <v>0</v>
      </c>
      <c r="AB13" s="694">
        <v>0</v>
      </c>
      <c r="AC13" s="694">
        <v>8.5830000000000002</v>
      </c>
      <c r="AD13" s="694">
        <v>0.66</v>
      </c>
      <c r="AE13" s="694">
        <v>1.6E-2</v>
      </c>
      <c r="AF13" s="694">
        <v>8.6999999999999994E-2</v>
      </c>
      <c r="AG13" s="694">
        <v>5.5860000000000003</v>
      </c>
      <c r="AH13" s="694">
        <v>0.11899999999999999</v>
      </c>
    </row>
    <row r="14" spans="1:34" ht="31.75">
      <c r="A14" s="186" t="s">
        <v>296</v>
      </c>
      <c r="B14" s="186" t="s">
        <v>302</v>
      </c>
      <c r="C14" s="859">
        <v>305.76900000000001</v>
      </c>
      <c r="D14" s="195">
        <f t="shared" si="0"/>
        <v>310</v>
      </c>
      <c r="E14" s="859">
        <v>0</v>
      </c>
      <c r="F14" s="536">
        <v>0</v>
      </c>
      <c r="G14" s="859">
        <v>0</v>
      </c>
      <c r="H14" s="536">
        <v>0</v>
      </c>
      <c r="I14" s="859">
        <v>0</v>
      </c>
      <c r="J14" s="536">
        <v>0</v>
      </c>
      <c r="K14" s="859">
        <v>0</v>
      </c>
      <c r="L14" s="696">
        <v>0</v>
      </c>
      <c r="M14" s="859">
        <v>0</v>
      </c>
      <c r="N14" s="536">
        <v>0</v>
      </c>
      <c r="O14" s="859">
        <v>34.435000000000002</v>
      </c>
      <c r="P14" s="730">
        <f t="shared" si="1"/>
        <v>35</v>
      </c>
      <c r="Q14" s="859">
        <v>77.293999999999997</v>
      </c>
      <c r="R14" s="747">
        <f t="shared" si="2"/>
        <v>77</v>
      </c>
      <c r="S14" s="859">
        <v>0</v>
      </c>
      <c r="T14" s="747">
        <v>0</v>
      </c>
      <c r="U14" s="859">
        <v>74.822999999999993</v>
      </c>
      <c r="V14" s="747">
        <f t="shared" si="3"/>
        <v>75</v>
      </c>
      <c r="W14" s="859">
        <v>74.822999999999993</v>
      </c>
      <c r="X14" s="747">
        <f t="shared" si="4"/>
        <v>75</v>
      </c>
      <c r="Y14" s="859">
        <v>0</v>
      </c>
      <c r="Z14" s="536">
        <v>0</v>
      </c>
      <c r="AA14" s="694">
        <v>0</v>
      </c>
      <c r="AB14" s="694">
        <v>0</v>
      </c>
      <c r="AC14" s="694">
        <v>8.7910000000000004</v>
      </c>
      <c r="AD14" s="694">
        <v>0.67600000000000005</v>
      </c>
      <c r="AE14" s="694">
        <v>1.4999999999999999E-2</v>
      </c>
      <c r="AF14" s="694">
        <v>8.1000000000000003E-2</v>
      </c>
      <c r="AG14" s="694">
        <v>1.2390000000000001</v>
      </c>
      <c r="AH14" s="694">
        <v>2.5999999999999999E-2</v>
      </c>
    </row>
    <row r="15" spans="1:34" ht="31.75">
      <c r="A15" s="186" t="s">
        <v>296</v>
      </c>
      <c r="B15" s="186" t="s">
        <v>307</v>
      </c>
      <c r="C15" s="860">
        <v>321.02800000000002</v>
      </c>
      <c r="D15" s="195">
        <f t="shared" si="0"/>
        <v>320</v>
      </c>
      <c r="E15" s="860">
        <v>0</v>
      </c>
      <c r="F15" s="536">
        <v>0</v>
      </c>
      <c r="G15" s="860">
        <v>0</v>
      </c>
      <c r="H15" s="536">
        <v>0</v>
      </c>
      <c r="I15" s="860">
        <v>0</v>
      </c>
      <c r="J15" s="536">
        <v>0</v>
      </c>
      <c r="K15" s="860">
        <v>0</v>
      </c>
      <c r="L15" s="696">
        <v>0</v>
      </c>
      <c r="M15" s="860">
        <v>0</v>
      </c>
      <c r="N15" s="536">
        <v>0</v>
      </c>
      <c r="O15" s="860">
        <v>36.256999999999998</v>
      </c>
      <c r="P15" s="730">
        <f t="shared" si="1"/>
        <v>35</v>
      </c>
      <c r="Q15" s="860">
        <v>81.376000000000005</v>
      </c>
      <c r="R15" s="747">
        <f t="shared" si="2"/>
        <v>81</v>
      </c>
      <c r="S15" s="860">
        <v>0</v>
      </c>
      <c r="T15" s="747">
        <v>0</v>
      </c>
      <c r="U15" s="860">
        <v>78.099999999999994</v>
      </c>
      <c r="V15" s="747">
        <f t="shared" si="3"/>
        <v>78</v>
      </c>
      <c r="W15" s="860">
        <v>78.099999999999994</v>
      </c>
      <c r="X15" s="747">
        <f t="shared" si="4"/>
        <v>78</v>
      </c>
      <c r="Y15" s="860">
        <v>0</v>
      </c>
      <c r="Z15" s="536">
        <v>0</v>
      </c>
      <c r="AA15" s="697">
        <v>0</v>
      </c>
      <c r="AB15" s="697">
        <v>0</v>
      </c>
      <c r="AC15" s="697">
        <v>8.5020000000000007</v>
      </c>
      <c r="AD15" s="697">
        <v>0.65400000000000003</v>
      </c>
      <c r="AE15" s="697">
        <v>1.7999999999999999E-2</v>
      </c>
      <c r="AF15" s="697">
        <v>0.10199999999999999</v>
      </c>
      <c r="AG15" s="697">
        <v>7.7009999999999996</v>
      </c>
      <c r="AH15" s="697">
        <v>0.16400000000000001</v>
      </c>
    </row>
    <row r="16" spans="1:34" ht="31.75">
      <c r="A16" s="186" t="s">
        <v>296</v>
      </c>
      <c r="B16" s="186" t="s">
        <v>36</v>
      </c>
      <c r="C16" s="860">
        <v>319.75200000000001</v>
      </c>
      <c r="D16" s="195">
        <f t="shared" si="0"/>
        <v>320</v>
      </c>
      <c r="E16" s="860">
        <v>0</v>
      </c>
      <c r="F16" s="536">
        <v>0</v>
      </c>
      <c r="G16" s="860">
        <v>0</v>
      </c>
      <c r="H16" s="536">
        <v>0</v>
      </c>
      <c r="I16" s="860">
        <v>0</v>
      </c>
      <c r="J16" s="536">
        <v>0</v>
      </c>
      <c r="K16" s="860">
        <v>0</v>
      </c>
      <c r="L16" s="696">
        <v>0</v>
      </c>
      <c r="M16" s="860">
        <v>0</v>
      </c>
      <c r="N16" s="536">
        <v>0</v>
      </c>
      <c r="O16" s="860">
        <v>34.634</v>
      </c>
      <c r="P16" s="730">
        <f t="shared" si="1"/>
        <v>35</v>
      </c>
      <c r="Q16" s="860">
        <v>80.801000000000002</v>
      </c>
      <c r="R16" s="747">
        <f t="shared" si="2"/>
        <v>81</v>
      </c>
      <c r="S16" s="860">
        <v>0</v>
      </c>
      <c r="T16" s="747">
        <v>0</v>
      </c>
      <c r="U16" s="860">
        <v>78.272000000000006</v>
      </c>
      <c r="V16" s="747">
        <f t="shared" si="3"/>
        <v>78</v>
      </c>
      <c r="W16" s="860">
        <v>78.272000000000006</v>
      </c>
      <c r="X16" s="747">
        <f t="shared" si="4"/>
        <v>78</v>
      </c>
      <c r="Y16" s="860">
        <v>0</v>
      </c>
      <c r="Z16" s="536">
        <v>0</v>
      </c>
      <c r="AA16" s="697">
        <v>0</v>
      </c>
      <c r="AB16" s="697">
        <v>0</v>
      </c>
      <c r="AC16" s="696">
        <v>8.8510000000000009</v>
      </c>
      <c r="AD16" s="696">
        <v>0.68100000000000005</v>
      </c>
      <c r="AE16" s="696">
        <v>1.4999999999999999E-2</v>
      </c>
      <c r="AF16" s="696">
        <v>8.2000000000000003E-2</v>
      </c>
      <c r="AG16" s="696">
        <v>1.7150000000000001</v>
      </c>
      <c r="AH16" s="696">
        <v>3.5999999999999997E-2</v>
      </c>
    </row>
    <row r="17" spans="1:34" ht="31.75">
      <c r="A17" s="186" t="s">
        <v>296</v>
      </c>
      <c r="B17" s="186" t="s">
        <v>65</v>
      </c>
      <c r="C17" s="889">
        <v>331.52199999999999</v>
      </c>
      <c r="D17" s="195">
        <f t="shared" si="0"/>
        <v>330</v>
      </c>
      <c r="E17" s="860">
        <v>0</v>
      </c>
      <c r="F17" s="536">
        <v>0</v>
      </c>
      <c r="G17" s="860">
        <v>0</v>
      </c>
      <c r="H17" s="536">
        <v>0</v>
      </c>
      <c r="I17" s="860">
        <v>0</v>
      </c>
      <c r="J17" s="536">
        <v>0</v>
      </c>
      <c r="K17" s="860">
        <v>0</v>
      </c>
      <c r="L17" s="696">
        <v>0</v>
      </c>
      <c r="M17" s="860">
        <v>0</v>
      </c>
      <c r="N17" s="536">
        <v>0</v>
      </c>
      <c r="O17" s="860">
        <v>47.43</v>
      </c>
      <c r="P17" s="730">
        <f t="shared" si="1"/>
        <v>45</v>
      </c>
      <c r="Q17" s="860">
        <v>83.778999999999996</v>
      </c>
      <c r="R17" s="747">
        <f t="shared" si="2"/>
        <v>84</v>
      </c>
      <c r="S17" s="860">
        <v>0</v>
      </c>
      <c r="T17" s="747">
        <v>0</v>
      </c>
      <c r="U17" s="860">
        <v>78.861000000000004</v>
      </c>
      <c r="V17" s="747">
        <f t="shared" si="3"/>
        <v>79</v>
      </c>
      <c r="W17" s="860">
        <v>78.861000000000004</v>
      </c>
      <c r="X17" s="747">
        <f t="shared" si="4"/>
        <v>79</v>
      </c>
      <c r="Y17" s="860">
        <v>0</v>
      </c>
      <c r="Z17" s="536">
        <v>0</v>
      </c>
      <c r="AA17" s="697">
        <v>0</v>
      </c>
      <c r="AB17" s="697">
        <v>0</v>
      </c>
      <c r="AC17" s="696">
        <v>8.5530000000000008</v>
      </c>
      <c r="AD17" s="696">
        <v>0.65800000000000003</v>
      </c>
      <c r="AE17" s="696">
        <v>2.5999999999999999E-2</v>
      </c>
      <c r="AF17" s="696">
        <v>0.14599999999999999</v>
      </c>
      <c r="AG17" s="696">
        <v>7.08</v>
      </c>
      <c r="AH17" s="696">
        <v>2.3E-2</v>
      </c>
    </row>
    <row r="18" spans="1:34" ht="31.75">
      <c r="A18" s="186" t="s">
        <v>296</v>
      </c>
      <c r="B18" s="186" t="s">
        <v>310</v>
      </c>
      <c r="C18" s="859">
        <v>332.11200000000002</v>
      </c>
      <c r="D18" s="195">
        <f t="shared" si="0"/>
        <v>330</v>
      </c>
      <c r="E18" s="859">
        <v>0</v>
      </c>
      <c r="F18" s="536">
        <v>0</v>
      </c>
      <c r="G18" s="859">
        <v>0</v>
      </c>
      <c r="H18" s="536">
        <v>0</v>
      </c>
      <c r="I18" s="859">
        <v>0</v>
      </c>
      <c r="J18" s="536">
        <v>0</v>
      </c>
      <c r="K18" s="859">
        <v>0</v>
      </c>
      <c r="L18" s="696">
        <v>0</v>
      </c>
      <c r="M18" s="859">
        <v>0</v>
      </c>
      <c r="N18" s="536">
        <v>0</v>
      </c>
      <c r="O18" s="859">
        <v>37.031999999999996</v>
      </c>
      <c r="P18" s="730">
        <f t="shared" si="1"/>
        <v>35</v>
      </c>
      <c r="Q18" s="859">
        <v>84.188000000000002</v>
      </c>
      <c r="R18" s="747">
        <f t="shared" si="2"/>
        <v>84</v>
      </c>
      <c r="S18" s="859">
        <v>0</v>
      </c>
      <c r="T18" s="747">
        <v>0</v>
      </c>
      <c r="U18" s="859">
        <v>80.801000000000002</v>
      </c>
      <c r="V18" s="747">
        <f t="shared" si="3"/>
        <v>81</v>
      </c>
      <c r="W18" s="859">
        <v>80.801000000000002</v>
      </c>
      <c r="X18" s="747">
        <f t="shared" si="4"/>
        <v>81</v>
      </c>
      <c r="Y18" s="859">
        <v>0</v>
      </c>
      <c r="Z18" s="536">
        <v>0</v>
      </c>
      <c r="AA18" s="694">
        <v>0</v>
      </c>
      <c r="AB18" s="694">
        <v>0</v>
      </c>
      <c r="AC18" s="694">
        <v>8.4049999999999994</v>
      </c>
      <c r="AD18" s="694">
        <v>0.64700000000000002</v>
      </c>
      <c r="AE18" s="694">
        <v>1.9E-2</v>
      </c>
      <c r="AF18" s="694">
        <v>0.106</v>
      </c>
      <c r="AG18" s="694">
        <v>0.80200000000000005</v>
      </c>
      <c r="AH18" s="694">
        <v>1.7000000000000001E-2</v>
      </c>
    </row>
    <row r="19" spans="1:34" ht="31.75">
      <c r="A19" s="186" t="s">
        <v>296</v>
      </c>
      <c r="B19" s="186" t="s">
        <v>29</v>
      </c>
      <c r="C19" s="860">
        <v>333.30399999999997</v>
      </c>
      <c r="D19" s="195">
        <f t="shared" si="0"/>
        <v>330</v>
      </c>
      <c r="E19" s="860">
        <v>0</v>
      </c>
      <c r="F19" s="536">
        <v>0</v>
      </c>
      <c r="G19" s="860">
        <v>0</v>
      </c>
      <c r="H19" s="536">
        <v>0</v>
      </c>
      <c r="I19" s="860">
        <v>0</v>
      </c>
      <c r="J19" s="536">
        <v>0</v>
      </c>
      <c r="K19" s="860">
        <v>0</v>
      </c>
      <c r="L19" s="696">
        <v>0</v>
      </c>
      <c r="M19" s="860">
        <v>0</v>
      </c>
      <c r="N19" s="536">
        <v>0</v>
      </c>
      <c r="O19" s="860">
        <v>45.969000000000001</v>
      </c>
      <c r="P19" s="730">
        <f t="shared" si="1"/>
        <v>45</v>
      </c>
      <c r="Q19" s="933">
        <v>84.533000000000001</v>
      </c>
      <c r="R19" s="747">
        <f t="shared" si="2"/>
        <v>85</v>
      </c>
      <c r="S19" s="860">
        <v>3.4000000000000002E-2</v>
      </c>
      <c r="T19" s="747">
        <v>0</v>
      </c>
      <c r="U19" s="860">
        <v>82.382000000000005</v>
      </c>
      <c r="V19" s="747">
        <f t="shared" si="3"/>
        <v>82</v>
      </c>
      <c r="W19" s="860">
        <v>82.382000000000005</v>
      </c>
      <c r="X19" s="747">
        <f t="shared" si="4"/>
        <v>82</v>
      </c>
      <c r="Y19" s="860">
        <v>0</v>
      </c>
      <c r="Z19" s="536">
        <v>0</v>
      </c>
      <c r="AA19" s="697">
        <v>0</v>
      </c>
      <c r="AB19" s="697">
        <v>0</v>
      </c>
      <c r="AC19" s="697">
        <v>10.771000000000001</v>
      </c>
      <c r="AD19" s="697">
        <v>0.82899999999999996</v>
      </c>
      <c r="AE19" s="697">
        <v>7.0999999999999994E-2</v>
      </c>
      <c r="AF19" s="697">
        <v>0.39200000000000002</v>
      </c>
      <c r="AG19" s="697">
        <v>1.141</v>
      </c>
      <c r="AH19" s="697">
        <v>2.4E-2</v>
      </c>
    </row>
    <row r="20" spans="1:34" ht="31.75">
      <c r="A20" s="186" t="s">
        <v>296</v>
      </c>
      <c r="B20" s="186" t="s">
        <v>180</v>
      </c>
      <c r="C20" s="860">
        <v>305.79500000000002</v>
      </c>
      <c r="D20" s="195">
        <f t="shared" si="0"/>
        <v>310</v>
      </c>
      <c r="E20" s="860">
        <v>0</v>
      </c>
      <c r="F20" s="536">
        <v>0</v>
      </c>
      <c r="G20" s="860">
        <v>0</v>
      </c>
      <c r="H20" s="536">
        <v>0</v>
      </c>
      <c r="I20" s="860">
        <v>0</v>
      </c>
      <c r="J20" s="536">
        <v>0</v>
      </c>
      <c r="K20" s="860">
        <v>0</v>
      </c>
      <c r="L20" s="696">
        <v>0</v>
      </c>
      <c r="M20" s="860">
        <v>0</v>
      </c>
      <c r="N20" s="536">
        <v>0</v>
      </c>
      <c r="O20" s="860">
        <v>137.97</v>
      </c>
      <c r="P20" s="730">
        <f t="shared" si="1"/>
        <v>140</v>
      </c>
      <c r="Q20" s="860">
        <v>78.238</v>
      </c>
      <c r="R20" s="747">
        <f t="shared" si="2"/>
        <v>78</v>
      </c>
      <c r="S20" s="860">
        <v>2.8000000000000001E-2</v>
      </c>
      <c r="T20" s="747">
        <v>0</v>
      </c>
      <c r="U20" s="860">
        <v>71.191000000000003</v>
      </c>
      <c r="V20" s="747">
        <f t="shared" si="3"/>
        <v>71</v>
      </c>
      <c r="W20" s="860">
        <v>71.191000000000003</v>
      </c>
      <c r="X20" s="747">
        <f t="shared" si="4"/>
        <v>71</v>
      </c>
      <c r="Y20" s="860">
        <v>4.0000000000000001E-3</v>
      </c>
      <c r="Z20" s="536">
        <v>0</v>
      </c>
      <c r="AA20" s="746">
        <v>0</v>
      </c>
      <c r="AB20" s="746">
        <v>0</v>
      </c>
      <c r="AC20" s="742">
        <v>10.614000000000001</v>
      </c>
      <c r="AD20" s="742">
        <v>0.81599999999999995</v>
      </c>
      <c r="AE20" s="742">
        <v>0.71799999999999997</v>
      </c>
      <c r="AF20" s="742">
        <v>3.9870000000000001</v>
      </c>
      <c r="AG20" s="742">
        <v>27.349</v>
      </c>
      <c r="AH20" s="742">
        <v>0.58199999999999996</v>
      </c>
    </row>
    <row r="21" spans="1:34" ht="31.75">
      <c r="A21" s="186" t="s">
        <v>296</v>
      </c>
      <c r="B21" s="186" t="s">
        <v>46</v>
      </c>
      <c r="C21" s="860">
        <v>284.51799999999997</v>
      </c>
      <c r="D21" s="195">
        <f t="shared" si="0"/>
        <v>280</v>
      </c>
      <c r="E21" s="860">
        <v>0</v>
      </c>
      <c r="F21" s="536">
        <v>0</v>
      </c>
      <c r="G21" s="860">
        <v>0</v>
      </c>
      <c r="H21" s="536">
        <v>0</v>
      </c>
      <c r="I21" s="860">
        <v>0</v>
      </c>
      <c r="J21" s="536">
        <v>0</v>
      </c>
      <c r="K21" s="860">
        <v>0</v>
      </c>
      <c r="L21" s="696">
        <v>0</v>
      </c>
      <c r="M21" s="860">
        <v>0</v>
      </c>
      <c r="N21" s="536">
        <v>0</v>
      </c>
      <c r="O21" s="860">
        <v>72.186999999999998</v>
      </c>
      <c r="P21" s="730">
        <f t="shared" si="1"/>
        <v>70</v>
      </c>
      <c r="Q21" s="860">
        <v>72.147000000000006</v>
      </c>
      <c r="R21" s="747">
        <f t="shared" si="2"/>
        <v>72</v>
      </c>
      <c r="S21" s="860">
        <v>0.04</v>
      </c>
      <c r="T21" s="747">
        <v>0</v>
      </c>
      <c r="U21" s="860">
        <v>68.789000000000001</v>
      </c>
      <c r="V21" s="747">
        <f t="shared" si="3"/>
        <v>69</v>
      </c>
      <c r="W21" s="860">
        <v>68.789000000000001</v>
      </c>
      <c r="X21" s="747">
        <f t="shared" si="4"/>
        <v>69</v>
      </c>
      <c r="Y21" s="860">
        <v>6.0000000000000001E-3</v>
      </c>
      <c r="Z21" s="536">
        <v>0</v>
      </c>
      <c r="AA21" s="697">
        <v>0</v>
      </c>
      <c r="AB21" s="697">
        <v>0</v>
      </c>
      <c r="AC21" s="700">
        <v>10.016</v>
      </c>
      <c r="AD21" s="700">
        <v>0.77</v>
      </c>
      <c r="AE21" s="700">
        <v>6.5000000000000002E-2</v>
      </c>
      <c r="AF21" s="700">
        <v>0.36099999999999999</v>
      </c>
      <c r="AG21" s="700">
        <v>3.3330000000000002</v>
      </c>
      <c r="AH21" s="700">
        <v>7.0999999999999994E-2</v>
      </c>
    </row>
    <row r="22" spans="1:34" s="212" customFormat="1" ht="31.75">
      <c r="A22" s="186" t="s">
        <v>296</v>
      </c>
      <c r="B22" s="186" t="s">
        <v>45</v>
      </c>
      <c r="C22" s="860">
        <v>292.64299999999997</v>
      </c>
      <c r="D22" s="195">
        <f t="shared" si="0"/>
        <v>290</v>
      </c>
      <c r="E22" s="860">
        <v>0</v>
      </c>
      <c r="F22" s="536">
        <v>0</v>
      </c>
      <c r="G22" s="860">
        <v>0</v>
      </c>
      <c r="H22" s="536">
        <v>0</v>
      </c>
      <c r="I22" s="860">
        <v>0</v>
      </c>
      <c r="J22" s="536">
        <v>0</v>
      </c>
      <c r="K22" s="860">
        <v>0</v>
      </c>
      <c r="L22" s="696">
        <v>0</v>
      </c>
      <c r="M22" s="860">
        <v>0</v>
      </c>
      <c r="N22" s="536">
        <v>0</v>
      </c>
      <c r="O22" s="860">
        <v>35.555</v>
      </c>
      <c r="P22" s="730">
        <f t="shared" si="1"/>
        <v>35</v>
      </c>
      <c r="Q22" s="860">
        <v>73.756</v>
      </c>
      <c r="R22" s="747">
        <f t="shared" si="2"/>
        <v>74</v>
      </c>
      <c r="S22" s="860">
        <v>0</v>
      </c>
      <c r="T22" s="747">
        <v>0</v>
      </c>
      <c r="U22" s="860">
        <v>70.778999999999996</v>
      </c>
      <c r="V22" s="747">
        <f t="shared" si="3"/>
        <v>71</v>
      </c>
      <c r="W22" s="860">
        <v>70.5</v>
      </c>
      <c r="X22" s="747">
        <f t="shared" si="4"/>
        <v>71</v>
      </c>
      <c r="Y22" s="860">
        <v>7.0000000000000001E-3</v>
      </c>
      <c r="Z22" s="536">
        <v>0</v>
      </c>
      <c r="AA22" s="697">
        <v>0</v>
      </c>
      <c r="AB22" s="697">
        <v>0</v>
      </c>
      <c r="AC22" s="697">
        <v>9.0530000000000008</v>
      </c>
      <c r="AD22" s="697">
        <v>0.69599999999999995</v>
      </c>
      <c r="AE22" s="697">
        <v>2.9000000000000001E-2</v>
      </c>
      <c r="AF22" s="697">
        <v>0.161</v>
      </c>
      <c r="AG22" s="697">
        <v>10.488</v>
      </c>
      <c r="AH22" s="697">
        <v>0.223</v>
      </c>
    </row>
    <row r="23" spans="1:34" ht="31.75">
      <c r="A23" s="186" t="s">
        <v>296</v>
      </c>
      <c r="B23" s="186" t="s">
        <v>314</v>
      </c>
      <c r="C23" s="860">
        <v>334.88400000000001</v>
      </c>
      <c r="D23" s="195">
        <f t="shared" si="0"/>
        <v>330</v>
      </c>
      <c r="E23" s="859">
        <v>0</v>
      </c>
      <c r="F23" s="536">
        <v>0</v>
      </c>
      <c r="G23" s="859">
        <v>0</v>
      </c>
      <c r="H23" s="536">
        <v>0</v>
      </c>
      <c r="I23" s="859">
        <v>0</v>
      </c>
      <c r="J23" s="536">
        <v>0</v>
      </c>
      <c r="K23" s="859">
        <v>0</v>
      </c>
      <c r="L23" s="696">
        <v>0</v>
      </c>
      <c r="M23" s="859">
        <v>0</v>
      </c>
      <c r="N23" s="536">
        <v>0</v>
      </c>
      <c r="O23" s="859">
        <v>36.984000000000002</v>
      </c>
      <c r="P23" s="730">
        <f t="shared" si="1"/>
        <v>35</v>
      </c>
      <c r="Q23" s="859">
        <v>83.626999999999995</v>
      </c>
      <c r="R23" s="747">
        <f t="shared" si="2"/>
        <v>84</v>
      </c>
      <c r="S23" s="859">
        <v>6.2E-2</v>
      </c>
      <c r="T23" s="747">
        <v>0</v>
      </c>
      <c r="U23" s="859">
        <v>78.844999999999999</v>
      </c>
      <c r="V23" s="747">
        <f t="shared" si="3"/>
        <v>79</v>
      </c>
      <c r="W23" s="859">
        <v>78.844999999999999</v>
      </c>
      <c r="X23" s="747">
        <f t="shared" si="4"/>
        <v>79</v>
      </c>
      <c r="Y23" s="859">
        <v>7.0000000000000001E-3</v>
      </c>
      <c r="Z23" s="536">
        <v>0</v>
      </c>
      <c r="AA23" s="694">
        <v>0</v>
      </c>
      <c r="AB23" s="694">
        <v>0</v>
      </c>
      <c r="AC23" s="694">
        <v>8.6210000000000004</v>
      </c>
      <c r="AD23" s="694">
        <v>0.66300000000000003</v>
      </c>
      <c r="AE23" s="694">
        <v>1.9E-2</v>
      </c>
      <c r="AF23" s="694">
        <v>0.107</v>
      </c>
      <c r="AG23" s="694">
        <v>1.337</v>
      </c>
      <c r="AH23" s="694">
        <v>2.8000000000000001E-2</v>
      </c>
    </row>
    <row r="24" spans="1:34">
      <c r="A24" s="924" t="s">
        <v>394</v>
      </c>
      <c r="B24" s="186" t="s">
        <v>395</v>
      </c>
      <c r="C24" s="860">
        <v>143.387</v>
      </c>
      <c r="D24" s="195">
        <f t="shared" si="0"/>
        <v>140</v>
      </c>
      <c r="E24" s="860">
        <v>0.10299999999999999</v>
      </c>
      <c r="F24" s="536">
        <v>0</v>
      </c>
      <c r="G24" s="536">
        <v>1.0999999999999999E-2</v>
      </c>
      <c r="H24" s="536">
        <v>0</v>
      </c>
      <c r="I24" s="860">
        <v>8.9999999999999993E-3</v>
      </c>
      <c r="J24" s="536">
        <v>0</v>
      </c>
      <c r="K24" s="860">
        <v>0</v>
      </c>
      <c r="L24" s="696">
        <v>0</v>
      </c>
      <c r="M24" s="860">
        <v>0</v>
      </c>
      <c r="N24" s="536">
        <v>0</v>
      </c>
      <c r="O24" s="860">
        <v>29.972999999999999</v>
      </c>
      <c r="P24" s="730">
        <f t="shared" si="1"/>
        <v>30</v>
      </c>
      <c r="Q24" s="860">
        <v>49.991</v>
      </c>
      <c r="R24" s="747">
        <f t="shared" si="2"/>
        <v>50</v>
      </c>
      <c r="S24" s="860">
        <v>1.9E-2</v>
      </c>
      <c r="T24" s="747">
        <v>0</v>
      </c>
      <c r="U24" s="860">
        <v>0.17799999999999999</v>
      </c>
      <c r="V24" s="696">
        <v>0</v>
      </c>
      <c r="W24" s="860">
        <v>0</v>
      </c>
      <c r="X24" s="696">
        <v>0</v>
      </c>
      <c r="Y24" s="860">
        <v>1.4999999999999999E-2</v>
      </c>
      <c r="Z24" s="536">
        <v>0</v>
      </c>
      <c r="AA24" s="555">
        <v>0</v>
      </c>
      <c r="AB24" s="555">
        <v>0</v>
      </c>
      <c r="AC24" s="536">
        <v>15.324</v>
      </c>
      <c r="AD24" s="536">
        <v>1.179</v>
      </c>
      <c r="AE24" s="536">
        <v>7.8E-2</v>
      </c>
      <c r="AF24" s="536">
        <v>0.434</v>
      </c>
      <c r="AG24" s="536">
        <v>27.315999999999999</v>
      </c>
      <c r="AH24" s="536">
        <v>0.58099999999999996</v>
      </c>
    </row>
    <row r="25" spans="1:34">
      <c r="A25" s="924" t="s">
        <v>394</v>
      </c>
      <c r="B25" s="186" t="s">
        <v>127</v>
      </c>
      <c r="C25" s="860">
        <v>145.99199999999999</v>
      </c>
      <c r="D25" s="195">
        <f t="shared" si="0"/>
        <v>150</v>
      </c>
      <c r="E25" s="860">
        <v>8.5000000000000006E-2</v>
      </c>
      <c r="F25" s="536">
        <v>0</v>
      </c>
      <c r="G25" s="696">
        <v>0.01</v>
      </c>
      <c r="H25" s="536">
        <v>0</v>
      </c>
      <c r="I25" s="860">
        <v>0</v>
      </c>
      <c r="J25" s="536">
        <v>0</v>
      </c>
      <c r="K25" s="860">
        <v>0</v>
      </c>
      <c r="L25" s="696">
        <v>0</v>
      </c>
      <c r="M25" s="860">
        <v>0</v>
      </c>
      <c r="N25" s="536">
        <v>0</v>
      </c>
      <c r="O25" s="860">
        <v>43.781999999999996</v>
      </c>
      <c r="P25" s="730">
        <f t="shared" si="1"/>
        <v>45</v>
      </c>
      <c r="Q25" s="860">
        <v>50.42</v>
      </c>
      <c r="R25" s="747">
        <f t="shared" si="2"/>
        <v>50</v>
      </c>
      <c r="S25" s="860">
        <v>0</v>
      </c>
      <c r="T25" s="747">
        <v>0</v>
      </c>
      <c r="U25" s="860">
        <v>0.1</v>
      </c>
      <c r="V25" s="696">
        <v>0</v>
      </c>
      <c r="W25" s="860">
        <v>0</v>
      </c>
      <c r="X25" s="696">
        <v>0</v>
      </c>
      <c r="Y25" s="860">
        <v>1.6E-2</v>
      </c>
      <c r="Z25" s="536">
        <v>0</v>
      </c>
      <c r="AA25" s="697">
        <v>0</v>
      </c>
      <c r="AB25" s="697">
        <v>0</v>
      </c>
      <c r="AC25" s="696">
        <v>9.7829999999999995</v>
      </c>
      <c r="AD25" s="696">
        <v>0.753</v>
      </c>
      <c r="AE25" s="696">
        <v>6.4000000000000001E-2</v>
      </c>
      <c r="AF25" s="696">
        <v>0.35799999999999998</v>
      </c>
      <c r="AG25" s="696">
        <v>28.09</v>
      </c>
      <c r="AH25" s="696">
        <v>0.59799999999999998</v>
      </c>
    </row>
    <row r="26" spans="1:34" ht="31.75">
      <c r="A26" s="186" t="s">
        <v>296</v>
      </c>
      <c r="B26" s="186" t="s">
        <v>304</v>
      </c>
      <c r="C26" s="860">
        <v>263.00700000000001</v>
      </c>
      <c r="D26" s="195">
        <f t="shared" si="0"/>
        <v>260</v>
      </c>
      <c r="E26" s="860">
        <v>4.5999999999999999E-2</v>
      </c>
      <c r="F26" s="536">
        <v>0</v>
      </c>
      <c r="G26" s="860">
        <v>5.0000000000000001E-3</v>
      </c>
      <c r="H26" s="536">
        <v>0</v>
      </c>
      <c r="I26" s="860">
        <v>1E-3</v>
      </c>
      <c r="J26" s="536">
        <v>0</v>
      </c>
      <c r="K26" s="860">
        <v>0</v>
      </c>
      <c r="L26" s="696">
        <v>0</v>
      </c>
      <c r="M26" s="860">
        <v>0</v>
      </c>
      <c r="N26" s="536">
        <v>0</v>
      </c>
      <c r="O26" s="860">
        <v>36.817</v>
      </c>
      <c r="P26" s="730">
        <f t="shared" si="1"/>
        <v>35</v>
      </c>
      <c r="Q26" s="860">
        <v>66.489999999999995</v>
      </c>
      <c r="R26" s="747">
        <f t="shared" si="2"/>
        <v>66</v>
      </c>
      <c r="S26" s="860">
        <v>7.6999999999999999E-2</v>
      </c>
      <c r="T26" s="747">
        <v>0</v>
      </c>
      <c r="U26" s="860">
        <v>63.286000000000001</v>
      </c>
      <c r="V26" s="747">
        <f>MROUND(U26,1)</f>
        <v>63</v>
      </c>
      <c r="W26" s="860">
        <v>63.127000000000002</v>
      </c>
      <c r="X26" s="747">
        <f>MROUND(W26,1)</f>
        <v>63</v>
      </c>
      <c r="Y26" s="860">
        <v>2.1999999999999999E-2</v>
      </c>
      <c r="Z26" s="536">
        <v>0</v>
      </c>
      <c r="AA26" s="697">
        <v>0</v>
      </c>
      <c r="AB26" s="697">
        <v>0</v>
      </c>
      <c r="AC26" s="696">
        <v>10.064</v>
      </c>
      <c r="AD26" s="696">
        <v>0.77400000000000002</v>
      </c>
      <c r="AE26" s="696">
        <v>2.7E-2</v>
      </c>
      <c r="AF26" s="696">
        <v>0.14799999999999999</v>
      </c>
      <c r="AG26" s="696">
        <v>3.9129999999999998</v>
      </c>
      <c r="AH26" s="696">
        <v>8.3000000000000004E-2</v>
      </c>
    </row>
    <row r="27" spans="1:34" ht="31.75">
      <c r="A27" s="186" t="s">
        <v>296</v>
      </c>
      <c r="B27" s="186" t="s">
        <v>312</v>
      </c>
      <c r="C27" s="861">
        <v>141.71799999999999</v>
      </c>
      <c r="D27" s="195">
        <f t="shared" si="0"/>
        <v>140</v>
      </c>
      <c r="E27" s="861">
        <v>8.4000000000000005E-2</v>
      </c>
      <c r="F27" s="536">
        <v>0</v>
      </c>
      <c r="G27" s="861">
        <v>8.9999999999999993E-3</v>
      </c>
      <c r="H27" s="536">
        <v>0</v>
      </c>
      <c r="I27" s="861">
        <v>0</v>
      </c>
      <c r="J27" s="536">
        <v>0</v>
      </c>
      <c r="K27" s="861">
        <v>0</v>
      </c>
      <c r="L27" s="696">
        <v>0</v>
      </c>
      <c r="M27" s="861">
        <v>0</v>
      </c>
      <c r="N27" s="536">
        <v>0</v>
      </c>
      <c r="O27" s="861">
        <v>22.218</v>
      </c>
      <c r="P27" s="730">
        <f t="shared" si="1"/>
        <v>20</v>
      </c>
      <c r="Q27" s="861">
        <v>36.195</v>
      </c>
      <c r="R27" s="747">
        <f t="shared" si="2"/>
        <v>36</v>
      </c>
      <c r="S27" s="861">
        <v>1.7999999999999999E-2</v>
      </c>
      <c r="T27" s="747">
        <v>0</v>
      </c>
      <c r="U27" s="861">
        <v>34.743000000000002</v>
      </c>
      <c r="V27" s="747">
        <f>MROUND(U27,1)</f>
        <v>35</v>
      </c>
      <c r="W27" s="861">
        <v>34.646000000000001</v>
      </c>
      <c r="X27" s="747">
        <f>MROUND(W27,1)</f>
        <v>35</v>
      </c>
      <c r="Y27" s="861">
        <v>2.4E-2</v>
      </c>
      <c r="Z27" s="536">
        <v>0</v>
      </c>
      <c r="AA27" s="761">
        <v>0</v>
      </c>
      <c r="AB27" s="761">
        <v>0</v>
      </c>
      <c r="AC27" s="761">
        <v>5.891</v>
      </c>
      <c r="AD27" s="761">
        <v>0.45300000000000001</v>
      </c>
      <c r="AE27" s="761">
        <v>2.5999999999999999E-2</v>
      </c>
      <c r="AF27" s="761">
        <v>0.14399999999999999</v>
      </c>
      <c r="AG27" s="761">
        <v>7.0069999999999997</v>
      </c>
      <c r="AH27" s="761">
        <v>0.14899999999999999</v>
      </c>
    </row>
    <row r="28" spans="1:34" ht="31.75">
      <c r="A28" s="186" t="s">
        <v>296</v>
      </c>
      <c r="B28" s="186" t="s">
        <v>30</v>
      </c>
      <c r="C28" s="860">
        <v>334.55700000000002</v>
      </c>
      <c r="D28" s="195">
        <f t="shared" si="0"/>
        <v>330</v>
      </c>
      <c r="E28" s="860">
        <v>0.39500000000000002</v>
      </c>
      <c r="F28" s="536">
        <v>0</v>
      </c>
      <c r="G28" s="860">
        <v>4.3999999999999997E-2</v>
      </c>
      <c r="H28" s="536">
        <v>0</v>
      </c>
      <c r="I28" s="860">
        <v>3.3000000000000002E-2</v>
      </c>
      <c r="J28" s="536">
        <v>0</v>
      </c>
      <c r="K28" s="860">
        <v>0</v>
      </c>
      <c r="L28" s="696">
        <v>0</v>
      </c>
      <c r="M28" s="860">
        <v>0</v>
      </c>
      <c r="N28" s="536">
        <v>0</v>
      </c>
      <c r="O28" s="860">
        <v>46.421999999999997</v>
      </c>
      <c r="P28" s="730">
        <f t="shared" si="1"/>
        <v>45</v>
      </c>
      <c r="Q28" s="860">
        <v>84.757000000000005</v>
      </c>
      <c r="R28" s="747">
        <f t="shared" si="2"/>
        <v>85</v>
      </c>
      <c r="S28" s="860">
        <v>0.219</v>
      </c>
      <c r="T28" s="747">
        <v>0</v>
      </c>
      <c r="U28" s="860">
        <v>82.313000000000002</v>
      </c>
      <c r="V28" s="747">
        <f>MROUND(U28,1)</f>
        <v>82</v>
      </c>
      <c r="W28" s="860">
        <v>81.733999999999995</v>
      </c>
      <c r="X28" s="747">
        <f>MROUND(W28,1)</f>
        <v>82</v>
      </c>
      <c r="Y28" s="860">
        <v>2.9000000000000001E-2</v>
      </c>
      <c r="Z28" s="536">
        <v>0</v>
      </c>
      <c r="AA28" s="697">
        <v>0</v>
      </c>
      <c r="AB28" s="697">
        <v>0</v>
      </c>
      <c r="AC28" s="697">
        <v>11.147</v>
      </c>
      <c r="AD28" s="697">
        <v>0.85699999999999998</v>
      </c>
      <c r="AE28" s="697">
        <v>8.3000000000000004E-2</v>
      </c>
      <c r="AF28" s="697">
        <v>0.46200000000000002</v>
      </c>
      <c r="AG28" s="697">
        <v>4.8209999999999997</v>
      </c>
      <c r="AH28" s="697">
        <v>0.10299999999999999</v>
      </c>
    </row>
    <row r="29" spans="1:34">
      <c r="A29" s="924" t="s">
        <v>394</v>
      </c>
      <c r="B29" s="186" t="s">
        <v>123</v>
      </c>
      <c r="C29" s="860">
        <v>144.51599999999999</v>
      </c>
      <c r="D29" s="195">
        <f t="shared" si="0"/>
        <v>140</v>
      </c>
      <c r="E29" s="860">
        <v>8.4000000000000005E-2</v>
      </c>
      <c r="F29" s="536">
        <v>0</v>
      </c>
      <c r="G29" s="536">
        <v>8.9999999999999993E-3</v>
      </c>
      <c r="H29" s="536">
        <v>0</v>
      </c>
      <c r="I29" s="860">
        <v>8.9999999999999993E-3</v>
      </c>
      <c r="J29" s="536">
        <v>0</v>
      </c>
      <c r="K29" s="860">
        <v>0</v>
      </c>
      <c r="L29" s="696">
        <v>0</v>
      </c>
      <c r="M29" s="860">
        <v>0</v>
      </c>
      <c r="N29" s="536">
        <v>0</v>
      </c>
      <c r="O29" s="860">
        <v>30.934999999999999</v>
      </c>
      <c r="P29" s="730">
        <f t="shared" si="1"/>
        <v>30</v>
      </c>
      <c r="Q29" s="860">
        <v>50.582000000000001</v>
      </c>
      <c r="R29" s="747">
        <f t="shared" si="2"/>
        <v>51</v>
      </c>
      <c r="S29" s="860">
        <v>8.9999999999999993E-3</v>
      </c>
      <c r="T29" s="747">
        <v>0</v>
      </c>
      <c r="U29" s="860">
        <v>0.10199999999999999</v>
      </c>
      <c r="V29" s="696">
        <v>0</v>
      </c>
      <c r="W29" s="860">
        <v>0</v>
      </c>
      <c r="X29" s="696">
        <v>0</v>
      </c>
      <c r="Y29" s="860">
        <v>0.03</v>
      </c>
      <c r="Z29" s="536">
        <v>0</v>
      </c>
      <c r="AA29" s="555">
        <v>0</v>
      </c>
      <c r="AB29" s="555">
        <v>0</v>
      </c>
      <c r="AC29" s="536">
        <v>15.351000000000001</v>
      </c>
      <c r="AD29" s="536">
        <v>1.181</v>
      </c>
      <c r="AE29" s="536">
        <v>6.5000000000000002E-2</v>
      </c>
      <c r="AF29" s="536">
        <v>0.35899999999999999</v>
      </c>
      <c r="AG29" s="536">
        <v>28.783000000000001</v>
      </c>
      <c r="AH29" s="536">
        <v>0.61199999999999999</v>
      </c>
    </row>
    <row r="30" spans="1:34">
      <c r="A30" s="924" t="s">
        <v>394</v>
      </c>
      <c r="B30" s="186" t="s">
        <v>335</v>
      </c>
      <c r="C30" s="860">
        <v>189.94900000000001</v>
      </c>
      <c r="D30" s="195">
        <f t="shared" si="0"/>
        <v>190</v>
      </c>
      <c r="E30" s="860">
        <v>0</v>
      </c>
      <c r="F30" s="536">
        <v>0</v>
      </c>
      <c r="G30" s="696">
        <v>0</v>
      </c>
      <c r="H30" s="536">
        <v>0</v>
      </c>
      <c r="I30" s="860">
        <v>0</v>
      </c>
      <c r="J30" s="536">
        <v>0</v>
      </c>
      <c r="K30" s="860">
        <v>0</v>
      </c>
      <c r="L30" s="696">
        <v>0</v>
      </c>
      <c r="M30" s="860">
        <v>0</v>
      </c>
      <c r="N30" s="536">
        <v>0</v>
      </c>
      <c r="O30" s="860">
        <v>29.51</v>
      </c>
      <c r="P30" s="730">
        <f t="shared" si="1"/>
        <v>30</v>
      </c>
      <c r="Q30" s="860">
        <v>49.694000000000003</v>
      </c>
      <c r="R30" s="747">
        <f t="shared" si="2"/>
        <v>50</v>
      </c>
      <c r="S30" s="860">
        <v>0.33700000000000002</v>
      </c>
      <c r="T30" s="747">
        <v>0</v>
      </c>
      <c r="U30" s="860">
        <v>0</v>
      </c>
      <c r="V30" s="696">
        <v>0</v>
      </c>
      <c r="W30" s="860">
        <v>0</v>
      </c>
      <c r="X30" s="696">
        <v>0</v>
      </c>
      <c r="Y30" s="860">
        <v>3.3000000000000002E-2</v>
      </c>
      <c r="Z30" s="536">
        <v>0</v>
      </c>
      <c r="AA30" s="697">
        <v>0</v>
      </c>
      <c r="AB30" s="697">
        <v>0</v>
      </c>
      <c r="AC30" s="696">
        <v>10.462</v>
      </c>
      <c r="AD30" s="696">
        <v>0.80500000000000005</v>
      </c>
      <c r="AE30" s="696">
        <v>4.2999999999999997E-2</v>
      </c>
      <c r="AF30" s="696">
        <v>0.24099999999999999</v>
      </c>
      <c r="AG30" s="696">
        <v>6.3150000000000004</v>
      </c>
      <c r="AH30" s="696">
        <v>0.13400000000000001</v>
      </c>
    </row>
    <row r="31" spans="1:34" ht="31.75">
      <c r="A31" s="186" t="s">
        <v>296</v>
      </c>
      <c r="B31" s="186" t="s">
        <v>31</v>
      </c>
      <c r="C31" s="860">
        <v>257.50200000000001</v>
      </c>
      <c r="D31" s="195">
        <f t="shared" si="0"/>
        <v>260</v>
      </c>
      <c r="E31" s="860">
        <v>0</v>
      </c>
      <c r="F31" s="536">
        <v>0</v>
      </c>
      <c r="G31" s="860">
        <v>2.3E-2</v>
      </c>
      <c r="H31" s="536">
        <v>0</v>
      </c>
      <c r="I31" s="860">
        <v>0</v>
      </c>
      <c r="J31" s="536">
        <v>0</v>
      </c>
      <c r="K31" s="860">
        <v>0</v>
      </c>
      <c r="L31" s="696">
        <v>0</v>
      </c>
      <c r="M31" s="860">
        <v>0</v>
      </c>
      <c r="N31" s="536">
        <v>0</v>
      </c>
      <c r="O31" s="860">
        <v>44.131</v>
      </c>
      <c r="P31" s="730">
        <f t="shared" si="1"/>
        <v>45</v>
      </c>
      <c r="Q31" s="860">
        <v>66.236000000000004</v>
      </c>
      <c r="R31" s="747">
        <f t="shared" si="2"/>
        <v>66</v>
      </c>
      <c r="S31" s="860">
        <v>0.13200000000000001</v>
      </c>
      <c r="T31" s="747">
        <v>0</v>
      </c>
      <c r="U31" s="860">
        <v>62.280999999999999</v>
      </c>
      <c r="V31" s="747">
        <f t="shared" ref="V31:V64" si="5">MROUND(U31,1)</f>
        <v>62</v>
      </c>
      <c r="W31" s="860">
        <v>60.204999999999998</v>
      </c>
      <c r="X31" s="747">
        <f t="shared" ref="X31:X64" si="6">MROUND(W31,1)</f>
        <v>60</v>
      </c>
      <c r="Y31" s="860">
        <v>3.4000000000000002E-2</v>
      </c>
      <c r="Z31" s="536">
        <v>0</v>
      </c>
      <c r="AA31" s="697">
        <v>0</v>
      </c>
      <c r="AB31" s="697">
        <v>0</v>
      </c>
      <c r="AC31" s="697">
        <v>15.613</v>
      </c>
      <c r="AD31" s="697">
        <v>1.2010000000000001</v>
      </c>
      <c r="AE31" s="697">
        <v>3.4000000000000002E-2</v>
      </c>
      <c r="AF31" s="697">
        <v>0.19</v>
      </c>
      <c r="AG31" s="697">
        <v>1.357</v>
      </c>
      <c r="AH31" s="697">
        <v>2.9000000000000001E-2</v>
      </c>
    </row>
    <row r="32" spans="1:34" ht="31.75">
      <c r="A32" s="186" t="s">
        <v>296</v>
      </c>
      <c r="B32" s="186" t="s">
        <v>40</v>
      </c>
      <c r="C32" s="860">
        <v>314.46600000000001</v>
      </c>
      <c r="D32" s="195">
        <f t="shared" si="0"/>
        <v>310</v>
      </c>
      <c r="E32" s="860">
        <v>0</v>
      </c>
      <c r="F32" s="536">
        <v>0</v>
      </c>
      <c r="G32" s="860">
        <v>0</v>
      </c>
      <c r="H32" s="536">
        <v>0</v>
      </c>
      <c r="I32" s="860">
        <v>0</v>
      </c>
      <c r="J32" s="536">
        <v>0</v>
      </c>
      <c r="K32" s="860">
        <v>0</v>
      </c>
      <c r="L32" s="696">
        <v>0</v>
      </c>
      <c r="M32" s="860">
        <v>0</v>
      </c>
      <c r="N32" s="536">
        <v>0</v>
      </c>
      <c r="O32" s="860">
        <v>51.024999999999999</v>
      </c>
      <c r="P32" s="730">
        <f t="shared" si="1"/>
        <v>50</v>
      </c>
      <c r="Q32" s="860">
        <v>80.311999999999998</v>
      </c>
      <c r="R32" s="747">
        <f t="shared" si="2"/>
        <v>80</v>
      </c>
      <c r="S32" s="860">
        <v>0</v>
      </c>
      <c r="T32" s="747">
        <v>0</v>
      </c>
      <c r="U32" s="860">
        <v>76.543000000000006</v>
      </c>
      <c r="V32" s="747">
        <f t="shared" si="5"/>
        <v>77</v>
      </c>
      <c r="W32" s="860">
        <v>72.015000000000001</v>
      </c>
      <c r="X32" s="747">
        <f t="shared" si="6"/>
        <v>72</v>
      </c>
      <c r="Y32" s="860">
        <v>3.5000000000000003E-2</v>
      </c>
      <c r="Z32" s="536">
        <v>0</v>
      </c>
      <c r="AA32" s="697">
        <v>1.444</v>
      </c>
      <c r="AB32" s="697">
        <v>7.22</v>
      </c>
      <c r="AC32" s="697">
        <v>10.544</v>
      </c>
      <c r="AD32" s="697">
        <v>0.81100000000000005</v>
      </c>
      <c r="AE32" s="697">
        <v>0.128</v>
      </c>
      <c r="AF32" s="697">
        <v>0.1711</v>
      </c>
      <c r="AG32" s="697">
        <v>49.676000000000002</v>
      </c>
      <c r="AH32" s="697">
        <v>1.0569999999999999</v>
      </c>
    </row>
    <row r="33" spans="1:34" ht="31.75">
      <c r="A33" s="186" t="s">
        <v>296</v>
      </c>
      <c r="B33" s="186" t="s">
        <v>33</v>
      </c>
      <c r="C33" s="860">
        <v>312.22800000000001</v>
      </c>
      <c r="D33" s="195">
        <f t="shared" si="0"/>
        <v>310</v>
      </c>
      <c r="E33" s="860">
        <v>5.8000000000000003E-2</v>
      </c>
      <c r="F33" s="536">
        <v>0</v>
      </c>
      <c r="G33" s="860">
        <v>6.0000000000000001E-3</v>
      </c>
      <c r="H33" s="536">
        <v>0</v>
      </c>
      <c r="I33" s="860">
        <v>1E-3</v>
      </c>
      <c r="J33" s="536">
        <v>0</v>
      </c>
      <c r="K33" s="860">
        <v>0</v>
      </c>
      <c r="L33" s="696">
        <v>0</v>
      </c>
      <c r="M33" s="860">
        <v>0</v>
      </c>
      <c r="N33" s="536">
        <v>0</v>
      </c>
      <c r="O33" s="860">
        <v>63.81</v>
      </c>
      <c r="P33" s="730">
        <f t="shared" si="1"/>
        <v>65</v>
      </c>
      <c r="Q33" s="860">
        <v>79.787999999999997</v>
      </c>
      <c r="R33" s="747">
        <f t="shared" si="2"/>
        <v>80</v>
      </c>
      <c r="S33" s="860">
        <v>0.14299999999999999</v>
      </c>
      <c r="T33" s="747">
        <v>0</v>
      </c>
      <c r="U33" s="860">
        <v>75.884</v>
      </c>
      <c r="V33" s="747">
        <f t="shared" si="5"/>
        <v>76</v>
      </c>
      <c r="W33" s="860">
        <v>75.83</v>
      </c>
      <c r="X33" s="747">
        <f t="shared" si="6"/>
        <v>76</v>
      </c>
      <c r="Y33" s="860">
        <v>3.7999999999999999E-2</v>
      </c>
      <c r="Z33" s="536">
        <v>0</v>
      </c>
      <c r="AA33" s="697">
        <v>0</v>
      </c>
      <c r="AB33" s="697">
        <v>0</v>
      </c>
      <c r="AC33" s="697">
        <v>10.130000000000001</v>
      </c>
      <c r="AD33" s="697">
        <v>0.77900000000000003</v>
      </c>
      <c r="AE33" s="697">
        <v>4.2999999999999997E-2</v>
      </c>
      <c r="AF33" s="697">
        <v>0.24199999999999999</v>
      </c>
      <c r="AG33" s="697">
        <v>4.2530000000000001</v>
      </c>
      <c r="AH33" s="697">
        <v>0.09</v>
      </c>
    </row>
    <row r="34" spans="1:34" ht="31.75">
      <c r="A34" s="186" t="s">
        <v>296</v>
      </c>
      <c r="B34" s="186" t="s">
        <v>50</v>
      </c>
      <c r="C34" s="860">
        <v>323.39699999999999</v>
      </c>
      <c r="D34" s="195">
        <f t="shared" si="0"/>
        <v>320</v>
      </c>
      <c r="E34" s="860">
        <v>0</v>
      </c>
      <c r="F34" s="536">
        <v>0</v>
      </c>
      <c r="G34" s="860">
        <v>2.1999999999999999E-2</v>
      </c>
      <c r="H34" s="536">
        <v>0</v>
      </c>
      <c r="I34" s="860">
        <v>6.0000000000000001E-3</v>
      </c>
      <c r="J34" s="536">
        <v>0</v>
      </c>
      <c r="K34" s="860">
        <v>0</v>
      </c>
      <c r="L34" s="696">
        <v>0</v>
      </c>
      <c r="M34" s="860">
        <v>0</v>
      </c>
      <c r="N34" s="536">
        <v>0</v>
      </c>
      <c r="O34" s="860">
        <v>48.536999999999999</v>
      </c>
      <c r="P34" s="730">
        <f t="shared" si="1"/>
        <v>50</v>
      </c>
      <c r="Q34" s="860">
        <v>82.242999999999995</v>
      </c>
      <c r="R34" s="747">
        <f t="shared" si="2"/>
        <v>82</v>
      </c>
      <c r="S34" s="860">
        <v>0.14899999999999999</v>
      </c>
      <c r="T34" s="747">
        <v>0</v>
      </c>
      <c r="U34" s="860">
        <v>78.492999999999995</v>
      </c>
      <c r="V34" s="747">
        <f t="shared" si="5"/>
        <v>78</v>
      </c>
      <c r="W34" s="860">
        <v>77.292000000000002</v>
      </c>
      <c r="X34" s="747">
        <f t="shared" si="6"/>
        <v>77</v>
      </c>
      <c r="Y34" s="860">
        <v>4.4999999999999998E-2</v>
      </c>
      <c r="Z34" s="536">
        <v>0</v>
      </c>
      <c r="AA34" s="697">
        <v>0</v>
      </c>
      <c r="AB34" s="697">
        <v>0</v>
      </c>
      <c r="AC34" s="700">
        <v>10.798999999999999</v>
      </c>
      <c r="AD34" s="700">
        <v>0.83099999999999996</v>
      </c>
      <c r="AE34" s="700">
        <v>0.10100000000000001</v>
      </c>
      <c r="AF34" s="700">
        <v>0.56100000000000005</v>
      </c>
      <c r="AG34" s="700">
        <v>23.5</v>
      </c>
      <c r="AH34" s="700">
        <v>0.5</v>
      </c>
    </row>
    <row r="35" spans="1:34" ht="31.75">
      <c r="A35" s="186" t="s">
        <v>296</v>
      </c>
      <c r="B35" s="186" t="s">
        <v>53</v>
      </c>
      <c r="C35" s="860">
        <v>324.22399999999999</v>
      </c>
      <c r="D35" s="195">
        <f t="shared" si="0"/>
        <v>320</v>
      </c>
      <c r="E35" s="860">
        <v>0</v>
      </c>
      <c r="F35" s="536">
        <v>0</v>
      </c>
      <c r="G35" s="860">
        <v>0.01</v>
      </c>
      <c r="H35" s="536">
        <v>0</v>
      </c>
      <c r="I35" s="860">
        <v>2E-3</v>
      </c>
      <c r="J35" s="536">
        <v>0</v>
      </c>
      <c r="K35" s="860">
        <v>0</v>
      </c>
      <c r="L35" s="696">
        <v>0</v>
      </c>
      <c r="M35" s="860">
        <v>0</v>
      </c>
      <c r="N35" s="536">
        <v>0</v>
      </c>
      <c r="O35" s="860">
        <v>46.448999999999998</v>
      </c>
      <c r="P35" s="730">
        <f t="shared" si="1"/>
        <v>45</v>
      </c>
      <c r="Q35" s="860">
        <v>81.775999999999996</v>
      </c>
      <c r="R35" s="747">
        <f t="shared" si="2"/>
        <v>82</v>
      </c>
      <c r="S35" s="860">
        <v>0.104</v>
      </c>
      <c r="T35" s="747">
        <v>0</v>
      </c>
      <c r="U35" s="860">
        <v>78.757000000000005</v>
      </c>
      <c r="V35" s="747">
        <f t="shared" si="5"/>
        <v>79</v>
      </c>
      <c r="W35" s="860">
        <v>77.563000000000002</v>
      </c>
      <c r="X35" s="747">
        <f t="shared" si="6"/>
        <v>78</v>
      </c>
      <c r="Y35" s="860">
        <v>4.8000000000000001E-2</v>
      </c>
      <c r="Z35" s="536">
        <v>0</v>
      </c>
      <c r="AA35" s="697">
        <v>0</v>
      </c>
      <c r="AB35" s="697">
        <v>0</v>
      </c>
      <c r="AC35" s="696">
        <v>10.582000000000001</v>
      </c>
      <c r="AD35" s="696">
        <v>0.81399999999999995</v>
      </c>
      <c r="AE35" s="696">
        <v>0.25</v>
      </c>
      <c r="AF35" s="696">
        <v>1.389</v>
      </c>
      <c r="AG35" s="696">
        <v>19.245000000000001</v>
      </c>
      <c r="AH35" s="696">
        <v>0.40899999999999997</v>
      </c>
    </row>
    <row r="36" spans="1:34" ht="31.75">
      <c r="A36" s="186" t="s">
        <v>296</v>
      </c>
      <c r="B36" s="186" t="s">
        <v>59</v>
      </c>
      <c r="C36" s="860">
        <v>324.23700000000002</v>
      </c>
      <c r="D36" s="195">
        <f t="shared" si="0"/>
        <v>320</v>
      </c>
      <c r="E36" s="860">
        <v>8.5999999999999993E-2</v>
      </c>
      <c r="F36" s="536">
        <v>0</v>
      </c>
      <c r="G36" s="860">
        <v>0.01</v>
      </c>
      <c r="H36" s="536">
        <v>0</v>
      </c>
      <c r="I36" s="860">
        <v>2E-3</v>
      </c>
      <c r="J36" s="536">
        <v>0</v>
      </c>
      <c r="K36" s="860">
        <v>0</v>
      </c>
      <c r="L36" s="696">
        <v>0</v>
      </c>
      <c r="M36" s="860">
        <v>0</v>
      </c>
      <c r="N36" s="536">
        <v>0</v>
      </c>
      <c r="O36" s="860">
        <v>46.45</v>
      </c>
      <c r="P36" s="730">
        <f t="shared" si="1"/>
        <v>45</v>
      </c>
      <c r="Q36" s="860">
        <v>81.778999999999996</v>
      </c>
      <c r="R36" s="747">
        <f t="shared" si="2"/>
        <v>82</v>
      </c>
      <c r="S36" s="860">
        <v>0.104</v>
      </c>
      <c r="T36" s="747">
        <v>0</v>
      </c>
      <c r="U36" s="860">
        <v>78.760000000000005</v>
      </c>
      <c r="V36" s="747">
        <f t="shared" si="5"/>
        <v>79</v>
      </c>
      <c r="W36" s="860">
        <v>77.566000000000003</v>
      </c>
      <c r="X36" s="747">
        <f t="shared" si="6"/>
        <v>78</v>
      </c>
      <c r="Y36" s="860">
        <v>4.8000000000000001E-2</v>
      </c>
      <c r="Z36" s="536">
        <v>0</v>
      </c>
      <c r="AA36" s="697">
        <v>0</v>
      </c>
      <c r="AB36" s="697">
        <v>0</v>
      </c>
      <c r="AC36" s="696">
        <v>10.582000000000001</v>
      </c>
      <c r="AD36" s="696">
        <v>0.81399999999999995</v>
      </c>
      <c r="AE36" s="696">
        <v>0.25</v>
      </c>
      <c r="AF36" s="696">
        <v>1.389</v>
      </c>
      <c r="AG36" s="696">
        <v>19.247</v>
      </c>
      <c r="AH36" s="696">
        <v>0.41</v>
      </c>
    </row>
    <row r="37" spans="1:34" ht="31.75">
      <c r="A37" s="186" t="s">
        <v>296</v>
      </c>
      <c r="B37" s="186" t="s">
        <v>58</v>
      </c>
      <c r="C37" s="860">
        <v>316.80200000000002</v>
      </c>
      <c r="D37" s="195">
        <f t="shared" ref="D37:D68" si="7">MROUND(C37,10)</f>
        <v>320</v>
      </c>
      <c r="E37" s="860">
        <v>0</v>
      </c>
      <c r="F37" s="536">
        <v>0</v>
      </c>
      <c r="G37" s="860">
        <v>0.77300000000000002</v>
      </c>
      <c r="H37" s="696">
        <f>MROUND(G37,0.5)</f>
        <v>1</v>
      </c>
      <c r="I37" s="860">
        <v>0</v>
      </c>
      <c r="J37" s="536">
        <v>0</v>
      </c>
      <c r="K37" s="860">
        <v>0</v>
      </c>
      <c r="L37" s="696">
        <v>0</v>
      </c>
      <c r="M37" s="860">
        <v>0</v>
      </c>
      <c r="N37" s="536">
        <v>0</v>
      </c>
      <c r="O37" s="860">
        <v>47.234000000000002</v>
      </c>
      <c r="P37" s="730">
        <f t="shared" ref="P37:P68" si="8">MROUND(O37,5)</f>
        <v>45</v>
      </c>
      <c r="Q37" s="860">
        <v>80.302000000000007</v>
      </c>
      <c r="R37" s="747">
        <f t="shared" ref="R37:R68" si="9">MROUND(Q37,1)</f>
        <v>80</v>
      </c>
      <c r="S37" s="860">
        <v>0.15</v>
      </c>
      <c r="T37" s="747">
        <v>0</v>
      </c>
      <c r="U37" s="860">
        <v>77.16</v>
      </c>
      <c r="V37" s="747">
        <f t="shared" si="5"/>
        <v>77</v>
      </c>
      <c r="W37" s="860">
        <v>76.397999999999996</v>
      </c>
      <c r="X37" s="747">
        <f t="shared" si="6"/>
        <v>76</v>
      </c>
      <c r="Y37" s="860">
        <v>0.05</v>
      </c>
      <c r="Z37" s="536">
        <v>0</v>
      </c>
      <c r="AA37" s="697">
        <v>0</v>
      </c>
      <c r="AB37" s="697">
        <v>0</v>
      </c>
      <c r="AC37" s="700">
        <v>12.462999999999999</v>
      </c>
      <c r="AD37" s="700">
        <v>0.95899999999999996</v>
      </c>
      <c r="AE37" s="700">
        <v>9.5000000000000001E-2</v>
      </c>
      <c r="AF37" s="700">
        <v>0.52800000000000002</v>
      </c>
      <c r="AG37" s="700">
        <v>1.8420000000000001</v>
      </c>
      <c r="AH37" s="700">
        <v>3.9E-2</v>
      </c>
    </row>
    <row r="38" spans="1:34" ht="31.75">
      <c r="A38" s="186" t="s">
        <v>296</v>
      </c>
      <c r="B38" s="186" t="s">
        <v>48</v>
      </c>
      <c r="C38" s="860">
        <v>247.96600000000001</v>
      </c>
      <c r="D38" s="195">
        <f t="shared" si="7"/>
        <v>250</v>
      </c>
      <c r="E38" s="860">
        <v>7.8E-2</v>
      </c>
      <c r="F38" s="536">
        <v>0</v>
      </c>
      <c r="G38" s="860">
        <v>1.7999999999999999E-2</v>
      </c>
      <c r="H38" s="536">
        <v>0</v>
      </c>
      <c r="I38" s="860">
        <v>1E-3</v>
      </c>
      <c r="J38" s="536">
        <v>0</v>
      </c>
      <c r="K38" s="860">
        <v>0</v>
      </c>
      <c r="L38" s="696">
        <v>0</v>
      </c>
      <c r="M38" s="860">
        <v>0</v>
      </c>
      <c r="N38" s="536">
        <v>0</v>
      </c>
      <c r="O38" s="860">
        <v>38.75</v>
      </c>
      <c r="P38" s="730">
        <f t="shared" si="8"/>
        <v>40</v>
      </c>
      <c r="Q38" s="860">
        <v>64.200999999999993</v>
      </c>
      <c r="R38" s="747">
        <f t="shared" si="9"/>
        <v>64</v>
      </c>
      <c r="S38" s="860">
        <v>0.157</v>
      </c>
      <c r="T38" s="747">
        <v>0</v>
      </c>
      <c r="U38" s="860">
        <v>61.170999999999999</v>
      </c>
      <c r="V38" s="747">
        <f t="shared" si="5"/>
        <v>61</v>
      </c>
      <c r="W38" s="860">
        <v>61.003</v>
      </c>
      <c r="X38" s="747">
        <f t="shared" si="6"/>
        <v>61</v>
      </c>
      <c r="Y38" s="860">
        <v>5.6000000000000001E-2</v>
      </c>
      <c r="Z38" s="536">
        <v>0</v>
      </c>
      <c r="AA38" s="697">
        <v>0</v>
      </c>
      <c r="AB38" s="697">
        <v>0</v>
      </c>
      <c r="AC38" s="697">
        <v>12.462</v>
      </c>
      <c r="AD38" s="697">
        <v>0.95899999999999996</v>
      </c>
      <c r="AE38" s="697">
        <v>6.6000000000000003E-2</v>
      </c>
      <c r="AF38" s="697">
        <v>0.36699999999999999</v>
      </c>
      <c r="AG38" s="697">
        <v>11.797000000000001</v>
      </c>
      <c r="AH38" s="697">
        <v>0.251</v>
      </c>
    </row>
    <row r="39" spans="1:34" ht="31.75">
      <c r="A39" s="186" t="s">
        <v>296</v>
      </c>
      <c r="B39" s="186" t="s">
        <v>301</v>
      </c>
      <c r="C39" s="859">
        <v>284.65899999999999</v>
      </c>
      <c r="D39" s="195">
        <f t="shared" si="7"/>
        <v>280</v>
      </c>
      <c r="E39" s="859">
        <v>0.123</v>
      </c>
      <c r="F39" s="536">
        <v>0</v>
      </c>
      <c r="G39" s="859">
        <v>1.4E-2</v>
      </c>
      <c r="H39" s="536">
        <v>0</v>
      </c>
      <c r="I39" s="859">
        <v>4.0000000000000001E-3</v>
      </c>
      <c r="J39" s="536">
        <v>0</v>
      </c>
      <c r="K39" s="859">
        <v>0</v>
      </c>
      <c r="L39" s="696">
        <v>0</v>
      </c>
      <c r="M39" s="859">
        <v>0</v>
      </c>
      <c r="N39" s="536">
        <v>0</v>
      </c>
      <c r="O39" s="859">
        <v>46.917000000000002</v>
      </c>
      <c r="P39" s="730">
        <f t="shared" si="8"/>
        <v>45</v>
      </c>
      <c r="Q39" s="859">
        <v>72.307000000000002</v>
      </c>
      <c r="R39" s="747">
        <f t="shared" si="9"/>
        <v>72</v>
      </c>
      <c r="S39" s="859">
        <v>6.5000000000000002E-2</v>
      </c>
      <c r="T39" s="747">
        <v>0</v>
      </c>
      <c r="U39" s="859">
        <v>69.067999999999998</v>
      </c>
      <c r="V39" s="747">
        <f t="shared" si="5"/>
        <v>69</v>
      </c>
      <c r="W39" s="859">
        <v>68.503</v>
      </c>
      <c r="X39" s="747">
        <f t="shared" si="6"/>
        <v>69</v>
      </c>
      <c r="Y39" s="859">
        <v>6.9000000000000006E-2</v>
      </c>
      <c r="Z39" s="536">
        <v>0</v>
      </c>
      <c r="AA39" s="694">
        <v>0</v>
      </c>
      <c r="AB39" s="694">
        <v>0</v>
      </c>
      <c r="AC39" s="694">
        <v>9.9039999999999999</v>
      </c>
      <c r="AD39" s="694">
        <v>0.76200000000000001</v>
      </c>
      <c r="AE39" s="694">
        <v>3.9E-2</v>
      </c>
      <c r="AF39" s="694">
        <v>0.218</v>
      </c>
      <c r="AG39" s="694">
        <v>20.498000000000001</v>
      </c>
      <c r="AH39" s="694">
        <v>0.436</v>
      </c>
    </row>
    <row r="40" spans="1:34" s="538" customFormat="1" ht="31.75">
      <c r="A40" s="186" t="s">
        <v>296</v>
      </c>
      <c r="B40" s="186" t="s">
        <v>76</v>
      </c>
      <c r="C40" s="860">
        <v>328.28500000000003</v>
      </c>
      <c r="D40" s="195">
        <f t="shared" si="7"/>
        <v>330</v>
      </c>
      <c r="E40" s="860">
        <v>9.8000000000000004E-2</v>
      </c>
      <c r="F40" s="536">
        <v>0</v>
      </c>
      <c r="G40" s="860">
        <v>1.0999999999999999E-2</v>
      </c>
      <c r="H40" s="536">
        <v>0</v>
      </c>
      <c r="I40" s="860">
        <v>1E-3</v>
      </c>
      <c r="J40" s="536">
        <v>0</v>
      </c>
      <c r="K40" s="860">
        <v>3.0000000000000001E-3</v>
      </c>
      <c r="L40" s="696">
        <v>0</v>
      </c>
      <c r="M40" s="860">
        <v>0</v>
      </c>
      <c r="N40" s="536">
        <v>0</v>
      </c>
      <c r="O40" s="860">
        <v>45.695</v>
      </c>
      <c r="P40" s="730">
        <f t="shared" si="8"/>
        <v>45</v>
      </c>
      <c r="Q40" s="860">
        <v>83.399000000000001</v>
      </c>
      <c r="R40" s="747">
        <f t="shared" si="9"/>
        <v>83</v>
      </c>
      <c r="S40" s="860">
        <v>5.8000000000000003E-2</v>
      </c>
      <c r="T40" s="747">
        <v>0</v>
      </c>
      <c r="U40" s="860">
        <v>80.635999999999996</v>
      </c>
      <c r="V40" s="747">
        <f t="shared" si="5"/>
        <v>81</v>
      </c>
      <c r="W40" s="860">
        <v>80.188000000000002</v>
      </c>
      <c r="X40" s="747">
        <f t="shared" si="6"/>
        <v>80</v>
      </c>
      <c r="Y40" s="860">
        <v>6.9000000000000006E-2</v>
      </c>
      <c r="Z40" s="536">
        <v>0</v>
      </c>
      <c r="AA40" s="697">
        <v>0</v>
      </c>
      <c r="AB40" s="697">
        <v>0</v>
      </c>
      <c r="AC40" s="696">
        <v>10.029999999999999</v>
      </c>
      <c r="AD40" s="696">
        <v>0.77200000000000002</v>
      </c>
      <c r="AE40" s="696">
        <v>8.5999999999999993E-2</v>
      </c>
      <c r="AF40" s="696">
        <v>0.47799999999999998</v>
      </c>
      <c r="AG40" s="696">
        <v>9.2509999999999994</v>
      </c>
      <c r="AH40" s="696">
        <v>0.19700000000000001</v>
      </c>
    </row>
    <row r="41" spans="1:34" ht="31.75">
      <c r="A41" s="186" t="s">
        <v>296</v>
      </c>
      <c r="B41" s="186" t="s">
        <v>73</v>
      </c>
      <c r="C41" s="861">
        <v>281.09399999999999</v>
      </c>
      <c r="D41" s="195">
        <f t="shared" si="7"/>
        <v>280</v>
      </c>
      <c r="E41" s="861">
        <v>17.111999999999998</v>
      </c>
      <c r="F41" s="696">
        <f>MROUND(E41,5)</f>
        <v>15</v>
      </c>
      <c r="G41" s="861">
        <v>1.901</v>
      </c>
      <c r="H41" s="696">
        <f>MROUND(G41,0.5)</f>
        <v>2</v>
      </c>
      <c r="I41" s="861">
        <v>1.7050000000000001</v>
      </c>
      <c r="J41" s="696">
        <f>MROUND(I41,0.5)</f>
        <v>1.5</v>
      </c>
      <c r="K41" s="861">
        <v>0</v>
      </c>
      <c r="L41" s="696">
        <v>0</v>
      </c>
      <c r="M41" s="861">
        <v>0</v>
      </c>
      <c r="N41" s="536">
        <v>0</v>
      </c>
      <c r="O41" s="861">
        <v>45.656999999999996</v>
      </c>
      <c r="P41" s="730">
        <f t="shared" si="8"/>
        <v>45</v>
      </c>
      <c r="Q41" s="861">
        <v>66.201999999999998</v>
      </c>
      <c r="R41" s="747">
        <f t="shared" si="9"/>
        <v>66</v>
      </c>
      <c r="S41" s="861">
        <v>0.432</v>
      </c>
      <c r="T41" s="747">
        <v>0</v>
      </c>
      <c r="U41" s="861">
        <v>63.706000000000003</v>
      </c>
      <c r="V41" s="747">
        <f t="shared" si="5"/>
        <v>64</v>
      </c>
      <c r="W41" s="861">
        <v>55.548000000000002</v>
      </c>
      <c r="X41" s="747">
        <f t="shared" si="6"/>
        <v>56</v>
      </c>
      <c r="Y41" s="861">
        <v>0.10100000000000001</v>
      </c>
      <c r="Z41" s="536">
        <v>0</v>
      </c>
      <c r="AA41" s="761">
        <v>0</v>
      </c>
      <c r="AB41" s="761">
        <v>0</v>
      </c>
      <c r="AC41" s="761">
        <v>9.6950000000000003</v>
      </c>
      <c r="AD41" s="761">
        <v>0.746</v>
      </c>
      <c r="AE41" s="761">
        <v>0.05</v>
      </c>
      <c r="AF41" s="761">
        <v>0.27900000000000003</v>
      </c>
      <c r="AG41" s="761">
        <v>6.0709999999999997</v>
      </c>
      <c r="AH41" s="761">
        <v>0.129</v>
      </c>
    </row>
    <row r="42" spans="1:34" ht="31.75">
      <c r="A42" s="186" t="s">
        <v>296</v>
      </c>
      <c r="B42" s="186" t="s">
        <v>67</v>
      </c>
      <c r="C42" s="860">
        <v>333.49900000000002</v>
      </c>
      <c r="D42" s="195">
        <f t="shared" si="7"/>
        <v>330</v>
      </c>
      <c r="E42" s="860">
        <v>2.1999999999999999E-2</v>
      </c>
      <c r="F42" s="536">
        <v>0</v>
      </c>
      <c r="G42" s="860">
        <v>2E-3</v>
      </c>
      <c r="H42" s="536">
        <v>0</v>
      </c>
      <c r="I42" s="860">
        <v>0</v>
      </c>
      <c r="J42" s="536">
        <v>0</v>
      </c>
      <c r="K42" s="860">
        <v>0</v>
      </c>
      <c r="L42" s="696">
        <v>0</v>
      </c>
      <c r="M42" s="860">
        <v>0</v>
      </c>
      <c r="N42" s="536">
        <v>0</v>
      </c>
      <c r="O42" s="860">
        <v>47.179000000000002</v>
      </c>
      <c r="P42" s="730">
        <f t="shared" si="8"/>
        <v>45</v>
      </c>
      <c r="Q42" s="860">
        <v>84.337000000000003</v>
      </c>
      <c r="R42" s="747">
        <f t="shared" si="9"/>
        <v>84</v>
      </c>
      <c r="S42" s="860">
        <v>9.0999999999999998E-2</v>
      </c>
      <c r="T42" s="747">
        <v>0</v>
      </c>
      <c r="U42" s="860">
        <v>81.781000000000006</v>
      </c>
      <c r="V42" s="747">
        <f t="shared" si="5"/>
        <v>82</v>
      </c>
      <c r="W42" s="860">
        <v>81.322999999999993</v>
      </c>
      <c r="X42" s="747">
        <f t="shared" si="6"/>
        <v>81</v>
      </c>
      <c r="Y42" s="860">
        <v>0.10100000000000001</v>
      </c>
      <c r="Z42" s="536">
        <v>0</v>
      </c>
      <c r="AA42" s="697">
        <v>0</v>
      </c>
      <c r="AB42" s="697">
        <v>0</v>
      </c>
      <c r="AC42" s="696">
        <v>10.602</v>
      </c>
      <c r="AD42" s="696">
        <v>0.81599999999999995</v>
      </c>
      <c r="AE42" s="696">
        <v>8.3000000000000004E-2</v>
      </c>
      <c r="AF42" s="696">
        <v>0.46200000000000002</v>
      </c>
      <c r="AG42" s="696">
        <v>3.1139999999999999</v>
      </c>
      <c r="AH42" s="696">
        <v>6.6000000000000003E-2</v>
      </c>
    </row>
    <row r="43" spans="1:34" ht="31.75">
      <c r="A43" s="186" t="s">
        <v>296</v>
      </c>
      <c r="B43" s="186" t="s">
        <v>372</v>
      </c>
      <c r="C43" s="860">
        <v>294.33699999999999</v>
      </c>
      <c r="D43" s="195">
        <f t="shared" si="7"/>
        <v>290</v>
      </c>
      <c r="E43" s="860">
        <v>9.2999999999999999E-2</v>
      </c>
      <c r="F43" s="536">
        <v>0</v>
      </c>
      <c r="G43" s="860">
        <v>0.01</v>
      </c>
      <c r="H43" s="536">
        <v>0</v>
      </c>
      <c r="I43" s="860">
        <v>3.0000000000000001E-3</v>
      </c>
      <c r="J43" s="536">
        <v>0</v>
      </c>
      <c r="K43" s="860">
        <v>0</v>
      </c>
      <c r="L43" s="696">
        <v>0</v>
      </c>
      <c r="M43" s="860">
        <v>0</v>
      </c>
      <c r="N43" s="536">
        <v>0</v>
      </c>
      <c r="O43" s="860">
        <v>41.564</v>
      </c>
      <c r="P43" s="730">
        <f t="shared" si="8"/>
        <v>40</v>
      </c>
      <c r="Q43" s="860">
        <v>74.393000000000001</v>
      </c>
      <c r="R43" s="747">
        <f t="shared" si="9"/>
        <v>74</v>
      </c>
      <c r="S43" s="860">
        <v>0.22800000000000001</v>
      </c>
      <c r="T43" s="747">
        <v>0</v>
      </c>
      <c r="U43" s="860">
        <v>71.394000000000005</v>
      </c>
      <c r="V43" s="747">
        <f t="shared" si="5"/>
        <v>71</v>
      </c>
      <c r="W43" s="860">
        <v>69.950999999999993</v>
      </c>
      <c r="X43" s="747">
        <f t="shared" si="6"/>
        <v>70</v>
      </c>
      <c r="Y43" s="860">
        <v>0.11899999999999999</v>
      </c>
      <c r="Z43" s="536">
        <v>0</v>
      </c>
      <c r="AA43" s="697">
        <v>0</v>
      </c>
      <c r="AB43" s="697">
        <v>0</v>
      </c>
      <c r="AC43" s="697">
        <v>10.526999999999999</v>
      </c>
      <c r="AD43" s="697">
        <v>0.81</v>
      </c>
      <c r="AE43" s="697">
        <v>7.9000000000000001E-2</v>
      </c>
      <c r="AF43" s="697">
        <v>0.44</v>
      </c>
      <c r="AG43" s="697">
        <v>11.516999999999999</v>
      </c>
      <c r="AH43" s="697">
        <v>0.245</v>
      </c>
    </row>
    <row r="44" spans="1:34" ht="31.75">
      <c r="A44" s="186" t="s">
        <v>296</v>
      </c>
      <c r="B44" s="186" t="s">
        <v>32</v>
      </c>
      <c r="C44" s="860">
        <v>278.13499999999999</v>
      </c>
      <c r="D44" s="195">
        <f t="shared" si="7"/>
        <v>280</v>
      </c>
      <c r="E44" s="860">
        <v>0.39600000000000002</v>
      </c>
      <c r="F44" s="536">
        <v>0</v>
      </c>
      <c r="G44" s="860">
        <v>4.3999999999999997E-2</v>
      </c>
      <c r="H44" s="536">
        <v>0</v>
      </c>
      <c r="I44" s="860">
        <v>0</v>
      </c>
      <c r="J44" s="536">
        <v>0</v>
      </c>
      <c r="K44" s="860">
        <v>0</v>
      </c>
      <c r="L44" s="696">
        <v>0</v>
      </c>
      <c r="M44" s="860">
        <v>0</v>
      </c>
      <c r="N44" s="536">
        <v>0</v>
      </c>
      <c r="O44" s="860">
        <v>37.512999999999998</v>
      </c>
      <c r="P44" s="730">
        <f t="shared" si="8"/>
        <v>40</v>
      </c>
      <c r="Q44" s="860">
        <v>72.188999999999993</v>
      </c>
      <c r="R44" s="747">
        <f t="shared" si="9"/>
        <v>72</v>
      </c>
      <c r="S44" s="860">
        <v>6.8000000000000005E-2</v>
      </c>
      <c r="T44" s="747">
        <v>0</v>
      </c>
      <c r="U44" s="860">
        <v>67.168000000000006</v>
      </c>
      <c r="V44" s="747">
        <f t="shared" si="5"/>
        <v>67</v>
      </c>
      <c r="W44" s="860">
        <v>66.712000000000003</v>
      </c>
      <c r="X44" s="747">
        <f t="shared" si="6"/>
        <v>67</v>
      </c>
      <c r="Y44" s="860">
        <v>0.122</v>
      </c>
      <c r="Z44" s="536">
        <v>0</v>
      </c>
      <c r="AA44" s="697">
        <v>0</v>
      </c>
      <c r="AB44" s="697">
        <v>0</v>
      </c>
      <c r="AC44" s="697">
        <v>11.615</v>
      </c>
      <c r="AD44" s="697">
        <v>0.89300000000000002</v>
      </c>
      <c r="AE44" s="697">
        <v>3.2000000000000001E-2</v>
      </c>
      <c r="AF44" s="697">
        <v>0.17599999999999999</v>
      </c>
      <c r="AG44" s="697">
        <v>31.614999999999998</v>
      </c>
      <c r="AH44" s="697">
        <v>0.67300000000000004</v>
      </c>
    </row>
    <row r="45" spans="1:34" ht="31.75">
      <c r="A45" s="186" t="s">
        <v>296</v>
      </c>
      <c r="B45" s="186" t="s">
        <v>55</v>
      </c>
      <c r="C45" s="860">
        <v>279.5</v>
      </c>
      <c r="D45" s="195">
        <f t="shared" si="7"/>
        <v>280</v>
      </c>
      <c r="E45" s="860">
        <v>2.1000000000000001E-2</v>
      </c>
      <c r="F45" s="536">
        <v>0</v>
      </c>
      <c r="G45" s="860">
        <v>3.6999999999999998E-2</v>
      </c>
      <c r="H45" s="536">
        <v>0</v>
      </c>
      <c r="I45" s="860">
        <v>0</v>
      </c>
      <c r="J45" s="536">
        <v>0</v>
      </c>
      <c r="K45" s="860">
        <v>0</v>
      </c>
      <c r="L45" s="696">
        <v>0</v>
      </c>
      <c r="M45" s="860">
        <v>0</v>
      </c>
      <c r="N45" s="536">
        <v>0</v>
      </c>
      <c r="O45" s="860">
        <v>61.691000000000003</v>
      </c>
      <c r="P45" s="730">
        <f t="shared" si="8"/>
        <v>60</v>
      </c>
      <c r="Q45" s="860">
        <v>71.423000000000002</v>
      </c>
      <c r="R45" s="747">
        <f t="shared" si="9"/>
        <v>71</v>
      </c>
      <c r="S45" s="860">
        <v>0.123</v>
      </c>
      <c r="T45" s="747">
        <v>0</v>
      </c>
      <c r="U45" s="860">
        <v>66.415000000000006</v>
      </c>
      <c r="V45" s="747">
        <f t="shared" si="5"/>
        <v>66</v>
      </c>
      <c r="W45" s="860">
        <v>65.944000000000003</v>
      </c>
      <c r="X45" s="747">
        <f t="shared" si="6"/>
        <v>66</v>
      </c>
      <c r="Y45" s="860">
        <v>0.127</v>
      </c>
      <c r="Z45" s="536">
        <v>0</v>
      </c>
      <c r="AA45" s="697">
        <v>1.7999999999999999E-2</v>
      </c>
      <c r="AB45" s="697">
        <v>0.09</v>
      </c>
      <c r="AC45" s="700">
        <v>11.798</v>
      </c>
      <c r="AD45" s="700">
        <v>0.90800000000000003</v>
      </c>
      <c r="AE45" s="700">
        <v>0.08</v>
      </c>
      <c r="AF45" s="700">
        <v>0.44400000000000001</v>
      </c>
      <c r="AG45" s="700">
        <v>23.193999999999999</v>
      </c>
      <c r="AH45" s="700">
        <v>0.49299999999999999</v>
      </c>
    </row>
    <row r="46" spans="1:34" ht="31.75">
      <c r="A46" s="186" t="s">
        <v>296</v>
      </c>
      <c r="B46" s="186" t="s">
        <v>311</v>
      </c>
      <c r="C46" s="909">
        <v>276.18400000000003</v>
      </c>
      <c r="D46" s="195">
        <f t="shared" si="7"/>
        <v>280</v>
      </c>
      <c r="E46" s="860">
        <v>0</v>
      </c>
      <c r="F46" s="536">
        <v>0</v>
      </c>
      <c r="G46" s="860">
        <v>0</v>
      </c>
      <c r="H46" s="536">
        <v>0</v>
      </c>
      <c r="I46" s="860">
        <v>0</v>
      </c>
      <c r="J46" s="536">
        <v>0</v>
      </c>
      <c r="K46" s="860">
        <v>0</v>
      </c>
      <c r="L46" s="696">
        <v>0</v>
      </c>
      <c r="M46" s="860">
        <v>0</v>
      </c>
      <c r="N46" s="536">
        <v>0</v>
      </c>
      <c r="O46" s="860">
        <v>42.881</v>
      </c>
      <c r="P46" s="730">
        <f t="shared" si="8"/>
        <v>45</v>
      </c>
      <c r="Q46" s="860">
        <v>70.548000000000002</v>
      </c>
      <c r="R46" s="747">
        <f t="shared" si="9"/>
        <v>71</v>
      </c>
      <c r="S46" s="860">
        <v>0.18099999999999999</v>
      </c>
      <c r="T46" s="747">
        <v>0</v>
      </c>
      <c r="U46" s="860">
        <v>68.536000000000001</v>
      </c>
      <c r="V46" s="747">
        <f t="shared" si="5"/>
        <v>69</v>
      </c>
      <c r="W46" s="860">
        <v>67.894000000000005</v>
      </c>
      <c r="X46" s="747">
        <f t="shared" si="6"/>
        <v>68</v>
      </c>
      <c r="Y46" s="860">
        <v>0.127</v>
      </c>
      <c r="Z46" s="536">
        <v>0</v>
      </c>
      <c r="AA46" s="697">
        <v>0</v>
      </c>
      <c r="AB46" s="697">
        <v>0</v>
      </c>
      <c r="AC46" s="697">
        <v>9.1620000000000008</v>
      </c>
      <c r="AD46" s="697">
        <v>0.70499999999999996</v>
      </c>
      <c r="AE46" s="697">
        <v>6.9000000000000006E-2</v>
      </c>
      <c r="AF46" s="697">
        <v>0.38400000000000001</v>
      </c>
      <c r="AG46" s="697">
        <v>1.153</v>
      </c>
      <c r="AH46" s="697">
        <v>2.5000000000000001E-2</v>
      </c>
    </row>
    <row r="47" spans="1:34" ht="31.75">
      <c r="A47" s="186" t="s">
        <v>296</v>
      </c>
      <c r="B47" s="186" t="s">
        <v>54</v>
      </c>
      <c r="C47" s="860">
        <v>329.63499999999999</v>
      </c>
      <c r="D47" s="195">
        <f t="shared" si="7"/>
        <v>330</v>
      </c>
      <c r="E47" s="860">
        <v>0</v>
      </c>
      <c r="F47" s="536">
        <v>0</v>
      </c>
      <c r="G47" s="860">
        <v>1.2999999999999999E-2</v>
      </c>
      <c r="H47" s="536">
        <v>0</v>
      </c>
      <c r="I47" s="860">
        <v>3.0000000000000001E-3</v>
      </c>
      <c r="J47" s="536">
        <v>0</v>
      </c>
      <c r="K47" s="860">
        <v>0</v>
      </c>
      <c r="L47" s="696">
        <v>0</v>
      </c>
      <c r="M47" s="860">
        <v>0</v>
      </c>
      <c r="N47" s="536">
        <v>0</v>
      </c>
      <c r="O47" s="860">
        <v>48.281999999999996</v>
      </c>
      <c r="P47" s="730">
        <f t="shared" si="8"/>
        <v>50</v>
      </c>
      <c r="Q47" s="860">
        <v>83.448999999999998</v>
      </c>
      <c r="R47" s="747">
        <f t="shared" si="9"/>
        <v>83</v>
      </c>
      <c r="S47" s="860">
        <v>0.19</v>
      </c>
      <c r="T47" s="747">
        <v>0</v>
      </c>
      <c r="U47" s="860">
        <v>80.325000000000003</v>
      </c>
      <c r="V47" s="747">
        <f t="shared" si="5"/>
        <v>80</v>
      </c>
      <c r="W47" s="860">
        <v>79.173000000000002</v>
      </c>
      <c r="X47" s="747">
        <f t="shared" si="6"/>
        <v>79</v>
      </c>
      <c r="Y47" s="860">
        <v>0.13500000000000001</v>
      </c>
      <c r="Z47" s="536">
        <v>0</v>
      </c>
      <c r="AA47" s="697">
        <v>0</v>
      </c>
      <c r="AB47" s="697">
        <v>0</v>
      </c>
      <c r="AC47" s="697">
        <v>10.773999999999999</v>
      </c>
      <c r="AD47" s="697">
        <v>0.82899999999999996</v>
      </c>
      <c r="AE47" s="697">
        <v>0.12</v>
      </c>
      <c r="AF47" s="697">
        <v>0.66700000000000004</v>
      </c>
      <c r="AG47" s="697">
        <v>14.018000000000001</v>
      </c>
      <c r="AH47" s="697">
        <v>0.29799999999999999</v>
      </c>
    </row>
    <row r="48" spans="1:34" ht="31.75">
      <c r="A48" s="186" t="s">
        <v>296</v>
      </c>
      <c r="B48" s="186" t="s">
        <v>26</v>
      </c>
      <c r="C48" s="861">
        <v>351.37900000000002</v>
      </c>
      <c r="D48" s="195">
        <f t="shared" si="7"/>
        <v>350</v>
      </c>
      <c r="E48" s="861">
        <v>0.85199999999999998</v>
      </c>
      <c r="F48" s="536">
        <v>0</v>
      </c>
      <c r="G48" s="861">
        <v>9.5000000000000001E-2</v>
      </c>
      <c r="H48" s="536">
        <v>0</v>
      </c>
      <c r="I48" s="861">
        <v>7.9000000000000001E-2</v>
      </c>
      <c r="J48" s="536">
        <v>0</v>
      </c>
      <c r="K48" s="861">
        <v>3.0000000000000001E-3</v>
      </c>
      <c r="L48" s="696">
        <v>0</v>
      </c>
      <c r="M48" s="861">
        <v>0</v>
      </c>
      <c r="N48" s="536">
        <v>0</v>
      </c>
      <c r="O48" s="861">
        <v>40.393999999999998</v>
      </c>
      <c r="P48" s="730">
        <f t="shared" si="8"/>
        <v>40</v>
      </c>
      <c r="Q48" s="861">
        <v>88.924999999999997</v>
      </c>
      <c r="R48" s="747">
        <f t="shared" si="9"/>
        <v>89</v>
      </c>
      <c r="S48" s="861">
        <v>0.38200000000000001</v>
      </c>
      <c r="T48" s="747">
        <v>0</v>
      </c>
      <c r="U48" s="861">
        <v>84.921000000000006</v>
      </c>
      <c r="V48" s="747">
        <f t="shared" si="5"/>
        <v>85</v>
      </c>
      <c r="W48" s="861">
        <v>82.397999999999996</v>
      </c>
      <c r="X48" s="747">
        <f t="shared" si="6"/>
        <v>82</v>
      </c>
      <c r="Y48" s="861">
        <v>0.13600000000000001</v>
      </c>
      <c r="Z48" s="536">
        <v>0</v>
      </c>
      <c r="AA48" s="1134">
        <v>0</v>
      </c>
      <c r="AB48" s="1134">
        <v>0</v>
      </c>
      <c r="AC48" s="1134">
        <v>9.0389999999999997</v>
      </c>
      <c r="AD48" s="1134">
        <v>0.69499999999999995</v>
      </c>
      <c r="AE48" s="1134">
        <v>6.8000000000000005E-2</v>
      </c>
      <c r="AF48" s="1134">
        <v>0.38</v>
      </c>
      <c r="AG48" s="1134">
        <v>68.909000000000006</v>
      </c>
      <c r="AH48" s="1134">
        <v>1.466</v>
      </c>
    </row>
    <row r="49" spans="1:34" ht="31.75">
      <c r="A49" s="186" t="s">
        <v>296</v>
      </c>
      <c r="B49" s="186" t="s">
        <v>51</v>
      </c>
      <c r="C49" s="860">
        <v>320.04899999999998</v>
      </c>
      <c r="D49" s="195">
        <f t="shared" si="7"/>
        <v>320</v>
      </c>
      <c r="E49" s="860">
        <v>0</v>
      </c>
      <c r="F49" s="536">
        <v>0</v>
      </c>
      <c r="G49" s="860">
        <v>2.8000000000000001E-2</v>
      </c>
      <c r="H49" s="536">
        <v>0</v>
      </c>
      <c r="I49" s="860">
        <v>3.0000000000000001E-3</v>
      </c>
      <c r="J49" s="536">
        <v>0</v>
      </c>
      <c r="K49" s="860">
        <v>0</v>
      </c>
      <c r="L49" s="696">
        <v>0</v>
      </c>
      <c r="M49" s="860">
        <v>0</v>
      </c>
      <c r="N49" s="536">
        <v>0</v>
      </c>
      <c r="O49" s="860">
        <v>43.183999999999997</v>
      </c>
      <c r="P49" s="730">
        <f t="shared" si="8"/>
        <v>45</v>
      </c>
      <c r="Q49" s="860">
        <v>80.331000000000003</v>
      </c>
      <c r="R49" s="747">
        <f t="shared" si="9"/>
        <v>80</v>
      </c>
      <c r="S49" s="860">
        <v>0.30499999999999999</v>
      </c>
      <c r="T49" s="747">
        <v>0</v>
      </c>
      <c r="U49" s="860">
        <v>74.456999999999994</v>
      </c>
      <c r="V49" s="747">
        <f t="shared" si="5"/>
        <v>74</v>
      </c>
      <c r="W49" s="860">
        <v>58.915999999999997</v>
      </c>
      <c r="X49" s="747">
        <f t="shared" si="6"/>
        <v>59</v>
      </c>
      <c r="Y49" s="860">
        <v>0.13900000000000001</v>
      </c>
      <c r="Z49" s="536">
        <v>0</v>
      </c>
      <c r="AA49" s="697">
        <v>0</v>
      </c>
      <c r="AB49" s="697">
        <v>0</v>
      </c>
      <c r="AC49" s="697">
        <v>10.051</v>
      </c>
      <c r="AD49" s="697">
        <v>0.77300000000000002</v>
      </c>
      <c r="AE49" s="697">
        <v>8.1000000000000003E-2</v>
      </c>
      <c r="AF49" s="697">
        <v>0.45</v>
      </c>
      <c r="AG49" s="697">
        <v>12.202999999999999</v>
      </c>
      <c r="AH49" s="697">
        <v>0.26</v>
      </c>
    </row>
    <row r="50" spans="1:34" ht="31.75">
      <c r="A50" s="186" t="s">
        <v>296</v>
      </c>
      <c r="B50" s="186" t="s">
        <v>71</v>
      </c>
      <c r="C50" s="889">
        <v>316.33100000000002</v>
      </c>
      <c r="D50" s="195">
        <f t="shared" si="7"/>
        <v>320</v>
      </c>
      <c r="E50" s="860">
        <v>0.123</v>
      </c>
      <c r="F50" s="536">
        <v>0</v>
      </c>
      <c r="G50" s="860">
        <v>1.4E-2</v>
      </c>
      <c r="H50" s="536">
        <v>0</v>
      </c>
      <c r="I50" s="860">
        <v>1E-3</v>
      </c>
      <c r="J50" s="536">
        <v>0</v>
      </c>
      <c r="K50" s="860">
        <v>3.0000000000000001E-3</v>
      </c>
      <c r="L50" s="696">
        <v>0</v>
      </c>
      <c r="M50" s="860">
        <v>0</v>
      </c>
      <c r="N50" s="536">
        <v>0</v>
      </c>
      <c r="O50" s="860">
        <v>48.238</v>
      </c>
      <c r="P50" s="730">
        <f t="shared" si="8"/>
        <v>50</v>
      </c>
      <c r="Q50" s="860">
        <v>79.887</v>
      </c>
      <c r="R50" s="747">
        <f t="shared" si="9"/>
        <v>80</v>
      </c>
      <c r="S50" s="860">
        <v>9.0999999999999998E-2</v>
      </c>
      <c r="T50" s="747">
        <v>0</v>
      </c>
      <c r="U50" s="860">
        <v>77.295000000000002</v>
      </c>
      <c r="V50" s="747">
        <f t="shared" si="5"/>
        <v>77</v>
      </c>
      <c r="W50" s="860">
        <v>76.406999999999996</v>
      </c>
      <c r="X50" s="747">
        <f t="shared" si="6"/>
        <v>76</v>
      </c>
      <c r="Y50" s="860">
        <v>0.151</v>
      </c>
      <c r="Z50" s="536">
        <v>0</v>
      </c>
      <c r="AA50" s="555">
        <v>0</v>
      </c>
      <c r="AB50" s="555">
        <v>0</v>
      </c>
      <c r="AC50" s="536">
        <v>10.257</v>
      </c>
      <c r="AD50" s="536">
        <v>0.78900000000000003</v>
      </c>
      <c r="AE50" s="536">
        <v>9.8000000000000004E-2</v>
      </c>
      <c r="AF50" s="536">
        <v>0.54400000000000004</v>
      </c>
      <c r="AG50" s="536">
        <v>11.223000000000001</v>
      </c>
      <c r="AH50" s="536">
        <v>0.23899999999999999</v>
      </c>
    </row>
    <row r="51" spans="1:34" ht="31.75">
      <c r="A51" s="186" t="s">
        <v>296</v>
      </c>
      <c r="B51" s="186" t="s">
        <v>61</v>
      </c>
      <c r="C51" s="861">
        <v>214.66300000000001</v>
      </c>
      <c r="D51" s="195">
        <f t="shared" si="7"/>
        <v>210</v>
      </c>
      <c r="E51" s="861">
        <v>0.61099999999999999</v>
      </c>
      <c r="F51" s="536">
        <v>0</v>
      </c>
      <c r="G51" s="861">
        <v>6.8000000000000005E-2</v>
      </c>
      <c r="H51" s="536">
        <v>0</v>
      </c>
      <c r="I51" s="861">
        <v>3.0000000000000001E-3</v>
      </c>
      <c r="J51" s="536">
        <v>0</v>
      </c>
      <c r="K51" s="861">
        <v>0</v>
      </c>
      <c r="L51" s="696">
        <v>0</v>
      </c>
      <c r="M51" s="861">
        <v>0</v>
      </c>
      <c r="N51" s="536">
        <v>0</v>
      </c>
      <c r="O51" s="861">
        <v>38.622</v>
      </c>
      <c r="P51" s="730">
        <f t="shared" si="8"/>
        <v>40</v>
      </c>
      <c r="Q51" s="861">
        <v>55.371000000000002</v>
      </c>
      <c r="R51" s="747">
        <f t="shared" si="9"/>
        <v>55</v>
      </c>
      <c r="S51" s="861">
        <v>0.26200000000000001</v>
      </c>
      <c r="T51" s="747">
        <v>0</v>
      </c>
      <c r="U51" s="861">
        <v>52.465000000000003</v>
      </c>
      <c r="V51" s="747">
        <f t="shared" si="5"/>
        <v>52</v>
      </c>
      <c r="W51" s="861">
        <v>51.776000000000003</v>
      </c>
      <c r="X51" s="747">
        <f t="shared" si="6"/>
        <v>52</v>
      </c>
      <c r="Y51" s="861">
        <v>0.16200000000000001</v>
      </c>
      <c r="Z51" s="536">
        <v>0</v>
      </c>
      <c r="AA51" s="761">
        <v>0</v>
      </c>
      <c r="AB51" s="761">
        <v>0</v>
      </c>
      <c r="AC51" s="761">
        <v>12.606999999999999</v>
      </c>
      <c r="AD51" s="761">
        <v>0.97</v>
      </c>
      <c r="AE51" s="761">
        <v>6.2E-2</v>
      </c>
      <c r="AF51" s="761">
        <v>0.34499999999999997</v>
      </c>
      <c r="AG51" s="761">
        <v>35.838999999999999</v>
      </c>
      <c r="AH51" s="761">
        <v>0.76300000000000001</v>
      </c>
    </row>
    <row r="52" spans="1:34" s="248" customFormat="1" ht="31.75">
      <c r="A52" s="186" t="s">
        <v>296</v>
      </c>
      <c r="B52" s="186" t="s">
        <v>324</v>
      </c>
      <c r="C52" s="909">
        <v>323.93700000000001</v>
      </c>
      <c r="D52" s="195">
        <f t="shared" si="7"/>
        <v>320</v>
      </c>
      <c r="E52" s="860">
        <v>0</v>
      </c>
      <c r="F52" s="536">
        <v>0</v>
      </c>
      <c r="G52" s="860">
        <v>0</v>
      </c>
      <c r="H52" s="536">
        <v>0</v>
      </c>
      <c r="I52" s="860">
        <v>0</v>
      </c>
      <c r="J52" s="536">
        <v>0</v>
      </c>
      <c r="K52" s="860">
        <v>0</v>
      </c>
      <c r="L52" s="696">
        <v>0</v>
      </c>
      <c r="M52" s="860">
        <v>0</v>
      </c>
      <c r="N52" s="536">
        <v>0</v>
      </c>
      <c r="O52" s="860">
        <v>64.167000000000002</v>
      </c>
      <c r="P52" s="730">
        <f t="shared" si="8"/>
        <v>65</v>
      </c>
      <c r="Q52" s="860">
        <v>82.227999999999994</v>
      </c>
      <c r="R52" s="747">
        <f t="shared" si="9"/>
        <v>82</v>
      </c>
      <c r="S52" s="860">
        <v>3.1E-2</v>
      </c>
      <c r="T52" s="747">
        <v>0</v>
      </c>
      <c r="U52" s="860">
        <v>79.906999999999996</v>
      </c>
      <c r="V52" s="747">
        <f t="shared" si="5"/>
        <v>80</v>
      </c>
      <c r="W52" s="860">
        <v>79.906999999999996</v>
      </c>
      <c r="X52" s="747">
        <f t="shared" si="6"/>
        <v>80</v>
      </c>
      <c r="Y52" s="860">
        <v>0.17299999999999999</v>
      </c>
      <c r="Z52" s="536">
        <v>0</v>
      </c>
      <c r="AA52" s="555">
        <v>0</v>
      </c>
      <c r="AB52" s="555">
        <v>0</v>
      </c>
      <c r="AC52" s="536">
        <v>10.412000000000001</v>
      </c>
      <c r="AD52" s="536">
        <v>0.80100000000000005</v>
      </c>
      <c r="AE52" s="536">
        <v>7.6999999999999999E-2</v>
      </c>
      <c r="AF52" s="536">
        <v>0.42899999999999999</v>
      </c>
      <c r="AG52" s="536">
        <v>1.1020000000000001</v>
      </c>
      <c r="AH52" s="536">
        <v>2.3E-2</v>
      </c>
    </row>
    <row r="53" spans="1:34" s="248" customFormat="1" ht="31.75">
      <c r="A53" s="186" t="s">
        <v>296</v>
      </c>
      <c r="B53" s="186" t="s">
        <v>68</v>
      </c>
      <c r="C53" s="860">
        <v>285.839</v>
      </c>
      <c r="D53" s="195">
        <f t="shared" si="7"/>
        <v>290</v>
      </c>
      <c r="E53" s="860">
        <v>0.25900000000000001</v>
      </c>
      <c r="F53" s="536">
        <v>0</v>
      </c>
      <c r="G53" s="860">
        <v>2.9000000000000001E-2</v>
      </c>
      <c r="H53" s="536">
        <v>0</v>
      </c>
      <c r="I53" s="860">
        <v>1E-3</v>
      </c>
      <c r="J53" s="536">
        <v>0</v>
      </c>
      <c r="K53" s="860">
        <v>1E-3</v>
      </c>
      <c r="L53" s="696">
        <v>0</v>
      </c>
      <c r="M53" s="860">
        <v>0</v>
      </c>
      <c r="N53" s="536">
        <v>0</v>
      </c>
      <c r="O53" s="860">
        <v>43.085999999999999</v>
      </c>
      <c r="P53" s="730">
        <f t="shared" si="8"/>
        <v>45</v>
      </c>
      <c r="Q53" s="860">
        <v>72.817999999999998</v>
      </c>
      <c r="R53" s="747">
        <f t="shared" si="9"/>
        <v>73</v>
      </c>
      <c r="S53" s="860">
        <v>0.20599999999999999</v>
      </c>
      <c r="T53" s="747">
        <v>0</v>
      </c>
      <c r="U53" s="860">
        <v>69.549000000000007</v>
      </c>
      <c r="V53" s="747">
        <f t="shared" si="5"/>
        <v>70</v>
      </c>
      <c r="W53" s="860">
        <v>68.700999999999993</v>
      </c>
      <c r="X53" s="747">
        <f t="shared" si="6"/>
        <v>69</v>
      </c>
      <c r="Y53" s="860">
        <v>0.17799999999999999</v>
      </c>
      <c r="Z53" s="536">
        <v>0</v>
      </c>
      <c r="AA53" s="697">
        <v>0</v>
      </c>
      <c r="AB53" s="697">
        <v>0</v>
      </c>
      <c r="AC53" s="696">
        <v>11.874000000000001</v>
      </c>
      <c r="AD53" s="696">
        <v>0.91300000000000003</v>
      </c>
      <c r="AE53" s="696">
        <v>9.7000000000000003E-2</v>
      </c>
      <c r="AF53" s="696">
        <v>0.53800000000000003</v>
      </c>
      <c r="AG53" s="696">
        <v>22.518000000000001</v>
      </c>
      <c r="AH53" s="696">
        <v>0.47899999999999998</v>
      </c>
    </row>
    <row r="54" spans="1:34" s="223" customFormat="1" ht="31.75">
      <c r="A54" s="186" t="s">
        <v>296</v>
      </c>
      <c r="B54" s="186" t="s">
        <v>300</v>
      </c>
      <c r="C54" s="859">
        <v>238.75899999999999</v>
      </c>
      <c r="D54" s="195">
        <f t="shared" si="7"/>
        <v>240</v>
      </c>
      <c r="E54" s="859">
        <v>0.80200000000000005</v>
      </c>
      <c r="F54" s="536">
        <v>0</v>
      </c>
      <c r="G54" s="859">
        <v>8.8999999999999996E-2</v>
      </c>
      <c r="H54" s="536">
        <v>0</v>
      </c>
      <c r="I54" s="859">
        <v>4.0000000000000001E-3</v>
      </c>
      <c r="J54" s="536">
        <v>0</v>
      </c>
      <c r="K54" s="859">
        <v>0</v>
      </c>
      <c r="L54" s="696">
        <v>0</v>
      </c>
      <c r="M54" s="859">
        <v>0</v>
      </c>
      <c r="N54" s="536">
        <v>0</v>
      </c>
      <c r="O54" s="859">
        <v>39.057000000000002</v>
      </c>
      <c r="P54" s="730">
        <f t="shared" si="8"/>
        <v>40</v>
      </c>
      <c r="Q54" s="859">
        <v>62.055999999999997</v>
      </c>
      <c r="R54" s="747">
        <f t="shared" si="9"/>
        <v>62</v>
      </c>
      <c r="S54" s="859">
        <v>0.309</v>
      </c>
      <c r="T54" s="747">
        <v>0</v>
      </c>
      <c r="U54" s="859">
        <v>57.332000000000001</v>
      </c>
      <c r="V54" s="747">
        <f t="shared" si="5"/>
        <v>57</v>
      </c>
      <c r="W54" s="859">
        <v>56.348999999999997</v>
      </c>
      <c r="X54" s="747">
        <f t="shared" si="6"/>
        <v>56</v>
      </c>
      <c r="Y54" s="859">
        <v>0.18</v>
      </c>
      <c r="Z54" s="536">
        <v>0</v>
      </c>
      <c r="AA54" s="694">
        <v>0</v>
      </c>
      <c r="AB54" s="694">
        <v>0</v>
      </c>
      <c r="AC54" s="694">
        <v>13.801</v>
      </c>
      <c r="AD54" s="694">
        <v>1.0620000000000001</v>
      </c>
      <c r="AE54" s="694">
        <v>5.5E-2</v>
      </c>
      <c r="AF54" s="694">
        <v>0.30599999999999999</v>
      </c>
      <c r="AG54" s="694">
        <v>43.344999999999999</v>
      </c>
      <c r="AH54" s="694">
        <v>0.92200000000000004</v>
      </c>
    </row>
    <row r="55" spans="1:34" s="248" customFormat="1" ht="31.75">
      <c r="A55" s="186" t="s">
        <v>296</v>
      </c>
      <c r="B55" s="186" t="s">
        <v>39</v>
      </c>
      <c r="C55" s="889">
        <v>298.05700000000002</v>
      </c>
      <c r="D55" s="195">
        <f t="shared" si="7"/>
        <v>300</v>
      </c>
      <c r="E55" s="889">
        <v>0</v>
      </c>
      <c r="F55" s="536">
        <v>0</v>
      </c>
      <c r="G55" s="889">
        <v>0</v>
      </c>
      <c r="H55" s="536">
        <v>0</v>
      </c>
      <c r="I55" s="889">
        <v>0</v>
      </c>
      <c r="J55" s="536">
        <v>0</v>
      </c>
      <c r="K55" s="889">
        <v>0</v>
      </c>
      <c r="L55" s="696">
        <v>0</v>
      </c>
      <c r="M55" s="889">
        <v>0</v>
      </c>
      <c r="N55" s="536">
        <v>0</v>
      </c>
      <c r="O55" s="889">
        <v>34.99</v>
      </c>
      <c r="P55" s="730">
        <f t="shared" si="8"/>
        <v>35</v>
      </c>
      <c r="Q55" s="889">
        <v>75.078000000000003</v>
      </c>
      <c r="R55" s="747">
        <f t="shared" si="9"/>
        <v>75</v>
      </c>
      <c r="S55" s="860">
        <v>0.29299999999999998</v>
      </c>
      <c r="T55" s="747">
        <v>0</v>
      </c>
      <c r="U55" s="889">
        <v>72.748000000000005</v>
      </c>
      <c r="V55" s="747">
        <f t="shared" si="5"/>
        <v>73</v>
      </c>
      <c r="W55" s="889">
        <v>71.114000000000004</v>
      </c>
      <c r="X55" s="747">
        <f t="shared" si="6"/>
        <v>71</v>
      </c>
      <c r="Y55" s="889">
        <v>0.182</v>
      </c>
      <c r="Z55" s="536">
        <v>0</v>
      </c>
      <c r="AA55" s="697">
        <v>0</v>
      </c>
      <c r="AB55" s="697">
        <v>0</v>
      </c>
      <c r="AC55" s="697">
        <v>10.135999999999999</v>
      </c>
      <c r="AD55" s="697">
        <v>0.78</v>
      </c>
      <c r="AE55" s="697">
        <v>6.4000000000000001E-2</v>
      </c>
      <c r="AF55" s="697">
        <v>0.35399999999999998</v>
      </c>
      <c r="AG55" s="697">
        <v>1.2230000000000001</v>
      </c>
      <c r="AH55" s="697">
        <v>2.5999999999999999E-2</v>
      </c>
    </row>
    <row r="56" spans="1:34" s="248" customFormat="1" ht="31.75">
      <c r="A56" s="186" t="s">
        <v>296</v>
      </c>
      <c r="B56" s="186" t="s">
        <v>69</v>
      </c>
      <c r="C56" s="860">
        <v>328.51299999999998</v>
      </c>
      <c r="D56" s="677">
        <f t="shared" si="7"/>
        <v>330</v>
      </c>
      <c r="E56" s="860">
        <v>0.27200000000000002</v>
      </c>
      <c r="F56" s="536">
        <v>0</v>
      </c>
      <c r="G56" s="860">
        <v>0.03</v>
      </c>
      <c r="H56" s="536">
        <v>0</v>
      </c>
      <c r="I56" s="860">
        <v>1E-3</v>
      </c>
      <c r="J56" s="536">
        <v>0</v>
      </c>
      <c r="K56" s="860">
        <v>0.03</v>
      </c>
      <c r="L56" s="696">
        <v>0</v>
      </c>
      <c r="M56" s="860">
        <v>0</v>
      </c>
      <c r="N56" s="536">
        <v>0</v>
      </c>
      <c r="O56" s="860">
        <v>53.53</v>
      </c>
      <c r="P56" s="730">
        <f t="shared" si="8"/>
        <v>55</v>
      </c>
      <c r="Q56" s="860">
        <v>83.466999999999999</v>
      </c>
      <c r="R56" s="747">
        <f t="shared" si="9"/>
        <v>83</v>
      </c>
      <c r="S56" s="860">
        <v>0.22700000000000001</v>
      </c>
      <c r="T56" s="747">
        <v>0</v>
      </c>
      <c r="U56" s="860">
        <v>79.89</v>
      </c>
      <c r="V56" s="747">
        <f t="shared" si="5"/>
        <v>80</v>
      </c>
      <c r="W56" s="860">
        <v>79.05</v>
      </c>
      <c r="X56" s="747">
        <f t="shared" si="6"/>
        <v>79</v>
      </c>
      <c r="Y56" s="860">
        <v>0.186</v>
      </c>
      <c r="Z56" s="536">
        <v>0</v>
      </c>
      <c r="AA56" s="746">
        <v>0</v>
      </c>
      <c r="AB56" s="746">
        <v>0</v>
      </c>
      <c r="AC56" s="742">
        <v>12.086</v>
      </c>
      <c r="AD56" s="742">
        <v>0.93</v>
      </c>
      <c r="AE56" s="742">
        <v>8.5000000000000006E-2</v>
      </c>
      <c r="AF56" s="742">
        <v>0.47199999999999998</v>
      </c>
      <c r="AG56" s="742">
        <v>20.741</v>
      </c>
      <c r="AH56" s="742">
        <v>0.441</v>
      </c>
    </row>
    <row r="57" spans="1:34" s="248" customFormat="1" ht="31.75">
      <c r="A57" s="186" t="s">
        <v>296</v>
      </c>
      <c r="B57" s="186" t="s">
        <v>42</v>
      </c>
      <c r="C57" s="860">
        <v>342.12799999999999</v>
      </c>
      <c r="D57" s="195">
        <f t="shared" si="7"/>
        <v>340</v>
      </c>
      <c r="E57" s="860">
        <v>0.13200000000000001</v>
      </c>
      <c r="F57" s="536">
        <v>0</v>
      </c>
      <c r="G57" s="860">
        <v>1.4999999999999999E-2</v>
      </c>
      <c r="H57" s="536">
        <v>0</v>
      </c>
      <c r="I57" s="860">
        <v>6.6000000000000003E-2</v>
      </c>
      <c r="J57" s="536">
        <v>0</v>
      </c>
      <c r="K57" s="860">
        <v>0</v>
      </c>
      <c r="L57" s="696">
        <v>0</v>
      </c>
      <c r="M57" s="860">
        <v>0</v>
      </c>
      <c r="N57" s="536">
        <v>0</v>
      </c>
      <c r="O57" s="860">
        <v>35.859000000000002</v>
      </c>
      <c r="P57" s="730">
        <f t="shared" si="8"/>
        <v>35</v>
      </c>
      <c r="Q57" s="860">
        <v>86.433000000000007</v>
      </c>
      <c r="R57" s="747">
        <f t="shared" si="9"/>
        <v>86</v>
      </c>
      <c r="S57" s="860">
        <v>0.22800000000000001</v>
      </c>
      <c r="T57" s="747">
        <v>0</v>
      </c>
      <c r="U57" s="860">
        <v>82.843999999999994</v>
      </c>
      <c r="V57" s="747">
        <f t="shared" si="5"/>
        <v>83</v>
      </c>
      <c r="W57" s="860">
        <v>81.328999999999994</v>
      </c>
      <c r="X57" s="747">
        <f t="shared" si="6"/>
        <v>81</v>
      </c>
      <c r="Y57" s="860">
        <v>0.19900000000000001</v>
      </c>
      <c r="Z57" s="536">
        <v>0</v>
      </c>
      <c r="AA57" s="697">
        <v>0.89800000000000002</v>
      </c>
      <c r="AB57" s="697">
        <v>4.4880000000000004</v>
      </c>
      <c r="AC57" s="697">
        <v>10.093</v>
      </c>
      <c r="AD57" s="697">
        <v>0.77600000000000002</v>
      </c>
      <c r="AE57" s="697">
        <v>7.0000000000000007E-2</v>
      </c>
      <c r="AF57" s="697">
        <v>0.39100000000000001</v>
      </c>
      <c r="AG57" s="697">
        <v>50.841999999999999</v>
      </c>
      <c r="AH57" s="697">
        <v>1.0820000000000001</v>
      </c>
    </row>
    <row r="58" spans="1:34" s="248" customFormat="1" ht="31.75">
      <c r="A58" s="186" t="s">
        <v>296</v>
      </c>
      <c r="B58" s="186" t="s">
        <v>66</v>
      </c>
      <c r="C58" s="860">
        <v>335.85700000000003</v>
      </c>
      <c r="D58" s="195">
        <f t="shared" si="7"/>
        <v>340</v>
      </c>
      <c r="E58" s="860">
        <v>0.105</v>
      </c>
      <c r="F58" s="536">
        <v>0</v>
      </c>
      <c r="G58" s="860">
        <v>1.2E-2</v>
      </c>
      <c r="H58" s="536">
        <v>0</v>
      </c>
      <c r="I58" s="860">
        <v>0</v>
      </c>
      <c r="J58" s="536">
        <v>0</v>
      </c>
      <c r="K58" s="860">
        <v>2E-3</v>
      </c>
      <c r="L58" s="696">
        <v>0</v>
      </c>
      <c r="M58" s="860">
        <v>0</v>
      </c>
      <c r="N58" s="536">
        <v>0</v>
      </c>
      <c r="O58" s="860">
        <v>48.16</v>
      </c>
      <c r="P58" s="730">
        <f t="shared" si="8"/>
        <v>50</v>
      </c>
      <c r="Q58" s="860">
        <v>84.647999999999996</v>
      </c>
      <c r="R58" s="747">
        <f t="shared" si="9"/>
        <v>85</v>
      </c>
      <c r="S58" s="860">
        <v>0.22900000000000001</v>
      </c>
      <c r="T58" s="747">
        <v>0</v>
      </c>
      <c r="U58" s="860">
        <v>82.186999999999998</v>
      </c>
      <c r="V58" s="747">
        <f t="shared" si="5"/>
        <v>82</v>
      </c>
      <c r="W58" s="860">
        <v>81.064999999999998</v>
      </c>
      <c r="X58" s="747">
        <f t="shared" si="6"/>
        <v>81</v>
      </c>
      <c r="Y58" s="860">
        <v>0.20699999999999999</v>
      </c>
      <c r="Z58" s="536">
        <v>0</v>
      </c>
      <c r="AA58" s="697">
        <v>0</v>
      </c>
      <c r="AB58" s="697">
        <v>0</v>
      </c>
      <c r="AC58" s="696">
        <v>10.864000000000001</v>
      </c>
      <c r="AD58" s="696">
        <v>0.83599999999999997</v>
      </c>
      <c r="AE58" s="696">
        <v>0.14199999999999999</v>
      </c>
      <c r="AF58" s="696">
        <v>0.78900000000000003</v>
      </c>
      <c r="AG58" s="696">
        <v>14.303000000000001</v>
      </c>
      <c r="AH58" s="696">
        <v>0.30399999999999999</v>
      </c>
    </row>
    <row r="59" spans="1:34" s="248" customFormat="1" ht="31.75">
      <c r="A59" s="186" t="s">
        <v>296</v>
      </c>
      <c r="B59" s="186" t="s">
        <v>315</v>
      </c>
      <c r="C59" s="861">
        <v>259.74900000000002</v>
      </c>
      <c r="D59" s="195">
        <f t="shared" si="7"/>
        <v>260</v>
      </c>
      <c r="E59" s="861">
        <v>7.0000000000000001E-3</v>
      </c>
      <c r="F59" s="536">
        <v>0</v>
      </c>
      <c r="G59" s="861">
        <v>1E-3</v>
      </c>
      <c r="H59" s="536">
        <v>0</v>
      </c>
      <c r="I59" s="861">
        <v>0</v>
      </c>
      <c r="J59" s="536">
        <v>0</v>
      </c>
      <c r="K59" s="861">
        <v>0</v>
      </c>
      <c r="L59" s="696">
        <v>0</v>
      </c>
      <c r="M59" s="861">
        <v>0</v>
      </c>
      <c r="N59" s="536">
        <v>0</v>
      </c>
      <c r="O59" s="861">
        <v>46.448999999999998</v>
      </c>
      <c r="P59" s="730">
        <f t="shared" si="8"/>
        <v>45</v>
      </c>
      <c r="Q59" s="861">
        <v>64.116</v>
      </c>
      <c r="R59" s="747">
        <f t="shared" si="9"/>
        <v>64</v>
      </c>
      <c r="S59" s="861">
        <v>7.6999999999999999E-2</v>
      </c>
      <c r="T59" s="747">
        <v>0</v>
      </c>
      <c r="U59" s="861">
        <v>60.691000000000003</v>
      </c>
      <c r="V59" s="747">
        <f t="shared" si="5"/>
        <v>61</v>
      </c>
      <c r="W59" s="861">
        <v>60.691000000000003</v>
      </c>
      <c r="X59" s="747">
        <f t="shared" si="6"/>
        <v>61</v>
      </c>
      <c r="Y59" s="861">
        <v>0.30599999999999999</v>
      </c>
      <c r="Z59" s="536">
        <v>0</v>
      </c>
      <c r="AA59" s="761">
        <v>0</v>
      </c>
      <c r="AB59" s="761">
        <v>0</v>
      </c>
      <c r="AC59" s="761">
        <v>11.823</v>
      </c>
      <c r="AD59" s="761">
        <v>0.90900000000000003</v>
      </c>
      <c r="AE59" s="761">
        <v>4.9000000000000002E-2</v>
      </c>
      <c r="AF59" s="761">
        <v>0.27300000000000002</v>
      </c>
      <c r="AG59" s="761">
        <v>14.743</v>
      </c>
      <c r="AH59" s="761">
        <v>0.314</v>
      </c>
    </row>
    <row r="60" spans="1:34" s="248" customFormat="1" ht="31.75">
      <c r="A60" s="924" t="s">
        <v>92</v>
      </c>
      <c r="B60" s="186" t="s">
        <v>322</v>
      </c>
      <c r="C60" s="859">
        <v>377.82400000000001</v>
      </c>
      <c r="D60" s="195">
        <f t="shared" si="7"/>
        <v>380</v>
      </c>
      <c r="E60" s="859">
        <v>0</v>
      </c>
      <c r="F60" s="536">
        <v>0</v>
      </c>
      <c r="G60" s="554">
        <v>3.4169999999999998</v>
      </c>
      <c r="H60" s="696">
        <f>MROUND(G60,0.5)</f>
        <v>3.5</v>
      </c>
      <c r="I60" s="859">
        <v>3.169</v>
      </c>
      <c r="J60" s="696">
        <f>MROUND(I60,0.5)</f>
        <v>3</v>
      </c>
      <c r="K60" s="859">
        <v>0</v>
      </c>
      <c r="L60" s="696">
        <v>0</v>
      </c>
      <c r="M60" s="859">
        <v>0</v>
      </c>
      <c r="N60" s="536">
        <v>0</v>
      </c>
      <c r="O60" s="859">
        <v>67.155000000000001</v>
      </c>
      <c r="P60" s="730">
        <f t="shared" si="8"/>
        <v>65</v>
      </c>
      <c r="Q60" s="859">
        <v>87.465000000000003</v>
      </c>
      <c r="R60" s="747">
        <f t="shared" si="9"/>
        <v>87</v>
      </c>
      <c r="S60" s="859">
        <v>1.0999999999999999E-2</v>
      </c>
      <c r="T60" s="747">
        <v>0</v>
      </c>
      <c r="U60" s="859">
        <v>83.56</v>
      </c>
      <c r="V60" s="747">
        <f t="shared" si="5"/>
        <v>84</v>
      </c>
      <c r="W60" s="859">
        <v>83.350999999999999</v>
      </c>
      <c r="X60" s="747">
        <f t="shared" si="6"/>
        <v>83</v>
      </c>
      <c r="Y60" s="859">
        <v>0.311</v>
      </c>
      <c r="Z60" s="536">
        <v>0</v>
      </c>
      <c r="AA60" s="554">
        <v>0</v>
      </c>
      <c r="AB60" s="554">
        <v>0</v>
      </c>
      <c r="AC60" s="554">
        <v>8.8309999999999995</v>
      </c>
      <c r="AD60" s="554">
        <v>0.67900000000000005</v>
      </c>
      <c r="AE60" s="554">
        <v>8.3000000000000004E-2</v>
      </c>
      <c r="AF60" s="554">
        <v>0.46200000000000002</v>
      </c>
      <c r="AG60" s="554">
        <v>8.8640000000000008</v>
      </c>
      <c r="AH60" s="554">
        <v>0.189</v>
      </c>
    </row>
    <row r="61" spans="1:34" s="212" customFormat="1" ht="14.25" customHeight="1">
      <c r="A61" s="924" t="s">
        <v>92</v>
      </c>
      <c r="B61" s="186" t="s">
        <v>102</v>
      </c>
      <c r="C61" s="861">
        <v>395.77</v>
      </c>
      <c r="D61" s="195">
        <f t="shared" si="7"/>
        <v>400</v>
      </c>
      <c r="E61" s="861">
        <v>21.504999999999999</v>
      </c>
      <c r="F61" s="696">
        <f>MROUND(E61,5)</f>
        <v>20</v>
      </c>
      <c r="G61" s="747">
        <v>5.923</v>
      </c>
      <c r="H61" s="696">
        <f>MROUND(G61,1)</f>
        <v>6</v>
      </c>
      <c r="I61" s="861">
        <v>5.1790000000000003</v>
      </c>
      <c r="J61" s="696">
        <f>MROUND(I61,1)</f>
        <v>5</v>
      </c>
      <c r="K61" s="861">
        <v>6.9000000000000006E-2</v>
      </c>
      <c r="L61" s="696">
        <v>0</v>
      </c>
      <c r="M61" s="861">
        <v>0</v>
      </c>
      <c r="N61" s="536">
        <v>0</v>
      </c>
      <c r="O61" s="861">
        <v>87.43</v>
      </c>
      <c r="P61" s="730">
        <f t="shared" si="8"/>
        <v>85</v>
      </c>
      <c r="Q61" s="861">
        <v>85.977999999999994</v>
      </c>
      <c r="R61" s="747">
        <f t="shared" si="9"/>
        <v>86</v>
      </c>
      <c r="S61" s="861">
        <v>0.57699999999999996</v>
      </c>
      <c r="T61" s="696" t="s">
        <v>303</v>
      </c>
      <c r="U61" s="861">
        <v>80.459000000000003</v>
      </c>
      <c r="V61" s="747">
        <f t="shared" si="5"/>
        <v>80</v>
      </c>
      <c r="W61" s="861">
        <v>72.165000000000006</v>
      </c>
      <c r="X61" s="747">
        <f t="shared" si="6"/>
        <v>72</v>
      </c>
      <c r="Y61" s="861">
        <v>0.32500000000000001</v>
      </c>
      <c r="Z61" s="536">
        <v>0</v>
      </c>
      <c r="AA61" s="1131">
        <v>0</v>
      </c>
      <c r="AB61" s="1131">
        <v>0</v>
      </c>
      <c r="AC61" s="1131">
        <v>11.922000000000001</v>
      </c>
      <c r="AD61" s="1131">
        <v>0.91700000000000004</v>
      </c>
      <c r="AE61" s="1131">
        <v>0.16700000000000001</v>
      </c>
      <c r="AF61" s="1131">
        <v>0.93100000000000005</v>
      </c>
      <c r="AG61" s="1131">
        <v>11.882999999999999</v>
      </c>
      <c r="AH61" s="1131">
        <v>0.253</v>
      </c>
    </row>
    <row r="62" spans="1:34" s="212" customFormat="1" ht="31.75">
      <c r="A62" s="186" t="s">
        <v>296</v>
      </c>
      <c r="B62" s="186" t="s">
        <v>72</v>
      </c>
      <c r="C62" s="860">
        <v>363.50700000000001</v>
      </c>
      <c r="D62" s="195">
        <f t="shared" si="7"/>
        <v>360</v>
      </c>
      <c r="E62" s="860">
        <v>0</v>
      </c>
      <c r="F62" s="536">
        <v>0</v>
      </c>
      <c r="G62" s="860">
        <v>0</v>
      </c>
      <c r="H62" s="536">
        <v>0</v>
      </c>
      <c r="I62" s="860">
        <v>0</v>
      </c>
      <c r="J62" s="536">
        <v>0</v>
      </c>
      <c r="K62" s="860">
        <v>0</v>
      </c>
      <c r="L62" s="696">
        <v>0</v>
      </c>
      <c r="M62" s="860">
        <v>0</v>
      </c>
      <c r="N62" s="536">
        <v>0</v>
      </c>
      <c r="O62" s="860">
        <v>81.703999999999994</v>
      </c>
      <c r="P62" s="730">
        <f t="shared" si="8"/>
        <v>80</v>
      </c>
      <c r="Q62" s="860">
        <v>92.578000000000003</v>
      </c>
      <c r="R62" s="747">
        <f t="shared" si="9"/>
        <v>93</v>
      </c>
      <c r="S62" s="860">
        <v>2.9000000000000001E-2</v>
      </c>
      <c r="T62" s="747">
        <v>0</v>
      </c>
      <c r="U62" s="860">
        <v>90.082999999999998</v>
      </c>
      <c r="V62" s="747">
        <f t="shared" si="5"/>
        <v>90</v>
      </c>
      <c r="W62" s="860">
        <v>90.082999999999998</v>
      </c>
      <c r="X62" s="747">
        <f t="shared" si="6"/>
        <v>90</v>
      </c>
      <c r="Y62" s="860">
        <v>0.34499999999999997</v>
      </c>
      <c r="Z62" s="536">
        <v>0</v>
      </c>
      <c r="AA62" s="555">
        <v>0</v>
      </c>
      <c r="AB62" s="555">
        <v>0</v>
      </c>
      <c r="AC62" s="536">
        <v>9.7910000000000004</v>
      </c>
      <c r="AD62" s="536">
        <v>0.753</v>
      </c>
      <c r="AE62" s="536">
        <v>0.09</v>
      </c>
      <c r="AF62" s="536">
        <v>0.498</v>
      </c>
      <c r="AG62" s="536">
        <v>1.319</v>
      </c>
      <c r="AH62" s="536">
        <v>2.8000000000000001E-2</v>
      </c>
    </row>
    <row r="63" spans="1:34" ht="31.75">
      <c r="A63" s="924" t="s">
        <v>92</v>
      </c>
      <c r="B63" s="186" t="s">
        <v>323</v>
      </c>
      <c r="C63" s="860">
        <v>368.04599999999999</v>
      </c>
      <c r="D63" s="195">
        <f t="shared" si="7"/>
        <v>370</v>
      </c>
      <c r="E63" s="860">
        <v>5.7000000000000002E-2</v>
      </c>
      <c r="F63" s="536">
        <v>0</v>
      </c>
      <c r="G63" s="536">
        <v>3.5259999999999998</v>
      </c>
      <c r="H63" s="696">
        <f>MROUND(G63,0.5)</f>
        <v>3.5</v>
      </c>
      <c r="I63" s="860">
        <v>3.2639999999999998</v>
      </c>
      <c r="J63" s="696">
        <f>MROUND(I63,0.5)</f>
        <v>3.5</v>
      </c>
      <c r="K63" s="860">
        <v>1E-3</v>
      </c>
      <c r="L63" s="696">
        <v>0</v>
      </c>
      <c r="M63" s="860">
        <v>0</v>
      </c>
      <c r="N63" s="536">
        <v>0</v>
      </c>
      <c r="O63" s="860">
        <v>72.155000000000001</v>
      </c>
      <c r="P63" s="730">
        <f t="shared" si="8"/>
        <v>70</v>
      </c>
      <c r="Q63" s="860">
        <v>84.756</v>
      </c>
      <c r="R63" s="747">
        <f t="shared" si="9"/>
        <v>85</v>
      </c>
      <c r="S63" s="860">
        <v>0.13400000000000001</v>
      </c>
      <c r="T63" s="747">
        <v>0</v>
      </c>
      <c r="U63" s="860">
        <v>80.23</v>
      </c>
      <c r="V63" s="747">
        <f t="shared" si="5"/>
        <v>80</v>
      </c>
      <c r="W63" s="860">
        <v>78.817999999999998</v>
      </c>
      <c r="X63" s="747">
        <f t="shared" si="6"/>
        <v>79</v>
      </c>
      <c r="Y63" s="860">
        <v>0.375</v>
      </c>
      <c r="Z63" s="536">
        <v>0</v>
      </c>
      <c r="AA63" s="555">
        <v>0</v>
      </c>
      <c r="AB63" s="555">
        <v>0</v>
      </c>
      <c r="AC63" s="555">
        <v>9.782</v>
      </c>
      <c r="AD63" s="555">
        <v>0.752</v>
      </c>
      <c r="AE63" s="555">
        <v>0.13100000000000001</v>
      </c>
      <c r="AF63" s="555">
        <v>0.72899999999999998</v>
      </c>
      <c r="AG63" s="555">
        <v>18.077999999999999</v>
      </c>
      <c r="AH63" s="555">
        <v>0.38500000000000001</v>
      </c>
    </row>
    <row r="64" spans="1:34" ht="31.75">
      <c r="A64" s="186" t="s">
        <v>296</v>
      </c>
      <c r="B64" s="186" t="s">
        <v>60</v>
      </c>
      <c r="C64" s="860">
        <v>311.71199999999999</v>
      </c>
      <c r="D64" s="195">
        <f t="shared" si="7"/>
        <v>310</v>
      </c>
      <c r="E64" s="860">
        <v>3.1E-2</v>
      </c>
      <c r="F64" s="536">
        <v>0</v>
      </c>
      <c r="G64" s="860">
        <v>3.0000000000000001E-3</v>
      </c>
      <c r="H64" s="536">
        <v>0</v>
      </c>
      <c r="I64" s="860">
        <v>3.0000000000000001E-3</v>
      </c>
      <c r="J64" s="536">
        <v>0</v>
      </c>
      <c r="K64" s="860">
        <v>1.0999999999999999E-2</v>
      </c>
      <c r="L64" s="696">
        <v>0</v>
      </c>
      <c r="M64" s="860">
        <v>0</v>
      </c>
      <c r="N64" s="536">
        <v>0</v>
      </c>
      <c r="O64" s="860">
        <v>45.969000000000001</v>
      </c>
      <c r="P64" s="730">
        <f t="shared" si="8"/>
        <v>45</v>
      </c>
      <c r="Q64" s="860">
        <v>79.141999999999996</v>
      </c>
      <c r="R64" s="747">
        <f t="shared" si="9"/>
        <v>79</v>
      </c>
      <c r="S64" s="860">
        <v>1.0920000000000001</v>
      </c>
      <c r="T64" s="734">
        <f>MROUND(S64,1)</f>
        <v>1</v>
      </c>
      <c r="U64" s="860">
        <v>75.033000000000001</v>
      </c>
      <c r="V64" s="747">
        <f t="shared" si="5"/>
        <v>75</v>
      </c>
      <c r="W64" s="860">
        <v>74.290000000000006</v>
      </c>
      <c r="X64" s="747">
        <f t="shared" si="6"/>
        <v>74</v>
      </c>
      <c r="Y64" s="889">
        <v>0.38100000000000001</v>
      </c>
      <c r="Z64" s="536">
        <v>0</v>
      </c>
      <c r="AA64" s="697">
        <v>0</v>
      </c>
      <c r="AB64" s="697">
        <v>0</v>
      </c>
      <c r="AC64" s="697">
        <v>12.907</v>
      </c>
      <c r="AD64" s="697">
        <v>0.99299999999999999</v>
      </c>
      <c r="AE64" s="697">
        <v>0.13700000000000001</v>
      </c>
      <c r="AF64" s="697">
        <v>0.76</v>
      </c>
      <c r="AG64" s="697">
        <v>31.542000000000002</v>
      </c>
      <c r="AH64" s="697">
        <v>0.67100000000000004</v>
      </c>
    </row>
    <row r="65" spans="1:34">
      <c r="A65" s="924" t="s">
        <v>394</v>
      </c>
      <c r="B65" s="186" t="s">
        <v>122</v>
      </c>
      <c r="C65" s="860">
        <v>144.363</v>
      </c>
      <c r="D65" s="195">
        <f t="shared" si="7"/>
        <v>140</v>
      </c>
      <c r="E65" s="860">
        <v>8.5000000000000006E-2</v>
      </c>
      <c r="F65" s="536">
        <v>0</v>
      </c>
      <c r="G65" s="536">
        <v>0.01</v>
      </c>
      <c r="H65" s="536">
        <v>0</v>
      </c>
      <c r="I65" s="860">
        <v>0.01</v>
      </c>
      <c r="J65" s="536">
        <v>0</v>
      </c>
      <c r="K65" s="860">
        <v>0</v>
      </c>
      <c r="L65" s="696">
        <v>0</v>
      </c>
      <c r="M65" s="860">
        <v>0</v>
      </c>
      <c r="N65" s="536">
        <v>0</v>
      </c>
      <c r="O65" s="860">
        <v>29.271999999999998</v>
      </c>
      <c r="P65" s="730">
        <f t="shared" si="8"/>
        <v>30</v>
      </c>
      <c r="Q65" s="860">
        <v>50.673000000000002</v>
      </c>
      <c r="R65" s="747">
        <f t="shared" si="9"/>
        <v>51</v>
      </c>
      <c r="S65" s="860">
        <v>3.6999999999999998E-2</v>
      </c>
      <c r="T65" s="747">
        <v>0</v>
      </c>
      <c r="U65" s="860">
        <v>0.1</v>
      </c>
      <c r="V65" s="696">
        <v>0</v>
      </c>
      <c r="W65" s="860">
        <v>0</v>
      </c>
      <c r="X65" s="696">
        <v>0</v>
      </c>
      <c r="Y65" s="860">
        <v>0.40799999999999997</v>
      </c>
      <c r="Z65" s="536">
        <v>0</v>
      </c>
      <c r="AA65" s="555">
        <v>0</v>
      </c>
      <c r="AB65" s="555">
        <v>0</v>
      </c>
      <c r="AC65" s="536">
        <v>15.347</v>
      </c>
      <c r="AD65" s="536">
        <v>1.181</v>
      </c>
      <c r="AE65" s="536">
        <v>6.4000000000000001E-2</v>
      </c>
      <c r="AF65" s="536">
        <v>0.35799999999999998</v>
      </c>
      <c r="AG65" s="536">
        <v>20.748999999999999</v>
      </c>
      <c r="AH65" s="536">
        <v>0.441</v>
      </c>
    </row>
    <row r="66" spans="1:34" ht="31.75">
      <c r="A66" s="186" t="s">
        <v>296</v>
      </c>
      <c r="B66" s="186" t="s">
        <v>78</v>
      </c>
      <c r="C66" s="860">
        <v>304.89</v>
      </c>
      <c r="D66" s="195">
        <f t="shared" si="7"/>
        <v>300</v>
      </c>
      <c r="E66" s="860">
        <v>1.2999999999999999E-2</v>
      </c>
      <c r="F66" s="536">
        <v>0</v>
      </c>
      <c r="G66" s="860">
        <v>1.2E-2</v>
      </c>
      <c r="H66" s="536">
        <v>0</v>
      </c>
      <c r="I66" s="860">
        <v>0</v>
      </c>
      <c r="J66" s="536">
        <v>0</v>
      </c>
      <c r="K66" s="860">
        <v>0</v>
      </c>
      <c r="L66" s="696">
        <v>0</v>
      </c>
      <c r="M66" s="860">
        <v>0</v>
      </c>
      <c r="N66" s="536">
        <v>0</v>
      </c>
      <c r="O66" s="860">
        <v>51.948999999999998</v>
      </c>
      <c r="P66" s="730">
        <f t="shared" si="8"/>
        <v>50</v>
      </c>
      <c r="Q66" s="860">
        <v>73.587000000000003</v>
      </c>
      <c r="R66" s="747">
        <f t="shared" si="9"/>
        <v>74</v>
      </c>
      <c r="S66" s="860">
        <v>0.28100000000000003</v>
      </c>
      <c r="T66" s="747">
        <v>0</v>
      </c>
      <c r="U66" s="860">
        <v>68.537000000000006</v>
      </c>
      <c r="V66" s="747">
        <f t="shared" ref="V66:V97" si="10">MROUND(U66,1)</f>
        <v>69</v>
      </c>
      <c r="W66" s="860">
        <v>66.558999999999997</v>
      </c>
      <c r="X66" s="747">
        <f t="shared" ref="X66:X103" si="11">MROUND(W66,1)</f>
        <v>67</v>
      </c>
      <c r="Y66" s="860">
        <v>0.52300000000000002</v>
      </c>
      <c r="Z66" s="696" t="s">
        <v>303</v>
      </c>
      <c r="AA66" s="697">
        <v>0</v>
      </c>
      <c r="AB66" s="697">
        <v>0</v>
      </c>
      <c r="AC66" s="696">
        <v>16.59</v>
      </c>
      <c r="AD66" s="696">
        <v>1.276</v>
      </c>
      <c r="AE66" s="696">
        <v>0.222</v>
      </c>
      <c r="AF66" s="696">
        <v>1.23</v>
      </c>
      <c r="AG66" s="696">
        <v>24.372</v>
      </c>
      <c r="AH66" s="696">
        <v>0.51900000000000002</v>
      </c>
    </row>
    <row r="67" spans="1:34" ht="31.75">
      <c r="A67" s="924" t="s">
        <v>92</v>
      </c>
      <c r="B67" s="186" t="s">
        <v>103</v>
      </c>
      <c r="C67" s="860">
        <v>444.10399999999998</v>
      </c>
      <c r="D67" s="195">
        <f t="shared" si="7"/>
        <v>440</v>
      </c>
      <c r="E67" s="860">
        <v>9.3369999999999997</v>
      </c>
      <c r="F67" s="696">
        <f>MROUND(E67,5)</f>
        <v>10</v>
      </c>
      <c r="G67" s="696">
        <v>4.4850000000000003</v>
      </c>
      <c r="H67" s="696">
        <f>MROUND(G67,0.5)</f>
        <v>4.5</v>
      </c>
      <c r="I67" s="860">
        <v>3.5169999999999999</v>
      </c>
      <c r="J67" s="696">
        <f t="shared" ref="J67:J73" si="12">MROUND(I67,0.5)</f>
        <v>3.5</v>
      </c>
      <c r="K67" s="860">
        <v>0</v>
      </c>
      <c r="L67" s="696">
        <v>0</v>
      </c>
      <c r="M67" s="860">
        <v>3.5000000000000003E-2</v>
      </c>
      <c r="N67" s="536">
        <v>0</v>
      </c>
      <c r="O67" s="860">
        <v>85.284000000000006</v>
      </c>
      <c r="P67" s="730">
        <f t="shared" si="8"/>
        <v>85</v>
      </c>
      <c r="Q67" s="860">
        <v>101.633</v>
      </c>
      <c r="R67" s="747">
        <f t="shared" si="9"/>
        <v>102</v>
      </c>
      <c r="S67" s="860">
        <v>0.122</v>
      </c>
      <c r="T67" s="747">
        <v>0</v>
      </c>
      <c r="U67" s="860">
        <v>95.867000000000004</v>
      </c>
      <c r="V67" s="747">
        <f t="shared" si="10"/>
        <v>96</v>
      </c>
      <c r="W67" s="860">
        <v>95.632000000000005</v>
      </c>
      <c r="X67" s="747">
        <f t="shared" si="11"/>
        <v>96</v>
      </c>
      <c r="Y67" s="860">
        <v>0.53900000000000003</v>
      </c>
      <c r="Z67" s="696" t="s">
        <v>303</v>
      </c>
      <c r="AA67" s="697">
        <v>0</v>
      </c>
      <c r="AB67" s="697">
        <v>0</v>
      </c>
      <c r="AC67" s="697">
        <v>10.726000000000001</v>
      </c>
      <c r="AD67" s="697">
        <v>0.82499999999999996</v>
      </c>
      <c r="AE67" s="697">
        <v>0.311</v>
      </c>
      <c r="AF67" s="697">
        <v>1.7270000000000001</v>
      </c>
      <c r="AG67" s="697">
        <v>16.631</v>
      </c>
      <c r="AH67" s="697">
        <v>0.35399999999999998</v>
      </c>
    </row>
    <row r="68" spans="1:34" ht="31.75">
      <c r="A68" s="924" t="s">
        <v>92</v>
      </c>
      <c r="B68" s="186" t="s">
        <v>321</v>
      </c>
      <c r="C68" s="860">
        <v>309.71699999999998</v>
      </c>
      <c r="D68" s="195">
        <f t="shared" si="7"/>
        <v>310</v>
      </c>
      <c r="E68" s="860">
        <v>0.74399999999999999</v>
      </c>
      <c r="F68" s="536">
        <v>0</v>
      </c>
      <c r="G68" s="696">
        <v>3.4950000000000001</v>
      </c>
      <c r="H68" s="696">
        <f>MROUND(G68,0.5)</f>
        <v>3.5</v>
      </c>
      <c r="I68" s="860">
        <v>3.1720000000000002</v>
      </c>
      <c r="J68" s="696">
        <f t="shared" si="12"/>
        <v>3</v>
      </c>
      <c r="K68" s="860">
        <v>6.0000000000000001E-3</v>
      </c>
      <c r="L68" s="696">
        <v>0</v>
      </c>
      <c r="M68" s="860">
        <v>0</v>
      </c>
      <c r="N68" s="536">
        <v>0</v>
      </c>
      <c r="O68" s="860">
        <v>70.793999999999997</v>
      </c>
      <c r="P68" s="730">
        <f t="shared" si="8"/>
        <v>70</v>
      </c>
      <c r="Q68" s="860">
        <v>69.668999999999997</v>
      </c>
      <c r="R68" s="747">
        <f t="shared" si="9"/>
        <v>70</v>
      </c>
      <c r="S68" s="860">
        <v>0.77</v>
      </c>
      <c r="T68" s="696" t="s">
        <v>303</v>
      </c>
      <c r="U68" s="860">
        <v>64.546999999999997</v>
      </c>
      <c r="V68" s="747">
        <f t="shared" si="10"/>
        <v>65</v>
      </c>
      <c r="W68" s="860">
        <v>63.46</v>
      </c>
      <c r="X68" s="747">
        <f t="shared" si="11"/>
        <v>63</v>
      </c>
      <c r="Y68" s="889">
        <v>0.54</v>
      </c>
      <c r="Z68" s="696" t="s">
        <v>303</v>
      </c>
      <c r="AA68" s="697">
        <v>0</v>
      </c>
      <c r="AB68" s="697">
        <v>0</v>
      </c>
      <c r="AC68" s="697">
        <v>12.513</v>
      </c>
      <c r="AD68" s="697">
        <v>0.96299999999999997</v>
      </c>
      <c r="AE68" s="697">
        <v>0.185</v>
      </c>
      <c r="AF68" s="697">
        <v>1.0269999999999999</v>
      </c>
      <c r="AG68" s="697">
        <v>35.991</v>
      </c>
      <c r="AH68" s="697">
        <v>0.76600000000000001</v>
      </c>
    </row>
    <row r="69" spans="1:34" ht="31.75">
      <c r="A69" s="924" t="s">
        <v>92</v>
      </c>
      <c r="B69" s="186" t="s">
        <v>117</v>
      </c>
      <c r="C69" s="860">
        <v>276.87700000000001</v>
      </c>
      <c r="D69" s="195">
        <f t="shared" ref="D69:D100" si="13">MROUND(C69,10)</f>
        <v>280</v>
      </c>
      <c r="E69" s="860">
        <v>0.53600000000000003</v>
      </c>
      <c r="F69" s="536">
        <v>0</v>
      </c>
      <c r="G69" s="536">
        <v>3.9550000000000001</v>
      </c>
      <c r="H69" s="696">
        <f>MROUND(G69,0.5)</f>
        <v>4</v>
      </c>
      <c r="I69" s="860">
        <v>3.657</v>
      </c>
      <c r="J69" s="696">
        <f t="shared" si="12"/>
        <v>3.5</v>
      </c>
      <c r="K69" s="860">
        <v>2E-3</v>
      </c>
      <c r="L69" s="696">
        <v>0</v>
      </c>
      <c r="M69" s="860">
        <v>0</v>
      </c>
      <c r="N69" s="536">
        <v>0</v>
      </c>
      <c r="O69" s="860">
        <v>85.897999999999996</v>
      </c>
      <c r="P69" s="730">
        <f t="shared" ref="P69:P100" si="14">MROUND(O69,5)</f>
        <v>85</v>
      </c>
      <c r="Q69" s="860">
        <v>59.764000000000003</v>
      </c>
      <c r="R69" s="747">
        <f t="shared" ref="R69:R100" si="15">MROUND(Q69,1)</f>
        <v>60</v>
      </c>
      <c r="S69" s="860">
        <v>0.34</v>
      </c>
      <c r="T69" s="747">
        <v>0</v>
      </c>
      <c r="U69" s="860">
        <v>54.173999999999999</v>
      </c>
      <c r="V69" s="747">
        <f t="shared" si="10"/>
        <v>54</v>
      </c>
      <c r="W69" s="860">
        <v>51.94</v>
      </c>
      <c r="X69" s="747">
        <f t="shared" si="11"/>
        <v>52</v>
      </c>
      <c r="Y69" s="860">
        <v>0.54100000000000004</v>
      </c>
      <c r="Z69" s="696" t="s">
        <v>303</v>
      </c>
      <c r="AA69" s="555">
        <v>0</v>
      </c>
      <c r="AB69" s="555">
        <v>0</v>
      </c>
      <c r="AC69" s="536">
        <v>10.78</v>
      </c>
      <c r="AD69" s="536">
        <v>0.82899999999999996</v>
      </c>
      <c r="AE69" s="536">
        <v>0.16800000000000001</v>
      </c>
      <c r="AF69" s="536">
        <v>0.93500000000000005</v>
      </c>
      <c r="AG69" s="536">
        <v>54.186999999999998</v>
      </c>
      <c r="AH69" s="536">
        <v>1.153</v>
      </c>
    </row>
    <row r="70" spans="1:34" ht="31.75">
      <c r="A70" s="924" t="s">
        <v>92</v>
      </c>
      <c r="B70" s="186" t="s">
        <v>109</v>
      </c>
      <c r="C70" s="860">
        <v>367.726</v>
      </c>
      <c r="D70" s="195">
        <f t="shared" si="13"/>
        <v>370</v>
      </c>
      <c r="E70" s="860">
        <v>9.577</v>
      </c>
      <c r="F70" s="696">
        <f>MROUND(E70,5)</f>
        <v>10</v>
      </c>
      <c r="G70" s="696">
        <v>4.5999999999999996</v>
      </c>
      <c r="H70" s="696">
        <f>MROUND(G70,0.5)</f>
        <v>4.5</v>
      </c>
      <c r="I70" s="860">
        <v>3.6070000000000002</v>
      </c>
      <c r="J70" s="696">
        <f t="shared" si="12"/>
        <v>3.5</v>
      </c>
      <c r="K70" s="860">
        <v>0</v>
      </c>
      <c r="L70" s="696">
        <v>0</v>
      </c>
      <c r="M70" s="860">
        <v>3.5999999999999997E-2</v>
      </c>
      <c r="N70" s="536">
        <v>0</v>
      </c>
      <c r="O70" s="860">
        <v>88.641000000000005</v>
      </c>
      <c r="P70" s="730">
        <f t="shared" si="14"/>
        <v>90</v>
      </c>
      <c r="Q70" s="860">
        <v>82.56</v>
      </c>
      <c r="R70" s="747">
        <f t="shared" si="15"/>
        <v>83</v>
      </c>
      <c r="S70" s="860">
        <v>0.11</v>
      </c>
      <c r="T70" s="747">
        <v>0</v>
      </c>
      <c r="U70" s="860">
        <v>77.117000000000004</v>
      </c>
      <c r="V70" s="747">
        <f t="shared" si="10"/>
        <v>77</v>
      </c>
      <c r="W70" s="860">
        <v>76.906000000000006</v>
      </c>
      <c r="X70" s="747">
        <f t="shared" si="11"/>
        <v>77</v>
      </c>
      <c r="Y70" s="860">
        <v>0.55300000000000005</v>
      </c>
      <c r="Z70" s="696" t="s">
        <v>303</v>
      </c>
      <c r="AA70" s="697">
        <v>0</v>
      </c>
      <c r="AB70" s="697">
        <v>0</v>
      </c>
      <c r="AC70" s="697">
        <v>11.638999999999999</v>
      </c>
      <c r="AD70" s="697">
        <v>0.89500000000000002</v>
      </c>
      <c r="AE70" s="697">
        <v>0.31900000000000001</v>
      </c>
      <c r="AF70" s="697">
        <v>1.772</v>
      </c>
      <c r="AG70" s="697">
        <v>16.786000000000001</v>
      </c>
      <c r="AH70" s="697">
        <v>0.35699999999999998</v>
      </c>
    </row>
    <row r="71" spans="1:34" ht="31.75">
      <c r="A71" s="924" t="s">
        <v>92</v>
      </c>
      <c r="B71" s="186" t="s">
        <v>112</v>
      </c>
      <c r="C71" s="860">
        <v>305.89499999999998</v>
      </c>
      <c r="D71" s="195">
        <f t="shared" si="13"/>
        <v>310</v>
      </c>
      <c r="E71" s="860">
        <v>6.3E-2</v>
      </c>
      <c r="F71" s="536">
        <v>0</v>
      </c>
      <c r="G71" s="696">
        <v>3.528</v>
      </c>
      <c r="H71" s="696">
        <f>MROUND(G71,0.5)</f>
        <v>3.5</v>
      </c>
      <c r="I71" s="860">
        <v>3.2719999999999998</v>
      </c>
      <c r="J71" s="696">
        <f t="shared" si="12"/>
        <v>3.5</v>
      </c>
      <c r="K71" s="860">
        <v>0</v>
      </c>
      <c r="L71" s="696">
        <v>0</v>
      </c>
      <c r="M71" s="860">
        <v>0</v>
      </c>
      <c r="N71" s="536">
        <v>0</v>
      </c>
      <c r="O71" s="860">
        <v>72.725999999999999</v>
      </c>
      <c r="P71" s="730">
        <f t="shared" si="14"/>
        <v>75</v>
      </c>
      <c r="Q71" s="860">
        <v>68.802999999999997</v>
      </c>
      <c r="R71" s="747">
        <f t="shared" si="15"/>
        <v>69</v>
      </c>
      <c r="S71" s="860">
        <v>1.0429999999999999</v>
      </c>
      <c r="T71" s="734">
        <f>MROUND(S71,1)</f>
        <v>1</v>
      </c>
      <c r="U71" s="860">
        <v>63.329000000000001</v>
      </c>
      <c r="V71" s="747">
        <f t="shared" si="10"/>
        <v>63</v>
      </c>
      <c r="W71" s="860">
        <v>62.219000000000001</v>
      </c>
      <c r="X71" s="747">
        <f t="shared" si="11"/>
        <v>62</v>
      </c>
      <c r="Y71" s="889">
        <v>0.64</v>
      </c>
      <c r="Z71" s="696" t="s">
        <v>303</v>
      </c>
      <c r="AA71" s="697">
        <v>0</v>
      </c>
      <c r="AB71" s="697">
        <v>0</v>
      </c>
      <c r="AC71" s="697">
        <v>18.204999999999998</v>
      </c>
      <c r="AD71" s="697">
        <v>1.4</v>
      </c>
      <c r="AE71" s="697">
        <v>0.41299999999999998</v>
      </c>
      <c r="AF71" s="697">
        <v>2.2930000000000001</v>
      </c>
      <c r="AG71" s="697">
        <v>71.516999999999996</v>
      </c>
      <c r="AH71" s="697">
        <v>1.522</v>
      </c>
    </row>
    <row r="72" spans="1:34" ht="31.75">
      <c r="A72" s="924" t="s">
        <v>92</v>
      </c>
      <c r="B72" s="186" t="s">
        <v>116</v>
      </c>
      <c r="C72" s="860">
        <v>429.30099999999999</v>
      </c>
      <c r="D72" s="195">
        <f t="shared" si="13"/>
        <v>430</v>
      </c>
      <c r="E72" s="930">
        <v>0</v>
      </c>
      <c r="F72" s="536">
        <v>0</v>
      </c>
      <c r="G72" s="696">
        <v>5.2039999999999997</v>
      </c>
      <c r="H72" s="696">
        <f>MROUND(G72,1)</f>
        <v>5</v>
      </c>
      <c r="I72" s="860">
        <v>4.2460000000000004</v>
      </c>
      <c r="J72" s="696">
        <f t="shared" si="12"/>
        <v>4</v>
      </c>
      <c r="K72" s="860">
        <v>0</v>
      </c>
      <c r="L72" s="696">
        <v>0</v>
      </c>
      <c r="M72" s="860">
        <v>0</v>
      </c>
      <c r="N72" s="536">
        <v>0</v>
      </c>
      <c r="O72" s="860">
        <v>81.201999999999998</v>
      </c>
      <c r="P72" s="730">
        <f t="shared" si="14"/>
        <v>80</v>
      </c>
      <c r="Q72" s="860">
        <v>97.11</v>
      </c>
      <c r="R72" s="747">
        <f t="shared" si="15"/>
        <v>97</v>
      </c>
      <c r="S72" s="860">
        <v>0.59199999999999997</v>
      </c>
      <c r="T72" s="696" t="s">
        <v>303</v>
      </c>
      <c r="U72" s="860">
        <v>92.546999999999997</v>
      </c>
      <c r="V72" s="747">
        <f t="shared" si="10"/>
        <v>93</v>
      </c>
      <c r="W72" s="860">
        <v>92.358999999999995</v>
      </c>
      <c r="X72" s="747">
        <f t="shared" si="11"/>
        <v>92</v>
      </c>
      <c r="Y72" s="860">
        <v>0.65100000000000002</v>
      </c>
      <c r="Z72" s="696" t="s">
        <v>303</v>
      </c>
      <c r="AA72" s="697">
        <v>0</v>
      </c>
      <c r="AB72" s="697">
        <v>0</v>
      </c>
      <c r="AC72" s="696">
        <v>13.35</v>
      </c>
      <c r="AD72" s="696">
        <v>1.0269999999999999</v>
      </c>
      <c r="AE72" s="696">
        <v>0.98799999999999999</v>
      </c>
      <c r="AF72" s="696">
        <v>5.4889999999999999</v>
      </c>
      <c r="AG72" s="696">
        <v>54.706000000000003</v>
      </c>
      <c r="AH72" s="696">
        <v>1.1639999999999999</v>
      </c>
    </row>
    <row r="73" spans="1:34" ht="31.75">
      <c r="A73" s="924" t="s">
        <v>92</v>
      </c>
      <c r="B73" s="186" t="s">
        <v>93</v>
      </c>
      <c r="C73" s="860">
        <v>368.36</v>
      </c>
      <c r="D73" s="195">
        <f t="shared" si="13"/>
        <v>370</v>
      </c>
      <c r="E73" s="860">
        <v>17.823</v>
      </c>
      <c r="F73" s="696">
        <f>MROUND(E73,5)</f>
        <v>20</v>
      </c>
      <c r="G73" s="536">
        <v>5.4569999999999999</v>
      </c>
      <c r="H73" s="696">
        <f>MROUND(G73,1)</f>
        <v>5</v>
      </c>
      <c r="I73" s="860">
        <v>4.2290000000000001</v>
      </c>
      <c r="J73" s="696">
        <f t="shared" si="12"/>
        <v>4</v>
      </c>
      <c r="K73" s="860">
        <v>0.51900000000000002</v>
      </c>
      <c r="L73" s="696">
        <f>MROUND(K73,0.5)</f>
        <v>0.5</v>
      </c>
      <c r="M73" s="860">
        <v>0</v>
      </c>
      <c r="N73" s="536">
        <v>0</v>
      </c>
      <c r="O73" s="860">
        <v>78.311000000000007</v>
      </c>
      <c r="P73" s="730">
        <f t="shared" si="14"/>
        <v>80</v>
      </c>
      <c r="Q73" s="860">
        <v>86.602999999999994</v>
      </c>
      <c r="R73" s="747">
        <f t="shared" si="15"/>
        <v>87</v>
      </c>
      <c r="S73" s="860">
        <v>0.73799999999999999</v>
      </c>
      <c r="T73" s="696" t="s">
        <v>303</v>
      </c>
      <c r="U73" s="860">
        <v>81.399000000000001</v>
      </c>
      <c r="V73" s="747">
        <f t="shared" si="10"/>
        <v>81</v>
      </c>
      <c r="W73" s="860">
        <v>73.841999999999999</v>
      </c>
      <c r="X73" s="747">
        <f t="shared" si="11"/>
        <v>74</v>
      </c>
      <c r="Y73" s="860">
        <v>0.67700000000000005</v>
      </c>
      <c r="Z73" s="696" t="s">
        <v>303</v>
      </c>
      <c r="AA73" s="555">
        <v>1.2999999999999999E-2</v>
      </c>
      <c r="AB73" s="555">
        <v>6.6000000000000003E-2</v>
      </c>
      <c r="AC73" s="555">
        <v>16.404</v>
      </c>
      <c r="AD73" s="555">
        <v>1.262</v>
      </c>
      <c r="AE73" s="555">
        <v>0.58799999999999997</v>
      </c>
      <c r="AF73" s="555">
        <v>3.2690000000000001</v>
      </c>
      <c r="AG73" s="555">
        <v>78.058999999999997</v>
      </c>
      <c r="AH73" s="555">
        <v>1.661</v>
      </c>
    </row>
    <row r="74" spans="1:34" ht="31.75">
      <c r="A74" s="186" t="s">
        <v>296</v>
      </c>
      <c r="B74" s="186" t="s">
        <v>306</v>
      </c>
      <c r="C74" s="860">
        <v>383.52100000000002</v>
      </c>
      <c r="D74" s="195">
        <f t="shared" si="13"/>
        <v>380</v>
      </c>
      <c r="E74" s="860">
        <v>0.77300000000000002</v>
      </c>
      <c r="F74" s="536">
        <v>0</v>
      </c>
      <c r="G74" s="860">
        <v>8.5999999999999993E-2</v>
      </c>
      <c r="H74" s="536">
        <v>0</v>
      </c>
      <c r="I74" s="860">
        <v>0</v>
      </c>
      <c r="J74" s="536">
        <v>0</v>
      </c>
      <c r="K74" s="860">
        <v>0</v>
      </c>
      <c r="L74" s="696">
        <v>0</v>
      </c>
      <c r="M74" s="860">
        <v>0</v>
      </c>
      <c r="N74" s="536">
        <v>0</v>
      </c>
      <c r="O74" s="860">
        <v>39.139000000000003</v>
      </c>
      <c r="P74" s="730">
        <f t="shared" si="14"/>
        <v>40</v>
      </c>
      <c r="Q74" s="860">
        <v>95.804000000000002</v>
      </c>
      <c r="R74" s="747">
        <f t="shared" si="15"/>
        <v>96</v>
      </c>
      <c r="S74" s="860">
        <v>0</v>
      </c>
      <c r="T74" s="747">
        <v>0</v>
      </c>
      <c r="U74" s="860">
        <v>88.22</v>
      </c>
      <c r="V74" s="747">
        <f t="shared" si="10"/>
        <v>88</v>
      </c>
      <c r="W74" s="860">
        <v>88.22</v>
      </c>
      <c r="X74" s="747">
        <f t="shared" si="11"/>
        <v>88</v>
      </c>
      <c r="Y74" s="860">
        <v>0.68700000000000006</v>
      </c>
      <c r="Z74" s="696" t="s">
        <v>303</v>
      </c>
      <c r="AA74" s="697">
        <v>0</v>
      </c>
      <c r="AB74" s="697">
        <v>0</v>
      </c>
      <c r="AC74" s="696">
        <v>8.298</v>
      </c>
      <c r="AD74" s="696">
        <v>0.63800000000000001</v>
      </c>
      <c r="AE74" s="696">
        <v>1.7000000000000001E-2</v>
      </c>
      <c r="AF74" s="696">
        <v>9.6000000000000002E-2</v>
      </c>
      <c r="AG74" s="696">
        <v>1.536</v>
      </c>
      <c r="AH74" s="696">
        <v>3.3000000000000002E-2</v>
      </c>
    </row>
    <row r="75" spans="1:34" s="248" customFormat="1" ht="31.75">
      <c r="A75" s="924" t="s">
        <v>92</v>
      </c>
      <c r="B75" s="186" t="s">
        <v>111</v>
      </c>
      <c r="C75" s="889">
        <v>349.642</v>
      </c>
      <c r="D75" s="195">
        <f t="shared" si="13"/>
        <v>350</v>
      </c>
      <c r="E75" s="889">
        <v>12.329000000000001</v>
      </c>
      <c r="F75" s="696">
        <f>MROUND(E75,5)</f>
        <v>10</v>
      </c>
      <c r="G75" s="697">
        <v>4.8789999999999996</v>
      </c>
      <c r="H75" s="696">
        <f>MROUND(G75,0.5)</f>
        <v>5</v>
      </c>
      <c r="I75" s="889">
        <v>4.1379999999999999</v>
      </c>
      <c r="J75" s="696">
        <f>MROUND(I75,0.5)</f>
        <v>4</v>
      </c>
      <c r="K75" s="889">
        <v>0</v>
      </c>
      <c r="L75" s="696">
        <v>0</v>
      </c>
      <c r="M75" s="889">
        <v>3.395</v>
      </c>
      <c r="N75" s="697">
        <f>MROUND(M75,0.5)</f>
        <v>3.5</v>
      </c>
      <c r="O75" s="889">
        <v>81.563000000000002</v>
      </c>
      <c r="P75" s="730">
        <f t="shared" si="14"/>
        <v>80</v>
      </c>
      <c r="Q75" s="889">
        <v>76.436999999999998</v>
      </c>
      <c r="R75" s="747">
        <f t="shared" si="15"/>
        <v>76</v>
      </c>
      <c r="S75" s="860">
        <v>0.53400000000000003</v>
      </c>
      <c r="T75" s="696" t="s">
        <v>303</v>
      </c>
      <c r="U75" s="889">
        <v>69.840999999999994</v>
      </c>
      <c r="V75" s="747">
        <f t="shared" si="10"/>
        <v>70</v>
      </c>
      <c r="W75" s="889">
        <v>69.034000000000006</v>
      </c>
      <c r="X75" s="747">
        <f t="shared" si="11"/>
        <v>69</v>
      </c>
      <c r="Y75" s="889">
        <v>0.70899999999999996</v>
      </c>
      <c r="Z75" s="696" t="s">
        <v>303</v>
      </c>
      <c r="AA75" s="697">
        <v>0</v>
      </c>
      <c r="AB75" s="697">
        <v>0</v>
      </c>
      <c r="AC75" s="697">
        <v>20.707000000000001</v>
      </c>
      <c r="AD75" s="697">
        <v>1.593</v>
      </c>
      <c r="AE75" s="697">
        <v>0.26300000000000001</v>
      </c>
      <c r="AF75" s="697">
        <v>1.4610000000000001</v>
      </c>
      <c r="AG75" s="697">
        <v>45.661999999999999</v>
      </c>
      <c r="AH75" s="697">
        <v>0.97199999999999998</v>
      </c>
    </row>
    <row r="76" spans="1:34" ht="15" customHeight="1">
      <c r="A76" s="924" t="s">
        <v>92</v>
      </c>
      <c r="B76" s="186" t="s">
        <v>94</v>
      </c>
      <c r="C76" s="889">
        <v>390.54599999999999</v>
      </c>
      <c r="D76" s="195">
        <f t="shared" si="13"/>
        <v>390</v>
      </c>
      <c r="E76" s="889">
        <v>11.74</v>
      </c>
      <c r="F76" s="696">
        <f>MROUND(E76,5)</f>
        <v>10</v>
      </c>
      <c r="G76" s="697">
        <v>4.8170000000000002</v>
      </c>
      <c r="H76" s="696">
        <f>MROUND(G76,0.5)</f>
        <v>5</v>
      </c>
      <c r="I76" s="889">
        <v>3.9060000000000001</v>
      </c>
      <c r="J76" s="696">
        <f>MROUND(I76,0.5)</f>
        <v>4</v>
      </c>
      <c r="K76" s="860">
        <v>0</v>
      </c>
      <c r="L76" s="696">
        <v>0</v>
      </c>
      <c r="M76" s="889">
        <v>0</v>
      </c>
      <c r="N76" s="536">
        <v>0</v>
      </c>
      <c r="O76" s="889">
        <v>202.56399999999999</v>
      </c>
      <c r="P76" s="730">
        <f t="shared" si="14"/>
        <v>205</v>
      </c>
      <c r="Q76" s="889">
        <v>86.843000000000004</v>
      </c>
      <c r="R76" s="747">
        <f t="shared" si="15"/>
        <v>87</v>
      </c>
      <c r="S76" s="860">
        <v>0.13900000000000001</v>
      </c>
      <c r="T76" s="747">
        <v>0</v>
      </c>
      <c r="U76" s="889">
        <v>77.826999999999998</v>
      </c>
      <c r="V76" s="747">
        <f t="shared" si="10"/>
        <v>78</v>
      </c>
      <c r="W76" s="889">
        <v>67.302999999999997</v>
      </c>
      <c r="X76" s="747">
        <f t="shared" si="11"/>
        <v>67</v>
      </c>
      <c r="Y76" s="889">
        <v>0.73699999999999999</v>
      </c>
      <c r="Z76" s="696" t="s">
        <v>303</v>
      </c>
      <c r="AA76" s="697">
        <v>0</v>
      </c>
      <c r="AB76" s="697">
        <v>0</v>
      </c>
      <c r="AC76" s="697">
        <v>43.128999999999998</v>
      </c>
      <c r="AD76" s="697">
        <v>3.3180000000000001</v>
      </c>
      <c r="AE76" s="697">
        <v>0.32200000000000001</v>
      </c>
      <c r="AF76" s="697">
        <v>1.79</v>
      </c>
      <c r="AG76" s="697">
        <v>8.2289999999999992</v>
      </c>
      <c r="AH76" s="697">
        <v>0.17499999999999999</v>
      </c>
    </row>
    <row r="77" spans="1:34" s="212" customFormat="1" ht="31.75">
      <c r="A77" s="924" t="s">
        <v>92</v>
      </c>
      <c r="B77" s="186" t="s">
        <v>95</v>
      </c>
      <c r="C77" s="860">
        <v>418.67200000000003</v>
      </c>
      <c r="D77" s="195">
        <f t="shared" si="13"/>
        <v>420</v>
      </c>
      <c r="E77" s="860">
        <v>24.329000000000001</v>
      </c>
      <c r="F77" s="696">
        <f>MROUND(E77,5)</f>
        <v>25</v>
      </c>
      <c r="G77" s="696">
        <v>6.1740000000000004</v>
      </c>
      <c r="H77" s="696">
        <f>MROUND(G77,1)</f>
        <v>6</v>
      </c>
      <c r="I77" s="860">
        <v>4.9619999999999997</v>
      </c>
      <c r="J77" s="696">
        <f>MROUND(I77,0.5)</f>
        <v>5</v>
      </c>
      <c r="K77" s="860">
        <v>0</v>
      </c>
      <c r="L77" s="696">
        <v>0</v>
      </c>
      <c r="M77" s="860">
        <v>0</v>
      </c>
      <c r="N77" s="536">
        <v>0</v>
      </c>
      <c r="O77" s="860">
        <v>89.132000000000005</v>
      </c>
      <c r="P77" s="730">
        <f t="shared" si="14"/>
        <v>90</v>
      </c>
      <c r="Q77" s="860">
        <v>89.727999999999994</v>
      </c>
      <c r="R77" s="747">
        <f t="shared" si="15"/>
        <v>90</v>
      </c>
      <c r="S77" s="860">
        <v>2.8000000000000001E-2</v>
      </c>
      <c r="T77" s="747">
        <v>0</v>
      </c>
      <c r="U77" s="860">
        <v>82.069000000000003</v>
      </c>
      <c r="V77" s="747">
        <f t="shared" si="10"/>
        <v>82</v>
      </c>
      <c r="W77" s="860">
        <v>81.566999999999993</v>
      </c>
      <c r="X77" s="747">
        <f t="shared" si="11"/>
        <v>82</v>
      </c>
      <c r="Y77" s="860">
        <v>0.77100000000000002</v>
      </c>
      <c r="Z77" s="696" t="s">
        <v>303</v>
      </c>
      <c r="AA77" s="697">
        <v>0</v>
      </c>
      <c r="AB77" s="697">
        <v>0</v>
      </c>
      <c r="AC77" s="696">
        <v>26.155000000000001</v>
      </c>
      <c r="AD77" s="696">
        <v>2.012</v>
      </c>
      <c r="AE77" s="696">
        <v>0.115</v>
      </c>
      <c r="AF77" s="696">
        <v>0.63700000000000001</v>
      </c>
      <c r="AG77" s="696">
        <v>23.423999999999999</v>
      </c>
      <c r="AH77" s="696">
        <v>0.498</v>
      </c>
    </row>
    <row r="78" spans="1:34" ht="31.75">
      <c r="A78" s="924" t="s">
        <v>92</v>
      </c>
      <c r="B78" s="186" t="s">
        <v>98</v>
      </c>
      <c r="C78" s="860">
        <v>403.4</v>
      </c>
      <c r="D78" s="195">
        <f t="shared" si="13"/>
        <v>400</v>
      </c>
      <c r="E78" s="860">
        <v>24.474</v>
      </c>
      <c r="F78" s="696">
        <f>MROUND(E78,5)</f>
        <v>25</v>
      </c>
      <c r="G78" s="696">
        <v>6.2110000000000003</v>
      </c>
      <c r="H78" s="696">
        <f>MROUND(G78,1)</f>
        <v>6</v>
      </c>
      <c r="I78" s="860">
        <v>4.9909999999999997</v>
      </c>
      <c r="J78" s="696">
        <f>MROUND(I78,0.5)</f>
        <v>5</v>
      </c>
      <c r="K78" s="860">
        <v>0</v>
      </c>
      <c r="L78" s="696">
        <v>0</v>
      </c>
      <c r="M78" s="860">
        <v>6.7549999999999999</v>
      </c>
      <c r="N78" s="697">
        <f>MROUND(M78,1)</f>
        <v>7</v>
      </c>
      <c r="O78" s="860">
        <v>90.138999999999996</v>
      </c>
      <c r="P78" s="730">
        <f t="shared" si="14"/>
        <v>90</v>
      </c>
      <c r="Q78" s="860">
        <v>86.709000000000003</v>
      </c>
      <c r="R78" s="747">
        <f t="shared" si="15"/>
        <v>87</v>
      </c>
      <c r="S78" s="860">
        <v>2.9000000000000001E-2</v>
      </c>
      <c r="T78" s="747">
        <v>0</v>
      </c>
      <c r="U78" s="860">
        <v>79.004999999999995</v>
      </c>
      <c r="V78" s="747">
        <f t="shared" si="10"/>
        <v>79</v>
      </c>
      <c r="W78" s="860">
        <v>78.5</v>
      </c>
      <c r="X78" s="747">
        <f t="shared" si="11"/>
        <v>79</v>
      </c>
      <c r="Y78" s="860">
        <v>0.77500000000000002</v>
      </c>
      <c r="Z78" s="696" t="s">
        <v>303</v>
      </c>
      <c r="AA78" s="697">
        <v>0</v>
      </c>
      <c r="AB78" s="697">
        <v>0</v>
      </c>
      <c r="AC78" s="697">
        <v>23.117000000000001</v>
      </c>
      <c r="AD78" s="697">
        <v>1.778</v>
      </c>
      <c r="AE78" s="697">
        <v>0.115</v>
      </c>
      <c r="AF78" s="697">
        <v>0.64100000000000001</v>
      </c>
      <c r="AG78" s="697">
        <v>20.010999999999999</v>
      </c>
      <c r="AH78" s="697">
        <v>0.42599999999999999</v>
      </c>
    </row>
    <row r="79" spans="1:34" ht="31.75">
      <c r="A79" s="924" t="s">
        <v>92</v>
      </c>
      <c r="B79" s="186" t="s">
        <v>118</v>
      </c>
      <c r="C79" s="861">
        <v>420.05599999999998</v>
      </c>
      <c r="D79" s="195">
        <f t="shared" si="13"/>
        <v>420</v>
      </c>
      <c r="E79" s="861">
        <v>24.364000000000001</v>
      </c>
      <c r="F79" s="696">
        <f>MROUND(E79,5)</f>
        <v>25</v>
      </c>
      <c r="G79" s="730">
        <v>6.1719999999999997</v>
      </c>
      <c r="H79" s="696">
        <f>MROUND(G79,1)</f>
        <v>6</v>
      </c>
      <c r="I79" s="861">
        <v>4.9530000000000003</v>
      </c>
      <c r="J79" s="696">
        <f>MROUND(I79,0.5)</f>
        <v>5</v>
      </c>
      <c r="K79" s="861">
        <v>5.7000000000000002E-2</v>
      </c>
      <c r="L79" s="696">
        <v>0</v>
      </c>
      <c r="M79" s="861">
        <v>6.7030000000000003</v>
      </c>
      <c r="N79" s="697">
        <f>MROUND(M79,1)</f>
        <v>7</v>
      </c>
      <c r="O79" s="861">
        <v>91.718000000000004</v>
      </c>
      <c r="P79" s="730">
        <f t="shared" si="14"/>
        <v>90</v>
      </c>
      <c r="Q79" s="861">
        <v>91.444999999999993</v>
      </c>
      <c r="R79" s="747">
        <f t="shared" si="15"/>
        <v>91</v>
      </c>
      <c r="S79" s="861">
        <v>0.20100000000000001</v>
      </c>
      <c r="T79" s="747">
        <v>0</v>
      </c>
      <c r="U79" s="861">
        <v>82.977000000000004</v>
      </c>
      <c r="V79" s="747">
        <f t="shared" si="10"/>
        <v>83</v>
      </c>
      <c r="W79" s="861">
        <v>80.777000000000001</v>
      </c>
      <c r="X79" s="747">
        <f t="shared" si="11"/>
        <v>81</v>
      </c>
      <c r="Y79" s="861">
        <v>0.81499999999999995</v>
      </c>
      <c r="Z79" s="696" t="s">
        <v>303</v>
      </c>
      <c r="AA79" s="761">
        <v>0</v>
      </c>
      <c r="AB79" s="761">
        <v>0</v>
      </c>
      <c r="AC79" s="761">
        <v>24.024999999999999</v>
      </c>
      <c r="AD79" s="761">
        <v>1.8480000000000001</v>
      </c>
      <c r="AE79" s="761">
        <v>0.17599999999999999</v>
      </c>
      <c r="AF79" s="761">
        <v>0.97899999999999998</v>
      </c>
      <c r="AG79" s="761">
        <v>33.590000000000003</v>
      </c>
      <c r="AH79" s="761">
        <v>0.71499999999999997</v>
      </c>
    </row>
    <row r="80" spans="1:34" ht="31.75">
      <c r="A80" s="186" t="s">
        <v>296</v>
      </c>
      <c r="B80" s="186" t="s">
        <v>34</v>
      </c>
      <c r="C80" s="860">
        <v>376.91699999999997</v>
      </c>
      <c r="D80" s="195">
        <f t="shared" si="13"/>
        <v>380</v>
      </c>
      <c r="E80" s="860">
        <v>4.1269999999999998</v>
      </c>
      <c r="F80" s="536">
        <v>0</v>
      </c>
      <c r="G80" s="860">
        <v>0.45900000000000002</v>
      </c>
      <c r="H80" s="536">
        <v>0</v>
      </c>
      <c r="I80" s="860">
        <v>0.27100000000000002</v>
      </c>
      <c r="J80" s="536">
        <v>0</v>
      </c>
      <c r="K80" s="860">
        <v>0</v>
      </c>
      <c r="L80" s="696">
        <v>0</v>
      </c>
      <c r="M80" s="860">
        <v>0</v>
      </c>
      <c r="N80" s="536">
        <v>0</v>
      </c>
      <c r="O80" s="860">
        <v>71.156999999999996</v>
      </c>
      <c r="P80" s="730">
        <f t="shared" si="14"/>
        <v>70</v>
      </c>
      <c r="Q80" s="860">
        <v>96.087000000000003</v>
      </c>
      <c r="R80" s="747">
        <f t="shared" si="15"/>
        <v>96</v>
      </c>
      <c r="S80" s="860">
        <v>1.341</v>
      </c>
      <c r="T80" s="734">
        <f>MROUND(S80,1)</f>
        <v>1</v>
      </c>
      <c r="U80" s="860">
        <v>91.278999999999996</v>
      </c>
      <c r="V80" s="747">
        <f t="shared" si="10"/>
        <v>91</v>
      </c>
      <c r="W80" s="860">
        <v>90.902000000000001</v>
      </c>
      <c r="X80" s="747">
        <f t="shared" si="11"/>
        <v>91</v>
      </c>
      <c r="Y80" s="860">
        <v>0.81699999999999995</v>
      </c>
      <c r="Z80" s="696" t="s">
        <v>303</v>
      </c>
      <c r="AA80" s="697">
        <v>6.0000000000000001E-3</v>
      </c>
      <c r="AB80" s="697">
        <v>0.03</v>
      </c>
      <c r="AC80" s="697">
        <v>16.808</v>
      </c>
      <c r="AD80" s="697">
        <v>1.2929999999999999</v>
      </c>
      <c r="AE80" s="697">
        <v>0.71199999999999997</v>
      </c>
      <c r="AF80" s="697">
        <v>3.9540000000000002</v>
      </c>
      <c r="AG80" s="697">
        <v>96.480999999999995</v>
      </c>
      <c r="AH80" s="697">
        <v>2.0529999999999999</v>
      </c>
    </row>
    <row r="81" spans="1:34" ht="31.75">
      <c r="A81" s="924" t="s">
        <v>92</v>
      </c>
      <c r="B81" s="186" t="s">
        <v>108</v>
      </c>
      <c r="C81" s="860">
        <v>339.21499999999997</v>
      </c>
      <c r="D81" s="195">
        <f t="shared" si="13"/>
        <v>340</v>
      </c>
      <c r="E81" s="860">
        <v>25.175000000000001</v>
      </c>
      <c r="F81" s="696">
        <f>MROUND(E81,5)</f>
        <v>25</v>
      </c>
      <c r="G81" s="696">
        <v>6.31</v>
      </c>
      <c r="H81" s="696">
        <f>MROUND(G81,1)</f>
        <v>6</v>
      </c>
      <c r="I81" s="860">
        <v>4.9349999999999996</v>
      </c>
      <c r="J81" s="696">
        <f>MROUND(I81,0.5)</f>
        <v>5</v>
      </c>
      <c r="K81" s="860">
        <v>0.93200000000000005</v>
      </c>
      <c r="L81" s="696">
        <f>MROUND(K81,0.5)</f>
        <v>1</v>
      </c>
      <c r="M81" s="860">
        <v>0</v>
      </c>
      <c r="N81" s="536">
        <v>0</v>
      </c>
      <c r="O81" s="860">
        <v>69.242999999999995</v>
      </c>
      <c r="P81" s="730">
        <f t="shared" si="14"/>
        <v>70</v>
      </c>
      <c r="Q81" s="860">
        <v>85.525000000000006</v>
      </c>
      <c r="R81" s="747">
        <f t="shared" si="15"/>
        <v>86</v>
      </c>
      <c r="S81" s="860">
        <v>0.79</v>
      </c>
      <c r="T81" s="696" t="s">
        <v>303</v>
      </c>
      <c r="U81" s="860">
        <v>80.614999999999995</v>
      </c>
      <c r="V81" s="747">
        <f t="shared" si="10"/>
        <v>81</v>
      </c>
      <c r="W81" s="860">
        <v>74.248000000000005</v>
      </c>
      <c r="X81" s="747">
        <f t="shared" si="11"/>
        <v>74</v>
      </c>
      <c r="Y81" s="860">
        <v>0.82399999999999995</v>
      </c>
      <c r="Z81" s="696" t="s">
        <v>303</v>
      </c>
      <c r="AA81" s="697">
        <v>2.4E-2</v>
      </c>
      <c r="AB81" s="697">
        <v>0.11799999999999999</v>
      </c>
      <c r="AC81" s="697">
        <v>12.948</v>
      </c>
      <c r="AD81" s="697">
        <v>0.996</v>
      </c>
      <c r="AE81" s="697">
        <v>0.95099999999999996</v>
      </c>
      <c r="AF81" s="697">
        <v>5.2839999999999998</v>
      </c>
      <c r="AG81" s="697">
        <v>53.058</v>
      </c>
      <c r="AH81" s="697">
        <v>1.129</v>
      </c>
    </row>
    <row r="82" spans="1:34" ht="31.75">
      <c r="A82" s="924" t="s">
        <v>92</v>
      </c>
      <c r="B82" s="186" t="s">
        <v>120</v>
      </c>
      <c r="C82" s="860">
        <v>380.68200000000002</v>
      </c>
      <c r="D82" s="195">
        <f t="shared" si="13"/>
        <v>380</v>
      </c>
      <c r="E82" s="860">
        <v>25.177</v>
      </c>
      <c r="F82" s="696">
        <f>MROUND(E82,5)</f>
        <v>25</v>
      </c>
      <c r="G82" s="536">
        <v>6.2880000000000003</v>
      </c>
      <c r="H82" s="696">
        <f>MROUND(G82,1)</f>
        <v>6</v>
      </c>
      <c r="I82" s="860">
        <v>4.9039999999999999</v>
      </c>
      <c r="J82" s="696">
        <f>MROUND(I82,0.5)</f>
        <v>5</v>
      </c>
      <c r="K82" s="860">
        <v>0.92600000000000005</v>
      </c>
      <c r="L82" s="696">
        <f>MROUND(K82,0.5)</f>
        <v>1</v>
      </c>
      <c r="M82" s="860">
        <v>0</v>
      </c>
      <c r="N82" s="536">
        <v>0</v>
      </c>
      <c r="O82" s="860">
        <v>79.887</v>
      </c>
      <c r="P82" s="730">
        <f t="shared" si="14"/>
        <v>80</v>
      </c>
      <c r="Q82" s="860">
        <v>95.861999999999995</v>
      </c>
      <c r="R82" s="747">
        <f t="shared" si="15"/>
        <v>96</v>
      </c>
      <c r="S82" s="860">
        <v>0.81799999999999995</v>
      </c>
      <c r="T82" s="696" t="s">
        <v>303</v>
      </c>
      <c r="U82" s="860">
        <v>89.463999999999999</v>
      </c>
      <c r="V82" s="747">
        <f t="shared" si="10"/>
        <v>89</v>
      </c>
      <c r="W82" s="860">
        <v>82.95</v>
      </c>
      <c r="X82" s="747">
        <f t="shared" si="11"/>
        <v>83</v>
      </c>
      <c r="Y82" s="860">
        <v>0.88700000000000001</v>
      </c>
      <c r="Z82" s="696" t="s">
        <v>303</v>
      </c>
      <c r="AA82" s="555">
        <v>2.3E-2</v>
      </c>
      <c r="AB82" s="555">
        <v>0.11700000000000001</v>
      </c>
      <c r="AC82" s="536">
        <v>13.964</v>
      </c>
      <c r="AD82" s="536">
        <v>1.0740000000000001</v>
      </c>
      <c r="AE82" s="536">
        <v>0.99099999999999999</v>
      </c>
      <c r="AF82" s="536">
        <v>5.5060000000000002</v>
      </c>
      <c r="AG82" s="536">
        <v>64.908000000000001</v>
      </c>
      <c r="AH82" s="536">
        <v>1.381</v>
      </c>
    </row>
    <row r="83" spans="1:34" ht="31.75">
      <c r="A83" s="924" t="s">
        <v>92</v>
      </c>
      <c r="B83" s="186" t="s">
        <v>337</v>
      </c>
      <c r="C83" s="891">
        <v>391.23099999999999</v>
      </c>
      <c r="D83" s="195">
        <f t="shared" si="13"/>
        <v>390</v>
      </c>
      <c r="E83" s="891">
        <v>3.1309999999999998</v>
      </c>
      <c r="F83" s="536">
        <v>0</v>
      </c>
      <c r="G83" s="734">
        <v>3.67</v>
      </c>
      <c r="H83" s="696">
        <f>MROUND(G83,0.5)</f>
        <v>3.5</v>
      </c>
      <c r="I83" s="891">
        <v>3.286</v>
      </c>
      <c r="J83" s="696">
        <f>MROUND(I83,0.5)</f>
        <v>3.5</v>
      </c>
      <c r="K83" s="891">
        <v>0.114</v>
      </c>
      <c r="L83" s="696">
        <v>0</v>
      </c>
      <c r="M83" s="891">
        <v>0</v>
      </c>
      <c r="N83" s="536">
        <v>0</v>
      </c>
      <c r="O83" s="891">
        <v>95.450999999999993</v>
      </c>
      <c r="P83" s="730">
        <f t="shared" si="14"/>
        <v>95</v>
      </c>
      <c r="Q83" s="891">
        <v>91.623000000000005</v>
      </c>
      <c r="R83" s="747">
        <f t="shared" si="15"/>
        <v>92</v>
      </c>
      <c r="S83" s="891">
        <v>1.0169999999999999</v>
      </c>
      <c r="T83" s="734">
        <f>MROUND(S83,1)</f>
        <v>1</v>
      </c>
      <c r="U83" s="891">
        <v>85.932000000000002</v>
      </c>
      <c r="V83" s="747">
        <f t="shared" si="10"/>
        <v>86</v>
      </c>
      <c r="W83" s="891">
        <v>85.47</v>
      </c>
      <c r="X83" s="747">
        <f t="shared" si="11"/>
        <v>85</v>
      </c>
      <c r="Y83" s="891">
        <v>0.92200000000000004</v>
      </c>
      <c r="Z83" s="696" t="s">
        <v>303</v>
      </c>
      <c r="AA83" s="734">
        <v>5.0000000000000001E-3</v>
      </c>
      <c r="AB83" s="734">
        <v>2.3E-2</v>
      </c>
      <c r="AC83" s="734">
        <v>15.56</v>
      </c>
      <c r="AD83" s="734">
        <v>1.1970000000000001</v>
      </c>
      <c r="AE83" s="734">
        <v>0.68</v>
      </c>
      <c r="AF83" s="734">
        <v>3.78</v>
      </c>
      <c r="AG83" s="734">
        <v>82.866</v>
      </c>
      <c r="AH83" s="734">
        <v>1.7629999999999999</v>
      </c>
    </row>
    <row r="84" spans="1:34" ht="31.75">
      <c r="A84" s="924" t="s">
        <v>92</v>
      </c>
      <c r="B84" s="186" t="s">
        <v>100</v>
      </c>
      <c r="C84" s="860">
        <v>382.30200000000002</v>
      </c>
      <c r="D84" s="195">
        <f t="shared" si="13"/>
        <v>380</v>
      </c>
      <c r="E84" s="860">
        <v>21.824999999999999</v>
      </c>
      <c r="F84" s="696">
        <f>MROUND(E84,5)</f>
        <v>20</v>
      </c>
      <c r="G84" s="696">
        <v>5.9249999999999998</v>
      </c>
      <c r="H84" s="696">
        <f>MROUND(G84,1)</f>
        <v>6</v>
      </c>
      <c r="I84" s="860">
        <v>5.0679999999999996</v>
      </c>
      <c r="J84" s="696">
        <f>MROUND(I84,1)</f>
        <v>5</v>
      </c>
      <c r="K84" s="860">
        <v>0.46600000000000003</v>
      </c>
      <c r="L84" s="696">
        <v>0</v>
      </c>
      <c r="M84" s="860">
        <v>1E-3</v>
      </c>
      <c r="N84" s="536">
        <v>0</v>
      </c>
      <c r="O84" s="860">
        <v>98.394000000000005</v>
      </c>
      <c r="P84" s="730">
        <f t="shared" si="14"/>
        <v>100</v>
      </c>
      <c r="Q84" s="860">
        <v>89.620999999999995</v>
      </c>
      <c r="R84" s="747">
        <f t="shared" si="15"/>
        <v>90</v>
      </c>
      <c r="S84" s="860">
        <v>0.85</v>
      </c>
      <c r="T84" s="696" t="s">
        <v>303</v>
      </c>
      <c r="U84" s="860">
        <v>82.686999999999998</v>
      </c>
      <c r="V84" s="747">
        <f t="shared" si="10"/>
        <v>83</v>
      </c>
      <c r="W84" s="860">
        <v>77.293999999999997</v>
      </c>
      <c r="X84" s="747">
        <f t="shared" si="11"/>
        <v>77</v>
      </c>
      <c r="Y84" s="860">
        <v>0.93300000000000005</v>
      </c>
      <c r="Z84" s="696" t="s">
        <v>303</v>
      </c>
      <c r="AA84" s="697">
        <v>1.2E-2</v>
      </c>
      <c r="AB84" s="697">
        <v>5.8999999999999997E-2</v>
      </c>
      <c r="AC84" s="697">
        <v>16.388000000000002</v>
      </c>
      <c r="AD84" s="697">
        <v>1.2609999999999999</v>
      </c>
      <c r="AE84" s="697">
        <v>0.77800000000000002</v>
      </c>
      <c r="AF84" s="697">
        <v>4.3209999999999997</v>
      </c>
      <c r="AG84" s="697">
        <v>117.879</v>
      </c>
      <c r="AH84" s="697">
        <v>2.508</v>
      </c>
    </row>
    <row r="85" spans="1:34" ht="15" customHeight="1">
      <c r="A85" s="924" t="s">
        <v>92</v>
      </c>
      <c r="B85" s="186" t="s">
        <v>104</v>
      </c>
      <c r="C85" s="861">
        <v>425.87599999999998</v>
      </c>
      <c r="D85" s="195">
        <f t="shared" si="13"/>
        <v>430</v>
      </c>
      <c r="E85" s="861">
        <v>26.73</v>
      </c>
      <c r="F85" s="696">
        <f>MROUND(E85,5)</f>
        <v>25</v>
      </c>
      <c r="G85" s="747">
        <v>6.4969999999999999</v>
      </c>
      <c r="H85" s="696">
        <f>MROUND(G85,1)</f>
        <v>6</v>
      </c>
      <c r="I85" s="861">
        <v>4.62</v>
      </c>
      <c r="J85" s="696">
        <f>MROUND(I85,0.5)</f>
        <v>4.5</v>
      </c>
      <c r="K85" s="861">
        <v>0.23400000000000001</v>
      </c>
      <c r="L85" s="696">
        <v>0</v>
      </c>
      <c r="M85" s="861">
        <v>2.7610000000000001</v>
      </c>
      <c r="N85" s="697">
        <f>MROUND(M85,0.5)</f>
        <v>3</v>
      </c>
      <c r="O85" s="861">
        <v>124.434</v>
      </c>
      <c r="P85" s="730">
        <f t="shared" si="14"/>
        <v>125</v>
      </c>
      <c r="Q85" s="861">
        <v>91.762</v>
      </c>
      <c r="R85" s="747">
        <f t="shared" si="15"/>
        <v>92</v>
      </c>
      <c r="S85" s="861">
        <v>0.45500000000000002</v>
      </c>
      <c r="T85" s="747">
        <v>0</v>
      </c>
      <c r="U85" s="861">
        <v>82.248999999999995</v>
      </c>
      <c r="V85" s="747">
        <f t="shared" si="10"/>
        <v>82</v>
      </c>
      <c r="W85" s="861">
        <v>80.399000000000001</v>
      </c>
      <c r="X85" s="747">
        <f t="shared" si="11"/>
        <v>80</v>
      </c>
      <c r="Y85" s="861">
        <v>0.95899999999999996</v>
      </c>
      <c r="Z85" s="696" t="s">
        <v>303</v>
      </c>
      <c r="AA85" s="1131">
        <v>2E-3</v>
      </c>
      <c r="AB85" s="1131">
        <v>8.0000000000000002E-3</v>
      </c>
      <c r="AC85" s="1131">
        <v>13.231999999999999</v>
      </c>
      <c r="AD85" s="1131">
        <v>1.018</v>
      </c>
      <c r="AE85" s="1131">
        <v>0.5</v>
      </c>
      <c r="AF85" s="1131">
        <v>2.7759999999999998</v>
      </c>
      <c r="AG85" s="1131">
        <v>58.197000000000003</v>
      </c>
      <c r="AH85" s="1131">
        <v>1.238</v>
      </c>
    </row>
    <row r="86" spans="1:34" ht="15" customHeight="1">
      <c r="A86" s="924" t="s">
        <v>92</v>
      </c>
      <c r="B86" s="186" t="s">
        <v>96</v>
      </c>
      <c r="C86" s="860">
        <v>423.24599999999998</v>
      </c>
      <c r="D86" s="195">
        <f t="shared" si="13"/>
        <v>420</v>
      </c>
      <c r="E86" s="860">
        <v>28.988</v>
      </c>
      <c r="F86" s="696">
        <f>MROUND(E86,5)</f>
        <v>30</v>
      </c>
      <c r="G86" s="696">
        <v>6.742</v>
      </c>
      <c r="H86" s="696">
        <f>MROUND(G86,1)</f>
        <v>7</v>
      </c>
      <c r="I86" s="860">
        <v>5.1100000000000003</v>
      </c>
      <c r="J86" s="696">
        <f>MROUND(I86,1)</f>
        <v>5</v>
      </c>
      <c r="K86" s="860">
        <v>0</v>
      </c>
      <c r="L86" s="696">
        <v>0</v>
      </c>
      <c r="M86" s="860">
        <v>2.76</v>
      </c>
      <c r="N86" s="697">
        <f>MROUND(M86,0.5)</f>
        <v>3</v>
      </c>
      <c r="O86" s="860">
        <v>130.04</v>
      </c>
      <c r="P86" s="730">
        <f t="shared" si="14"/>
        <v>130</v>
      </c>
      <c r="Q86" s="860">
        <v>92.617999999999995</v>
      </c>
      <c r="R86" s="747">
        <f t="shared" si="15"/>
        <v>93</v>
      </c>
      <c r="S86" s="860">
        <v>0.58899999999999997</v>
      </c>
      <c r="T86" s="696" t="s">
        <v>303</v>
      </c>
      <c r="U86" s="860">
        <v>82.555999999999997</v>
      </c>
      <c r="V86" s="747">
        <f t="shared" si="10"/>
        <v>83</v>
      </c>
      <c r="W86" s="860">
        <v>82.236999999999995</v>
      </c>
      <c r="X86" s="747">
        <f t="shared" si="11"/>
        <v>82</v>
      </c>
      <c r="Y86" s="860">
        <v>1.214</v>
      </c>
      <c r="Z86" s="696">
        <f>MROUND(Y86,1)</f>
        <v>1</v>
      </c>
      <c r="AA86" s="697">
        <v>1E-3</v>
      </c>
      <c r="AB86" s="697">
        <v>4.0000000000000001E-3</v>
      </c>
      <c r="AC86" s="700">
        <v>17.920000000000002</v>
      </c>
      <c r="AD86" s="700">
        <v>1.3779999999999999</v>
      </c>
      <c r="AE86" s="700">
        <v>0.63400000000000001</v>
      </c>
      <c r="AF86" s="700">
        <v>3.52</v>
      </c>
      <c r="AG86" s="700">
        <v>94.759</v>
      </c>
      <c r="AH86" s="700">
        <v>2.016</v>
      </c>
    </row>
    <row r="87" spans="1:34" ht="31.75">
      <c r="A87" s="924" t="s">
        <v>92</v>
      </c>
      <c r="B87" s="186" t="s">
        <v>99</v>
      </c>
      <c r="C87" s="860">
        <v>404.51299999999998</v>
      </c>
      <c r="D87" s="195">
        <f t="shared" si="13"/>
        <v>400</v>
      </c>
      <c r="E87" s="860">
        <v>49.637</v>
      </c>
      <c r="F87" s="696">
        <f>MROUND(E87,5)</f>
        <v>50</v>
      </c>
      <c r="G87" s="696">
        <v>9.0169999999999995</v>
      </c>
      <c r="H87" s="696">
        <f>MROUND(G87,1)</f>
        <v>9</v>
      </c>
      <c r="I87" s="860">
        <v>6.6779999999999999</v>
      </c>
      <c r="J87" s="696">
        <f>MROUND(I87,1)</f>
        <v>7</v>
      </c>
      <c r="K87" s="860">
        <v>0.92900000000000005</v>
      </c>
      <c r="L87" s="696">
        <f>MROUND(K87,0.5)</f>
        <v>1</v>
      </c>
      <c r="M87" s="860">
        <v>6.774</v>
      </c>
      <c r="N87" s="697">
        <f>MROUND(M87,1)</f>
        <v>7</v>
      </c>
      <c r="O87" s="860">
        <v>89.93</v>
      </c>
      <c r="P87" s="730">
        <f t="shared" si="14"/>
        <v>90</v>
      </c>
      <c r="Q87" s="860">
        <v>94.394999999999996</v>
      </c>
      <c r="R87" s="747">
        <f t="shared" si="15"/>
        <v>94</v>
      </c>
      <c r="S87" s="860">
        <v>0.81599999999999995</v>
      </c>
      <c r="T87" s="696" t="s">
        <v>303</v>
      </c>
      <c r="U87" s="860">
        <v>85.379000000000005</v>
      </c>
      <c r="V87" s="747">
        <f t="shared" si="10"/>
        <v>85</v>
      </c>
      <c r="W87" s="860">
        <v>78.715999999999994</v>
      </c>
      <c r="X87" s="747">
        <f t="shared" si="11"/>
        <v>79</v>
      </c>
      <c r="Y87" s="860">
        <v>1.2809999999999999</v>
      </c>
      <c r="Z87" s="696">
        <f t="shared" ref="Z87:Z117" si="16">MROUND(Y87,1)</f>
        <v>1</v>
      </c>
      <c r="AA87" s="697">
        <v>2.4E-2</v>
      </c>
      <c r="AB87" s="697">
        <v>0.11799999999999999</v>
      </c>
      <c r="AC87" s="697">
        <v>26.648</v>
      </c>
      <c r="AD87" s="697">
        <v>2.0499999999999998</v>
      </c>
      <c r="AE87" s="697">
        <v>0.97499999999999998</v>
      </c>
      <c r="AF87" s="697">
        <v>5.4169999999999998</v>
      </c>
      <c r="AG87" s="697">
        <v>63.98</v>
      </c>
      <c r="AH87" s="697">
        <v>1.361</v>
      </c>
    </row>
    <row r="88" spans="1:34" ht="14.25" customHeight="1">
      <c r="A88" s="924" t="s">
        <v>92</v>
      </c>
      <c r="B88" s="186" t="s">
        <v>101</v>
      </c>
      <c r="C88" s="860">
        <v>364.45</v>
      </c>
      <c r="D88" s="195">
        <f t="shared" si="13"/>
        <v>360</v>
      </c>
      <c r="E88" s="860">
        <v>34.284999999999997</v>
      </c>
      <c r="F88" s="696">
        <f>MROUND(E88,5)</f>
        <v>35</v>
      </c>
      <c r="G88" s="696">
        <v>7.3680000000000003</v>
      </c>
      <c r="H88" s="696">
        <f>MROUND(G88,1)</f>
        <v>7</v>
      </c>
      <c r="I88" s="860">
        <v>5.9269999999999996</v>
      </c>
      <c r="J88" s="696">
        <f>MROUND(I88,1)</f>
        <v>6</v>
      </c>
      <c r="K88" s="860">
        <v>0.94599999999999995</v>
      </c>
      <c r="L88" s="696">
        <f>MROUND(K88,0.5)</f>
        <v>1</v>
      </c>
      <c r="M88" s="860">
        <v>1E-3</v>
      </c>
      <c r="N88" s="536">
        <v>0</v>
      </c>
      <c r="O88" s="860">
        <v>107.467</v>
      </c>
      <c r="P88" s="730">
        <f t="shared" si="14"/>
        <v>105</v>
      </c>
      <c r="Q88" s="860">
        <v>88.363</v>
      </c>
      <c r="R88" s="747">
        <f t="shared" si="15"/>
        <v>88</v>
      </c>
      <c r="S88" s="860">
        <v>1.2030000000000001</v>
      </c>
      <c r="T88" s="734">
        <f>MROUND(S88,1)</f>
        <v>1</v>
      </c>
      <c r="U88" s="860">
        <v>81.858000000000004</v>
      </c>
      <c r="V88" s="747">
        <f t="shared" si="10"/>
        <v>82</v>
      </c>
      <c r="W88" s="860">
        <v>74.234999999999999</v>
      </c>
      <c r="X88" s="747">
        <f t="shared" si="11"/>
        <v>74</v>
      </c>
      <c r="Y88" s="860">
        <v>1.3169999999999999</v>
      </c>
      <c r="Z88" s="696">
        <f t="shared" si="16"/>
        <v>1</v>
      </c>
      <c r="AA88" s="697">
        <v>2.4E-2</v>
      </c>
      <c r="AB88" s="697">
        <v>0.11899999999999999</v>
      </c>
      <c r="AC88" s="697">
        <v>20.254000000000001</v>
      </c>
      <c r="AD88" s="697">
        <v>1.5580000000000001</v>
      </c>
      <c r="AE88" s="697">
        <v>1.3109999999999999</v>
      </c>
      <c r="AF88" s="697">
        <v>7.2830000000000004</v>
      </c>
      <c r="AG88" s="697">
        <v>99.278999999999996</v>
      </c>
      <c r="AH88" s="697">
        <v>2.1120000000000001</v>
      </c>
    </row>
    <row r="89" spans="1:34" s="732" customFormat="1" ht="31.75">
      <c r="A89" s="186" t="s">
        <v>296</v>
      </c>
      <c r="B89" s="186" t="s">
        <v>35</v>
      </c>
      <c r="C89" s="860">
        <v>427.07</v>
      </c>
      <c r="D89" s="195">
        <f t="shared" si="13"/>
        <v>430</v>
      </c>
      <c r="E89" s="860">
        <v>4.1379999999999999</v>
      </c>
      <c r="F89" s="536">
        <v>0</v>
      </c>
      <c r="G89" s="860">
        <v>3.2610000000000001</v>
      </c>
      <c r="H89" s="696">
        <f>MROUND(G89,0.5)</f>
        <v>3.5</v>
      </c>
      <c r="I89" s="860">
        <v>1.9419999999999999</v>
      </c>
      <c r="J89" s="696">
        <f>MROUND(I89,0.5)</f>
        <v>2</v>
      </c>
      <c r="K89" s="860">
        <v>0</v>
      </c>
      <c r="L89" s="696">
        <v>0</v>
      </c>
      <c r="M89" s="860">
        <v>0</v>
      </c>
      <c r="N89" s="536">
        <v>0</v>
      </c>
      <c r="O89" s="860">
        <v>70.888999999999996</v>
      </c>
      <c r="P89" s="730">
        <f t="shared" si="14"/>
        <v>70</v>
      </c>
      <c r="Q89" s="860">
        <v>103.578</v>
      </c>
      <c r="R89" s="747">
        <f t="shared" si="15"/>
        <v>104</v>
      </c>
      <c r="S89" s="860">
        <v>2.1960000000000002</v>
      </c>
      <c r="T89" s="734">
        <f>MROUND(S89,1)</f>
        <v>2</v>
      </c>
      <c r="U89" s="860">
        <v>97.366</v>
      </c>
      <c r="V89" s="747">
        <f t="shared" si="10"/>
        <v>97</v>
      </c>
      <c r="W89" s="860">
        <v>96.989000000000004</v>
      </c>
      <c r="X89" s="747">
        <f t="shared" si="11"/>
        <v>97</v>
      </c>
      <c r="Y89" s="860">
        <v>1.3580000000000001</v>
      </c>
      <c r="Z89" s="696">
        <f t="shared" si="16"/>
        <v>1</v>
      </c>
      <c r="AA89" s="697">
        <v>6.0000000000000001E-3</v>
      </c>
      <c r="AB89" s="697">
        <v>0.03</v>
      </c>
      <c r="AC89" s="700">
        <v>20.603999999999999</v>
      </c>
      <c r="AD89" s="700">
        <v>1.585</v>
      </c>
      <c r="AE89" s="700">
        <v>1.6339999999999999</v>
      </c>
      <c r="AF89" s="700">
        <v>9.0760000000000005</v>
      </c>
      <c r="AG89" s="700">
        <v>143.846</v>
      </c>
      <c r="AH89" s="700">
        <v>3.0609999999999999</v>
      </c>
    </row>
    <row r="90" spans="1:34" ht="31.75">
      <c r="A90" s="924" t="s">
        <v>92</v>
      </c>
      <c r="B90" s="186" t="s">
        <v>105</v>
      </c>
      <c r="C90" s="889">
        <v>483.64699999999999</v>
      </c>
      <c r="D90" s="195">
        <f t="shared" si="13"/>
        <v>480</v>
      </c>
      <c r="E90" s="931">
        <v>0</v>
      </c>
      <c r="F90" s="696">
        <f>MROUND(E90,10)</f>
        <v>0</v>
      </c>
      <c r="G90" s="697">
        <v>6.7359999999999998</v>
      </c>
      <c r="H90" s="696">
        <f t="shared" ref="H90:H116" si="17">MROUND(G90,1)</f>
        <v>7</v>
      </c>
      <c r="I90" s="889">
        <v>4.7160000000000002</v>
      </c>
      <c r="J90" s="696">
        <f>MROUND(I90,0.5)</f>
        <v>4.5</v>
      </c>
      <c r="K90" s="889">
        <v>0.69099999999999995</v>
      </c>
      <c r="L90" s="696">
        <f>MROUND(K90,0.5)</f>
        <v>0.5</v>
      </c>
      <c r="M90" s="889">
        <v>2.6560000000000001</v>
      </c>
      <c r="N90" s="697">
        <f>MROUND(M90,0.5)</f>
        <v>2.5</v>
      </c>
      <c r="O90" s="889">
        <v>130.512</v>
      </c>
      <c r="P90" s="730">
        <f t="shared" si="14"/>
        <v>130</v>
      </c>
      <c r="Q90" s="889">
        <v>108.497</v>
      </c>
      <c r="R90" s="747">
        <f t="shared" si="15"/>
        <v>108</v>
      </c>
      <c r="S90" s="860">
        <v>1.911</v>
      </c>
      <c r="T90" s="734">
        <f>MROUND(S90,1)</f>
        <v>2</v>
      </c>
      <c r="U90" s="889">
        <v>96.450999999999993</v>
      </c>
      <c r="V90" s="747">
        <f t="shared" si="10"/>
        <v>96</v>
      </c>
      <c r="W90" s="889">
        <v>95.879000000000005</v>
      </c>
      <c r="X90" s="747">
        <f t="shared" si="11"/>
        <v>96</v>
      </c>
      <c r="Y90" s="889">
        <v>1.9630000000000001</v>
      </c>
      <c r="Z90" s="696">
        <f t="shared" si="16"/>
        <v>2</v>
      </c>
      <c r="AA90" s="697">
        <v>5.0000000000000001E-3</v>
      </c>
      <c r="AB90" s="697">
        <v>2.5000000000000001E-2</v>
      </c>
      <c r="AC90" s="697">
        <v>20.541</v>
      </c>
      <c r="AD90" s="697">
        <v>1.58</v>
      </c>
      <c r="AE90" s="697">
        <v>1.3779999999999999</v>
      </c>
      <c r="AF90" s="697">
        <v>7.6559999999999997</v>
      </c>
      <c r="AG90" s="697">
        <v>159.32599999999999</v>
      </c>
      <c r="AH90" s="697">
        <v>3.39</v>
      </c>
    </row>
    <row r="91" spans="1:34" ht="31.75">
      <c r="A91" s="924" t="s">
        <v>92</v>
      </c>
      <c r="B91" s="186" t="s">
        <v>319</v>
      </c>
      <c r="C91" s="860">
        <v>479.78699999999998</v>
      </c>
      <c r="D91" s="195">
        <f t="shared" si="13"/>
        <v>480</v>
      </c>
      <c r="E91" s="860">
        <v>0</v>
      </c>
      <c r="F91" s="614">
        <v>0</v>
      </c>
      <c r="G91" s="696">
        <v>10.981999999999999</v>
      </c>
      <c r="H91" s="696">
        <f t="shared" si="17"/>
        <v>11</v>
      </c>
      <c r="I91" s="860">
        <v>4.4390000000000001</v>
      </c>
      <c r="J91" s="696">
        <f>MROUND(I91,0.5)</f>
        <v>4.5</v>
      </c>
      <c r="K91" s="860">
        <v>0</v>
      </c>
      <c r="L91" s="696">
        <v>0</v>
      </c>
      <c r="M91" s="860">
        <v>0</v>
      </c>
      <c r="N91" s="536">
        <v>0</v>
      </c>
      <c r="O91" s="860">
        <v>136.55099999999999</v>
      </c>
      <c r="P91" s="730">
        <f t="shared" si="14"/>
        <v>135</v>
      </c>
      <c r="Q91" s="860">
        <v>94.537999999999997</v>
      </c>
      <c r="R91" s="747">
        <f t="shared" si="15"/>
        <v>95</v>
      </c>
      <c r="S91" s="860">
        <v>0.878</v>
      </c>
      <c r="T91" s="696" t="s">
        <v>303</v>
      </c>
      <c r="U91" s="860">
        <v>89.688000000000002</v>
      </c>
      <c r="V91" s="747">
        <f t="shared" si="10"/>
        <v>90</v>
      </c>
      <c r="W91" s="860">
        <v>89.117999999999995</v>
      </c>
      <c r="X91" s="747">
        <f t="shared" si="11"/>
        <v>89</v>
      </c>
      <c r="Y91" s="860">
        <v>2.798</v>
      </c>
      <c r="Z91" s="696">
        <f t="shared" si="16"/>
        <v>3</v>
      </c>
      <c r="AA91" s="697">
        <v>0</v>
      </c>
      <c r="AB91" s="697">
        <v>0</v>
      </c>
      <c r="AC91" s="696">
        <v>19.547999999999998</v>
      </c>
      <c r="AD91" s="696">
        <v>1.504</v>
      </c>
      <c r="AE91" s="696">
        <v>0.85199999999999998</v>
      </c>
      <c r="AF91" s="696">
        <v>4.7329999999999997</v>
      </c>
      <c r="AG91" s="696">
        <v>93.06</v>
      </c>
      <c r="AH91" s="696">
        <v>1.98</v>
      </c>
    </row>
    <row r="92" spans="1:34" ht="31.75">
      <c r="A92" s="924" t="s">
        <v>396</v>
      </c>
      <c r="B92" s="523" t="s">
        <v>134</v>
      </c>
      <c r="C92" s="861">
        <v>221.94300000000001</v>
      </c>
      <c r="D92" s="195">
        <f t="shared" si="13"/>
        <v>220</v>
      </c>
      <c r="E92" s="861">
        <v>80.358000000000004</v>
      </c>
      <c r="F92" s="696">
        <f>MROUND(E92,10)</f>
        <v>80</v>
      </c>
      <c r="G92" s="747">
        <v>8.9290000000000003</v>
      </c>
      <c r="H92" s="696">
        <f t="shared" si="17"/>
        <v>9</v>
      </c>
      <c r="I92" s="861">
        <v>5.6820000000000004</v>
      </c>
      <c r="J92" s="696">
        <f>MROUND(I92,1)</f>
        <v>6</v>
      </c>
      <c r="K92" s="861">
        <v>0</v>
      </c>
      <c r="L92" s="696">
        <v>0</v>
      </c>
      <c r="M92" s="861">
        <v>52.76</v>
      </c>
      <c r="N92" s="697">
        <f>MROUND(M92,1)</f>
        <v>53</v>
      </c>
      <c r="O92" s="861">
        <v>138.18</v>
      </c>
      <c r="P92" s="730">
        <f t="shared" si="14"/>
        <v>140</v>
      </c>
      <c r="Q92" s="861">
        <v>31.992000000000001</v>
      </c>
      <c r="R92" s="747">
        <f t="shared" si="15"/>
        <v>32</v>
      </c>
      <c r="S92" s="861">
        <v>0</v>
      </c>
      <c r="T92" s="747">
        <v>0</v>
      </c>
      <c r="U92" s="861">
        <v>24.077000000000002</v>
      </c>
      <c r="V92" s="747">
        <f t="shared" si="10"/>
        <v>24</v>
      </c>
      <c r="W92" s="861">
        <v>9.4670000000000005</v>
      </c>
      <c r="X92" s="747">
        <f t="shared" si="11"/>
        <v>9</v>
      </c>
      <c r="Y92" s="861">
        <v>3.2469999999999999</v>
      </c>
      <c r="Z92" s="696">
        <f t="shared" si="16"/>
        <v>3</v>
      </c>
      <c r="AA92" s="1131">
        <v>0</v>
      </c>
      <c r="AB92" s="1131">
        <v>0</v>
      </c>
      <c r="AC92" s="1131">
        <v>160.38399999999999</v>
      </c>
      <c r="AD92" s="1131">
        <v>12.337</v>
      </c>
      <c r="AE92" s="1131">
        <v>0</v>
      </c>
      <c r="AF92" s="1131">
        <v>0</v>
      </c>
      <c r="AG92" s="1131">
        <v>10.518000000000001</v>
      </c>
      <c r="AH92" s="1131">
        <v>0.224</v>
      </c>
    </row>
    <row r="93" spans="1:34" ht="31.75">
      <c r="A93" s="186" t="s">
        <v>296</v>
      </c>
      <c r="B93" s="186" t="s">
        <v>317</v>
      </c>
      <c r="C93" s="860">
        <v>455.23899999999998</v>
      </c>
      <c r="D93" s="195">
        <f t="shared" si="13"/>
        <v>460</v>
      </c>
      <c r="E93" s="860">
        <v>4.1319999999999997</v>
      </c>
      <c r="F93" s="536">
        <v>0</v>
      </c>
      <c r="G93" s="860">
        <v>8.02</v>
      </c>
      <c r="H93" s="696">
        <f t="shared" si="17"/>
        <v>8</v>
      </c>
      <c r="I93" s="860">
        <v>1.5269999999999999</v>
      </c>
      <c r="J93" s="696">
        <f>MROUND(I93,0.5)</f>
        <v>1.5</v>
      </c>
      <c r="K93" s="860">
        <v>0</v>
      </c>
      <c r="L93" s="696">
        <v>0</v>
      </c>
      <c r="M93" s="860">
        <v>0</v>
      </c>
      <c r="N93" s="536">
        <v>0</v>
      </c>
      <c r="O93" s="860">
        <v>104.283</v>
      </c>
      <c r="P93" s="730">
        <f t="shared" si="14"/>
        <v>105</v>
      </c>
      <c r="Q93" s="860">
        <v>97.379000000000005</v>
      </c>
      <c r="R93" s="747">
        <f t="shared" si="15"/>
        <v>97</v>
      </c>
      <c r="S93" s="860">
        <v>2.1629999999999998</v>
      </c>
      <c r="T93" s="734">
        <f>MROUND(S93,1)</f>
        <v>2</v>
      </c>
      <c r="U93" s="860">
        <v>92.572000000000003</v>
      </c>
      <c r="V93" s="747">
        <f t="shared" si="10"/>
        <v>93</v>
      </c>
      <c r="W93" s="860">
        <v>91.811999999999998</v>
      </c>
      <c r="X93" s="747">
        <f t="shared" si="11"/>
        <v>92</v>
      </c>
      <c r="Y93" s="860">
        <v>3.3090000000000002</v>
      </c>
      <c r="Z93" s="696">
        <f t="shared" si="16"/>
        <v>3</v>
      </c>
      <c r="AA93" s="697">
        <v>6.0000000000000001E-3</v>
      </c>
      <c r="AB93" s="697">
        <v>0.03</v>
      </c>
      <c r="AC93" s="696">
        <v>25.437999999999999</v>
      </c>
      <c r="AD93" s="696">
        <v>1.9570000000000001</v>
      </c>
      <c r="AE93" s="696">
        <v>1.155</v>
      </c>
      <c r="AF93" s="696">
        <v>6.415</v>
      </c>
      <c r="AG93" s="696">
        <v>164.66399999999999</v>
      </c>
      <c r="AH93" s="696">
        <v>3.5030000000000001</v>
      </c>
    </row>
    <row r="94" spans="1:34" ht="31.75">
      <c r="A94" s="924" t="s">
        <v>396</v>
      </c>
      <c r="B94" s="523" t="s">
        <v>139</v>
      </c>
      <c r="C94" s="861">
        <v>232.46199999999999</v>
      </c>
      <c r="D94" s="195">
        <f t="shared" si="13"/>
        <v>230</v>
      </c>
      <c r="E94" s="861">
        <v>108.776</v>
      </c>
      <c r="F94" s="696">
        <f t="shared" ref="F94:F116" si="18">MROUND(E94,10)</f>
        <v>110</v>
      </c>
      <c r="G94" s="747">
        <v>12.086</v>
      </c>
      <c r="H94" s="696">
        <f t="shared" si="17"/>
        <v>12</v>
      </c>
      <c r="I94" s="861">
        <v>7.6909999999999998</v>
      </c>
      <c r="J94" s="696">
        <f t="shared" ref="J94:J116" si="19">MROUND(I94,1)</f>
        <v>8</v>
      </c>
      <c r="K94" s="861">
        <v>0</v>
      </c>
      <c r="L94" s="696">
        <v>0</v>
      </c>
      <c r="M94" s="861">
        <v>71.418999999999997</v>
      </c>
      <c r="N94" s="697">
        <f t="shared" ref="N94:N116" si="20">MROUND(M94,1)</f>
        <v>71</v>
      </c>
      <c r="O94" s="861">
        <v>156.04900000000001</v>
      </c>
      <c r="P94" s="730">
        <f t="shared" si="14"/>
        <v>155</v>
      </c>
      <c r="Q94" s="861">
        <v>27.687000000000001</v>
      </c>
      <c r="R94" s="747">
        <f t="shared" si="15"/>
        <v>28</v>
      </c>
      <c r="S94" s="861">
        <v>0</v>
      </c>
      <c r="T94" s="747">
        <v>0</v>
      </c>
      <c r="U94" s="861">
        <v>21.239000000000001</v>
      </c>
      <c r="V94" s="747">
        <f t="shared" si="10"/>
        <v>21</v>
      </c>
      <c r="W94" s="861">
        <v>1.462</v>
      </c>
      <c r="X94" s="747">
        <f t="shared" si="11"/>
        <v>1</v>
      </c>
      <c r="Y94" s="861">
        <v>4.3949999999999996</v>
      </c>
      <c r="Z94" s="696">
        <f t="shared" si="16"/>
        <v>4</v>
      </c>
      <c r="AA94" s="1131">
        <v>0</v>
      </c>
      <c r="AB94" s="1131">
        <v>0</v>
      </c>
      <c r="AC94" s="1131">
        <v>214.637</v>
      </c>
      <c r="AD94" s="1131">
        <v>16.510999999999999</v>
      </c>
      <c r="AE94" s="1131">
        <v>0</v>
      </c>
      <c r="AF94" s="1131">
        <v>0</v>
      </c>
      <c r="AG94" s="1131">
        <v>1.907</v>
      </c>
      <c r="AH94" s="1131">
        <v>4.1000000000000002E-2</v>
      </c>
    </row>
    <row r="95" spans="1:34" s="732" customFormat="1" ht="18.75" customHeight="1">
      <c r="A95" s="924" t="s">
        <v>396</v>
      </c>
      <c r="B95" s="523" t="s">
        <v>117</v>
      </c>
      <c r="C95" s="861">
        <v>229.87700000000001</v>
      </c>
      <c r="D95" s="195">
        <f t="shared" si="13"/>
        <v>230</v>
      </c>
      <c r="E95" s="861">
        <v>109.42400000000001</v>
      </c>
      <c r="F95" s="696">
        <f t="shared" si="18"/>
        <v>110</v>
      </c>
      <c r="G95" s="747">
        <v>12.157999999999999</v>
      </c>
      <c r="H95" s="696">
        <f t="shared" si="17"/>
        <v>12</v>
      </c>
      <c r="I95" s="861">
        <v>7.7370000000000001</v>
      </c>
      <c r="J95" s="696">
        <f t="shared" si="19"/>
        <v>8</v>
      </c>
      <c r="K95" s="861">
        <v>0</v>
      </c>
      <c r="L95" s="696">
        <v>0</v>
      </c>
      <c r="M95" s="861">
        <v>71.843999999999994</v>
      </c>
      <c r="N95" s="697">
        <f t="shared" si="20"/>
        <v>72</v>
      </c>
      <c r="O95" s="861">
        <v>156.452</v>
      </c>
      <c r="P95" s="730">
        <f t="shared" si="14"/>
        <v>155</v>
      </c>
      <c r="Q95" s="861">
        <v>27.638000000000002</v>
      </c>
      <c r="R95" s="747">
        <f t="shared" si="15"/>
        <v>28</v>
      </c>
      <c r="S95" s="861">
        <v>0</v>
      </c>
      <c r="T95" s="747">
        <v>0</v>
      </c>
      <c r="U95" s="861">
        <v>21.344000000000001</v>
      </c>
      <c r="V95" s="747">
        <f t="shared" si="10"/>
        <v>21</v>
      </c>
      <c r="W95" s="861">
        <v>1.448</v>
      </c>
      <c r="X95" s="747">
        <f t="shared" si="11"/>
        <v>1</v>
      </c>
      <c r="Y95" s="861">
        <v>4.4210000000000003</v>
      </c>
      <c r="Z95" s="696">
        <f t="shared" si="16"/>
        <v>4</v>
      </c>
      <c r="AA95" s="1131">
        <v>0</v>
      </c>
      <c r="AB95" s="1131">
        <v>0</v>
      </c>
      <c r="AC95" s="1131">
        <v>215.905</v>
      </c>
      <c r="AD95" s="1131">
        <v>16.608000000000001</v>
      </c>
      <c r="AE95" s="1131">
        <v>0</v>
      </c>
      <c r="AF95" s="1131">
        <v>0</v>
      </c>
      <c r="AG95" s="1131">
        <v>1.68</v>
      </c>
      <c r="AH95" s="1131">
        <v>3.5999999999999997E-2</v>
      </c>
    </row>
    <row r="96" spans="1:34" ht="18.75" customHeight="1">
      <c r="A96" s="924" t="s">
        <v>396</v>
      </c>
      <c r="B96" s="523" t="s">
        <v>358</v>
      </c>
      <c r="C96" s="861">
        <v>234.10900000000001</v>
      </c>
      <c r="D96" s="195">
        <f t="shared" si="13"/>
        <v>230</v>
      </c>
      <c r="E96" s="861">
        <v>109.62</v>
      </c>
      <c r="F96" s="696">
        <f t="shared" si="18"/>
        <v>110</v>
      </c>
      <c r="G96" s="747">
        <v>12.180999999999999</v>
      </c>
      <c r="H96" s="696">
        <f t="shared" si="17"/>
        <v>12</v>
      </c>
      <c r="I96" s="861">
        <v>7.7519999999999998</v>
      </c>
      <c r="J96" s="696">
        <f t="shared" si="19"/>
        <v>8</v>
      </c>
      <c r="K96" s="861">
        <v>0</v>
      </c>
      <c r="L96" s="696">
        <v>0</v>
      </c>
      <c r="M96" s="861">
        <v>71.980999999999995</v>
      </c>
      <c r="N96" s="697">
        <f t="shared" si="20"/>
        <v>72</v>
      </c>
      <c r="O96" s="861">
        <v>156.68299999999999</v>
      </c>
      <c r="P96" s="730">
        <f t="shared" si="14"/>
        <v>155</v>
      </c>
      <c r="Q96" s="861">
        <v>28.161000000000001</v>
      </c>
      <c r="R96" s="747">
        <f t="shared" si="15"/>
        <v>28</v>
      </c>
      <c r="S96" s="861">
        <v>0</v>
      </c>
      <c r="T96" s="747">
        <v>0</v>
      </c>
      <c r="U96" s="861">
        <v>21.306000000000001</v>
      </c>
      <c r="V96" s="747">
        <f t="shared" si="10"/>
        <v>21</v>
      </c>
      <c r="W96" s="861">
        <v>1.373</v>
      </c>
      <c r="X96" s="747">
        <f t="shared" si="11"/>
        <v>1</v>
      </c>
      <c r="Y96" s="861">
        <v>4.43</v>
      </c>
      <c r="Z96" s="696">
        <f t="shared" si="16"/>
        <v>4</v>
      </c>
      <c r="AA96" s="1131">
        <v>0</v>
      </c>
      <c r="AB96" s="1131">
        <v>0</v>
      </c>
      <c r="AC96" s="1131">
        <v>216.107</v>
      </c>
      <c r="AD96" s="1131">
        <v>16.623999999999999</v>
      </c>
      <c r="AE96" s="1131">
        <v>0</v>
      </c>
      <c r="AF96" s="1131">
        <v>0</v>
      </c>
      <c r="AG96" s="1131">
        <v>2.1960000000000002</v>
      </c>
      <c r="AH96" s="1131">
        <v>4.7E-2</v>
      </c>
    </row>
    <row r="97" spans="1:34" ht="31.75">
      <c r="A97" s="924" t="s">
        <v>396</v>
      </c>
      <c r="B97" s="523" t="s">
        <v>397</v>
      </c>
      <c r="C97" s="861">
        <v>241.41200000000001</v>
      </c>
      <c r="D97" s="195">
        <f t="shared" si="13"/>
        <v>240</v>
      </c>
      <c r="E97" s="861">
        <v>99.796999999999997</v>
      </c>
      <c r="F97" s="696">
        <f t="shared" si="18"/>
        <v>100</v>
      </c>
      <c r="G97" s="747">
        <v>11.089</v>
      </c>
      <c r="H97" s="696">
        <f t="shared" si="17"/>
        <v>11</v>
      </c>
      <c r="I97" s="861">
        <v>6.6529999999999996</v>
      </c>
      <c r="J97" s="696">
        <f t="shared" si="19"/>
        <v>7</v>
      </c>
      <c r="K97" s="861">
        <v>0</v>
      </c>
      <c r="L97" s="696">
        <v>0</v>
      </c>
      <c r="M97" s="861">
        <v>60.987000000000002</v>
      </c>
      <c r="N97" s="697">
        <f t="shared" si="20"/>
        <v>61</v>
      </c>
      <c r="O97" s="861">
        <v>129.12200000000001</v>
      </c>
      <c r="P97" s="730">
        <f t="shared" si="14"/>
        <v>130</v>
      </c>
      <c r="Q97" s="861">
        <v>32.131</v>
      </c>
      <c r="R97" s="747">
        <f t="shared" si="15"/>
        <v>32</v>
      </c>
      <c r="S97" s="861">
        <v>0</v>
      </c>
      <c r="T97" s="747">
        <v>0</v>
      </c>
      <c r="U97" s="861">
        <v>24.728999999999999</v>
      </c>
      <c r="V97" s="747">
        <f t="shared" si="10"/>
        <v>25</v>
      </c>
      <c r="W97" s="861">
        <v>1.4430000000000001</v>
      </c>
      <c r="X97" s="747">
        <f t="shared" si="11"/>
        <v>1</v>
      </c>
      <c r="Y97" s="861">
        <v>4.4349999999999996</v>
      </c>
      <c r="Z97" s="696">
        <f t="shared" si="16"/>
        <v>4</v>
      </c>
      <c r="AA97" s="1131">
        <v>0</v>
      </c>
      <c r="AB97" s="1131">
        <v>0</v>
      </c>
      <c r="AC97" s="1131">
        <v>144.47200000000001</v>
      </c>
      <c r="AD97" s="1131">
        <v>11.113</v>
      </c>
      <c r="AE97" s="1131">
        <v>1.198</v>
      </c>
      <c r="AF97" s="1131">
        <v>6.6529999999999996</v>
      </c>
      <c r="AG97" s="1131">
        <v>1.6040000000000001</v>
      </c>
      <c r="AH97" s="1131">
        <v>3.4000000000000002E-2</v>
      </c>
    </row>
    <row r="98" spans="1:34" ht="31.75">
      <c r="A98" s="924" t="s">
        <v>396</v>
      </c>
      <c r="B98" s="523" t="s">
        <v>398</v>
      </c>
      <c r="C98" s="861">
        <v>230.874</v>
      </c>
      <c r="D98" s="195">
        <f t="shared" si="13"/>
        <v>230</v>
      </c>
      <c r="E98" s="861">
        <v>109.83</v>
      </c>
      <c r="F98" s="696">
        <f t="shared" si="18"/>
        <v>110</v>
      </c>
      <c r="G98" s="747">
        <v>12.202999999999999</v>
      </c>
      <c r="H98" s="696">
        <f t="shared" si="17"/>
        <v>12</v>
      </c>
      <c r="I98" s="861">
        <v>7.766</v>
      </c>
      <c r="J98" s="696">
        <f t="shared" si="19"/>
        <v>8</v>
      </c>
      <c r="K98" s="861">
        <v>0</v>
      </c>
      <c r="L98" s="696">
        <v>0</v>
      </c>
      <c r="M98" s="861">
        <v>72.11</v>
      </c>
      <c r="N98" s="697">
        <f t="shared" si="20"/>
        <v>72</v>
      </c>
      <c r="O98" s="861">
        <v>162.59299999999999</v>
      </c>
      <c r="P98" s="730">
        <f t="shared" si="14"/>
        <v>165</v>
      </c>
      <c r="Q98" s="861">
        <v>26.835000000000001</v>
      </c>
      <c r="R98" s="747">
        <f t="shared" si="15"/>
        <v>27</v>
      </c>
      <c r="S98" s="861">
        <v>0</v>
      </c>
      <c r="T98" s="747">
        <v>0</v>
      </c>
      <c r="U98" s="861">
        <v>21.344999999999999</v>
      </c>
      <c r="V98" s="747">
        <f t="shared" ref="V98:V129" si="21">MROUND(U98,1)</f>
        <v>21</v>
      </c>
      <c r="W98" s="861">
        <v>1.3759999999999999</v>
      </c>
      <c r="X98" s="747">
        <f t="shared" si="11"/>
        <v>1</v>
      </c>
      <c r="Y98" s="861">
        <v>4.4379999999999997</v>
      </c>
      <c r="Z98" s="696">
        <f t="shared" si="16"/>
        <v>4</v>
      </c>
      <c r="AA98" s="1131">
        <v>0</v>
      </c>
      <c r="AB98" s="1131">
        <v>0</v>
      </c>
      <c r="AC98" s="1131">
        <v>216.72200000000001</v>
      </c>
      <c r="AD98" s="1131">
        <v>16.670999999999999</v>
      </c>
      <c r="AE98" s="1131">
        <v>2.4E-2</v>
      </c>
      <c r="AF98" s="1131">
        <v>0.13500000000000001</v>
      </c>
      <c r="AG98" s="1131">
        <v>3.4620000000000002</v>
      </c>
      <c r="AH98" s="1131">
        <v>7.3999999999999996E-2</v>
      </c>
    </row>
    <row r="99" spans="1:34" ht="31.75">
      <c r="A99" s="924" t="s">
        <v>396</v>
      </c>
      <c r="B99" s="523" t="s">
        <v>399</v>
      </c>
      <c r="C99" s="861">
        <v>241.03100000000001</v>
      </c>
      <c r="D99" s="195">
        <f t="shared" si="13"/>
        <v>240</v>
      </c>
      <c r="E99" s="861">
        <v>100.027</v>
      </c>
      <c r="F99" s="696">
        <f t="shared" si="18"/>
        <v>100</v>
      </c>
      <c r="G99" s="747">
        <v>11.114000000000001</v>
      </c>
      <c r="H99" s="696">
        <f t="shared" si="17"/>
        <v>11</v>
      </c>
      <c r="I99" s="861">
        <v>6.6680000000000001</v>
      </c>
      <c r="J99" s="696">
        <f t="shared" si="19"/>
        <v>7</v>
      </c>
      <c r="K99" s="861">
        <v>0</v>
      </c>
      <c r="L99" s="696">
        <v>0</v>
      </c>
      <c r="M99" s="861">
        <v>61.127000000000002</v>
      </c>
      <c r="N99" s="697">
        <f t="shared" si="20"/>
        <v>61</v>
      </c>
      <c r="O99" s="861">
        <v>129.339</v>
      </c>
      <c r="P99" s="730">
        <f t="shared" si="14"/>
        <v>130</v>
      </c>
      <c r="Q99" s="861">
        <v>31.890999999999998</v>
      </c>
      <c r="R99" s="747">
        <f t="shared" si="15"/>
        <v>32</v>
      </c>
      <c r="S99" s="861">
        <v>0</v>
      </c>
      <c r="T99" s="747">
        <v>0</v>
      </c>
      <c r="U99" s="861">
        <v>24.561</v>
      </c>
      <c r="V99" s="747">
        <f t="shared" si="21"/>
        <v>25</v>
      </c>
      <c r="W99" s="861">
        <v>1.22</v>
      </c>
      <c r="X99" s="747">
        <f t="shared" si="11"/>
        <v>1</v>
      </c>
      <c r="Y99" s="861">
        <v>4.4459999999999997</v>
      </c>
      <c r="Z99" s="696">
        <f t="shared" si="16"/>
        <v>4</v>
      </c>
      <c r="AA99" s="1131">
        <v>0</v>
      </c>
      <c r="AB99" s="1131">
        <v>0</v>
      </c>
      <c r="AC99" s="1131">
        <v>144.839</v>
      </c>
      <c r="AD99" s="1131">
        <v>11.141</v>
      </c>
      <c r="AE99" s="1131">
        <v>1.2</v>
      </c>
      <c r="AF99" s="1131">
        <v>6.6689999999999996</v>
      </c>
      <c r="AG99" s="1131">
        <v>1.476</v>
      </c>
      <c r="AH99" s="1131">
        <v>3.1E-2</v>
      </c>
    </row>
    <row r="100" spans="1:34" ht="15" customHeight="1">
      <c r="A100" s="924" t="s">
        <v>396</v>
      </c>
      <c r="B100" s="523" t="s">
        <v>36</v>
      </c>
      <c r="C100" s="861">
        <v>234.91499999999999</v>
      </c>
      <c r="D100" s="195">
        <f t="shared" si="13"/>
        <v>230</v>
      </c>
      <c r="E100" s="861">
        <v>110.211</v>
      </c>
      <c r="F100" s="696">
        <f t="shared" si="18"/>
        <v>110</v>
      </c>
      <c r="G100" s="747">
        <v>12.246</v>
      </c>
      <c r="H100" s="696">
        <f t="shared" si="17"/>
        <v>12</v>
      </c>
      <c r="I100" s="861">
        <v>7.7930000000000001</v>
      </c>
      <c r="J100" s="696">
        <f t="shared" si="19"/>
        <v>8</v>
      </c>
      <c r="K100" s="861">
        <v>0</v>
      </c>
      <c r="L100" s="696">
        <v>0</v>
      </c>
      <c r="M100" s="861">
        <v>72.361000000000004</v>
      </c>
      <c r="N100" s="697">
        <f t="shared" si="20"/>
        <v>72</v>
      </c>
      <c r="O100" s="861">
        <v>155.85400000000001</v>
      </c>
      <c r="P100" s="730">
        <f t="shared" si="14"/>
        <v>155</v>
      </c>
      <c r="Q100" s="861">
        <v>28.548999999999999</v>
      </c>
      <c r="R100" s="747">
        <f t="shared" si="15"/>
        <v>29</v>
      </c>
      <c r="S100" s="861">
        <v>0</v>
      </c>
      <c r="T100" s="747">
        <v>0</v>
      </c>
      <c r="U100" s="861">
        <v>22.687999999999999</v>
      </c>
      <c r="V100" s="747">
        <f t="shared" si="21"/>
        <v>23</v>
      </c>
      <c r="W100" s="861">
        <v>2.65</v>
      </c>
      <c r="X100" s="747">
        <f t="shared" si="11"/>
        <v>3</v>
      </c>
      <c r="Y100" s="861">
        <v>4.4530000000000003</v>
      </c>
      <c r="Z100" s="696">
        <f t="shared" si="16"/>
        <v>4</v>
      </c>
      <c r="AA100" s="1131">
        <v>0</v>
      </c>
      <c r="AB100" s="1131">
        <v>0</v>
      </c>
      <c r="AC100" s="1131">
        <v>217.327</v>
      </c>
      <c r="AD100" s="1131">
        <v>16.716999999999999</v>
      </c>
      <c r="AE100" s="1131">
        <v>0</v>
      </c>
      <c r="AF100" s="1131">
        <v>0</v>
      </c>
      <c r="AG100" s="1131">
        <v>2.0609999999999999</v>
      </c>
      <c r="AH100" s="1131">
        <v>4.3999999999999997E-2</v>
      </c>
    </row>
    <row r="101" spans="1:34" ht="14.25" customHeight="1">
      <c r="A101" s="924" t="s">
        <v>396</v>
      </c>
      <c r="B101" s="523" t="s">
        <v>140</v>
      </c>
      <c r="C101" s="861">
        <v>231.078</v>
      </c>
      <c r="D101" s="195">
        <f t="shared" ref="D101:D132" si="22">MROUND(C101,10)</f>
        <v>230</v>
      </c>
      <c r="E101" s="861">
        <v>110.502</v>
      </c>
      <c r="F101" s="696">
        <f t="shared" si="18"/>
        <v>110</v>
      </c>
      <c r="G101" s="747">
        <v>12.278</v>
      </c>
      <c r="H101" s="696">
        <f t="shared" si="17"/>
        <v>12</v>
      </c>
      <c r="I101" s="861">
        <v>7.8129999999999997</v>
      </c>
      <c r="J101" s="696">
        <f t="shared" si="19"/>
        <v>8</v>
      </c>
      <c r="K101" s="861">
        <v>0</v>
      </c>
      <c r="L101" s="696">
        <v>0</v>
      </c>
      <c r="M101" s="861">
        <v>72.552000000000007</v>
      </c>
      <c r="N101" s="697">
        <f t="shared" si="20"/>
        <v>73</v>
      </c>
      <c r="O101" s="861">
        <v>161.34</v>
      </c>
      <c r="P101" s="730">
        <f t="shared" ref="P101:P132" si="23">MROUND(O101,5)</f>
        <v>160</v>
      </c>
      <c r="Q101" s="861">
        <v>26.271999999999998</v>
      </c>
      <c r="R101" s="747">
        <f t="shared" ref="R101:R132" si="24">MROUND(Q101,1)</f>
        <v>26</v>
      </c>
      <c r="S101" s="861">
        <v>0</v>
      </c>
      <c r="T101" s="747">
        <v>0</v>
      </c>
      <c r="U101" s="861">
        <v>21.291</v>
      </c>
      <c r="V101" s="747">
        <f t="shared" si="21"/>
        <v>21</v>
      </c>
      <c r="W101" s="861">
        <v>1.1990000000000001</v>
      </c>
      <c r="X101" s="747">
        <f t="shared" si="11"/>
        <v>1</v>
      </c>
      <c r="Y101" s="861">
        <v>4.4649999999999999</v>
      </c>
      <c r="Z101" s="696">
        <f t="shared" si="16"/>
        <v>4</v>
      </c>
      <c r="AA101" s="1131">
        <v>0</v>
      </c>
      <c r="AB101" s="1131">
        <v>0</v>
      </c>
      <c r="AC101" s="1131">
        <v>217.93299999999999</v>
      </c>
      <c r="AD101" s="1131">
        <v>16.763999999999999</v>
      </c>
      <c r="AE101" s="1131">
        <v>0</v>
      </c>
      <c r="AF101" s="1131">
        <v>0</v>
      </c>
      <c r="AG101" s="1131">
        <v>1.43</v>
      </c>
      <c r="AH101" s="1131">
        <v>0.03</v>
      </c>
    </row>
    <row r="102" spans="1:34" ht="14.25" customHeight="1">
      <c r="A102" s="924" t="s">
        <v>396</v>
      </c>
      <c r="B102" s="523" t="s">
        <v>400</v>
      </c>
      <c r="C102" s="861">
        <v>242.27500000000001</v>
      </c>
      <c r="D102" s="195">
        <f t="shared" si="22"/>
        <v>240</v>
      </c>
      <c r="E102" s="861">
        <v>100.53700000000001</v>
      </c>
      <c r="F102" s="696">
        <f t="shared" si="18"/>
        <v>100</v>
      </c>
      <c r="G102" s="747">
        <v>11.170999999999999</v>
      </c>
      <c r="H102" s="696">
        <f t="shared" si="17"/>
        <v>11</v>
      </c>
      <c r="I102" s="861">
        <v>6.702</v>
      </c>
      <c r="J102" s="696">
        <f t="shared" si="19"/>
        <v>7</v>
      </c>
      <c r="K102" s="861">
        <v>0</v>
      </c>
      <c r="L102" s="696">
        <v>0</v>
      </c>
      <c r="M102" s="861">
        <v>61.439</v>
      </c>
      <c r="N102" s="697">
        <f t="shared" si="20"/>
        <v>61</v>
      </c>
      <c r="O102" s="861">
        <v>131.63</v>
      </c>
      <c r="P102" s="730">
        <f t="shared" si="23"/>
        <v>130</v>
      </c>
      <c r="Q102" s="861">
        <v>61.88</v>
      </c>
      <c r="R102" s="747">
        <f t="shared" si="24"/>
        <v>62</v>
      </c>
      <c r="S102" s="861">
        <v>0</v>
      </c>
      <c r="T102" s="747">
        <v>0</v>
      </c>
      <c r="U102" s="861">
        <v>24.68</v>
      </c>
      <c r="V102" s="747">
        <f t="shared" si="21"/>
        <v>25</v>
      </c>
      <c r="W102" s="861">
        <v>1.2210000000000001</v>
      </c>
      <c r="X102" s="747">
        <f t="shared" si="11"/>
        <v>1</v>
      </c>
      <c r="Y102" s="861">
        <v>4.468</v>
      </c>
      <c r="Z102" s="696">
        <f t="shared" si="16"/>
        <v>4</v>
      </c>
      <c r="AA102" s="1131">
        <v>0</v>
      </c>
      <c r="AB102" s="1131">
        <v>0</v>
      </c>
      <c r="AC102" s="1131">
        <v>145.49100000000001</v>
      </c>
      <c r="AD102" s="1131">
        <v>11.192</v>
      </c>
      <c r="AE102" s="1131">
        <v>1.2030000000000001</v>
      </c>
      <c r="AF102" s="1131">
        <v>6.702</v>
      </c>
      <c r="AG102" s="1131">
        <v>1.357</v>
      </c>
      <c r="AH102" s="1131">
        <v>2.9000000000000001E-2</v>
      </c>
    </row>
    <row r="103" spans="1:34" ht="14.25" customHeight="1">
      <c r="A103" s="924" t="s">
        <v>396</v>
      </c>
      <c r="B103" s="523" t="s">
        <v>373</v>
      </c>
      <c r="C103" s="861">
        <v>231.142</v>
      </c>
      <c r="D103" s="195">
        <f t="shared" si="22"/>
        <v>230</v>
      </c>
      <c r="E103" s="861">
        <v>110.715</v>
      </c>
      <c r="F103" s="696">
        <f t="shared" si="18"/>
        <v>110</v>
      </c>
      <c r="G103" s="747">
        <v>12.302</v>
      </c>
      <c r="H103" s="696">
        <f t="shared" si="17"/>
        <v>12</v>
      </c>
      <c r="I103" s="861">
        <v>7.8280000000000003</v>
      </c>
      <c r="J103" s="696">
        <f t="shared" si="19"/>
        <v>8</v>
      </c>
      <c r="K103" s="861">
        <v>0</v>
      </c>
      <c r="L103" s="696">
        <v>0</v>
      </c>
      <c r="M103" s="861">
        <v>72.691999999999993</v>
      </c>
      <c r="N103" s="697">
        <f t="shared" si="20"/>
        <v>73</v>
      </c>
      <c r="O103" s="861">
        <v>173.553</v>
      </c>
      <c r="P103" s="730">
        <f t="shared" si="23"/>
        <v>175</v>
      </c>
      <c r="Q103" s="861">
        <v>26.995000000000001</v>
      </c>
      <c r="R103" s="747">
        <f t="shared" si="24"/>
        <v>27</v>
      </c>
      <c r="S103" s="861">
        <v>0</v>
      </c>
      <c r="T103" s="747">
        <v>0</v>
      </c>
      <c r="U103" s="861">
        <v>21.393000000000001</v>
      </c>
      <c r="V103" s="747">
        <f t="shared" si="21"/>
        <v>21</v>
      </c>
      <c r="W103" s="861">
        <v>1.268</v>
      </c>
      <c r="X103" s="747">
        <f t="shared" si="11"/>
        <v>1</v>
      </c>
      <c r="Y103" s="861">
        <v>4.4729999999999999</v>
      </c>
      <c r="Z103" s="696">
        <f t="shared" si="16"/>
        <v>4</v>
      </c>
      <c r="AA103" s="1131">
        <v>0</v>
      </c>
      <c r="AB103" s="1131">
        <v>0</v>
      </c>
      <c r="AC103" s="1131">
        <v>218.44800000000001</v>
      </c>
      <c r="AD103" s="1131">
        <v>16.803999999999998</v>
      </c>
      <c r="AE103" s="1131">
        <v>3.3000000000000002E-2</v>
      </c>
      <c r="AF103" s="1131">
        <v>0.18099999999999999</v>
      </c>
      <c r="AG103" s="1131">
        <v>3.8119999999999998</v>
      </c>
      <c r="AH103" s="1131">
        <v>8.1000000000000003E-2</v>
      </c>
    </row>
    <row r="104" spans="1:34" ht="14.25" customHeight="1">
      <c r="A104" s="186" t="s">
        <v>396</v>
      </c>
      <c r="B104" s="523" t="s">
        <v>26</v>
      </c>
      <c r="C104" s="861">
        <v>230.40799999999999</v>
      </c>
      <c r="D104" s="195">
        <f t="shared" si="22"/>
        <v>230</v>
      </c>
      <c r="E104" s="861">
        <v>111.002</v>
      </c>
      <c r="F104" s="696">
        <f t="shared" si="18"/>
        <v>110</v>
      </c>
      <c r="G104" s="747">
        <v>12.334</v>
      </c>
      <c r="H104" s="696">
        <f t="shared" si="17"/>
        <v>12</v>
      </c>
      <c r="I104" s="861">
        <v>7.8490000000000002</v>
      </c>
      <c r="J104" s="696">
        <f t="shared" si="19"/>
        <v>8</v>
      </c>
      <c r="K104" s="861">
        <v>0</v>
      </c>
      <c r="L104" s="696">
        <v>0</v>
      </c>
      <c r="M104" s="861">
        <v>72.88</v>
      </c>
      <c r="N104" s="697">
        <f t="shared" si="20"/>
        <v>73</v>
      </c>
      <c r="O104" s="861">
        <v>158.20400000000001</v>
      </c>
      <c r="P104" s="730">
        <f t="shared" si="23"/>
        <v>160</v>
      </c>
      <c r="Q104" s="861">
        <v>27.308</v>
      </c>
      <c r="R104" s="747">
        <f t="shared" si="24"/>
        <v>27</v>
      </c>
      <c r="S104" s="861">
        <v>0</v>
      </c>
      <c r="T104" s="747">
        <v>0</v>
      </c>
      <c r="U104" s="861">
        <v>21.167999999999999</v>
      </c>
      <c r="V104" s="747">
        <f t="shared" si="21"/>
        <v>21</v>
      </c>
      <c r="W104" s="861">
        <v>0.98599999999999999</v>
      </c>
      <c r="X104" s="747" t="s">
        <v>303</v>
      </c>
      <c r="Y104" s="861">
        <v>4.4850000000000003</v>
      </c>
      <c r="Z104" s="696">
        <f t="shared" si="16"/>
        <v>4</v>
      </c>
      <c r="AA104" s="1131">
        <v>0</v>
      </c>
      <c r="AB104" s="1131">
        <v>0</v>
      </c>
      <c r="AC104" s="1131">
        <v>218.92699999999999</v>
      </c>
      <c r="AD104" s="1131">
        <v>16.841000000000001</v>
      </c>
      <c r="AE104" s="1131">
        <v>0</v>
      </c>
      <c r="AF104" s="1131">
        <v>0</v>
      </c>
      <c r="AG104" s="1131">
        <v>1.1910000000000001</v>
      </c>
      <c r="AH104" s="761">
        <v>2.5000000000000001E-2</v>
      </c>
    </row>
    <row r="105" spans="1:34" ht="14.25" customHeight="1">
      <c r="A105" s="924" t="s">
        <v>396</v>
      </c>
      <c r="B105" s="523" t="s">
        <v>98</v>
      </c>
      <c r="C105" s="861">
        <v>230.85400000000001</v>
      </c>
      <c r="D105" s="195">
        <f t="shared" si="22"/>
        <v>230</v>
      </c>
      <c r="E105" s="861">
        <v>111.09</v>
      </c>
      <c r="F105" s="696">
        <f t="shared" si="18"/>
        <v>110</v>
      </c>
      <c r="G105" s="747">
        <v>12.343</v>
      </c>
      <c r="H105" s="696">
        <f t="shared" si="17"/>
        <v>12</v>
      </c>
      <c r="I105" s="861">
        <v>7.8550000000000004</v>
      </c>
      <c r="J105" s="696">
        <f t="shared" si="19"/>
        <v>8</v>
      </c>
      <c r="K105" s="861">
        <v>0</v>
      </c>
      <c r="L105" s="696">
        <v>0</v>
      </c>
      <c r="M105" s="861">
        <v>72.938000000000002</v>
      </c>
      <c r="N105" s="697">
        <f t="shared" si="20"/>
        <v>73</v>
      </c>
      <c r="O105" s="861">
        <v>166.34</v>
      </c>
      <c r="P105" s="730">
        <f t="shared" si="23"/>
        <v>165</v>
      </c>
      <c r="Q105" s="861">
        <v>27.376000000000001</v>
      </c>
      <c r="R105" s="747">
        <f t="shared" si="24"/>
        <v>27</v>
      </c>
      <c r="S105" s="861">
        <v>0</v>
      </c>
      <c r="T105" s="747">
        <v>0</v>
      </c>
      <c r="U105" s="861">
        <v>21.44</v>
      </c>
      <c r="V105" s="747">
        <f t="shared" si="21"/>
        <v>21</v>
      </c>
      <c r="W105" s="861">
        <v>1.246</v>
      </c>
      <c r="X105" s="747">
        <f>MROUND(W105,1)</f>
        <v>1</v>
      </c>
      <c r="Y105" s="861">
        <v>4.4880000000000004</v>
      </c>
      <c r="Z105" s="696">
        <f t="shared" si="16"/>
        <v>4</v>
      </c>
      <c r="AA105" s="1131">
        <v>0</v>
      </c>
      <c r="AB105" s="1131">
        <v>0</v>
      </c>
      <c r="AC105" s="1131">
        <v>230.267</v>
      </c>
      <c r="AD105" s="1131">
        <v>17.713000000000001</v>
      </c>
      <c r="AE105" s="1131">
        <v>0</v>
      </c>
      <c r="AF105" s="1131">
        <v>0</v>
      </c>
      <c r="AG105" s="1131">
        <v>1.125</v>
      </c>
      <c r="AH105" s="1131">
        <v>2.4E-2</v>
      </c>
    </row>
    <row r="106" spans="1:34" ht="31.75">
      <c r="A106" s="924" t="s">
        <v>396</v>
      </c>
      <c r="B106" s="523" t="s">
        <v>401</v>
      </c>
      <c r="C106" s="861">
        <v>231.434</v>
      </c>
      <c r="D106" s="195">
        <f t="shared" si="22"/>
        <v>230</v>
      </c>
      <c r="E106" s="861">
        <v>111.67700000000001</v>
      </c>
      <c r="F106" s="696">
        <f t="shared" si="18"/>
        <v>110</v>
      </c>
      <c r="G106" s="747">
        <v>12.409000000000001</v>
      </c>
      <c r="H106" s="696">
        <f t="shared" si="17"/>
        <v>12</v>
      </c>
      <c r="I106" s="861">
        <v>7.8959999999999999</v>
      </c>
      <c r="J106" s="696">
        <f t="shared" si="19"/>
        <v>8</v>
      </c>
      <c r="K106" s="861">
        <v>0</v>
      </c>
      <c r="L106" s="696">
        <v>0</v>
      </c>
      <c r="M106" s="861">
        <v>73.23</v>
      </c>
      <c r="N106" s="697">
        <f t="shared" si="20"/>
        <v>73</v>
      </c>
      <c r="O106" s="861">
        <v>192.53</v>
      </c>
      <c r="P106" s="730">
        <f t="shared" si="23"/>
        <v>195</v>
      </c>
      <c r="Q106" s="861">
        <v>25.945</v>
      </c>
      <c r="R106" s="747">
        <f t="shared" si="24"/>
        <v>26</v>
      </c>
      <c r="S106" s="861">
        <v>0</v>
      </c>
      <c r="T106" s="747">
        <v>0</v>
      </c>
      <c r="U106" s="861">
        <v>21.573</v>
      </c>
      <c r="V106" s="747">
        <f t="shared" si="21"/>
        <v>22</v>
      </c>
      <c r="W106" s="861">
        <v>1.268</v>
      </c>
      <c r="X106" s="747">
        <f>MROUND(W106,1)</f>
        <v>1</v>
      </c>
      <c r="Y106" s="861">
        <v>4.5119999999999996</v>
      </c>
      <c r="Z106" s="696">
        <f t="shared" si="16"/>
        <v>5</v>
      </c>
      <c r="AA106" s="1131">
        <v>0</v>
      </c>
      <c r="AB106" s="1131">
        <v>0</v>
      </c>
      <c r="AC106" s="1131">
        <v>220.209</v>
      </c>
      <c r="AD106" s="1131">
        <v>16.939</v>
      </c>
      <c r="AE106" s="1131">
        <v>0</v>
      </c>
      <c r="AF106" s="1131">
        <v>0</v>
      </c>
      <c r="AG106" s="1131">
        <v>1.0620000000000001</v>
      </c>
      <c r="AH106" s="1131">
        <v>2.3E-2</v>
      </c>
    </row>
    <row r="107" spans="1:34" ht="31.75">
      <c r="A107" s="924" t="s">
        <v>396</v>
      </c>
      <c r="B107" s="523" t="s">
        <v>357</v>
      </c>
      <c r="C107" s="861">
        <v>231.47200000000001</v>
      </c>
      <c r="D107" s="195">
        <f t="shared" si="22"/>
        <v>230</v>
      </c>
      <c r="E107" s="861">
        <v>111.804</v>
      </c>
      <c r="F107" s="696">
        <f t="shared" si="18"/>
        <v>110</v>
      </c>
      <c r="G107" s="747">
        <v>12.423</v>
      </c>
      <c r="H107" s="696">
        <f t="shared" si="17"/>
        <v>12</v>
      </c>
      <c r="I107" s="861">
        <v>7.9050000000000002</v>
      </c>
      <c r="J107" s="696">
        <f t="shared" si="19"/>
        <v>8</v>
      </c>
      <c r="K107" s="861">
        <v>0</v>
      </c>
      <c r="L107" s="696">
        <v>0</v>
      </c>
      <c r="M107" s="861">
        <v>73.406999999999996</v>
      </c>
      <c r="N107" s="697">
        <f t="shared" si="20"/>
        <v>73</v>
      </c>
      <c r="O107" s="861">
        <v>163.71299999999999</v>
      </c>
      <c r="P107" s="730">
        <f t="shared" si="23"/>
        <v>165</v>
      </c>
      <c r="Q107" s="861">
        <v>27.260999999999999</v>
      </c>
      <c r="R107" s="747">
        <f t="shared" si="24"/>
        <v>27</v>
      </c>
      <c r="S107" s="861">
        <v>0</v>
      </c>
      <c r="T107" s="747">
        <v>0</v>
      </c>
      <c r="U107" s="861">
        <v>21.184999999999999</v>
      </c>
      <c r="V107" s="747">
        <f t="shared" si="21"/>
        <v>21</v>
      </c>
      <c r="W107" s="861">
        <v>0.85699999999999998</v>
      </c>
      <c r="X107" s="747" t="s">
        <v>303</v>
      </c>
      <c r="Y107" s="861">
        <v>4.5170000000000003</v>
      </c>
      <c r="Z107" s="696">
        <f t="shared" si="16"/>
        <v>5</v>
      </c>
      <c r="AA107" s="1131">
        <v>0</v>
      </c>
      <c r="AB107" s="1131">
        <v>0</v>
      </c>
      <c r="AC107" s="1131">
        <v>220.51599999999999</v>
      </c>
      <c r="AD107" s="1131">
        <v>16.963000000000001</v>
      </c>
      <c r="AE107" s="1131">
        <v>3.3000000000000002E-2</v>
      </c>
      <c r="AF107" s="1131">
        <v>0.183</v>
      </c>
      <c r="AG107" s="1131">
        <v>3.496</v>
      </c>
      <c r="AH107" s="1131">
        <v>7.3999999999999996E-2</v>
      </c>
    </row>
    <row r="108" spans="1:34" ht="31.75">
      <c r="A108" s="924" t="s">
        <v>396</v>
      </c>
      <c r="B108" s="523" t="s">
        <v>66</v>
      </c>
      <c r="C108" s="861">
        <v>231.155</v>
      </c>
      <c r="D108" s="195">
        <f t="shared" si="22"/>
        <v>230</v>
      </c>
      <c r="E108" s="861">
        <v>111.834</v>
      </c>
      <c r="F108" s="696">
        <f t="shared" si="18"/>
        <v>110</v>
      </c>
      <c r="G108" s="747">
        <v>12.426</v>
      </c>
      <c r="H108" s="696">
        <f t="shared" si="17"/>
        <v>12</v>
      </c>
      <c r="I108" s="861">
        <v>7.907</v>
      </c>
      <c r="J108" s="696">
        <f t="shared" si="19"/>
        <v>8</v>
      </c>
      <c r="K108" s="861">
        <v>0</v>
      </c>
      <c r="L108" s="696">
        <v>0</v>
      </c>
      <c r="M108" s="861">
        <v>73.426000000000002</v>
      </c>
      <c r="N108" s="697">
        <f t="shared" si="20"/>
        <v>73</v>
      </c>
      <c r="O108" s="861">
        <v>159.12899999999999</v>
      </c>
      <c r="P108" s="730">
        <f t="shared" si="23"/>
        <v>160</v>
      </c>
      <c r="Q108" s="861">
        <v>27.321000000000002</v>
      </c>
      <c r="R108" s="747">
        <f t="shared" si="24"/>
        <v>27</v>
      </c>
      <c r="S108" s="861">
        <v>0</v>
      </c>
      <c r="T108" s="747">
        <v>0</v>
      </c>
      <c r="U108" s="861">
        <v>21.216000000000001</v>
      </c>
      <c r="V108" s="747">
        <f t="shared" si="21"/>
        <v>21</v>
      </c>
      <c r="W108" s="861">
        <v>0.88200000000000001</v>
      </c>
      <c r="X108" s="747" t="s">
        <v>303</v>
      </c>
      <c r="Y108" s="861">
        <v>4.5190000000000001</v>
      </c>
      <c r="Z108" s="696">
        <f t="shared" si="16"/>
        <v>5</v>
      </c>
      <c r="AA108" s="1131">
        <v>0</v>
      </c>
      <c r="AB108" s="1131">
        <v>0</v>
      </c>
      <c r="AC108" s="1131">
        <v>220.47499999999999</v>
      </c>
      <c r="AD108" s="1131">
        <v>16.96</v>
      </c>
      <c r="AE108" s="1131">
        <v>0</v>
      </c>
      <c r="AF108" s="1131">
        <v>0</v>
      </c>
      <c r="AG108" s="1131">
        <v>0.98</v>
      </c>
      <c r="AH108" s="1131">
        <v>2.1000000000000001E-2</v>
      </c>
    </row>
    <row r="109" spans="1:34" ht="15.75" customHeight="1">
      <c r="A109" s="924" t="s">
        <v>396</v>
      </c>
      <c r="B109" s="523" t="s">
        <v>361</v>
      </c>
      <c r="C109" s="861">
        <v>242.714</v>
      </c>
      <c r="D109" s="195">
        <f t="shared" si="22"/>
        <v>240</v>
      </c>
      <c r="E109" s="861">
        <v>101.524</v>
      </c>
      <c r="F109" s="696">
        <f t="shared" si="18"/>
        <v>100</v>
      </c>
      <c r="G109" s="747">
        <v>11.28</v>
      </c>
      <c r="H109" s="696">
        <f t="shared" si="17"/>
        <v>11</v>
      </c>
      <c r="I109" s="861">
        <v>6.7679999999999998</v>
      </c>
      <c r="J109" s="696">
        <f t="shared" si="19"/>
        <v>7</v>
      </c>
      <c r="K109" s="861">
        <v>0</v>
      </c>
      <c r="L109" s="696">
        <v>0</v>
      </c>
      <c r="M109" s="861">
        <v>62.042999999999999</v>
      </c>
      <c r="N109" s="697">
        <f t="shared" si="20"/>
        <v>62</v>
      </c>
      <c r="O109" s="861">
        <v>164.32900000000001</v>
      </c>
      <c r="P109" s="730">
        <f t="shared" si="23"/>
        <v>165</v>
      </c>
      <c r="Q109" s="861">
        <v>30.457000000000001</v>
      </c>
      <c r="R109" s="747">
        <f t="shared" si="24"/>
        <v>30</v>
      </c>
      <c r="S109" s="861">
        <v>0</v>
      </c>
      <c r="T109" s="747">
        <v>0</v>
      </c>
      <c r="U109" s="861">
        <v>24.957000000000001</v>
      </c>
      <c r="V109" s="747">
        <f t="shared" si="21"/>
        <v>25</v>
      </c>
      <c r="W109" s="861">
        <v>1.268</v>
      </c>
      <c r="X109" s="747">
        <f>MROUND(W109,1)</f>
        <v>1</v>
      </c>
      <c r="Y109" s="861">
        <v>4.5209999999999999</v>
      </c>
      <c r="Z109" s="696">
        <f t="shared" si="16"/>
        <v>5</v>
      </c>
      <c r="AA109" s="1131">
        <v>0</v>
      </c>
      <c r="AB109" s="1131">
        <v>0</v>
      </c>
      <c r="AC109" s="1131">
        <v>146.886</v>
      </c>
      <c r="AD109" s="1131">
        <v>11.298999999999999</v>
      </c>
      <c r="AE109" s="1131">
        <v>1.28</v>
      </c>
      <c r="AF109" s="1131">
        <v>6.7679999999999998</v>
      </c>
      <c r="AG109" s="1131">
        <v>1.0620000000000001</v>
      </c>
      <c r="AH109" s="1131">
        <v>2.3E-2</v>
      </c>
    </row>
    <row r="110" spans="1:34" ht="15.75" customHeight="1">
      <c r="A110" s="924" t="s">
        <v>396</v>
      </c>
      <c r="B110" s="523" t="s">
        <v>402</v>
      </c>
      <c r="C110" s="861">
        <v>231.839</v>
      </c>
      <c r="D110" s="195">
        <f t="shared" si="22"/>
        <v>230</v>
      </c>
      <c r="E110" s="861">
        <v>111.98399999999999</v>
      </c>
      <c r="F110" s="696">
        <f t="shared" si="18"/>
        <v>110</v>
      </c>
      <c r="G110" s="747">
        <v>12.443</v>
      </c>
      <c r="H110" s="696">
        <f t="shared" si="17"/>
        <v>12</v>
      </c>
      <c r="I110" s="861">
        <v>7.9180000000000001</v>
      </c>
      <c r="J110" s="696">
        <f t="shared" si="19"/>
        <v>8</v>
      </c>
      <c r="K110" s="861">
        <v>0</v>
      </c>
      <c r="L110" s="696">
        <v>0</v>
      </c>
      <c r="M110" s="861">
        <v>73.525000000000006</v>
      </c>
      <c r="N110" s="697">
        <f t="shared" si="20"/>
        <v>74</v>
      </c>
      <c r="O110" s="861">
        <v>160.524</v>
      </c>
      <c r="P110" s="730">
        <f t="shared" si="23"/>
        <v>160</v>
      </c>
      <c r="Q110" s="861">
        <v>27.45</v>
      </c>
      <c r="R110" s="747">
        <f t="shared" si="24"/>
        <v>27</v>
      </c>
      <c r="S110" s="861">
        <v>0</v>
      </c>
      <c r="T110" s="747">
        <v>0</v>
      </c>
      <c r="U110" s="861">
        <v>21.327000000000002</v>
      </c>
      <c r="V110" s="747">
        <f t="shared" si="21"/>
        <v>21</v>
      </c>
      <c r="W110" s="861">
        <v>0.96599999999999997</v>
      </c>
      <c r="X110" s="747" t="s">
        <v>303</v>
      </c>
      <c r="Y110" s="861">
        <v>4.5250000000000004</v>
      </c>
      <c r="Z110" s="696">
        <f t="shared" si="16"/>
        <v>5</v>
      </c>
      <c r="AA110" s="1131">
        <v>0</v>
      </c>
      <c r="AB110" s="1131">
        <v>0</v>
      </c>
      <c r="AC110" s="1131">
        <v>220.792</v>
      </c>
      <c r="AD110" s="1131">
        <v>16.984000000000002</v>
      </c>
      <c r="AE110" s="1131">
        <v>0</v>
      </c>
      <c r="AF110" s="1131">
        <v>0</v>
      </c>
      <c r="AG110" s="1131">
        <v>1.028</v>
      </c>
      <c r="AH110" s="1131">
        <v>2.1999999999999999E-2</v>
      </c>
    </row>
    <row r="111" spans="1:34" ht="31.75">
      <c r="A111" s="924" t="s">
        <v>396</v>
      </c>
      <c r="B111" s="784" t="s">
        <v>356</v>
      </c>
      <c r="C111" s="861">
        <v>231.398</v>
      </c>
      <c r="D111" s="195">
        <f t="shared" si="22"/>
        <v>230</v>
      </c>
      <c r="E111" s="861">
        <v>112.43600000000001</v>
      </c>
      <c r="F111" s="696">
        <f t="shared" si="18"/>
        <v>110</v>
      </c>
      <c r="G111" s="747">
        <v>12.493</v>
      </c>
      <c r="H111" s="696">
        <f t="shared" si="17"/>
        <v>12</v>
      </c>
      <c r="I111" s="861">
        <v>7.95</v>
      </c>
      <c r="J111" s="696">
        <f t="shared" si="19"/>
        <v>8</v>
      </c>
      <c r="K111" s="861">
        <v>0</v>
      </c>
      <c r="L111" s="696">
        <v>0</v>
      </c>
      <c r="M111" s="861">
        <v>73.822000000000003</v>
      </c>
      <c r="N111" s="697">
        <f t="shared" si="20"/>
        <v>74</v>
      </c>
      <c r="O111" s="861">
        <v>160.197</v>
      </c>
      <c r="P111" s="730">
        <f t="shared" si="23"/>
        <v>160</v>
      </c>
      <c r="Q111" s="861">
        <v>27.105</v>
      </c>
      <c r="R111" s="747">
        <f t="shared" si="24"/>
        <v>27</v>
      </c>
      <c r="S111" s="861">
        <v>0</v>
      </c>
      <c r="T111" s="747">
        <v>0</v>
      </c>
      <c r="U111" s="861">
        <v>21.108000000000001</v>
      </c>
      <c r="V111" s="747">
        <f t="shared" si="21"/>
        <v>21</v>
      </c>
      <c r="W111" s="861">
        <v>0.66500000000000004</v>
      </c>
      <c r="X111" s="747" t="s">
        <v>303</v>
      </c>
      <c r="Y111" s="861">
        <v>4.5430000000000001</v>
      </c>
      <c r="Z111" s="696">
        <f t="shared" si="16"/>
        <v>5</v>
      </c>
      <c r="AA111" s="1131">
        <v>0</v>
      </c>
      <c r="AB111" s="1131">
        <v>0</v>
      </c>
      <c r="AC111" s="1131">
        <v>221.65100000000001</v>
      </c>
      <c r="AD111" s="1131">
        <v>17.05</v>
      </c>
      <c r="AE111" s="1131">
        <v>0</v>
      </c>
      <c r="AF111" s="1131">
        <v>0</v>
      </c>
      <c r="AG111" s="1131">
        <v>0.79800000000000004</v>
      </c>
      <c r="AH111" s="1131">
        <v>1.7000000000000001E-2</v>
      </c>
    </row>
    <row r="112" spans="1:34" ht="31.75">
      <c r="A112" s="924" t="s">
        <v>396</v>
      </c>
      <c r="B112" s="523" t="s">
        <v>359</v>
      </c>
      <c r="C112" s="861">
        <v>232.46199999999999</v>
      </c>
      <c r="D112" s="195">
        <f t="shared" si="22"/>
        <v>230</v>
      </c>
      <c r="E112" s="861">
        <v>112.54900000000001</v>
      </c>
      <c r="F112" s="696">
        <f t="shared" si="18"/>
        <v>110</v>
      </c>
      <c r="G112" s="747">
        <v>12.506</v>
      </c>
      <c r="H112" s="696">
        <f t="shared" si="17"/>
        <v>13</v>
      </c>
      <c r="I112" s="861">
        <v>7.9580000000000002</v>
      </c>
      <c r="J112" s="696">
        <f t="shared" si="19"/>
        <v>8</v>
      </c>
      <c r="K112" s="861">
        <v>0</v>
      </c>
      <c r="L112" s="696">
        <v>0</v>
      </c>
      <c r="M112" s="861">
        <v>73.896000000000001</v>
      </c>
      <c r="N112" s="697">
        <f t="shared" si="20"/>
        <v>74</v>
      </c>
      <c r="O112" s="861">
        <v>159.161</v>
      </c>
      <c r="P112" s="730">
        <f t="shared" si="23"/>
        <v>160</v>
      </c>
      <c r="Q112" s="861">
        <v>27.216999999999999</v>
      </c>
      <c r="R112" s="747">
        <f t="shared" si="24"/>
        <v>27</v>
      </c>
      <c r="S112" s="861">
        <v>0</v>
      </c>
      <c r="T112" s="747">
        <v>0</v>
      </c>
      <c r="U112" s="861">
        <v>21.303000000000001</v>
      </c>
      <c r="V112" s="747">
        <f t="shared" si="21"/>
        <v>21</v>
      </c>
      <c r="W112" s="861">
        <v>0.84</v>
      </c>
      <c r="X112" s="747" t="s">
        <v>303</v>
      </c>
      <c r="Y112" s="861">
        <v>4.5469999999999997</v>
      </c>
      <c r="Z112" s="696">
        <f t="shared" si="16"/>
        <v>5</v>
      </c>
      <c r="AA112" s="1131">
        <v>0</v>
      </c>
      <c r="AB112" s="1131">
        <v>0</v>
      </c>
      <c r="AC112" s="1131">
        <v>221.816</v>
      </c>
      <c r="AD112" s="1131">
        <v>17.062999999999999</v>
      </c>
      <c r="AE112" s="1131">
        <v>0</v>
      </c>
      <c r="AF112" s="1131">
        <v>0</v>
      </c>
      <c r="AG112" s="1131">
        <v>1.0940000000000001</v>
      </c>
      <c r="AH112" s="1131">
        <v>2.3E-2</v>
      </c>
    </row>
    <row r="113" spans="1:34" ht="31.75">
      <c r="A113" s="924" t="s">
        <v>396</v>
      </c>
      <c r="B113" s="523" t="s">
        <v>403</v>
      </c>
      <c r="C113" s="861">
        <v>231.977</v>
      </c>
      <c r="D113" s="195">
        <f t="shared" si="22"/>
        <v>230</v>
      </c>
      <c r="E113" s="861">
        <v>112.67100000000001</v>
      </c>
      <c r="F113" s="696">
        <f t="shared" si="18"/>
        <v>110</v>
      </c>
      <c r="G113" s="747">
        <v>12.519</v>
      </c>
      <c r="H113" s="696">
        <f t="shared" si="17"/>
        <v>13</v>
      </c>
      <c r="I113" s="861">
        <v>7.9669999999999996</v>
      </c>
      <c r="J113" s="696">
        <f t="shared" si="19"/>
        <v>8</v>
      </c>
      <c r="K113" s="861">
        <v>0</v>
      </c>
      <c r="L113" s="696">
        <v>0</v>
      </c>
      <c r="M113" s="861">
        <v>73.975999999999999</v>
      </c>
      <c r="N113" s="697">
        <f t="shared" si="20"/>
        <v>74</v>
      </c>
      <c r="O113" s="861">
        <v>160.059</v>
      </c>
      <c r="P113" s="730">
        <f t="shared" si="23"/>
        <v>160</v>
      </c>
      <c r="Q113" s="861">
        <v>27</v>
      </c>
      <c r="R113" s="747">
        <f t="shared" si="24"/>
        <v>27</v>
      </c>
      <c r="S113" s="861">
        <v>0</v>
      </c>
      <c r="T113" s="747">
        <v>0</v>
      </c>
      <c r="U113" s="861">
        <v>21.114999999999998</v>
      </c>
      <c r="V113" s="747">
        <f t="shared" si="21"/>
        <v>21</v>
      </c>
      <c r="W113" s="861">
        <v>0.58099999999999996</v>
      </c>
      <c r="X113" s="747" t="s">
        <v>303</v>
      </c>
      <c r="Y113" s="861">
        <v>4.5519999999999996</v>
      </c>
      <c r="Z113" s="696">
        <f t="shared" si="16"/>
        <v>5</v>
      </c>
      <c r="AA113" s="1131">
        <v>0</v>
      </c>
      <c r="AB113" s="1131">
        <v>0</v>
      </c>
      <c r="AC113" s="1131">
        <v>222.09700000000001</v>
      </c>
      <c r="AD113" s="1131">
        <v>17.084</v>
      </c>
      <c r="AE113" s="1131">
        <v>0</v>
      </c>
      <c r="AF113" s="1131">
        <v>0</v>
      </c>
      <c r="AG113" s="1131">
        <v>1.55</v>
      </c>
      <c r="AH113" s="1131">
        <v>3.3000000000000002E-2</v>
      </c>
    </row>
    <row r="114" spans="1:34" ht="31.75">
      <c r="A114" s="924" t="s">
        <v>396</v>
      </c>
      <c r="B114" s="523" t="s">
        <v>404</v>
      </c>
      <c r="C114" s="861">
        <v>232.08500000000001</v>
      </c>
      <c r="D114" s="195">
        <f t="shared" si="22"/>
        <v>230</v>
      </c>
      <c r="E114" s="861">
        <v>112.74</v>
      </c>
      <c r="F114" s="696">
        <f t="shared" si="18"/>
        <v>110</v>
      </c>
      <c r="G114" s="747">
        <v>12.526999999999999</v>
      </c>
      <c r="H114" s="696">
        <f t="shared" si="17"/>
        <v>13</v>
      </c>
      <c r="I114" s="861">
        <v>7.9710000000000001</v>
      </c>
      <c r="J114" s="696">
        <f t="shared" si="19"/>
        <v>8</v>
      </c>
      <c r="K114" s="861">
        <v>0</v>
      </c>
      <c r="L114" s="696">
        <v>0</v>
      </c>
      <c r="M114" s="861">
        <v>74.021000000000001</v>
      </c>
      <c r="N114" s="697">
        <f t="shared" si="20"/>
        <v>74</v>
      </c>
      <c r="O114" s="861">
        <v>160.90700000000001</v>
      </c>
      <c r="P114" s="730">
        <f t="shared" si="23"/>
        <v>160</v>
      </c>
      <c r="Q114" s="861">
        <v>27.295999999999999</v>
      </c>
      <c r="R114" s="747">
        <f t="shared" si="24"/>
        <v>27</v>
      </c>
      <c r="S114" s="861">
        <v>1.7000000000000001E-2</v>
      </c>
      <c r="T114" s="747">
        <v>0</v>
      </c>
      <c r="U114" s="861">
        <v>21.378</v>
      </c>
      <c r="V114" s="747">
        <f t="shared" si="21"/>
        <v>21</v>
      </c>
      <c r="W114" s="861">
        <v>0</v>
      </c>
      <c r="X114" s="696">
        <v>0</v>
      </c>
      <c r="Y114" s="861">
        <v>4.556</v>
      </c>
      <c r="Z114" s="696">
        <f t="shared" si="16"/>
        <v>5</v>
      </c>
      <c r="AA114" s="1131">
        <v>0</v>
      </c>
      <c r="AB114" s="1131">
        <v>0</v>
      </c>
      <c r="AC114" s="1131">
        <v>222.11500000000001</v>
      </c>
      <c r="AD114" s="1131">
        <v>17.085999999999999</v>
      </c>
      <c r="AE114" s="1131">
        <v>1E-3</v>
      </c>
      <c r="AF114" s="1131">
        <v>8.0000000000000002E-3</v>
      </c>
      <c r="AG114" s="1131">
        <v>0.92800000000000005</v>
      </c>
      <c r="AH114" s="1131">
        <v>0.02</v>
      </c>
    </row>
    <row r="115" spans="1:34" ht="31.75">
      <c r="A115" s="924" t="s">
        <v>396</v>
      </c>
      <c r="B115" s="523" t="s">
        <v>130</v>
      </c>
      <c r="C115" s="861">
        <v>232.46199999999999</v>
      </c>
      <c r="D115" s="195">
        <f t="shared" si="22"/>
        <v>230</v>
      </c>
      <c r="E115" s="861">
        <v>115.069</v>
      </c>
      <c r="F115" s="696">
        <f t="shared" si="18"/>
        <v>120</v>
      </c>
      <c r="G115" s="747">
        <v>12.785</v>
      </c>
      <c r="H115" s="696">
        <f t="shared" si="17"/>
        <v>13</v>
      </c>
      <c r="I115" s="861">
        <v>8.1359999999999992</v>
      </c>
      <c r="J115" s="696">
        <f t="shared" si="19"/>
        <v>8</v>
      </c>
      <c r="K115" s="861">
        <v>0</v>
      </c>
      <c r="L115" s="696">
        <v>0</v>
      </c>
      <c r="M115" s="861">
        <v>75.55</v>
      </c>
      <c r="N115" s="697">
        <f t="shared" si="20"/>
        <v>76</v>
      </c>
      <c r="O115" s="861">
        <v>162.72300000000001</v>
      </c>
      <c r="P115" s="730">
        <f t="shared" si="23"/>
        <v>165</v>
      </c>
      <c r="Q115" s="861">
        <v>26.733000000000001</v>
      </c>
      <c r="R115" s="747">
        <f t="shared" si="24"/>
        <v>27</v>
      </c>
      <c r="S115" s="861">
        <v>0</v>
      </c>
      <c r="T115" s="747">
        <v>0</v>
      </c>
      <c r="U115" s="861">
        <v>20.922000000000001</v>
      </c>
      <c r="V115" s="747">
        <f t="shared" si="21"/>
        <v>21</v>
      </c>
      <c r="W115" s="861">
        <v>0</v>
      </c>
      <c r="X115" s="696">
        <v>0</v>
      </c>
      <c r="Y115" s="861">
        <v>4.649</v>
      </c>
      <c r="Z115" s="696">
        <f t="shared" si="16"/>
        <v>5</v>
      </c>
      <c r="AA115" s="1131">
        <v>0</v>
      </c>
      <c r="AB115" s="1131">
        <v>0</v>
      </c>
      <c r="AC115" s="1131">
        <v>226.65</v>
      </c>
      <c r="AD115" s="1131">
        <v>17.434999999999999</v>
      </c>
      <c r="AE115" s="1131">
        <v>0</v>
      </c>
      <c r="AF115" s="1131">
        <v>0</v>
      </c>
      <c r="AG115" s="1131">
        <v>0</v>
      </c>
      <c r="AH115" s="1131">
        <v>0</v>
      </c>
    </row>
    <row r="116" spans="1:34" ht="31.75">
      <c r="A116" s="924" t="s">
        <v>396</v>
      </c>
      <c r="B116" s="523" t="s">
        <v>129</v>
      </c>
      <c r="C116" s="861">
        <v>244.08500000000001</v>
      </c>
      <c r="D116" s="195">
        <f t="shared" si="22"/>
        <v>240</v>
      </c>
      <c r="E116" s="861">
        <v>104.608</v>
      </c>
      <c r="F116" s="696">
        <f t="shared" si="18"/>
        <v>100</v>
      </c>
      <c r="G116" s="747">
        <v>11.622999999999999</v>
      </c>
      <c r="H116" s="696">
        <f t="shared" si="17"/>
        <v>12</v>
      </c>
      <c r="I116" s="861">
        <v>6.9740000000000002</v>
      </c>
      <c r="J116" s="696">
        <f t="shared" si="19"/>
        <v>7</v>
      </c>
      <c r="K116" s="861">
        <v>0</v>
      </c>
      <c r="L116" s="696">
        <v>0</v>
      </c>
      <c r="M116" s="861">
        <v>63.927</v>
      </c>
      <c r="N116" s="697">
        <f t="shared" si="20"/>
        <v>64</v>
      </c>
      <c r="O116" s="861">
        <v>133.66</v>
      </c>
      <c r="P116" s="730">
        <f t="shared" si="23"/>
        <v>135</v>
      </c>
      <c r="Q116" s="861">
        <v>31.382000000000001</v>
      </c>
      <c r="R116" s="747">
        <f t="shared" si="24"/>
        <v>31</v>
      </c>
      <c r="S116" s="861">
        <v>0</v>
      </c>
      <c r="T116" s="747">
        <v>0</v>
      </c>
      <c r="U116" s="861">
        <v>24.408000000000001</v>
      </c>
      <c r="V116" s="747">
        <f t="shared" si="21"/>
        <v>24</v>
      </c>
      <c r="W116" s="861">
        <v>0</v>
      </c>
      <c r="X116" s="696">
        <v>0</v>
      </c>
      <c r="Y116" s="861">
        <v>4.649</v>
      </c>
      <c r="Z116" s="696">
        <f t="shared" si="16"/>
        <v>5</v>
      </c>
      <c r="AA116" s="1131">
        <v>0</v>
      </c>
      <c r="AB116" s="1131">
        <v>0</v>
      </c>
      <c r="AC116" s="1131">
        <v>151.1</v>
      </c>
      <c r="AD116" s="1131">
        <v>11.622999999999999</v>
      </c>
      <c r="AE116" s="1131">
        <v>1.2549999999999999</v>
      </c>
      <c r="AF116" s="1131">
        <v>6.9740000000000002</v>
      </c>
      <c r="AG116" s="1131">
        <v>0</v>
      </c>
      <c r="AH116" s="1131">
        <v>0</v>
      </c>
    </row>
    <row r="117" spans="1:34" ht="31.75">
      <c r="A117" s="924" t="s">
        <v>92</v>
      </c>
      <c r="B117" s="186" t="s">
        <v>320</v>
      </c>
      <c r="C117" s="860">
        <v>320.38</v>
      </c>
      <c r="D117" s="195">
        <f t="shared" si="22"/>
        <v>320</v>
      </c>
      <c r="E117" s="860">
        <v>0</v>
      </c>
      <c r="F117" s="536">
        <v>0</v>
      </c>
      <c r="G117" s="696">
        <v>3.4580000000000002</v>
      </c>
      <c r="H117" s="696">
        <f>MROUND(G117,0.5)</f>
        <v>3.5</v>
      </c>
      <c r="I117" s="860">
        <v>3.206</v>
      </c>
      <c r="J117" s="696">
        <f>MROUND(I117,0.5)</f>
        <v>3</v>
      </c>
      <c r="K117" s="860">
        <v>0</v>
      </c>
      <c r="L117" s="696">
        <v>0</v>
      </c>
      <c r="M117" s="860">
        <v>0</v>
      </c>
      <c r="N117" s="536">
        <v>0</v>
      </c>
      <c r="O117" s="860">
        <v>69.438999999999993</v>
      </c>
      <c r="P117" s="730">
        <f t="shared" si="23"/>
        <v>70</v>
      </c>
      <c r="Q117" s="860">
        <v>72.674000000000007</v>
      </c>
      <c r="R117" s="747">
        <f t="shared" si="24"/>
        <v>73</v>
      </c>
      <c r="S117" s="860">
        <v>6.0000000000000001E-3</v>
      </c>
      <c r="T117" s="747">
        <v>0</v>
      </c>
      <c r="U117" s="860">
        <v>68.177000000000007</v>
      </c>
      <c r="V117" s="747">
        <f t="shared" si="21"/>
        <v>68</v>
      </c>
      <c r="W117" s="860">
        <v>67.977000000000004</v>
      </c>
      <c r="X117" s="747">
        <f>MROUND(W117,1)</f>
        <v>68</v>
      </c>
      <c r="Y117" s="860">
        <v>0.314</v>
      </c>
      <c r="Z117" s="696">
        <f t="shared" si="16"/>
        <v>0</v>
      </c>
      <c r="AA117" s="697">
        <v>0</v>
      </c>
      <c r="AB117" s="697">
        <v>0</v>
      </c>
      <c r="AC117" s="697">
        <v>9.0790000000000006</v>
      </c>
      <c r="AD117" s="697">
        <v>0.69799999999999995</v>
      </c>
      <c r="AE117" s="697">
        <v>7.6999999999999999E-2</v>
      </c>
      <c r="AF117" s="697">
        <v>0.43</v>
      </c>
      <c r="AG117" s="697">
        <v>8.3049999999999997</v>
      </c>
      <c r="AH117" s="697">
        <v>0.1777</v>
      </c>
    </row>
    <row r="118" spans="1:34">
      <c r="A118" s="934"/>
      <c r="B118" s="186"/>
      <c r="C118" s="860"/>
      <c r="D118" s="195"/>
      <c r="E118" s="860"/>
      <c r="F118" s="536"/>
      <c r="G118" s="860"/>
      <c r="H118" s="696"/>
      <c r="I118" s="860"/>
      <c r="J118" s="696"/>
      <c r="K118" s="860"/>
      <c r="L118" s="696"/>
      <c r="M118" s="860"/>
      <c r="N118" s="536"/>
      <c r="O118" s="860"/>
      <c r="P118" s="730"/>
      <c r="Q118" s="860"/>
      <c r="R118" s="747"/>
      <c r="S118" s="860"/>
      <c r="T118" s="747"/>
      <c r="U118" s="860"/>
      <c r="V118" s="747"/>
      <c r="W118" s="860"/>
      <c r="X118" s="747"/>
      <c r="Y118" s="860"/>
      <c r="Z118" s="696"/>
      <c r="AA118" s="697"/>
      <c r="AB118" s="697"/>
      <c r="AC118" s="697"/>
      <c r="AD118" s="697"/>
      <c r="AE118" s="697"/>
      <c r="AF118" s="697"/>
      <c r="AG118" s="697"/>
      <c r="AH118" s="697"/>
    </row>
    <row r="119" spans="1:34" ht="46.5" customHeight="1">
      <c r="B119" s="925" t="s">
        <v>168</v>
      </c>
      <c r="C119" s="929"/>
      <c r="D119" s="925"/>
      <c r="E119" s="929"/>
      <c r="F119" s="925"/>
      <c r="G119" s="929"/>
      <c r="H119" s="925"/>
      <c r="I119" s="929"/>
      <c r="J119" s="925"/>
      <c r="K119" s="929"/>
      <c r="L119" s="925"/>
      <c r="M119" s="929"/>
      <c r="N119" s="925"/>
      <c r="O119" s="929"/>
      <c r="P119" s="925"/>
      <c r="Q119" s="929"/>
      <c r="R119" s="925"/>
      <c r="S119" s="929"/>
      <c r="T119" s="925"/>
      <c r="U119" s="929"/>
      <c r="V119" s="925"/>
      <c r="W119" s="929"/>
      <c r="X119" s="925"/>
      <c r="Y119" s="929"/>
      <c r="Z119" s="925"/>
      <c r="AA119" s="925"/>
      <c r="AB119" s="925"/>
      <c r="AC119" s="925"/>
      <c r="AD119" s="925"/>
      <c r="AE119" s="925"/>
      <c r="AF119" s="925"/>
      <c r="AG119" s="925"/>
      <c r="AH119" s="925"/>
    </row>
    <row r="121" spans="1:34" ht="15.75" hidden="1" customHeight="1">
      <c r="B121" s="191" t="s">
        <v>362</v>
      </c>
      <c r="C121" s="867">
        <f>SUM(AVERAGE(C5:C60),AVERAGE(C94:C117))</f>
        <v>523.04562499999997</v>
      </c>
      <c r="D121" s="191"/>
      <c r="E121" s="867">
        <f>SUM(AVERAGE(E5:E60),AVERAGE(E94:E117))</f>
        <v>104.99691071428569</v>
      </c>
      <c r="F121" s="191"/>
      <c r="G121" s="191">
        <f>SUM(AVERAGE(G5:G60),AVERAGE(G94:G117))</f>
        <v>11.887845238095238</v>
      </c>
      <c r="H121" s="191"/>
      <c r="I121" s="867">
        <f>SUM(AVERAGE(I5:I60),AVERAGE(I94:I117))</f>
        <v>7.5356488095238081</v>
      </c>
      <c r="J121" s="191"/>
      <c r="K121" s="867">
        <f>SUM(AVERAGE(K5:K60),AVERAGE(K94:K117))</f>
        <v>7.5000000000000002E-4</v>
      </c>
      <c r="L121" s="191"/>
      <c r="M121" s="867">
        <f>SUM(AVERAGE(M5:M60),AVERAGE(M94:M117))</f>
        <v>67.71470833333332</v>
      </c>
      <c r="N121" s="191"/>
      <c r="O121" s="867">
        <f>SUM(AVERAGE(O5:O60),AVERAGE(O94:O117))</f>
        <v>198.80345238095236</v>
      </c>
      <c r="P121" s="191"/>
      <c r="Q121" s="867">
        <f>SUM(AVERAGE(Q5:Q60),AVERAGE(Q94:Q117))</f>
        <v>104.36303571428573</v>
      </c>
      <c r="R121" s="191"/>
      <c r="S121" s="867">
        <f>SUM(AVERAGE(S5:S60),AVERAGE(S94:S117))</f>
        <v>0.10840476190476193</v>
      </c>
      <c r="T121" s="191"/>
      <c r="U121" s="867">
        <f>SUM(AVERAGE(U5:U60),AVERAGE(U94:U117))</f>
        <v>89.779017857142861</v>
      </c>
      <c r="V121" s="191"/>
      <c r="W121" s="867">
        <f>SUM(AVERAGE(W5:W60),AVERAGE(W94:W117))</f>
        <v>68.450767857142864</v>
      </c>
      <c r="X121" s="191"/>
      <c r="Y121" s="867">
        <f>SUM(AVERAGE(Y5:Y60),AVERAGE(Y94:Y117))</f>
        <v>4.3969523809523805</v>
      </c>
      <c r="Z121" s="191"/>
      <c r="AA121" s="191">
        <f t="shared" ref="AA121:AH121" si="25">SUM(AVERAGE(AA5:AA60),AVERAGE(AA94:AA117))</f>
        <v>4.2142857142857142E-2</v>
      </c>
      <c r="AB121" s="191">
        <f t="shared" si="25"/>
        <v>0.21067857142857144</v>
      </c>
      <c r="AC121" s="191">
        <f t="shared" si="25"/>
        <v>206.55451190476185</v>
      </c>
      <c r="AD121" s="191">
        <f t="shared" si="25"/>
        <v>15.888708333333332</v>
      </c>
      <c r="AE121" s="191">
        <f t="shared" si="25"/>
        <v>0.34139880952380952</v>
      </c>
      <c r="AF121" s="191">
        <f t="shared" si="25"/>
        <v>1.8739601190476187</v>
      </c>
      <c r="AG121" s="191">
        <f t="shared" si="25"/>
        <v>16.615154761904762</v>
      </c>
      <c r="AH121" s="191">
        <f t="shared" si="25"/>
        <v>0.35127321428571417</v>
      </c>
    </row>
    <row r="122" spans="1:34" ht="31.5" hidden="1" customHeight="1">
      <c r="B122" s="191" t="s">
        <v>363</v>
      </c>
      <c r="C122" s="867" t="str">
        <f xml:space="preserve"> ROUND(MIN(C5:C60)+MIN(C94:C117), 0) &amp; " - " &amp; ROUND(MAX(C5:C60)+MAX(C94:C117),0)</f>
        <v>368 - 698</v>
      </c>
      <c r="D122" s="191"/>
      <c r="E122" s="867" t="str">
        <f xml:space="preserve"> ROUND(MIN(E5:E60)+MIN(E94:E117), 0) &amp; " - " &amp; ROUND(MAX(E5:E60)+MAX(E94:E117),0)</f>
        <v>0 - 132</v>
      </c>
      <c r="F122" s="191"/>
      <c r="G122" s="191" t="str">
        <f xml:space="preserve"> ROUND(MIN(G5:G60)+MIN(G94:G117), 0) &amp; " - " &amp; ROUND(MAX(G5:G60)+MAX(G94:G117),0)</f>
        <v>3 - 16</v>
      </c>
      <c r="H122" s="191"/>
      <c r="I122" s="867" t="str">
        <f xml:space="preserve"> ROUND(MIN(I5:I60)+MIN(I94:I117), 0) &amp; " - " &amp; ROUND(MAX(I5:I60)+MAX(I94:I117),0)</f>
        <v>3 - 11</v>
      </c>
      <c r="J122" s="191"/>
      <c r="K122" s="867" t="str">
        <f xml:space="preserve"> ROUND(MIN(K5:K60)+MIN(K94:K117), 0) &amp; " - " &amp; ROUND(MAX(K5:K60)+MAX(K94:K117),0)</f>
        <v>0 - 0</v>
      </c>
      <c r="L122" s="191"/>
      <c r="M122" s="867" t="str">
        <f xml:space="preserve"> ROUND(MIN(M5:M60)+MIN(M94:M117), 0) &amp; " - " &amp; ROUND(MAX(M5:M60)+MAX(M94:M117),0)</f>
        <v>0 - 76</v>
      </c>
      <c r="N122" s="191"/>
      <c r="O122" s="867" t="str">
        <f xml:space="preserve"> ROUND(MIN(O5:O60)+MIN(O94:O117), 0) &amp; " - " &amp; ROUND(MAX(O5:O60)+MAX(O94:O117),0)</f>
        <v>92 - 331</v>
      </c>
      <c r="P122" s="191"/>
      <c r="Q122" s="867" t="str">
        <f xml:space="preserve"> ROUND(MIN(Q5:Q60)+MIN(Q94:Q117), 0) &amp; " - " &amp; ROUND(MAX(Q5:Q60)+MAX(Q94:Q117),0)</f>
        <v>62 - 162</v>
      </c>
      <c r="R122" s="191"/>
      <c r="S122" s="867" t="str">
        <f xml:space="preserve"> ROUND(MIN(S5:S60)+MIN(S94:S117), 0) &amp; " - " &amp; ROUND(MAX(S5:S60)+MAX(S94:S117),0)</f>
        <v>0 - 0</v>
      </c>
      <c r="T122" s="191"/>
      <c r="U122" s="867" t="str">
        <f xml:space="preserve"> ROUND(MIN(U5:U60)+MIN(U94:U117), 0) &amp; " - " &amp; ROUND(MAX(U5:U60)+MAX(U94:U117),0)</f>
        <v>21 - 153</v>
      </c>
      <c r="V122" s="191"/>
      <c r="W122" s="867" t="str">
        <f xml:space="preserve"> ROUND(MIN(W5:W60)+MIN(W94:W117), 0) &amp; " - " &amp; ROUND(MAX(W5:W60)+MAX(W94:W117),0)</f>
        <v>0 - 151</v>
      </c>
      <c r="X122" s="191"/>
      <c r="Y122" s="867" t="str">
        <f xml:space="preserve"> ROUND(MIN(Y5:Y60)+MIN(Y94:Y117), 0) &amp; " - " &amp; ROUND(MAX(Y5:Y60)+MAX(Y94:Y117),0)</f>
        <v>0 - 5</v>
      </c>
      <c r="Z122" s="191"/>
      <c r="AA122" s="191" t="str">
        <f t="shared" ref="AA122:AH122" si="26" xml:space="preserve"> ROUND(MIN(AA5:AA60)+MIN(AA94:AA117), 0) &amp; " - " &amp; ROUND(MAX(AA5:AA60)+MAX(AA94:AA117),0)</f>
        <v>0 - 1</v>
      </c>
      <c r="AB122" s="191" t="str">
        <f t="shared" si="26"/>
        <v>0 - 7</v>
      </c>
      <c r="AC122" s="191" t="str">
        <f t="shared" si="26"/>
        <v>15 - 246</v>
      </c>
      <c r="AD122" s="191" t="str">
        <f t="shared" si="26"/>
        <v>1 - 19</v>
      </c>
      <c r="AE122" s="191" t="str">
        <f t="shared" si="26"/>
        <v>0 - 2</v>
      </c>
      <c r="AF122" s="191" t="str">
        <f t="shared" si="26"/>
        <v>0 - 11</v>
      </c>
      <c r="AG122" s="191" t="str">
        <f t="shared" si="26"/>
        <v>0 - 77</v>
      </c>
      <c r="AH122" s="191" t="str">
        <f t="shared" si="26"/>
        <v>0 - 2</v>
      </c>
    </row>
    <row r="123" spans="1:34" ht="15.75" hidden="1" customHeight="1">
      <c r="B123" s="191" t="s">
        <v>364</v>
      </c>
      <c r="C123" s="867" t="e">
        <f>SUM(AVERAGE(#REF!), AVERAGE(C94:C117))</f>
        <v>#REF!</v>
      </c>
      <c r="D123" s="191"/>
      <c r="E123" s="867" t="e">
        <f>SUM(AVERAGE(#REF!), AVERAGE(E94:E117))</f>
        <v>#REF!</v>
      </c>
      <c r="F123" s="191"/>
      <c r="G123" s="191" t="e">
        <f>SUM(AVERAGE(#REF!), AVERAGE(G94:G117))</f>
        <v>#REF!</v>
      </c>
      <c r="H123" s="191"/>
      <c r="I123" s="867" t="e">
        <f>SUM(AVERAGE(#REF!), AVERAGE(I94:I117))</f>
        <v>#REF!</v>
      </c>
      <c r="J123" s="191"/>
      <c r="K123" s="867" t="e">
        <f>SUM(AVERAGE(#REF!), AVERAGE(K94:K117))</f>
        <v>#REF!</v>
      </c>
      <c r="L123" s="191"/>
      <c r="M123" s="867" t="e">
        <f>SUM(AVERAGE(#REF!), AVERAGE(M94:M117))</f>
        <v>#REF!</v>
      </c>
      <c r="N123" s="191"/>
      <c r="O123" s="867" t="e">
        <f>SUM(AVERAGE(#REF!), AVERAGE(O94:O117))</f>
        <v>#REF!</v>
      </c>
      <c r="P123" s="191"/>
      <c r="Q123" s="867" t="e">
        <f>SUM(AVERAGE(#REF!), AVERAGE(Q94:Q117))</f>
        <v>#REF!</v>
      </c>
      <c r="R123" s="191"/>
      <c r="S123" s="867" t="e">
        <f>SUM(AVERAGE(#REF!), AVERAGE(S94:S117))</f>
        <v>#REF!</v>
      </c>
      <c r="T123" s="191"/>
      <c r="U123" s="867" t="e">
        <f>SUM(AVERAGE(#REF!), AVERAGE(U94:U117))</f>
        <v>#REF!</v>
      </c>
      <c r="V123" s="191"/>
      <c r="W123" s="867" t="e">
        <f>SUM(AVERAGE(#REF!), AVERAGE(W94:W117))</f>
        <v>#REF!</v>
      </c>
      <c r="X123" s="191"/>
      <c r="Y123" s="867" t="e">
        <f>SUM(AVERAGE(#REF!), AVERAGE(Y94:Y117))</f>
        <v>#REF!</v>
      </c>
      <c r="Z123" s="191"/>
      <c r="AA123" s="191" t="e">
        <f>SUM(AVERAGE(#REF!), AVERAGE(AA94:AA117))</f>
        <v>#REF!</v>
      </c>
      <c r="AB123" s="191" t="e">
        <f>SUM(AVERAGE(#REF!), AVERAGE(AB94:AB117))</f>
        <v>#REF!</v>
      </c>
      <c r="AC123" s="191" t="e">
        <f>SUM(AVERAGE(#REF!), AVERAGE(AC94:AC117))</f>
        <v>#REF!</v>
      </c>
      <c r="AD123" s="191" t="e">
        <f>SUM(AVERAGE(#REF!), AVERAGE(AD94:AD117))</f>
        <v>#REF!</v>
      </c>
      <c r="AE123" s="191" t="e">
        <f>SUM(AVERAGE(#REF!), AVERAGE(AE94:AE117))</f>
        <v>#REF!</v>
      </c>
      <c r="AF123" s="191" t="e">
        <f>SUM(AVERAGE(#REF!), AVERAGE(AF94:AF117))</f>
        <v>#REF!</v>
      </c>
      <c r="AG123" s="191" t="e">
        <f>SUM(AVERAGE(#REF!), AVERAGE(AG94:AG117))</f>
        <v>#REF!</v>
      </c>
      <c r="AH123" s="191" t="e">
        <f>SUM(AVERAGE(#REF!), AVERAGE(AH94:AH117))</f>
        <v>#REF!</v>
      </c>
    </row>
    <row r="124" spans="1:34" ht="31.5" hidden="1" customHeight="1">
      <c r="B124" s="191" t="s">
        <v>365</v>
      </c>
      <c r="C124" s="867" t="e">
        <f xml:space="preserve"> ROUND(MIN(#REF!)+MIN(C94:C117),0) &amp; " - " &amp; ROUND(MAX(#REF!)+MAX(C94:C117),0)</f>
        <v>#REF!</v>
      </c>
      <c r="D124" s="191"/>
      <c r="E124" s="867" t="e">
        <f xml:space="preserve"> ROUND(MIN(#REF!)+MIN(E94:E117),0) &amp; " - " &amp; ROUND(MAX(#REF!)+MAX(E94:E117),0)</f>
        <v>#REF!</v>
      </c>
      <c r="F124" s="191"/>
      <c r="G124" s="191" t="e">
        <f xml:space="preserve"> ROUND(MIN(#REF!)+MIN(G94:G117),0) &amp; " - " &amp; ROUND(MAX(#REF!)+MAX(G94:G117),0)</f>
        <v>#REF!</v>
      </c>
      <c r="H124" s="191"/>
      <c r="I124" s="867" t="e">
        <f xml:space="preserve"> ROUND(MIN(#REF!)+MIN(I94:I117),0) &amp; " - " &amp; ROUND(MAX(#REF!)+MAX(I94:I117),0)</f>
        <v>#REF!</v>
      </c>
      <c r="J124" s="191"/>
      <c r="K124" s="867" t="e">
        <f xml:space="preserve"> ROUND(MIN(#REF!)+MIN(K94:K117),0) &amp; " - " &amp; ROUND(MAX(#REF!)+MAX(K94:K117),0)</f>
        <v>#REF!</v>
      </c>
      <c r="L124" s="191"/>
      <c r="M124" s="867" t="e">
        <f xml:space="preserve"> ROUND(MIN(#REF!)+MIN(M94:M117),0) &amp; " - " &amp; ROUND(MAX(#REF!)+MAX(M94:M117),0)</f>
        <v>#REF!</v>
      </c>
      <c r="N124" s="191"/>
      <c r="O124" s="867" t="e">
        <f xml:space="preserve"> ROUND(MIN(#REF!)+MIN(O94:O117),0) &amp; " - " &amp; ROUND(MAX(#REF!)+MAX(O94:O117),0)</f>
        <v>#REF!</v>
      </c>
      <c r="P124" s="191"/>
      <c r="Q124" s="867" t="e">
        <f xml:space="preserve"> ROUND(MIN(#REF!)+MIN(Q94:Q117),0) &amp; " - " &amp; ROUND(MAX(#REF!)+MAX(Q94:Q117),0)</f>
        <v>#REF!</v>
      </c>
      <c r="R124" s="191"/>
      <c r="S124" s="867" t="e">
        <f xml:space="preserve"> ROUND(MIN(#REF!)+MIN(S94:S117),0) &amp; " - " &amp; ROUND(MAX(#REF!)+MAX(S94:S117),0)</f>
        <v>#REF!</v>
      </c>
      <c r="T124" s="191"/>
      <c r="U124" s="867" t="e">
        <f xml:space="preserve"> ROUND(MIN(#REF!)+MIN(U94:U117),0) &amp; " - " &amp; ROUND(MAX(#REF!)+MAX(U94:U117),0)</f>
        <v>#REF!</v>
      </c>
      <c r="V124" s="191"/>
      <c r="W124" s="867" t="e">
        <f xml:space="preserve"> ROUND(MIN(#REF!)+MIN(W94:W117),0) &amp; " - " &amp; ROUND(MAX(#REF!)+MAX(W94:W117),0)</f>
        <v>#REF!</v>
      </c>
      <c r="X124" s="191"/>
      <c r="Y124" s="867" t="e">
        <f xml:space="preserve"> ROUND(MIN(#REF!)+MIN(Y94:Y117),0) &amp; " - " &amp; ROUND(MAX(#REF!)+MAX(Y94:Y117),0)</f>
        <v>#REF!</v>
      </c>
      <c r="Z124" s="191"/>
      <c r="AA124" s="191" t="e">
        <f xml:space="preserve"> ROUND(MIN(#REF!)+MIN(AA94:AA117),0) &amp; " - " &amp; ROUND(MAX(#REF!)+MAX(AA94:AA117),0)</f>
        <v>#REF!</v>
      </c>
      <c r="AB124" s="191" t="e">
        <f xml:space="preserve"> ROUND(MIN(#REF!)+MIN(AB94:AB117),0) &amp; " - " &amp; ROUND(MAX(#REF!)+MAX(AB94:AB117),0)</f>
        <v>#REF!</v>
      </c>
      <c r="AC124" s="191" t="e">
        <f xml:space="preserve"> ROUND(MIN(#REF!)+MIN(AC94:AC117),0) &amp; " - " &amp; ROUND(MAX(#REF!)+MAX(AC94:AC117),0)</f>
        <v>#REF!</v>
      </c>
      <c r="AD124" s="191" t="e">
        <f xml:space="preserve"> ROUND(MIN(#REF!)+MIN(AD94:AD117),0) &amp; " - " &amp; ROUND(MAX(#REF!)+MAX(AD94:AD117),0)</f>
        <v>#REF!</v>
      </c>
      <c r="AE124" s="191" t="e">
        <f xml:space="preserve"> ROUND(MIN(#REF!)+MIN(AE94:AE117),0) &amp; " - " &amp; ROUND(MAX(#REF!)+MAX(AE94:AE117),0)</f>
        <v>#REF!</v>
      </c>
      <c r="AF124" s="191" t="e">
        <f xml:space="preserve"> ROUND(MIN(#REF!)+MIN(AF94:AF117),0) &amp; " - " &amp; ROUND(MAX(#REF!)+MAX(AF94:AF117),0)</f>
        <v>#REF!</v>
      </c>
      <c r="AG124" s="191" t="e">
        <f xml:space="preserve"> ROUND(MIN(#REF!)+MIN(AG94:AG117),0) &amp; " - " &amp; ROUND(MAX(#REF!)+MAX(AG94:AG117),0)</f>
        <v>#REF!</v>
      </c>
      <c r="AH124" s="191" t="e">
        <f xml:space="preserve"> ROUND(MIN(#REF!)+MIN(AH94:AH117),0) &amp; " - " &amp; ROUND(MAX(#REF!)+MAX(AH94:AH117),0)</f>
        <v>#REF!</v>
      </c>
    </row>
    <row r="125" spans="1:34" ht="15.75" hidden="1" customHeight="1">
      <c r="B125" s="191" t="s">
        <v>366</v>
      </c>
      <c r="C125" s="867">
        <f>SUM(AVERAGE(C61:C87),AVERAGE(C94:C117))</f>
        <v>603.59164814814812</v>
      </c>
      <c r="D125" s="191"/>
      <c r="E125" s="867">
        <f>SUM(AVERAGE(E61:E87),AVERAGE(E94:E117))</f>
        <v>117.28890277777776</v>
      </c>
      <c r="F125" s="191"/>
      <c r="G125" s="191">
        <f>SUM(AVERAGE(G61:G87),AVERAGE(G94:G117))</f>
        <v>15.968208333333333</v>
      </c>
      <c r="H125" s="191"/>
      <c r="I125" s="867">
        <f>SUM(AVERAGE(I61:I87),AVERAGE(I94:I117))</f>
        <v>10.850884259259258</v>
      </c>
      <c r="J125" s="191"/>
      <c r="K125" s="867">
        <f>SUM(AVERAGE(K61:K87),AVERAGE(K94:K117))</f>
        <v>0.158</v>
      </c>
      <c r="L125" s="191"/>
      <c r="M125" s="867">
        <f>SUM(AVERAGE(M61:M87),AVERAGE(M94:M117))</f>
        <v>68.796930555555548</v>
      </c>
      <c r="N125" s="191"/>
      <c r="O125" s="867">
        <f>SUM(AVERAGE(O61:O87),AVERAGE(O94:O117))</f>
        <v>238.07767592592592</v>
      </c>
      <c r="P125" s="191"/>
      <c r="Q125" s="867">
        <f>SUM(AVERAGE(Q61:Q87),AVERAGE(Q94:Q117))</f>
        <v>116.35924074074076</v>
      </c>
      <c r="R125" s="191"/>
      <c r="S125" s="867">
        <f>SUM(AVERAGE(S61:S87),AVERAGE(S94:S117))</f>
        <v>0.49992129629629617</v>
      </c>
      <c r="T125" s="191"/>
      <c r="U125" s="867">
        <f>SUM(AVERAGE(U61:U87),AVERAGE(U94:U117))</f>
        <v>101.16135648148148</v>
      </c>
      <c r="V125" s="191"/>
      <c r="W125" s="867">
        <f>SUM(AVERAGE(W61:W87),AVERAGE(W94:W117))</f>
        <v>78.504092592592599</v>
      </c>
      <c r="X125" s="191"/>
      <c r="Y125" s="867">
        <f>SUM(AVERAGE(Y61:Y87),AVERAGE(Y94:Y117))</f>
        <v>5.0224120370370366</v>
      </c>
      <c r="Z125" s="191"/>
      <c r="AA125" s="191">
        <f t="shared" ref="AA125:AH125" si="27">SUM(AVERAGE(AA61:AA87),AVERAGE(AA94:AA117))</f>
        <v>4.0740740740740746E-3</v>
      </c>
      <c r="AB125" s="191">
        <f t="shared" si="27"/>
        <v>2.0111111111111111E-2</v>
      </c>
      <c r="AC125" s="191">
        <f t="shared" si="27"/>
        <v>212.64346759259254</v>
      </c>
      <c r="AD125" s="191">
        <f t="shared" si="27"/>
        <v>16.35723611111111</v>
      </c>
      <c r="AE125" s="191">
        <f t="shared" si="27"/>
        <v>0.67051851851851851</v>
      </c>
      <c r="AF125" s="191">
        <f t="shared" si="27"/>
        <v>3.7118842592592589</v>
      </c>
      <c r="AG125" s="191">
        <f t="shared" si="27"/>
        <v>46.276092592592597</v>
      </c>
      <c r="AH125" s="191">
        <f t="shared" si="27"/>
        <v>0.98473749999999993</v>
      </c>
    </row>
    <row r="126" spans="1:34" ht="31.5" hidden="1" customHeight="1">
      <c r="B126" s="191" t="s">
        <v>367</v>
      </c>
      <c r="C126" s="867" t="str">
        <f xml:space="preserve"> ROUND(MIN(C61:C87)+MIN(C94:C117),0) &amp; " - " &amp; ROUND(MAX(C61:C87)+MAX(C94:C117),0)</f>
        <v>374 - 764</v>
      </c>
      <c r="D126" s="191"/>
      <c r="E126" s="867" t="str">
        <f xml:space="preserve"> ROUND(MIN(E61:E87)+MIN(E94:E117),0) &amp; " - " &amp; ROUND(MAX(E61:E87)+MAX(E94:E117),0)</f>
        <v>0 - 165</v>
      </c>
      <c r="F126" s="191"/>
      <c r="G126" s="191" t="str">
        <f xml:space="preserve"> ROUND(MIN(G61:G87)+MIN(G94:G117),0) &amp; " - " &amp; ROUND(MAX(G61:G87)+MAX(G94:G117),0)</f>
        <v>3 - 22</v>
      </c>
      <c r="H126" s="191"/>
      <c r="I126" s="867" t="str">
        <f xml:space="preserve"> ROUND(MIN(I61:I87)+MIN(I94:I117),0) &amp; " - " &amp; ROUND(MAX(I61:I87)+MAX(I94:I117),0)</f>
        <v>3 - 15</v>
      </c>
      <c r="J126" s="191"/>
      <c r="K126" s="867" t="str">
        <f xml:space="preserve"> ROUND(MIN(K61:K87)+MIN(K94:K117),0) &amp; " - " &amp; ROUND(MAX(K61:K87)+MAX(K94:K117),0)</f>
        <v>0 - 1</v>
      </c>
      <c r="L126" s="191"/>
      <c r="M126" s="867" t="str">
        <f xml:space="preserve"> ROUND(MIN(M61:M87)+MIN(M94:M117),0) &amp; " - " &amp; ROUND(MAX(M61:M87)+MAX(M94:M117),0)</f>
        <v>0 - 82</v>
      </c>
      <c r="N126" s="191"/>
      <c r="O126" s="867" t="str">
        <f xml:space="preserve"> ROUND(MIN(O61:O87)+MIN(O94:O117),0) &amp; " - " &amp; ROUND(MAX(O61:O87)+MAX(O94:O117),0)</f>
        <v>99 - 395</v>
      </c>
      <c r="P126" s="191"/>
      <c r="Q126" s="867" t="str">
        <f xml:space="preserve"> ROUND(MIN(Q61:Q87)+MIN(Q94:Q117),0) &amp; " - " &amp; ROUND(MAX(Q61:Q87)+MAX(Q94:Q117),0)</f>
        <v>77 - 174</v>
      </c>
      <c r="R126" s="191"/>
      <c r="S126" s="867" t="str">
        <f xml:space="preserve"> ROUND(MIN(S61:S87)+MIN(S94:S117),0) &amp; " - " &amp; ROUND(MAX(S61:S87)+MAX(S94:S117),0)</f>
        <v>0 - 1</v>
      </c>
      <c r="T126" s="191"/>
      <c r="U126" s="867" t="str">
        <f xml:space="preserve"> ROUND(MIN(U61:U87)+MIN(U94:U117),0) &amp; " - " &amp; ROUND(MAX(U61:U87)+MAX(U94:U117),0)</f>
        <v>21 - 164</v>
      </c>
      <c r="V126" s="191"/>
      <c r="W126" s="867" t="str">
        <f xml:space="preserve"> ROUND(MIN(W61:W87)+MIN(W94:W117),0) &amp; " - " &amp; ROUND(MAX(W61:W87)+MAX(W94:W117),0)</f>
        <v>0 - 164</v>
      </c>
      <c r="X126" s="191"/>
      <c r="Y126" s="867" t="str">
        <f xml:space="preserve"> ROUND(MIN(Y61:Y87)+MIN(Y94:Y117),0) &amp; " - " &amp; ROUND(MAX(Y61:Y87)+MAX(Y94:Y117),0)</f>
        <v>1 - 6</v>
      </c>
      <c r="Z126" s="191"/>
      <c r="AA126" s="191" t="str">
        <f t="shared" ref="AA126:AH126" si="28" xml:space="preserve"> ROUND(MIN(AA61:AA87)+MIN(AA94:AA117),0) &amp; " - " &amp; ROUND(MAX(AA61:AA87)+MAX(AA94:AA117),0)</f>
        <v>0 - 0</v>
      </c>
      <c r="AB126" s="191" t="str">
        <f t="shared" si="28"/>
        <v>0 - 0</v>
      </c>
      <c r="AC126" s="191" t="str">
        <f t="shared" si="28"/>
        <v>17 - 273</v>
      </c>
      <c r="AD126" s="191" t="str">
        <f t="shared" si="28"/>
        <v>1 - 21</v>
      </c>
      <c r="AE126" s="191" t="str">
        <f t="shared" si="28"/>
        <v>0 - 2</v>
      </c>
      <c r="AF126" s="191" t="str">
        <f t="shared" si="28"/>
        <v>0 - 12</v>
      </c>
      <c r="AG126" s="191" t="str">
        <f t="shared" si="28"/>
        <v>1 - 126</v>
      </c>
      <c r="AH126" s="191" t="str">
        <f t="shared" si="28"/>
        <v>0 - 3</v>
      </c>
    </row>
    <row r="127" spans="1:34" ht="15.75" hidden="1" customHeight="1">
      <c r="B127" s="191" t="s">
        <v>368</v>
      </c>
      <c r="C127" s="867">
        <f>SUM(AVERAGE(C88:C93), AVERAGE(C94:C117))</f>
        <v>643.01850000000002</v>
      </c>
      <c r="D127" s="191"/>
      <c r="E127" s="867">
        <f>SUM(AVERAGE(E88:E93), AVERAGE(E94:E117))</f>
        <v>125.08662499999998</v>
      </c>
      <c r="F127" s="191"/>
      <c r="G127" s="191">
        <f>SUM(AVERAGE(G88:G93), AVERAGE(G94:G117))</f>
        <v>19.315875000000002</v>
      </c>
      <c r="H127" s="191"/>
      <c r="I127" s="867">
        <f>SUM(AVERAGE(I88:I93), AVERAGE(I94:I117))</f>
        <v>11.483124999999999</v>
      </c>
      <c r="J127" s="191"/>
      <c r="K127" s="867">
        <f>SUM(AVERAGE(K88:K93), AVERAGE(K94:K117))</f>
        <v>0.27283333333333332</v>
      </c>
      <c r="L127" s="191"/>
      <c r="M127" s="867">
        <f>SUM(AVERAGE(M88:M93), AVERAGE(M94:M117))</f>
        <v>76.950874999999982</v>
      </c>
      <c r="N127" s="191"/>
      <c r="O127" s="867">
        <f>SUM(AVERAGE(O88:O93), AVERAGE(O94:O117))</f>
        <v>268.12741666666665</v>
      </c>
      <c r="P127" s="191"/>
      <c r="Q127" s="867">
        <f>SUM(AVERAGE(Q88:Q93), AVERAGE(Q94:Q117))</f>
        <v>118.66466666666666</v>
      </c>
      <c r="R127" s="191"/>
      <c r="S127" s="867">
        <f>SUM(AVERAGE(S88:S93), AVERAGE(S94:S117))</f>
        <v>1.3927916666666669</v>
      </c>
      <c r="T127" s="191"/>
      <c r="U127" s="867">
        <f>SUM(AVERAGE(U88:U93), AVERAGE(U94:U117))</f>
        <v>104.32920833333333</v>
      </c>
      <c r="V127" s="191"/>
      <c r="W127" s="867">
        <f>SUM(AVERAGE(W88:W93), AVERAGE(W94:W117))</f>
        <v>80.091499999999996</v>
      </c>
      <c r="X127" s="191"/>
      <c r="Y127" s="867">
        <f>SUM(AVERAGE(Y88:Y93), AVERAGE(Y94:Y117))</f>
        <v>6.6570416666666663</v>
      </c>
      <c r="Z127" s="191"/>
      <c r="AA127" s="191">
        <f t="shared" ref="AA127:AH127" si="29">SUM(AVERAGE(AA88:AA93), AVERAGE(AA94:AA117))</f>
        <v>6.8333333333333328E-3</v>
      </c>
      <c r="AB127" s="191">
        <f t="shared" si="29"/>
        <v>3.3999999999999996E-2</v>
      </c>
      <c r="AC127" s="191">
        <f t="shared" si="29"/>
        <v>240.4807083333333</v>
      </c>
      <c r="AD127" s="191">
        <f t="shared" si="29"/>
        <v>18.498624999999997</v>
      </c>
      <c r="AE127" s="191">
        <f t="shared" si="29"/>
        <v>1.3176666666666665</v>
      </c>
      <c r="AF127" s="191">
        <f t="shared" si="29"/>
        <v>7.3064583333333344</v>
      </c>
      <c r="AG127" s="191">
        <f t="shared" si="29"/>
        <v>113.599</v>
      </c>
      <c r="AH127" s="191">
        <f t="shared" si="29"/>
        <v>2.4170708333333333</v>
      </c>
    </row>
    <row r="128" spans="1:34" ht="31.5" hidden="1" customHeight="1">
      <c r="A128" s="223"/>
      <c r="B128" s="191" t="s">
        <v>369</v>
      </c>
      <c r="C128" s="867" t="str">
        <f>ROUND( MIN(C88:C93)+MIN(C94:C117),0) &amp; " - " &amp; ROUND(MAX(C88:C93)+MAX(C94:C117),0)</f>
        <v>452 - 804</v>
      </c>
      <c r="D128" s="191"/>
      <c r="E128" s="867" t="str">
        <f>ROUND( MIN(E88:E93)+MIN(E94:E117),0) &amp; " - " &amp; ROUND(MAX(E88:E93)+MAX(E94:E117),0)</f>
        <v>0 - 195</v>
      </c>
      <c r="F128" s="191"/>
      <c r="G128" s="191" t="str">
        <f>ROUND( MIN(G88:G93)+MIN(G94:G117),0) &amp; " - " &amp; ROUND(MAX(G88:G93)+MAX(G94:G117),0)</f>
        <v>7 - 24</v>
      </c>
      <c r="H128" s="191"/>
      <c r="I128" s="867" t="str">
        <f>ROUND( MIN(I88:I93)+MIN(I94:I117),0) &amp; " - " &amp; ROUND(MAX(I88:I93)+MAX(I94:I117),0)</f>
        <v>5 - 14</v>
      </c>
      <c r="J128" s="191"/>
      <c r="K128" s="867" t="str">
        <f>ROUND( MIN(K88:K93)+MIN(K94:K117),0) &amp; " - " &amp; ROUND(MAX(K88:K93)+MAX(K94:K117),0)</f>
        <v>0 - 1</v>
      </c>
      <c r="L128" s="191"/>
      <c r="M128" s="867" t="str">
        <f>ROUND( MIN(M88:M93)+MIN(M94:M117),0) &amp; " - " &amp; ROUND(MAX(M88:M93)+MAX(M94:M117),0)</f>
        <v>0 - 128</v>
      </c>
      <c r="N128" s="191"/>
      <c r="O128" s="867" t="str">
        <f>ROUND( MIN(O88:O93)+MIN(O94:O117),0) &amp; " - " &amp; ROUND(MAX(O88:O93)+MAX(O94:O117),0)</f>
        <v>140 - 331</v>
      </c>
      <c r="P128" s="191"/>
      <c r="Q128" s="867" t="str">
        <f>ROUND( MIN(Q88:Q93)+MIN(Q94:Q117),0) &amp; " - " &amp; ROUND(MAX(Q88:Q93)+MAX(Q94:Q117),0)</f>
        <v>58 - 181</v>
      </c>
      <c r="R128" s="191"/>
      <c r="S128" s="867" t="str">
        <f>ROUND( MIN(S88:S93)+MIN(S94:S117),0) &amp; " - " &amp; ROUND(MAX(S88:S93)+MAX(S94:S117),0)</f>
        <v>0 - 2</v>
      </c>
      <c r="T128" s="191"/>
      <c r="U128" s="867" t="str">
        <f>ROUND( MIN(U88:U93)+MIN(U94:U117),0) &amp; " - " &amp; ROUND(MAX(U88:U93)+MAX(U94:U117),0)</f>
        <v>45 - 166</v>
      </c>
      <c r="V128" s="191"/>
      <c r="W128" s="867" t="str">
        <f>ROUND( MIN(W88:W93)+MIN(W94:W117),0) &amp; " - " &amp; ROUND(MAX(W88:W93)+MAX(W94:W117),0)</f>
        <v>9 - 165</v>
      </c>
      <c r="X128" s="191"/>
      <c r="Y128" s="867" t="str">
        <f>ROUND( MIN(Y88:Y93)+MIN(Y94:Y117),0) &amp; " - " &amp; ROUND(MAX(Y88:Y93)+MAX(Y94:Y117),0)</f>
        <v>2 - 8</v>
      </c>
      <c r="Z128" s="191"/>
      <c r="AA128" s="191" t="str">
        <f t="shared" ref="AA128:AH128" si="30">ROUND( MIN(AA88:AA93)+MIN(AA94:AA117),0) &amp; " - " &amp; ROUND(MAX(AA88:AA93)+MAX(AA94:AA117),0)</f>
        <v>0 - 0</v>
      </c>
      <c r="AB128" s="191" t="str">
        <f t="shared" si="30"/>
        <v>0 - 0</v>
      </c>
      <c r="AC128" s="191" t="str">
        <f t="shared" si="30"/>
        <v>29 - 391</v>
      </c>
      <c r="AD128" s="191" t="str">
        <f t="shared" si="30"/>
        <v>2 - 30</v>
      </c>
      <c r="AE128" s="191" t="str">
        <f t="shared" si="30"/>
        <v>0 - 3</v>
      </c>
      <c r="AF128" s="191" t="str">
        <f t="shared" si="30"/>
        <v>0 - 16</v>
      </c>
      <c r="AG128" s="191" t="str">
        <f t="shared" si="30"/>
        <v>11 - 173</v>
      </c>
      <c r="AH128" s="191" t="str">
        <f t="shared" si="30"/>
        <v>0 - 4</v>
      </c>
    </row>
    <row r="130" spans="2:7">
      <c r="C130" s="868" t="s">
        <v>405</v>
      </c>
      <c r="E130" s="868" t="s">
        <v>396</v>
      </c>
    </row>
    <row r="131" spans="2:7">
      <c r="B131" s="179" t="s">
        <v>406</v>
      </c>
      <c r="C131" s="868">
        <f>MAX(C5:C93)</f>
        <v>483.64699999999999</v>
      </c>
      <c r="E131" s="868">
        <f>MAX(C94:C117)</f>
        <v>320.38</v>
      </c>
      <c r="G131" s="868">
        <f>SUM(C131:E131)</f>
        <v>804.02700000000004</v>
      </c>
    </row>
    <row r="132" spans="2:7">
      <c r="B132" s="223" t="s">
        <v>407</v>
      </c>
      <c r="C132" s="868">
        <f>MIN(C5:C93)</f>
        <v>138.203</v>
      </c>
      <c r="E132" s="868">
        <f>MIN(C94:C117)</f>
        <v>229.87700000000001</v>
      </c>
      <c r="G132" s="868">
        <f>SUM(C132:E132)</f>
        <v>368.08000000000004</v>
      </c>
    </row>
    <row r="189" spans="2:28" s="248" customFormat="1">
      <c r="B189" s="223"/>
      <c r="C189" s="921"/>
      <c r="D189" s="223"/>
      <c r="E189" s="921"/>
      <c r="F189" s="223"/>
      <c r="G189" s="921"/>
      <c r="H189" s="223"/>
      <c r="I189" s="921"/>
      <c r="J189" s="223"/>
      <c r="K189" s="921"/>
      <c r="L189" s="223"/>
      <c r="M189" s="921"/>
      <c r="N189" s="223"/>
      <c r="O189" s="921"/>
      <c r="P189" s="223"/>
      <c r="Q189" s="921"/>
      <c r="R189" s="223"/>
      <c r="S189" s="921"/>
      <c r="T189" s="223"/>
      <c r="U189" s="921"/>
      <c r="V189" s="223"/>
      <c r="W189" s="921"/>
      <c r="X189" s="223"/>
      <c r="Y189" s="921"/>
      <c r="Z189" s="223"/>
      <c r="AA189" s="223"/>
      <c r="AB189" s="223"/>
    </row>
    <row r="190" spans="2:28" s="212" customFormat="1">
      <c r="B190" s="179"/>
      <c r="C190" s="868"/>
      <c r="D190" s="179"/>
      <c r="E190" s="868"/>
      <c r="F190" s="179"/>
      <c r="G190" s="868"/>
      <c r="H190" s="179"/>
      <c r="I190" s="868"/>
      <c r="J190" s="179"/>
      <c r="K190" s="868"/>
      <c r="L190" s="179"/>
      <c r="M190" s="868"/>
      <c r="N190" s="179"/>
      <c r="O190" s="868"/>
      <c r="P190" s="179"/>
      <c r="Q190" s="868"/>
      <c r="R190" s="179"/>
      <c r="S190" s="868"/>
      <c r="T190" s="179"/>
      <c r="U190" s="868"/>
      <c r="V190" s="179"/>
      <c r="W190" s="868"/>
      <c r="X190" s="179"/>
      <c r="Y190" s="868"/>
      <c r="Z190" s="179"/>
      <c r="AA190" s="179"/>
      <c r="AB190" s="179"/>
    </row>
    <row r="191" spans="2:28">
      <c r="C191" s="921"/>
      <c r="D191" s="223"/>
      <c r="E191" s="921"/>
      <c r="F191" s="223"/>
      <c r="G191" s="921"/>
      <c r="H191" s="223"/>
      <c r="I191" s="921"/>
      <c r="J191" s="223"/>
      <c r="K191" s="921"/>
      <c r="L191" s="223"/>
      <c r="M191" s="921"/>
      <c r="N191" s="223"/>
      <c r="O191" s="921"/>
      <c r="P191" s="223"/>
      <c r="Q191" s="921"/>
      <c r="R191" s="223"/>
      <c r="S191" s="921"/>
      <c r="T191" s="223"/>
      <c r="U191" s="921"/>
      <c r="V191" s="223"/>
      <c r="W191" s="921"/>
      <c r="X191" s="223"/>
      <c r="Y191" s="921"/>
      <c r="Z191" s="223"/>
      <c r="AA191" s="223"/>
      <c r="AB191" s="223"/>
    </row>
    <row r="193" spans="3:28">
      <c r="C193" s="921"/>
      <c r="D193" s="223"/>
      <c r="E193" s="921"/>
      <c r="F193" s="223"/>
      <c r="G193" s="921"/>
      <c r="H193" s="223"/>
      <c r="I193" s="921"/>
      <c r="J193" s="223"/>
      <c r="K193" s="921"/>
      <c r="L193" s="223"/>
      <c r="M193" s="921"/>
      <c r="N193" s="223"/>
      <c r="O193" s="921"/>
      <c r="P193" s="223"/>
      <c r="Q193" s="921"/>
      <c r="R193" s="223"/>
      <c r="S193" s="921"/>
      <c r="T193" s="223"/>
      <c r="U193" s="921"/>
      <c r="V193" s="223"/>
      <c r="W193" s="921"/>
      <c r="X193" s="223"/>
      <c r="Y193" s="921"/>
      <c r="Z193" s="223"/>
      <c r="AA193" s="223"/>
      <c r="AB193" s="223"/>
    </row>
    <row r="195" spans="3:28">
      <c r="C195" s="921"/>
      <c r="D195" s="223"/>
      <c r="E195" s="921"/>
      <c r="F195" s="223"/>
      <c r="G195" s="921"/>
      <c r="H195" s="223"/>
      <c r="I195" s="921"/>
      <c r="J195" s="223"/>
      <c r="K195" s="921"/>
      <c r="L195" s="223"/>
      <c r="M195" s="921"/>
      <c r="N195" s="223"/>
      <c r="O195" s="921"/>
      <c r="P195" s="223"/>
      <c r="Q195" s="921"/>
      <c r="R195" s="223"/>
      <c r="S195" s="921"/>
      <c r="T195" s="223"/>
      <c r="U195" s="921"/>
      <c r="V195" s="223"/>
      <c r="W195" s="921"/>
      <c r="X195" s="223"/>
      <c r="Y195" s="921"/>
      <c r="Z195" s="223"/>
      <c r="AA195" s="223"/>
      <c r="AB195" s="223"/>
    </row>
  </sheetData>
  <autoFilter ref="A4:AH117" xr:uid="{EFAF444B-CCA9-4F69-8A9C-548081876B52}"/>
  <pageMargins left="0.7" right="0.7" top="0.75" bottom="0.75" header="0.3" footer="0.3"/>
  <pageSetup scale="43" fitToHeight="0" orientation="landscape" r:id="rId1"/>
  <headerFooter>
    <oddHeader xml:space="preserve">&amp;R&amp;14 2024 Nutrition Information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97BF3-BBD9-43F3-B6BF-BC7E437DE559}">
  <sheetPr filterMode="1"/>
  <dimension ref="A1:AV195"/>
  <sheetViews>
    <sheetView zoomScale="80" zoomScaleNormal="80" zoomScalePageLayoutView="80" workbookViewId="0">
      <pane xSplit="3" ySplit="4" topLeftCell="D43" activePane="bottomRight" state="frozen"/>
      <selection pane="topRight" activeCell="C1" sqref="C1"/>
      <selection pane="bottomLeft" activeCell="A5" sqref="A5"/>
      <selection pane="bottomRight" activeCell="M63" sqref="M63"/>
    </sheetView>
    <sheetView topLeftCell="B1" zoomScale="80" zoomScaleNormal="80" workbookViewId="1">
      <pane xSplit="2" ySplit="4" topLeftCell="N94" activePane="bottomRight" state="frozen"/>
      <selection pane="topRight" activeCell="D1" sqref="D1"/>
      <selection pane="bottomLeft" activeCell="B5" sqref="B5"/>
      <selection pane="bottomRight" activeCell="AM4" sqref="AM4"/>
    </sheetView>
    <sheetView topLeftCell="Z1" workbookViewId="2">
      <selection activeCell="H15" sqref="H15"/>
    </sheetView>
  </sheetViews>
  <sheetFormatPr defaultColWidth="8.84375" defaultRowHeight="15.9"/>
  <cols>
    <col min="1" max="2" width="6.53515625" style="179" customWidth="1"/>
    <col min="3" max="3" width="42.84375" style="179" customWidth="1"/>
    <col min="4" max="4" width="11.84375" style="868" customWidth="1"/>
    <col min="5" max="6" width="11.84375" style="179" customWidth="1"/>
    <col min="7" max="7" width="10.53515625" style="868" customWidth="1"/>
    <col min="8" max="9" width="10.53515625" style="179" customWidth="1"/>
    <col min="10" max="10" width="8.53515625" style="868" customWidth="1"/>
    <col min="11" max="12" width="8.53515625" style="179" customWidth="1"/>
    <col min="13" max="13" width="11.53515625" style="868" customWidth="1"/>
    <col min="14" max="15" width="11.53515625" style="179" customWidth="1"/>
    <col min="16" max="16" width="8.53515625" style="868" customWidth="1"/>
    <col min="17" max="18" width="8.53515625" style="179" customWidth="1"/>
    <col min="19" max="19" width="13" style="868" customWidth="1"/>
    <col min="20" max="21" width="13" style="179" customWidth="1"/>
    <col min="22" max="22" width="9" style="868" customWidth="1"/>
    <col min="23" max="24" width="9" style="179" customWidth="1"/>
    <col min="25" max="25" width="16.84375" style="868" customWidth="1"/>
    <col min="26" max="27" width="16.84375" style="179" customWidth="1"/>
    <col min="28" max="28" width="9" style="868" customWidth="1"/>
    <col min="29" max="30" width="9" style="179" customWidth="1"/>
    <col min="31" max="31" width="7.84375" style="868" customWidth="1"/>
    <col min="32" max="33" width="7.84375" style="179" customWidth="1"/>
    <col min="34" max="34" width="9" style="868" customWidth="1"/>
    <col min="35" max="36" width="9" style="179" customWidth="1"/>
    <col min="37" max="37" width="11.53515625" style="868" customWidth="1"/>
    <col min="38" max="41" width="11.53515625" style="179" customWidth="1"/>
    <col min="42" max="42" width="9" style="179" customWidth="1"/>
    <col min="43" max="43" width="18.53515625" style="179" customWidth="1"/>
    <col min="44" max="44" width="12.3828125" style="179" customWidth="1"/>
    <col min="45" max="45" width="18.53515625" style="179" customWidth="1"/>
    <col min="46" max="46" width="12.53515625" style="179" customWidth="1"/>
    <col min="47" max="47" width="12.3828125" style="179" bestFit="1" customWidth="1"/>
    <col min="48" max="16384" width="8.84375" style="179"/>
  </cols>
  <sheetData>
    <row r="1" spans="1:48" ht="22.5" customHeight="1">
      <c r="A1" s="926" t="s">
        <v>179</v>
      </c>
      <c r="B1" s="926"/>
      <c r="C1" s="926"/>
      <c r="D1" s="927"/>
      <c r="E1" s="926"/>
      <c r="F1" s="926"/>
      <c r="G1" s="927"/>
      <c r="H1" s="926"/>
      <c r="I1" s="926"/>
      <c r="J1" s="927"/>
      <c r="K1" s="926"/>
      <c r="L1" s="926"/>
      <c r="M1" s="927"/>
      <c r="N1" s="926"/>
      <c r="O1" s="926"/>
      <c r="P1" s="927"/>
      <c r="Q1" s="926"/>
      <c r="R1" s="926"/>
      <c r="S1" s="927"/>
      <c r="T1" s="926"/>
      <c r="U1" s="926"/>
      <c r="V1" s="927"/>
      <c r="W1" s="926"/>
      <c r="X1" s="926"/>
      <c r="Y1" s="927"/>
      <c r="Z1" s="926"/>
      <c r="AA1" s="926"/>
      <c r="AB1" s="927"/>
      <c r="AC1" s="926"/>
      <c r="AD1" s="926"/>
      <c r="AE1" s="927"/>
      <c r="AF1" s="926"/>
      <c r="AG1" s="926"/>
      <c r="AH1" s="927"/>
      <c r="AI1" s="926"/>
      <c r="AJ1" s="926"/>
      <c r="AK1" s="927"/>
      <c r="AL1" s="926"/>
      <c r="AM1" s="926"/>
      <c r="AN1" s="926"/>
      <c r="AO1" s="926"/>
      <c r="AP1" s="926"/>
      <c r="AQ1" s="926"/>
      <c r="AR1" s="926"/>
      <c r="AS1" s="926"/>
      <c r="AT1" s="926"/>
      <c r="AU1" s="926"/>
    </row>
    <row r="2" spans="1:48" ht="18" customHeight="1">
      <c r="A2" s="926" t="s">
        <v>408</v>
      </c>
      <c r="B2" s="926"/>
      <c r="C2" s="926"/>
      <c r="D2" s="927"/>
      <c r="E2" s="926"/>
      <c r="F2" s="926"/>
      <c r="G2" s="927"/>
      <c r="H2" s="926"/>
      <c r="I2" s="926"/>
      <c r="J2" s="927"/>
      <c r="K2" s="926"/>
      <c r="L2" s="926"/>
      <c r="M2" s="927"/>
      <c r="N2" s="926"/>
      <c r="O2" s="926"/>
      <c r="P2" s="927"/>
      <c r="Q2" s="926"/>
      <c r="R2" s="926"/>
      <c r="S2" s="927"/>
      <c r="T2" s="926"/>
      <c r="U2" s="926"/>
      <c r="V2" s="927"/>
      <c r="W2" s="926"/>
      <c r="X2" s="926"/>
      <c r="Y2" s="927"/>
      <c r="Z2" s="926"/>
      <c r="AA2" s="926"/>
      <c r="AB2" s="927"/>
      <c r="AC2" s="926"/>
      <c r="AD2" s="926"/>
      <c r="AE2" s="927"/>
      <c r="AF2" s="926"/>
      <c r="AG2" s="926"/>
      <c r="AH2" s="927"/>
      <c r="AI2" s="926"/>
      <c r="AJ2" s="926"/>
      <c r="AK2" s="927"/>
      <c r="AL2" s="926"/>
      <c r="AM2" s="926"/>
      <c r="AN2" s="926"/>
      <c r="AO2" s="926"/>
      <c r="AP2" s="926"/>
      <c r="AQ2" s="926"/>
      <c r="AR2" s="926"/>
      <c r="AS2" s="926"/>
      <c r="AT2" s="926"/>
      <c r="AU2" s="926"/>
    </row>
    <row r="3" spans="1:48" ht="18" customHeight="1">
      <c r="A3" s="926" t="s">
        <v>409</v>
      </c>
      <c r="B3" s="926"/>
      <c r="C3" s="926"/>
      <c r="D3" s="927"/>
      <c r="E3" s="926"/>
      <c r="F3" s="926"/>
      <c r="G3" s="927"/>
      <c r="H3" s="926"/>
      <c r="I3" s="926"/>
      <c r="J3" s="927"/>
      <c r="K3" s="926"/>
      <c r="L3" s="926"/>
      <c r="M3" s="927"/>
      <c r="N3" s="926"/>
      <c r="O3" s="926"/>
      <c r="P3" s="927"/>
      <c r="Q3" s="926"/>
      <c r="R3" s="926"/>
      <c r="S3" s="927"/>
      <c r="T3" s="926"/>
      <c r="U3" s="926"/>
      <c r="V3" s="927"/>
      <c r="W3" s="926"/>
      <c r="X3" s="926"/>
      <c r="Y3" s="927"/>
      <c r="Z3" s="926"/>
      <c r="AA3" s="926"/>
      <c r="AB3" s="927"/>
      <c r="AC3" s="926"/>
      <c r="AD3" s="926"/>
      <c r="AE3" s="927"/>
      <c r="AF3" s="926"/>
      <c r="AG3" s="926"/>
      <c r="AH3" s="927"/>
      <c r="AI3" s="926"/>
      <c r="AJ3" s="926"/>
      <c r="AK3" s="927"/>
      <c r="AL3" s="926"/>
      <c r="AM3" s="926"/>
      <c r="AN3" s="926"/>
      <c r="AO3" s="926"/>
      <c r="AP3" s="926"/>
      <c r="AQ3" s="926"/>
      <c r="AR3" s="926"/>
      <c r="AS3" s="926"/>
      <c r="AT3" s="926"/>
      <c r="AU3" s="926"/>
    </row>
    <row r="4" spans="1:48" s="223" customFormat="1" ht="37.5" customHeight="1">
      <c r="A4" s="193"/>
      <c r="B4" s="193"/>
      <c r="C4" s="193" t="s">
        <v>3</v>
      </c>
      <c r="D4" s="928" t="s">
        <v>4</v>
      </c>
      <c r="E4" s="193" t="s">
        <v>4</v>
      </c>
      <c r="F4" s="193"/>
      <c r="G4" s="928" t="s">
        <v>5</v>
      </c>
      <c r="H4" s="193" t="s">
        <v>5</v>
      </c>
      <c r="I4" s="193"/>
      <c r="J4" s="928" t="s">
        <v>6</v>
      </c>
      <c r="K4" s="193" t="s">
        <v>6</v>
      </c>
      <c r="L4" s="193"/>
      <c r="M4" s="928" t="s">
        <v>7</v>
      </c>
      <c r="N4" s="193" t="s">
        <v>7</v>
      </c>
      <c r="O4" s="193"/>
      <c r="P4" s="928" t="s">
        <v>8</v>
      </c>
      <c r="Q4" s="193" t="s">
        <v>8</v>
      </c>
      <c r="R4" s="193"/>
      <c r="S4" s="928" t="s">
        <v>9</v>
      </c>
      <c r="T4" s="193" t="s">
        <v>9</v>
      </c>
      <c r="U4" s="193"/>
      <c r="V4" s="928" t="s">
        <v>10</v>
      </c>
      <c r="W4" s="193" t="s">
        <v>10</v>
      </c>
      <c r="X4" s="193"/>
      <c r="Y4" s="928" t="s">
        <v>11</v>
      </c>
      <c r="Z4" s="193" t="s">
        <v>11</v>
      </c>
      <c r="AA4" s="193"/>
      <c r="AB4" s="928" t="s">
        <v>12</v>
      </c>
      <c r="AC4" s="193" t="s">
        <v>12</v>
      </c>
      <c r="AD4" s="193"/>
      <c r="AE4" s="928" t="s">
        <v>13</v>
      </c>
      <c r="AF4" s="193" t="s">
        <v>13</v>
      </c>
      <c r="AG4" s="193"/>
      <c r="AH4" s="928" t="s">
        <v>14</v>
      </c>
      <c r="AI4" s="193" t="s">
        <v>14</v>
      </c>
      <c r="AJ4" s="193"/>
      <c r="AK4" s="928" t="s">
        <v>15</v>
      </c>
      <c r="AL4" s="193" t="s">
        <v>15</v>
      </c>
      <c r="AM4" s="193"/>
      <c r="AN4" s="194" t="s">
        <v>16</v>
      </c>
      <c r="AO4" s="194" t="s">
        <v>17</v>
      </c>
      <c r="AP4" s="194" t="s">
        <v>18</v>
      </c>
      <c r="AQ4" s="194" t="s">
        <v>19</v>
      </c>
      <c r="AR4" s="194" t="s">
        <v>20</v>
      </c>
      <c r="AS4" s="194" t="s">
        <v>21</v>
      </c>
      <c r="AT4" s="194" t="s">
        <v>22</v>
      </c>
      <c r="AU4" s="194" t="s">
        <v>23</v>
      </c>
    </row>
    <row r="5" spans="1:48" s="223" customFormat="1" ht="15.75" hidden="1" customHeight="1">
      <c r="A5" s="914"/>
      <c r="B5" s="186" t="s">
        <v>410</v>
      </c>
      <c r="C5" s="186" t="s">
        <v>124</v>
      </c>
      <c r="D5" s="860">
        <v>36.613999999999997</v>
      </c>
      <c r="E5" s="195">
        <f t="shared" ref="E5:E36" si="0">MROUND(D5,10)</f>
        <v>40</v>
      </c>
      <c r="F5" s="195">
        <f>E5*2</f>
        <v>80</v>
      </c>
      <c r="G5" s="860">
        <v>3.1E-2</v>
      </c>
      <c r="H5" s="536">
        <v>0</v>
      </c>
      <c r="I5" s="536">
        <f>H5*2</f>
        <v>0</v>
      </c>
      <c r="J5" s="860">
        <v>3.0000000000000001E-3</v>
      </c>
      <c r="K5" s="536">
        <v>0</v>
      </c>
      <c r="L5" s="536">
        <f>K5*2</f>
        <v>0</v>
      </c>
      <c r="M5" s="860">
        <v>2E-3</v>
      </c>
      <c r="N5" s="536">
        <v>0</v>
      </c>
      <c r="O5" s="536">
        <f>N5*2</f>
        <v>0</v>
      </c>
      <c r="P5" s="860">
        <v>0</v>
      </c>
      <c r="Q5" s="536">
        <v>0</v>
      </c>
      <c r="R5" s="536">
        <f>Q5*2</f>
        <v>0</v>
      </c>
      <c r="S5" s="860">
        <v>0</v>
      </c>
      <c r="T5" s="536">
        <v>0</v>
      </c>
      <c r="U5" s="536">
        <f>T5*2</f>
        <v>0</v>
      </c>
      <c r="V5" s="860">
        <v>7.5819999999999999</v>
      </c>
      <c r="W5" s="536">
        <f t="shared" ref="W5:W42" si="1">MROUND(V5,5)</f>
        <v>10</v>
      </c>
      <c r="X5" s="536">
        <f>W5*2</f>
        <v>20</v>
      </c>
      <c r="Y5" s="860">
        <v>12.714</v>
      </c>
      <c r="Z5" s="536">
        <f>MROUND(Y5,1)</f>
        <v>13</v>
      </c>
      <c r="AA5" s="536">
        <f>Z5*2</f>
        <v>26</v>
      </c>
      <c r="AB5" s="860">
        <v>7.0000000000000001E-3</v>
      </c>
      <c r="AC5" s="536">
        <v>0</v>
      </c>
      <c r="AD5" s="536">
        <f>AC5*2</f>
        <v>0</v>
      </c>
      <c r="AE5" s="860">
        <v>6.5000000000000002E-2</v>
      </c>
      <c r="AF5" s="536">
        <v>0</v>
      </c>
      <c r="AG5" s="536">
        <f>AF5*2</f>
        <v>0</v>
      </c>
      <c r="AH5" s="860">
        <v>0</v>
      </c>
      <c r="AI5" s="536">
        <v>0</v>
      </c>
      <c r="AJ5" s="536">
        <f>AI5*2</f>
        <v>0</v>
      </c>
      <c r="AK5" s="860">
        <v>0</v>
      </c>
      <c r="AL5" s="536">
        <v>0</v>
      </c>
      <c r="AM5" s="536">
        <f>AL5*2</f>
        <v>0</v>
      </c>
      <c r="AN5" s="555">
        <v>0</v>
      </c>
      <c r="AO5" s="555">
        <v>0</v>
      </c>
      <c r="AP5" s="555">
        <v>4.0229999999999997</v>
      </c>
      <c r="AQ5" s="555">
        <v>0.309</v>
      </c>
      <c r="AR5" s="555">
        <v>2.4E-2</v>
      </c>
      <c r="AS5" s="555">
        <v>0.13100000000000001</v>
      </c>
      <c r="AT5" s="555">
        <v>6.6529999999999996</v>
      </c>
      <c r="AU5" s="555">
        <v>0.14199999999999999</v>
      </c>
      <c r="AV5" s="179"/>
    </row>
    <row r="6" spans="1:48" s="223" customFormat="1" ht="15" hidden="1" customHeight="1">
      <c r="A6" s="914"/>
      <c r="B6" s="186" t="s">
        <v>410</v>
      </c>
      <c r="C6" s="186" t="s">
        <v>127</v>
      </c>
      <c r="D6" s="860">
        <v>38.677</v>
      </c>
      <c r="E6" s="195">
        <f t="shared" si="0"/>
        <v>40</v>
      </c>
      <c r="F6" s="195">
        <f t="shared" ref="F6:F60" si="2">E6*2</f>
        <v>80</v>
      </c>
      <c r="G6" s="860">
        <v>2.3E-2</v>
      </c>
      <c r="H6" s="536">
        <v>0</v>
      </c>
      <c r="I6" s="536">
        <f t="shared" ref="I6:I60" si="3">H6*2</f>
        <v>0</v>
      </c>
      <c r="J6" s="860">
        <v>3.0000000000000001E-3</v>
      </c>
      <c r="K6" s="536">
        <v>0</v>
      </c>
      <c r="L6" s="536">
        <f t="shared" ref="L6:L60" si="4">K6*2</f>
        <v>0</v>
      </c>
      <c r="M6" s="860">
        <v>0</v>
      </c>
      <c r="N6" s="536">
        <v>0</v>
      </c>
      <c r="O6" s="536">
        <f t="shared" ref="O6:O60" si="5">N6*2</f>
        <v>0</v>
      </c>
      <c r="P6" s="860">
        <v>0</v>
      </c>
      <c r="Q6" s="536">
        <v>0</v>
      </c>
      <c r="R6" s="536">
        <f t="shared" ref="R6:R60" si="6">Q6*2</f>
        <v>0</v>
      </c>
      <c r="S6" s="860">
        <v>0</v>
      </c>
      <c r="T6" s="536">
        <v>0</v>
      </c>
      <c r="U6" s="536">
        <f t="shared" ref="U6:U60" si="7">T6*2</f>
        <v>0</v>
      </c>
      <c r="V6" s="860">
        <v>13.358000000000001</v>
      </c>
      <c r="W6" s="536">
        <f t="shared" si="1"/>
        <v>15</v>
      </c>
      <c r="X6" s="536">
        <f t="shared" ref="X6:X60" si="8">W6*2</f>
        <v>30</v>
      </c>
      <c r="Y6" s="860">
        <v>0</v>
      </c>
      <c r="Z6" s="536">
        <v>0</v>
      </c>
      <c r="AA6" s="536">
        <f t="shared" ref="AA6:AA60" si="9">Z6*2</f>
        <v>0</v>
      </c>
      <c r="AB6" s="860">
        <v>2.7E-2</v>
      </c>
      <c r="AC6" s="536">
        <v>0</v>
      </c>
      <c r="AD6" s="536">
        <f t="shared" ref="AD6:AD60" si="10">AC6*2</f>
        <v>0</v>
      </c>
      <c r="AE6" s="860">
        <v>0</v>
      </c>
      <c r="AF6" s="536">
        <v>0</v>
      </c>
      <c r="AG6" s="536">
        <f t="shared" ref="AG6:AG60" si="11">AF6*2</f>
        <v>0</v>
      </c>
      <c r="AH6" s="860">
        <v>4.0000000000000001E-3</v>
      </c>
      <c r="AI6" s="536">
        <v>0</v>
      </c>
      <c r="AJ6" s="536">
        <f t="shared" ref="AJ6:AJ60" si="12">AI6*2</f>
        <v>0</v>
      </c>
      <c r="AK6" s="860">
        <v>0</v>
      </c>
      <c r="AL6" s="536">
        <v>0</v>
      </c>
      <c r="AM6" s="536">
        <f t="shared" ref="AM6:AM60" si="13">AL6*2</f>
        <v>0</v>
      </c>
      <c r="AN6" s="555">
        <v>0</v>
      </c>
      <c r="AO6" s="555">
        <v>0</v>
      </c>
      <c r="AP6" s="555">
        <v>2.5920000000000001</v>
      </c>
      <c r="AQ6" s="555">
        <v>0.19900000000000001</v>
      </c>
      <c r="AR6" s="555">
        <v>1.7000000000000001E-2</v>
      </c>
      <c r="AS6" s="555">
        <v>9.5000000000000001E-2</v>
      </c>
      <c r="AT6" s="555">
        <v>7.4420000000000002</v>
      </c>
      <c r="AU6" s="555">
        <v>0.158</v>
      </c>
      <c r="AV6" s="179"/>
    </row>
    <row r="7" spans="1:48" ht="31.75" hidden="1">
      <c r="A7" s="914"/>
      <c r="B7" s="186" t="s">
        <v>296</v>
      </c>
      <c r="C7" s="186" t="s">
        <v>37</v>
      </c>
      <c r="D7" s="860">
        <v>42.545000000000002</v>
      </c>
      <c r="E7" s="195">
        <f t="shared" si="0"/>
        <v>40</v>
      </c>
      <c r="F7" s="195">
        <f t="shared" si="2"/>
        <v>80</v>
      </c>
      <c r="G7" s="860">
        <v>0</v>
      </c>
      <c r="H7" s="536">
        <v>0</v>
      </c>
      <c r="I7" s="536">
        <f t="shared" si="3"/>
        <v>0</v>
      </c>
      <c r="J7" s="860">
        <v>0</v>
      </c>
      <c r="K7" s="536">
        <v>0</v>
      </c>
      <c r="L7" s="536">
        <f t="shared" si="4"/>
        <v>0</v>
      </c>
      <c r="M7" s="860">
        <v>0</v>
      </c>
      <c r="N7" s="536">
        <v>0</v>
      </c>
      <c r="O7" s="536">
        <f t="shared" si="5"/>
        <v>0</v>
      </c>
      <c r="P7" s="860">
        <v>0</v>
      </c>
      <c r="Q7" s="536">
        <v>0</v>
      </c>
      <c r="R7" s="536">
        <f t="shared" si="6"/>
        <v>0</v>
      </c>
      <c r="S7" s="860">
        <v>0</v>
      </c>
      <c r="T7" s="536">
        <v>0</v>
      </c>
      <c r="U7" s="536">
        <f t="shared" si="7"/>
        <v>0</v>
      </c>
      <c r="V7" s="860">
        <v>11.202</v>
      </c>
      <c r="W7" s="536">
        <f t="shared" si="1"/>
        <v>10</v>
      </c>
      <c r="X7" s="536">
        <f t="shared" si="8"/>
        <v>20</v>
      </c>
      <c r="Y7" s="860">
        <v>0.10784313725490197</v>
      </c>
      <c r="Z7" s="536">
        <v>0</v>
      </c>
      <c r="AA7" s="536">
        <f t="shared" si="9"/>
        <v>0</v>
      </c>
      <c r="AB7" s="860">
        <v>0</v>
      </c>
      <c r="AC7" s="536">
        <v>0</v>
      </c>
      <c r="AD7" s="536">
        <f t="shared" si="10"/>
        <v>0</v>
      </c>
      <c r="AE7" s="860">
        <v>10.773</v>
      </c>
      <c r="AF7" s="536">
        <f t="shared" ref="AF7:AF24" si="14">MROUND(AE7,1)</f>
        <v>11</v>
      </c>
      <c r="AG7" s="536">
        <f t="shared" si="11"/>
        <v>22</v>
      </c>
      <c r="AH7" s="860">
        <v>8.1539999999999999</v>
      </c>
      <c r="AI7" s="690">
        <f t="shared" ref="AI7:AI24" si="15">MROUND(AH7,1)</f>
        <v>8</v>
      </c>
      <c r="AJ7" s="536">
        <f t="shared" si="12"/>
        <v>16</v>
      </c>
      <c r="AK7" s="860">
        <v>0</v>
      </c>
      <c r="AL7" s="536">
        <v>0</v>
      </c>
      <c r="AM7" s="536">
        <f t="shared" si="13"/>
        <v>0</v>
      </c>
      <c r="AN7" s="555">
        <v>0</v>
      </c>
      <c r="AO7" s="555">
        <v>0</v>
      </c>
      <c r="AP7" s="555">
        <v>2.13</v>
      </c>
      <c r="AQ7" s="555">
        <v>0.16400000000000001</v>
      </c>
      <c r="AR7" s="555">
        <v>4.0000000000000001E-3</v>
      </c>
      <c r="AS7" s="555">
        <v>2.1999999999999999E-2</v>
      </c>
      <c r="AT7" s="555">
        <v>0.16300000000000001</v>
      </c>
      <c r="AU7" s="555">
        <v>3.0000000000000001E-3</v>
      </c>
    </row>
    <row r="8" spans="1:48" ht="31.75" hidden="1">
      <c r="A8" s="914"/>
      <c r="B8" s="186" t="s">
        <v>296</v>
      </c>
      <c r="C8" s="186" t="s">
        <v>313</v>
      </c>
      <c r="D8" s="860">
        <v>68.198999999999998</v>
      </c>
      <c r="E8" s="195">
        <f t="shared" si="0"/>
        <v>70</v>
      </c>
      <c r="F8" s="195">
        <f t="shared" si="2"/>
        <v>140</v>
      </c>
      <c r="G8" s="860">
        <v>0</v>
      </c>
      <c r="H8" s="536">
        <v>0</v>
      </c>
      <c r="I8" s="536">
        <f t="shared" si="3"/>
        <v>0</v>
      </c>
      <c r="J8" s="860">
        <v>0</v>
      </c>
      <c r="K8" s="536">
        <v>0</v>
      </c>
      <c r="L8" s="536">
        <f t="shared" si="4"/>
        <v>0</v>
      </c>
      <c r="M8" s="860">
        <v>0</v>
      </c>
      <c r="N8" s="536">
        <v>0</v>
      </c>
      <c r="O8" s="536">
        <f t="shared" si="5"/>
        <v>0</v>
      </c>
      <c r="P8" s="860">
        <v>0</v>
      </c>
      <c r="Q8" s="536">
        <v>0</v>
      </c>
      <c r="R8" s="536">
        <f t="shared" si="6"/>
        <v>0</v>
      </c>
      <c r="S8" s="860">
        <v>0</v>
      </c>
      <c r="T8" s="536">
        <v>0</v>
      </c>
      <c r="U8" s="536">
        <f t="shared" si="7"/>
        <v>0</v>
      </c>
      <c r="V8" s="860">
        <v>9.9550000000000001</v>
      </c>
      <c r="W8" s="536">
        <f t="shared" si="1"/>
        <v>10</v>
      </c>
      <c r="X8" s="536">
        <f t="shared" si="8"/>
        <v>20</v>
      </c>
      <c r="Y8" s="860">
        <v>17.216000000000001</v>
      </c>
      <c r="Z8" s="536">
        <f t="shared" ref="Z8:Z39" si="16">MROUND(Y8,1)</f>
        <v>17</v>
      </c>
      <c r="AA8" s="536">
        <f t="shared" si="9"/>
        <v>34</v>
      </c>
      <c r="AB8" s="860">
        <v>0</v>
      </c>
      <c r="AC8" s="536">
        <v>0</v>
      </c>
      <c r="AD8" s="536">
        <f t="shared" si="10"/>
        <v>0</v>
      </c>
      <c r="AE8" s="860">
        <v>16.538</v>
      </c>
      <c r="AF8" s="536">
        <f t="shared" si="14"/>
        <v>17</v>
      </c>
      <c r="AG8" s="536">
        <f t="shared" si="11"/>
        <v>34</v>
      </c>
      <c r="AH8" s="860">
        <v>16.538</v>
      </c>
      <c r="AI8" s="690">
        <f t="shared" si="15"/>
        <v>17</v>
      </c>
      <c r="AJ8" s="536">
        <f t="shared" si="12"/>
        <v>34</v>
      </c>
      <c r="AK8" s="860">
        <v>0</v>
      </c>
      <c r="AL8" s="536">
        <v>0</v>
      </c>
      <c r="AM8" s="536">
        <f t="shared" si="13"/>
        <v>0</v>
      </c>
      <c r="AN8" s="555">
        <v>0</v>
      </c>
      <c r="AO8" s="555">
        <v>0</v>
      </c>
      <c r="AP8" s="555">
        <v>2.35</v>
      </c>
      <c r="AQ8" s="555">
        <v>0.18099999999999999</v>
      </c>
      <c r="AR8" s="555">
        <v>3.0000000000000001E-3</v>
      </c>
      <c r="AS8" s="555">
        <v>1.7000000000000001E-2</v>
      </c>
      <c r="AT8" s="555">
        <v>0.125</v>
      </c>
      <c r="AU8" s="555">
        <v>3.0000000000000001E-3</v>
      </c>
    </row>
    <row r="9" spans="1:48" ht="31.75" hidden="1">
      <c r="A9" s="914">
        <v>90</v>
      </c>
      <c r="B9" s="186" t="s">
        <v>296</v>
      </c>
      <c r="C9" s="186" t="s">
        <v>25</v>
      </c>
      <c r="D9" s="860">
        <v>78.174999999999997</v>
      </c>
      <c r="E9" s="195">
        <f t="shared" si="0"/>
        <v>80</v>
      </c>
      <c r="F9" s="195">
        <f t="shared" si="2"/>
        <v>160</v>
      </c>
      <c r="G9" s="860">
        <v>0</v>
      </c>
      <c r="H9" s="536">
        <v>0</v>
      </c>
      <c r="I9" s="536">
        <f t="shared" si="3"/>
        <v>0</v>
      </c>
      <c r="J9" s="860">
        <v>0</v>
      </c>
      <c r="K9" s="536">
        <v>0</v>
      </c>
      <c r="L9" s="536">
        <f t="shared" si="4"/>
        <v>0</v>
      </c>
      <c r="M9" s="860">
        <v>0</v>
      </c>
      <c r="N9" s="536">
        <v>0</v>
      </c>
      <c r="O9" s="536">
        <f t="shared" si="5"/>
        <v>0</v>
      </c>
      <c r="P9" s="860">
        <v>0</v>
      </c>
      <c r="Q9" s="536">
        <v>0</v>
      </c>
      <c r="R9" s="536">
        <f t="shared" si="6"/>
        <v>0</v>
      </c>
      <c r="S9" s="860">
        <v>0</v>
      </c>
      <c r="T9" s="536">
        <v>0</v>
      </c>
      <c r="U9" s="536">
        <f t="shared" si="7"/>
        <v>0</v>
      </c>
      <c r="V9" s="860">
        <v>12.592000000000001</v>
      </c>
      <c r="W9" s="536">
        <f t="shared" si="1"/>
        <v>15</v>
      </c>
      <c r="X9" s="536">
        <f t="shared" si="8"/>
        <v>30</v>
      </c>
      <c r="Y9" s="860">
        <v>19.789000000000001</v>
      </c>
      <c r="Z9" s="536">
        <f t="shared" si="16"/>
        <v>20</v>
      </c>
      <c r="AA9" s="536">
        <f t="shared" si="9"/>
        <v>40</v>
      </c>
      <c r="AB9" s="860">
        <v>7.0000000000000001E-3</v>
      </c>
      <c r="AC9" s="536">
        <v>0</v>
      </c>
      <c r="AD9" s="536">
        <f t="shared" si="10"/>
        <v>0</v>
      </c>
      <c r="AE9" s="860">
        <v>19.181000000000001</v>
      </c>
      <c r="AF9" s="536">
        <f t="shared" si="14"/>
        <v>19</v>
      </c>
      <c r="AG9" s="536">
        <f t="shared" si="11"/>
        <v>38</v>
      </c>
      <c r="AH9" s="860">
        <v>18.552</v>
      </c>
      <c r="AI9" s="690">
        <f t="shared" si="15"/>
        <v>19</v>
      </c>
      <c r="AJ9" s="536">
        <f t="shared" si="12"/>
        <v>38</v>
      </c>
      <c r="AK9" s="860">
        <v>0</v>
      </c>
      <c r="AL9" s="536">
        <v>0</v>
      </c>
      <c r="AM9" s="536">
        <f t="shared" si="13"/>
        <v>0</v>
      </c>
      <c r="AN9" s="536">
        <v>0</v>
      </c>
      <c r="AO9" s="536">
        <v>0</v>
      </c>
      <c r="AP9" s="536">
        <v>2.569</v>
      </c>
      <c r="AQ9" s="536">
        <v>0.19800000000000001</v>
      </c>
      <c r="AR9" s="536">
        <v>1.0999999999999999E-2</v>
      </c>
      <c r="AS9" s="536">
        <v>5.8999999999999997E-2</v>
      </c>
      <c r="AT9" s="536">
        <v>0.218</v>
      </c>
      <c r="AU9" s="536">
        <v>5.0000000000000001E-3</v>
      </c>
      <c r="AV9" s="223"/>
    </row>
    <row r="10" spans="1:48" ht="31.75" hidden="1">
      <c r="A10" s="914"/>
      <c r="B10" s="186" t="s">
        <v>296</v>
      </c>
      <c r="C10" s="186" t="s">
        <v>75</v>
      </c>
      <c r="D10" s="860">
        <v>77.817999999999998</v>
      </c>
      <c r="E10" s="195">
        <f t="shared" si="0"/>
        <v>80</v>
      </c>
      <c r="F10" s="195">
        <f t="shared" si="2"/>
        <v>160</v>
      </c>
      <c r="G10" s="860">
        <v>0</v>
      </c>
      <c r="H10" s="536">
        <v>0</v>
      </c>
      <c r="I10" s="536">
        <f t="shared" si="3"/>
        <v>0</v>
      </c>
      <c r="J10" s="860">
        <v>0</v>
      </c>
      <c r="K10" s="536">
        <v>0</v>
      </c>
      <c r="L10" s="536">
        <f t="shared" si="4"/>
        <v>0</v>
      </c>
      <c r="M10" s="860">
        <v>0</v>
      </c>
      <c r="N10" s="536">
        <v>0</v>
      </c>
      <c r="O10" s="536">
        <f t="shared" si="5"/>
        <v>0</v>
      </c>
      <c r="P10" s="860">
        <v>0</v>
      </c>
      <c r="Q10" s="536">
        <v>0</v>
      </c>
      <c r="R10" s="536">
        <f t="shared" si="6"/>
        <v>0</v>
      </c>
      <c r="S10" s="860">
        <v>0</v>
      </c>
      <c r="T10" s="536">
        <v>0</v>
      </c>
      <c r="U10" s="536">
        <f t="shared" si="7"/>
        <v>0</v>
      </c>
      <c r="V10" s="860">
        <v>12.917</v>
      </c>
      <c r="W10" s="536">
        <f t="shared" si="1"/>
        <v>15</v>
      </c>
      <c r="X10" s="536">
        <f t="shared" si="8"/>
        <v>30</v>
      </c>
      <c r="Y10" s="860">
        <v>19.611999999999998</v>
      </c>
      <c r="Z10" s="536">
        <f t="shared" si="16"/>
        <v>20</v>
      </c>
      <c r="AA10" s="536">
        <f t="shared" si="9"/>
        <v>40</v>
      </c>
      <c r="AB10" s="860">
        <v>1.2E-2</v>
      </c>
      <c r="AC10" s="536">
        <v>0</v>
      </c>
      <c r="AD10" s="536">
        <f t="shared" si="10"/>
        <v>0</v>
      </c>
      <c r="AE10" s="860">
        <v>19.010000000000002</v>
      </c>
      <c r="AF10" s="536">
        <f t="shared" si="14"/>
        <v>19</v>
      </c>
      <c r="AG10" s="536">
        <f t="shared" si="11"/>
        <v>38</v>
      </c>
      <c r="AH10" s="860">
        <v>18.986999999999998</v>
      </c>
      <c r="AI10" s="690">
        <f t="shared" si="15"/>
        <v>19</v>
      </c>
      <c r="AJ10" s="536">
        <f t="shared" si="12"/>
        <v>38</v>
      </c>
      <c r="AK10" s="860">
        <v>0</v>
      </c>
      <c r="AL10" s="536">
        <v>0</v>
      </c>
      <c r="AM10" s="536">
        <f t="shared" si="13"/>
        <v>0</v>
      </c>
      <c r="AN10" s="555">
        <v>0</v>
      </c>
      <c r="AO10" s="555">
        <v>0</v>
      </c>
      <c r="AP10" s="555">
        <v>2.62</v>
      </c>
      <c r="AQ10" s="555">
        <v>0.20200000000000001</v>
      </c>
      <c r="AR10" s="555">
        <v>1.7999999999999999E-2</v>
      </c>
      <c r="AS10" s="555">
        <v>9.8000000000000004E-2</v>
      </c>
      <c r="AT10" s="555">
        <v>5.9349999999999996</v>
      </c>
      <c r="AU10" s="555">
        <v>0.126</v>
      </c>
      <c r="AV10" s="248"/>
    </row>
    <row r="11" spans="1:48" ht="31.75" hidden="1">
      <c r="A11" s="914"/>
      <c r="B11" s="186" t="s">
        <v>296</v>
      </c>
      <c r="C11" s="186" t="s">
        <v>40</v>
      </c>
      <c r="D11" s="860">
        <v>82.971000000000004</v>
      </c>
      <c r="E11" s="195">
        <f t="shared" si="0"/>
        <v>80</v>
      </c>
      <c r="F11" s="195">
        <f t="shared" si="2"/>
        <v>160</v>
      </c>
      <c r="G11" s="860">
        <v>0</v>
      </c>
      <c r="H11" s="536">
        <v>0</v>
      </c>
      <c r="I11" s="536">
        <f t="shared" si="3"/>
        <v>0</v>
      </c>
      <c r="J11" s="860">
        <v>0</v>
      </c>
      <c r="K11" s="536">
        <v>0</v>
      </c>
      <c r="L11" s="536">
        <f t="shared" si="4"/>
        <v>0</v>
      </c>
      <c r="M11" s="860">
        <v>0</v>
      </c>
      <c r="N11" s="536">
        <v>0</v>
      </c>
      <c r="O11" s="536">
        <f t="shared" si="5"/>
        <v>0</v>
      </c>
      <c r="P11" s="860">
        <v>0</v>
      </c>
      <c r="Q11" s="536">
        <v>0</v>
      </c>
      <c r="R11" s="536">
        <f t="shared" si="6"/>
        <v>0</v>
      </c>
      <c r="S11" s="860">
        <v>0</v>
      </c>
      <c r="T11" s="536">
        <v>0</v>
      </c>
      <c r="U11" s="536">
        <f t="shared" si="7"/>
        <v>0</v>
      </c>
      <c r="V11" s="860">
        <v>12.566000000000001</v>
      </c>
      <c r="W11" s="536">
        <f t="shared" si="1"/>
        <v>15</v>
      </c>
      <c r="X11" s="536">
        <f t="shared" si="8"/>
        <v>30</v>
      </c>
      <c r="Y11" s="860">
        <v>21.039000000000001</v>
      </c>
      <c r="Z11" s="536">
        <f t="shared" si="16"/>
        <v>21</v>
      </c>
      <c r="AA11" s="536">
        <f t="shared" si="9"/>
        <v>42</v>
      </c>
      <c r="AB11" s="860">
        <v>5.0000000000000001E-3</v>
      </c>
      <c r="AC11" s="536">
        <v>0</v>
      </c>
      <c r="AD11" s="536">
        <f t="shared" si="10"/>
        <v>0</v>
      </c>
      <c r="AE11" s="860">
        <v>20.404</v>
      </c>
      <c r="AF11" s="536">
        <f t="shared" si="14"/>
        <v>20</v>
      </c>
      <c r="AG11" s="536">
        <f t="shared" si="11"/>
        <v>40</v>
      </c>
      <c r="AH11" s="860">
        <v>19.209</v>
      </c>
      <c r="AI11" s="690">
        <f t="shared" si="15"/>
        <v>19</v>
      </c>
      <c r="AJ11" s="536">
        <f t="shared" si="12"/>
        <v>38</v>
      </c>
      <c r="AK11" s="860">
        <v>0</v>
      </c>
      <c r="AL11" s="536">
        <v>0</v>
      </c>
      <c r="AM11" s="536">
        <f t="shared" si="13"/>
        <v>0</v>
      </c>
      <c r="AN11" s="555">
        <v>0</v>
      </c>
      <c r="AO11" s="555">
        <v>0</v>
      </c>
      <c r="AP11" s="555">
        <v>2.242</v>
      </c>
      <c r="AQ11" s="555">
        <v>0.17199999999999999</v>
      </c>
      <c r="AR11" s="555">
        <v>5.0000000000000001E-3</v>
      </c>
      <c r="AS11" s="555">
        <v>2.8000000000000001E-2</v>
      </c>
      <c r="AT11" s="555">
        <v>0.214</v>
      </c>
      <c r="AU11" s="555">
        <v>5.0000000000000001E-3</v>
      </c>
      <c r="AV11" s="212"/>
    </row>
    <row r="12" spans="1:48" ht="31.75" hidden="1">
      <c r="A12" s="914"/>
      <c r="B12" s="186" t="s">
        <v>296</v>
      </c>
      <c r="C12" s="186" t="s">
        <v>336</v>
      </c>
      <c r="D12" s="859">
        <v>81.161000000000001</v>
      </c>
      <c r="E12" s="195">
        <f t="shared" si="0"/>
        <v>80</v>
      </c>
      <c r="F12" s="195">
        <f t="shared" si="2"/>
        <v>160</v>
      </c>
      <c r="G12" s="859">
        <v>0</v>
      </c>
      <c r="H12" s="536">
        <v>0</v>
      </c>
      <c r="I12" s="536">
        <f t="shared" si="3"/>
        <v>0</v>
      </c>
      <c r="J12" s="859">
        <v>0</v>
      </c>
      <c r="K12" s="536">
        <v>0</v>
      </c>
      <c r="L12" s="536">
        <f t="shared" si="4"/>
        <v>0</v>
      </c>
      <c r="M12" s="859">
        <v>0</v>
      </c>
      <c r="N12" s="536">
        <v>0</v>
      </c>
      <c r="O12" s="536">
        <f t="shared" si="5"/>
        <v>0</v>
      </c>
      <c r="P12" s="859">
        <v>0</v>
      </c>
      <c r="Q12" s="536">
        <v>0</v>
      </c>
      <c r="R12" s="536">
        <f t="shared" si="6"/>
        <v>0</v>
      </c>
      <c r="S12" s="859">
        <v>0</v>
      </c>
      <c r="T12" s="536">
        <v>0</v>
      </c>
      <c r="U12" s="536">
        <f t="shared" si="7"/>
        <v>0</v>
      </c>
      <c r="V12" s="859">
        <v>9.9130000000000003</v>
      </c>
      <c r="W12" s="536">
        <f t="shared" si="1"/>
        <v>10</v>
      </c>
      <c r="X12" s="536">
        <f t="shared" si="8"/>
        <v>20</v>
      </c>
      <c r="Y12" s="859">
        <v>20.161999999999999</v>
      </c>
      <c r="Z12" s="536">
        <f t="shared" si="16"/>
        <v>20</v>
      </c>
      <c r="AA12" s="536">
        <f t="shared" si="9"/>
        <v>40</v>
      </c>
      <c r="AB12" s="859">
        <v>0</v>
      </c>
      <c r="AC12" s="536">
        <v>0</v>
      </c>
      <c r="AD12" s="536">
        <f t="shared" si="10"/>
        <v>0</v>
      </c>
      <c r="AE12" s="859">
        <v>19.643999999999998</v>
      </c>
      <c r="AF12" s="536">
        <f t="shared" si="14"/>
        <v>20</v>
      </c>
      <c r="AG12" s="536">
        <f t="shared" si="11"/>
        <v>40</v>
      </c>
      <c r="AH12" s="859">
        <v>19.643999999999998</v>
      </c>
      <c r="AI12" s="690">
        <f t="shared" si="15"/>
        <v>20</v>
      </c>
      <c r="AJ12" s="536">
        <f t="shared" si="12"/>
        <v>40</v>
      </c>
      <c r="AK12" s="859">
        <v>0</v>
      </c>
      <c r="AL12" s="536">
        <v>0</v>
      </c>
      <c r="AM12" s="536">
        <f t="shared" si="13"/>
        <v>0</v>
      </c>
      <c r="AN12" s="694">
        <v>0</v>
      </c>
      <c r="AO12" s="694">
        <v>0</v>
      </c>
      <c r="AP12" s="694">
        <v>2.262</v>
      </c>
      <c r="AQ12" s="694">
        <v>0.17399999999999999</v>
      </c>
      <c r="AR12" s="694">
        <v>4.0000000000000001E-3</v>
      </c>
      <c r="AS12" s="694">
        <v>2.3E-2</v>
      </c>
      <c r="AT12" s="694">
        <v>0.17699999999999999</v>
      </c>
      <c r="AU12" s="694">
        <v>4.0000000000000001E-3</v>
      </c>
    </row>
    <row r="13" spans="1:48" ht="31.75" hidden="1">
      <c r="A13" s="914"/>
      <c r="B13" s="186" t="s">
        <v>296</v>
      </c>
      <c r="C13" s="186" t="s">
        <v>64</v>
      </c>
      <c r="D13" s="860">
        <v>80.099000000000004</v>
      </c>
      <c r="E13" s="195">
        <f t="shared" si="0"/>
        <v>80</v>
      </c>
      <c r="F13" s="195">
        <f t="shared" si="2"/>
        <v>160</v>
      </c>
      <c r="G13" s="860">
        <v>0</v>
      </c>
      <c r="H13" s="536">
        <v>0</v>
      </c>
      <c r="I13" s="536">
        <f t="shared" si="3"/>
        <v>0</v>
      </c>
      <c r="J13" s="860">
        <v>0</v>
      </c>
      <c r="K13" s="536">
        <v>0</v>
      </c>
      <c r="L13" s="536">
        <f t="shared" si="4"/>
        <v>0</v>
      </c>
      <c r="M13" s="860">
        <v>0</v>
      </c>
      <c r="N13" s="536">
        <v>0</v>
      </c>
      <c r="O13" s="536">
        <f t="shared" si="5"/>
        <v>0</v>
      </c>
      <c r="P13" s="860">
        <v>0</v>
      </c>
      <c r="Q13" s="536">
        <v>0</v>
      </c>
      <c r="R13" s="536">
        <f t="shared" si="6"/>
        <v>0</v>
      </c>
      <c r="S13" s="860">
        <v>0</v>
      </c>
      <c r="T13" s="536">
        <v>0</v>
      </c>
      <c r="U13" s="536">
        <f t="shared" si="7"/>
        <v>0</v>
      </c>
      <c r="V13" s="860">
        <v>12.46</v>
      </c>
      <c r="W13" s="536">
        <f t="shared" si="1"/>
        <v>10</v>
      </c>
      <c r="X13" s="536">
        <f t="shared" si="8"/>
        <v>20</v>
      </c>
      <c r="Y13" s="860">
        <v>20.238</v>
      </c>
      <c r="Z13" s="536">
        <f t="shared" si="16"/>
        <v>20</v>
      </c>
      <c r="AA13" s="536">
        <f t="shared" si="9"/>
        <v>40</v>
      </c>
      <c r="AB13" s="860">
        <v>6.0000000000000001E-3</v>
      </c>
      <c r="AC13" s="536">
        <v>0</v>
      </c>
      <c r="AD13" s="536">
        <f t="shared" si="10"/>
        <v>0</v>
      </c>
      <c r="AE13" s="860">
        <v>19.658999999999999</v>
      </c>
      <c r="AF13" s="536">
        <f t="shared" si="14"/>
        <v>20</v>
      </c>
      <c r="AG13" s="536">
        <f t="shared" si="11"/>
        <v>40</v>
      </c>
      <c r="AH13" s="860">
        <v>19.658999999999999</v>
      </c>
      <c r="AI13" s="690">
        <f t="shared" si="15"/>
        <v>20</v>
      </c>
      <c r="AJ13" s="536">
        <f t="shared" si="12"/>
        <v>40</v>
      </c>
      <c r="AK13" s="860">
        <v>0</v>
      </c>
      <c r="AL13" s="536">
        <v>0</v>
      </c>
      <c r="AM13" s="536">
        <f t="shared" si="13"/>
        <v>0</v>
      </c>
      <c r="AN13" s="555">
        <v>0</v>
      </c>
      <c r="AO13" s="555">
        <v>0</v>
      </c>
      <c r="AP13" s="555">
        <v>2.89</v>
      </c>
      <c r="AQ13" s="555">
        <v>0.222</v>
      </c>
      <c r="AR13" s="555">
        <v>1.7999999999999999E-2</v>
      </c>
      <c r="AS13" s="555">
        <v>0.10199999999999999</v>
      </c>
      <c r="AT13" s="555">
        <v>6.2770000000000001</v>
      </c>
      <c r="AU13" s="555">
        <v>0.13400000000000001</v>
      </c>
    </row>
    <row r="14" spans="1:48" ht="31.75" hidden="1">
      <c r="A14" s="914"/>
      <c r="B14" s="186" t="s">
        <v>296</v>
      </c>
      <c r="C14" s="186" t="s">
        <v>308</v>
      </c>
      <c r="D14" s="859">
        <v>79.923000000000002</v>
      </c>
      <c r="E14" s="195">
        <f t="shared" si="0"/>
        <v>80</v>
      </c>
      <c r="F14" s="195">
        <f t="shared" si="2"/>
        <v>160</v>
      </c>
      <c r="G14" s="859">
        <v>0</v>
      </c>
      <c r="H14" s="536">
        <v>0</v>
      </c>
      <c r="I14" s="536">
        <f t="shared" si="3"/>
        <v>0</v>
      </c>
      <c r="J14" s="859">
        <v>0</v>
      </c>
      <c r="K14" s="536">
        <v>0</v>
      </c>
      <c r="L14" s="536">
        <f t="shared" si="4"/>
        <v>0</v>
      </c>
      <c r="M14" s="859">
        <v>0</v>
      </c>
      <c r="N14" s="536">
        <v>0</v>
      </c>
      <c r="O14" s="536">
        <f t="shared" si="5"/>
        <v>0</v>
      </c>
      <c r="P14" s="859">
        <v>0</v>
      </c>
      <c r="Q14" s="536">
        <v>0</v>
      </c>
      <c r="R14" s="536">
        <f t="shared" si="6"/>
        <v>0</v>
      </c>
      <c r="S14" s="859">
        <v>0</v>
      </c>
      <c r="T14" s="536">
        <v>0</v>
      </c>
      <c r="U14" s="536">
        <f t="shared" si="7"/>
        <v>0</v>
      </c>
      <c r="V14" s="859">
        <v>9.8230000000000004</v>
      </c>
      <c r="W14" s="536">
        <f t="shared" si="1"/>
        <v>10</v>
      </c>
      <c r="X14" s="536">
        <f t="shared" si="8"/>
        <v>20</v>
      </c>
      <c r="Y14" s="859">
        <v>19.853999999999999</v>
      </c>
      <c r="Z14" s="536">
        <f t="shared" si="16"/>
        <v>20</v>
      </c>
      <c r="AA14" s="536">
        <f t="shared" si="9"/>
        <v>40</v>
      </c>
      <c r="AB14" s="859">
        <v>0</v>
      </c>
      <c r="AC14" s="536">
        <v>0</v>
      </c>
      <c r="AD14" s="536">
        <f t="shared" si="10"/>
        <v>0</v>
      </c>
      <c r="AE14" s="859">
        <v>19.716999999999999</v>
      </c>
      <c r="AF14" s="536">
        <f t="shared" si="14"/>
        <v>20</v>
      </c>
      <c r="AG14" s="536">
        <f t="shared" si="11"/>
        <v>40</v>
      </c>
      <c r="AH14" s="859">
        <v>19.716999999999999</v>
      </c>
      <c r="AI14" s="690">
        <f t="shared" si="15"/>
        <v>20</v>
      </c>
      <c r="AJ14" s="536">
        <f t="shared" si="12"/>
        <v>40</v>
      </c>
      <c r="AK14" s="859">
        <v>0</v>
      </c>
      <c r="AL14" s="536">
        <v>0</v>
      </c>
      <c r="AM14" s="536">
        <f t="shared" si="13"/>
        <v>0</v>
      </c>
      <c r="AN14" s="554">
        <v>0</v>
      </c>
      <c r="AO14" s="554">
        <v>0</v>
      </c>
      <c r="AP14" s="554">
        <v>2.274</v>
      </c>
      <c r="AQ14" s="554">
        <v>0.17499999999999999</v>
      </c>
      <c r="AR14" s="554">
        <v>4.0000000000000001E-3</v>
      </c>
      <c r="AS14" s="554">
        <v>2.3E-2</v>
      </c>
      <c r="AT14" s="554">
        <v>1.48</v>
      </c>
      <c r="AU14" s="554">
        <v>3.1E-2</v>
      </c>
    </row>
    <row r="15" spans="1:48" ht="31.75" hidden="1">
      <c r="A15" s="914"/>
      <c r="B15" s="186" t="s">
        <v>296</v>
      </c>
      <c r="C15" s="186" t="s">
        <v>302</v>
      </c>
      <c r="D15" s="859">
        <v>81.006</v>
      </c>
      <c r="E15" s="195">
        <f t="shared" si="0"/>
        <v>80</v>
      </c>
      <c r="F15" s="195">
        <f t="shared" si="2"/>
        <v>160</v>
      </c>
      <c r="G15" s="859">
        <v>0</v>
      </c>
      <c r="H15" s="536">
        <v>0</v>
      </c>
      <c r="I15" s="536">
        <f t="shared" si="3"/>
        <v>0</v>
      </c>
      <c r="J15" s="859">
        <v>0</v>
      </c>
      <c r="K15" s="536">
        <v>0</v>
      </c>
      <c r="L15" s="536">
        <f t="shared" si="4"/>
        <v>0</v>
      </c>
      <c r="M15" s="859">
        <v>0</v>
      </c>
      <c r="N15" s="536">
        <v>0</v>
      </c>
      <c r="O15" s="536">
        <f t="shared" si="5"/>
        <v>0</v>
      </c>
      <c r="P15" s="859">
        <v>0</v>
      </c>
      <c r="Q15" s="536">
        <v>0</v>
      </c>
      <c r="R15" s="536">
        <f t="shared" si="6"/>
        <v>0</v>
      </c>
      <c r="S15" s="936">
        <v>0</v>
      </c>
      <c r="T15" s="536">
        <v>0</v>
      </c>
      <c r="U15" s="536">
        <f t="shared" si="7"/>
        <v>0</v>
      </c>
      <c r="V15" s="859">
        <v>9.1929999999999996</v>
      </c>
      <c r="W15" s="536">
        <f t="shared" si="1"/>
        <v>10</v>
      </c>
      <c r="X15" s="536">
        <f t="shared" si="8"/>
        <v>20</v>
      </c>
      <c r="Y15" s="859">
        <v>20.477</v>
      </c>
      <c r="Z15" s="536">
        <f t="shared" si="16"/>
        <v>20</v>
      </c>
      <c r="AA15" s="536">
        <f t="shared" si="9"/>
        <v>40</v>
      </c>
      <c r="AB15" s="859">
        <v>0</v>
      </c>
      <c r="AC15" s="536">
        <v>0</v>
      </c>
      <c r="AD15" s="536">
        <f t="shared" si="10"/>
        <v>0</v>
      </c>
      <c r="AE15" s="859">
        <v>19.821999999999999</v>
      </c>
      <c r="AF15" s="536">
        <f t="shared" si="14"/>
        <v>20</v>
      </c>
      <c r="AG15" s="536">
        <f t="shared" si="11"/>
        <v>40</v>
      </c>
      <c r="AH15" s="859">
        <v>19.821999999999999</v>
      </c>
      <c r="AI15" s="690">
        <f t="shared" si="15"/>
        <v>20</v>
      </c>
      <c r="AJ15" s="536">
        <f t="shared" si="12"/>
        <v>40</v>
      </c>
      <c r="AK15" s="859">
        <v>0</v>
      </c>
      <c r="AL15" s="536">
        <v>0</v>
      </c>
      <c r="AM15" s="536">
        <f t="shared" si="13"/>
        <v>0</v>
      </c>
      <c r="AN15" s="554">
        <v>0</v>
      </c>
      <c r="AO15" s="554">
        <v>0</v>
      </c>
      <c r="AP15" s="554">
        <v>2.3290000000000002</v>
      </c>
      <c r="AQ15" s="554">
        <v>0.17899999999999999</v>
      </c>
      <c r="AR15" s="554">
        <v>4.0000000000000001E-3</v>
      </c>
      <c r="AS15" s="554">
        <v>2.1999999999999999E-2</v>
      </c>
      <c r="AT15" s="554">
        <v>0.32800000000000001</v>
      </c>
      <c r="AU15" s="554">
        <v>7.0000000000000001E-3</v>
      </c>
    </row>
    <row r="16" spans="1:48" ht="31.75" hidden="1">
      <c r="A16" s="914"/>
      <c r="B16" s="186" t="s">
        <v>92</v>
      </c>
      <c r="C16" s="186" t="s">
        <v>320</v>
      </c>
      <c r="D16" s="860">
        <v>84.876999999999995</v>
      </c>
      <c r="E16" s="726">
        <f t="shared" si="0"/>
        <v>80</v>
      </c>
      <c r="F16" s="195">
        <f t="shared" si="2"/>
        <v>160</v>
      </c>
      <c r="G16" s="860">
        <v>0</v>
      </c>
      <c r="H16" s="536">
        <v>0</v>
      </c>
      <c r="I16" s="536">
        <f t="shared" si="3"/>
        <v>0</v>
      </c>
      <c r="J16" s="860">
        <v>0</v>
      </c>
      <c r="K16" s="536">
        <v>0</v>
      </c>
      <c r="L16" s="536">
        <f t="shared" si="4"/>
        <v>0</v>
      </c>
      <c r="M16" s="860">
        <v>0</v>
      </c>
      <c r="N16" s="536">
        <v>0</v>
      </c>
      <c r="O16" s="536">
        <f t="shared" si="5"/>
        <v>0</v>
      </c>
      <c r="P16" s="860">
        <v>0</v>
      </c>
      <c r="Q16" s="536">
        <v>0</v>
      </c>
      <c r="R16" s="536">
        <f t="shared" si="6"/>
        <v>0</v>
      </c>
      <c r="S16" s="860">
        <v>0</v>
      </c>
      <c r="T16" s="536">
        <v>0</v>
      </c>
      <c r="U16" s="536">
        <f t="shared" si="7"/>
        <v>0</v>
      </c>
      <c r="V16" s="860">
        <v>20</v>
      </c>
      <c r="W16" s="536">
        <f t="shared" si="1"/>
        <v>20</v>
      </c>
      <c r="X16" s="536">
        <f t="shared" si="8"/>
        <v>40</v>
      </c>
      <c r="Y16" s="860">
        <v>20</v>
      </c>
      <c r="Z16" s="536">
        <f t="shared" si="16"/>
        <v>20</v>
      </c>
      <c r="AA16" s="536">
        <f t="shared" si="9"/>
        <v>40</v>
      </c>
      <c r="AB16" s="860">
        <v>0</v>
      </c>
      <c r="AC16" s="536">
        <v>0</v>
      </c>
      <c r="AD16" s="536">
        <f t="shared" si="10"/>
        <v>0</v>
      </c>
      <c r="AE16" s="860">
        <v>20</v>
      </c>
      <c r="AF16" s="536">
        <f t="shared" si="14"/>
        <v>20</v>
      </c>
      <c r="AG16" s="536">
        <f t="shared" si="11"/>
        <v>40</v>
      </c>
      <c r="AH16" s="860">
        <v>20</v>
      </c>
      <c r="AI16" s="690">
        <f t="shared" si="15"/>
        <v>20</v>
      </c>
      <c r="AJ16" s="536">
        <f t="shared" si="12"/>
        <v>40</v>
      </c>
      <c r="AK16" s="860">
        <v>0</v>
      </c>
      <c r="AL16" s="536">
        <v>0</v>
      </c>
      <c r="AM16" s="536">
        <f t="shared" si="13"/>
        <v>0</v>
      </c>
      <c r="AN16" s="697">
        <v>0</v>
      </c>
      <c r="AO16" s="697">
        <v>0</v>
      </c>
      <c r="AP16" s="696">
        <v>0</v>
      </c>
      <c r="AQ16" s="696">
        <v>0</v>
      </c>
      <c r="AR16" s="696">
        <v>0</v>
      </c>
      <c r="AS16" s="696">
        <v>0</v>
      </c>
      <c r="AT16" s="696">
        <v>0</v>
      </c>
      <c r="AU16" s="696">
        <v>0</v>
      </c>
      <c r="AV16" s="212"/>
    </row>
    <row r="17" spans="1:48" ht="31.75" hidden="1">
      <c r="A17" s="914"/>
      <c r="B17" s="186" t="s">
        <v>296</v>
      </c>
      <c r="C17" s="186" t="s">
        <v>307</v>
      </c>
      <c r="D17" s="860">
        <v>85.048000000000002</v>
      </c>
      <c r="E17" s="195">
        <f t="shared" si="0"/>
        <v>90</v>
      </c>
      <c r="F17" s="195">
        <f t="shared" si="2"/>
        <v>180</v>
      </c>
      <c r="G17" s="860">
        <v>0</v>
      </c>
      <c r="H17" s="536">
        <v>0</v>
      </c>
      <c r="I17" s="536">
        <f t="shared" si="3"/>
        <v>0</v>
      </c>
      <c r="J17" s="860">
        <v>0</v>
      </c>
      <c r="K17" s="536">
        <v>0</v>
      </c>
      <c r="L17" s="536">
        <f t="shared" si="4"/>
        <v>0</v>
      </c>
      <c r="M17" s="860">
        <v>0</v>
      </c>
      <c r="N17" s="536">
        <v>0</v>
      </c>
      <c r="O17" s="536">
        <f t="shared" si="5"/>
        <v>0</v>
      </c>
      <c r="P17" s="860">
        <v>0</v>
      </c>
      <c r="Q17" s="536">
        <v>0</v>
      </c>
      <c r="R17" s="536">
        <f t="shared" si="6"/>
        <v>0</v>
      </c>
      <c r="S17" s="860">
        <v>0</v>
      </c>
      <c r="T17" s="536">
        <v>0</v>
      </c>
      <c r="U17" s="536">
        <f t="shared" si="7"/>
        <v>0</v>
      </c>
      <c r="V17" s="860">
        <v>9.6050000000000004</v>
      </c>
      <c r="W17" s="536">
        <f t="shared" si="1"/>
        <v>10</v>
      </c>
      <c r="X17" s="536">
        <f t="shared" si="8"/>
        <v>20</v>
      </c>
      <c r="Y17" s="860">
        <v>21.559000000000001</v>
      </c>
      <c r="Z17" s="536">
        <f t="shared" si="16"/>
        <v>22</v>
      </c>
      <c r="AA17" s="536">
        <f t="shared" si="9"/>
        <v>44</v>
      </c>
      <c r="AB17" s="860">
        <v>0</v>
      </c>
      <c r="AC17" s="536">
        <v>0</v>
      </c>
      <c r="AD17" s="536">
        <f t="shared" si="10"/>
        <v>0</v>
      </c>
      <c r="AE17" s="860">
        <v>20.690999999999999</v>
      </c>
      <c r="AF17" s="536">
        <f t="shared" si="14"/>
        <v>21</v>
      </c>
      <c r="AG17" s="536">
        <f t="shared" si="11"/>
        <v>42</v>
      </c>
      <c r="AH17" s="860">
        <v>20.690999999999999</v>
      </c>
      <c r="AI17" s="690">
        <f t="shared" si="15"/>
        <v>21</v>
      </c>
      <c r="AJ17" s="536">
        <f t="shared" si="12"/>
        <v>42</v>
      </c>
      <c r="AK17" s="860">
        <v>0</v>
      </c>
      <c r="AL17" s="536">
        <v>0</v>
      </c>
      <c r="AM17" s="536">
        <f t="shared" si="13"/>
        <v>0</v>
      </c>
      <c r="AN17" s="555">
        <v>0</v>
      </c>
      <c r="AO17" s="555">
        <v>0</v>
      </c>
      <c r="AP17" s="555">
        <v>2.2530000000000001</v>
      </c>
      <c r="AQ17" s="555">
        <v>0.17299999999999999</v>
      </c>
      <c r="AR17" s="555">
        <v>5.0000000000000001E-3</v>
      </c>
      <c r="AS17" s="555">
        <v>2.7E-2</v>
      </c>
      <c r="AT17" s="555">
        <v>2.04</v>
      </c>
      <c r="AU17" s="555">
        <v>4.2999999999999997E-2</v>
      </c>
    </row>
    <row r="18" spans="1:48" ht="31.75" hidden="1">
      <c r="A18" s="914"/>
      <c r="B18" s="186" t="s">
        <v>296</v>
      </c>
      <c r="C18" s="186" t="s">
        <v>36</v>
      </c>
      <c r="D18" s="860">
        <v>84.710999999999999</v>
      </c>
      <c r="E18" s="195">
        <f t="shared" si="0"/>
        <v>80</v>
      </c>
      <c r="F18" s="195">
        <f t="shared" si="2"/>
        <v>160</v>
      </c>
      <c r="G18" s="860">
        <v>0</v>
      </c>
      <c r="H18" s="536">
        <v>0</v>
      </c>
      <c r="I18" s="536">
        <f t="shared" si="3"/>
        <v>0</v>
      </c>
      <c r="J18" s="860">
        <v>0</v>
      </c>
      <c r="K18" s="536">
        <v>0</v>
      </c>
      <c r="L18" s="536">
        <f t="shared" si="4"/>
        <v>0</v>
      </c>
      <c r="M18" s="860">
        <v>0</v>
      </c>
      <c r="N18" s="536">
        <v>0</v>
      </c>
      <c r="O18" s="536">
        <f t="shared" si="5"/>
        <v>0</v>
      </c>
      <c r="P18" s="860">
        <v>0</v>
      </c>
      <c r="Q18" s="536">
        <v>0</v>
      </c>
      <c r="R18" s="536">
        <f t="shared" si="6"/>
        <v>0</v>
      </c>
      <c r="S18" s="860">
        <v>0</v>
      </c>
      <c r="T18" s="536">
        <v>0</v>
      </c>
      <c r="U18" s="536">
        <f t="shared" si="7"/>
        <v>0</v>
      </c>
      <c r="V18" s="860">
        <v>9.1750000000000007</v>
      </c>
      <c r="W18" s="536">
        <f t="shared" si="1"/>
        <v>10</v>
      </c>
      <c r="X18" s="536">
        <f t="shared" si="8"/>
        <v>20</v>
      </c>
      <c r="Y18" s="860">
        <v>21.405999999999999</v>
      </c>
      <c r="Z18" s="536">
        <f t="shared" si="16"/>
        <v>21</v>
      </c>
      <c r="AA18" s="536">
        <f t="shared" si="9"/>
        <v>42</v>
      </c>
      <c r="AB18" s="860">
        <v>0</v>
      </c>
      <c r="AC18" s="536">
        <v>0</v>
      </c>
      <c r="AD18" s="536">
        <f t="shared" si="10"/>
        <v>0</v>
      </c>
      <c r="AE18" s="860">
        <v>20.736000000000001</v>
      </c>
      <c r="AF18" s="536">
        <f t="shared" si="14"/>
        <v>21</v>
      </c>
      <c r="AG18" s="536">
        <f t="shared" si="11"/>
        <v>42</v>
      </c>
      <c r="AH18" s="860">
        <v>20.736000000000001</v>
      </c>
      <c r="AI18" s="690">
        <f t="shared" si="15"/>
        <v>21</v>
      </c>
      <c r="AJ18" s="536">
        <f t="shared" si="12"/>
        <v>42</v>
      </c>
      <c r="AK18" s="860">
        <v>0</v>
      </c>
      <c r="AL18" s="536">
        <v>0</v>
      </c>
      <c r="AM18" s="536">
        <f t="shared" si="13"/>
        <v>0</v>
      </c>
      <c r="AN18" s="555">
        <v>0</v>
      </c>
      <c r="AO18" s="555">
        <v>0</v>
      </c>
      <c r="AP18" s="555">
        <v>2.3450000000000002</v>
      </c>
      <c r="AQ18" s="555">
        <v>0.18</v>
      </c>
      <c r="AR18" s="555">
        <v>4.0000000000000001E-3</v>
      </c>
      <c r="AS18" s="555">
        <v>2.1999999999999999E-2</v>
      </c>
      <c r="AT18" s="555">
        <v>0.45400000000000001</v>
      </c>
      <c r="AU18" s="555">
        <v>0.01</v>
      </c>
    </row>
    <row r="19" spans="1:48" ht="31.75" hidden="1">
      <c r="A19" s="914"/>
      <c r="B19" s="186" t="s">
        <v>296</v>
      </c>
      <c r="C19" s="186" t="s">
        <v>65</v>
      </c>
      <c r="D19" s="860">
        <v>87.828999999999994</v>
      </c>
      <c r="E19" s="195">
        <f t="shared" si="0"/>
        <v>90</v>
      </c>
      <c r="F19" s="195">
        <f t="shared" si="2"/>
        <v>180</v>
      </c>
      <c r="G19" s="860">
        <v>0</v>
      </c>
      <c r="H19" s="536">
        <v>0</v>
      </c>
      <c r="I19" s="536">
        <f t="shared" si="3"/>
        <v>0</v>
      </c>
      <c r="J19" s="860">
        <v>0</v>
      </c>
      <c r="K19" s="536">
        <v>0</v>
      </c>
      <c r="L19" s="536">
        <f t="shared" si="4"/>
        <v>0</v>
      </c>
      <c r="M19" s="860">
        <v>0</v>
      </c>
      <c r="N19" s="536">
        <v>0</v>
      </c>
      <c r="O19" s="536">
        <f t="shared" si="5"/>
        <v>0</v>
      </c>
      <c r="P19" s="860">
        <v>0</v>
      </c>
      <c r="Q19" s="536">
        <v>0</v>
      </c>
      <c r="R19" s="536">
        <f t="shared" si="6"/>
        <v>0</v>
      </c>
      <c r="S19" s="860">
        <v>0</v>
      </c>
      <c r="T19" s="536">
        <v>0</v>
      </c>
      <c r="U19" s="536">
        <f t="shared" si="7"/>
        <v>0</v>
      </c>
      <c r="V19" s="860">
        <v>12.565</v>
      </c>
      <c r="W19" s="536">
        <f t="shared" si="1"/>
        <v>15</v>
      </c>
      <c r="X19" s="536">
        <f t="shared" si="8"/>
        <v>30</v>
      </c>
      <c r="Y19" s="860">
        <v>22.195</v>
      </c>
      <c r="Z19" s="536">
        <f t="shared" si="16"/>
        <v>22</v>
      </c>
      <c r="AA19" s="536">
        <f t="shared" si="9"/>
        <v>44</v>
      </c>
      <c r="AB19" s="860">
        <v>0</v>
      </c>
      <c r="AC19" s="536">
        <v>0</v>
      </c>
      <c r="AD19" s="536">
        <f t="shared" si="10"/>
        <v>0</v>
      </c>
      <c r="AE19" s="860">
        <v>20.891999999999999</v>
      </c>
      <c r="AF19" s="536">
        <f t="shared" si="14"/>
        <v>21</v>
      </c>
      <c r="AG19" s="536">
        <f t="shared" si="11"/>
        <v>42</v>
      </c>
      <c r="AH19" s="860">
        <v>20.891999999999999</v>
      </c>
      <c r="AI19" s="690">
        <f t="shared" si="15"/>
        <v>21</v>
      </c>
      <c r="AJ19" s="536">
        <f t="shared" si="12"/>
        <v>42</v>
      </c>
      <c r="AK19" s="860">
        <v>0</v>
      </c>
      <c r="AL19" s="536">
        <v>0</v>
      </c>
      <c r="AM19" s="536">
        <f t="shared" si="13"/>
        <v>0</v>
      </c>
      <c r="AN19" s="555">
        <v>0</v>
      </c>
      <c r="AO19" s="555">
        <v>0</v>
      </c>
      <c r="AP19" s="555">
        <v>2.266</v>
      </c>
      <c r="AQ19" s="555">
        <v>0.17399999999999999</v>
      </c>
      <c r="AR19" s="555">
        <v>7.0000000000000001E-3</v>
      </c>
      <c r="AS19" s="555">
        <v>3.9E-2</v>
      </c>
      <c r="AT19" s="555">
        <v>0.28599999999999998</v>
      </c>
      <c r="AU19" s="555">
        <v>6.0000000000000001E-3</v>
      </c>
    </row>
    <row r="20" spans="1:48" ht="31.75" hidden="1">
      <c r="A20" s="914"/>
      <c r="B20" s="186" t="s">
        <v>296</v>
      </c>
      <c r="C20" s="186" t="s">
        <v>29</v>
      </c>
      <c r="D20" s="860">
        <v>86.552000000000007</v>
      </c>
      <c r="E20" s="195">
        <f t="shared" si="0"/>
        <v>90</v>
      </c>
      <c r="F20" s="195">
        <f t="shared" si="2"/>
        <v>180</v>
      </c>
      <c r="G20" s="860">
        <v>0</v>
      </c>
      <c r="H20" s="536">
        <v>0</v>
      </c>
      <c r="I20" s="536">
        <f t="shared" si="3"/>
        <v>0</v>
      </c>
      <c r="J20" s="860">
        <v>0</v>
      </c>
      <c r="K20" s="536">
        <v>0</v>
      </c>
      <c r="L20" s="536">
        <f t="shared" si="4"/>
        <v>0</v>
      </c>
      <c r="M20" s="860">
        <v>0</v>
      </c>
      <c r="N20" s="536">
        <v>0</v>
      </c>
      <c r="O20" s="536">
        <f t="shared" si="5"/>
        <v>0</v>
      </c>
      <c r="P20" s="860">
        <v>0</v>
      </c>
      <c r="Q20" s="536">
        <v>0</v>
      </c>
      <c r="R20" s="536">
        <f t="shared" si="6"/>
        <v>0</v>
      </c>
      <c r="S20" s="860">
        <v>0</v>
      </c>
      <c r="T20" s="536">
        <v>0</v>
      </c>
      <c r="U20" s="536">
        <f t="shared" si="7"/>
        <v>0</v>
      </c>
      <c r="V20" s="860">
        <v>12.243</v>
      </c>
      <c r="W20" s="536">
        <f t="shared" si="1"/>
        <v>10</v>
      </c>
      <c r="X20" s="536">
        <f t="shared" si="8"/>
        <v>20</v>
      </c>
      <c r="Y20" s="860">
        <v>21.940999999999999</v>
      </c>
      <c r="Z20" s="536">
        <f t="shared" si="16"/>
        <v>22</v>
      </c>
      <c r="AA20" s="536">
        <f t="shared" si="9"/>
        <v>44</v>
      </c>
      <c r="AB20" s="860">
        <v>8.9999999999999993E-3</v>
      </c>
      <c r="AC20" s="536">
        <v>0</v>
      </c>
      <c r="AD20" s="536">
        <f t="shared" si="10"/>
        <v>0</v>
      </c>
      <c r="AE20" s="860">
        <v>21.367999999999999</v>
      </c>
      <c r="AF20" s="536">
        <f t="shared" si="14"/>
        <v>21</v>
      </c>
      <c r="AG20" s="536">
        <f t="shared" si="11"/>
        <v>42</v>
      </c>
      <c r="AH20" s="860">
        <v>21.367999999999999</v>
      </c>
      <c r="AI20" s="690">
        <f t="shared" si="15"/>
        <v>21</v>
      </c>
      <c r="AJ20" s="536">
        <f t="shared" si="12"/>
        <v>42</v>
      </c>
      <c r="AK20" s="860">
        <v>0</v>
      </c>
      <c r="AL20" s="536">
        <v>0</v>
      </c>
      <c r="AM20" s="536">
        <f t="shared" si="13"/>
        <v>0</v>
      </c>
      <c r="AN20" s="555">
        <v>0</v>
      </c>
      <c r="AO20" s="555">
        <v>0</v>
      </c>
      <c r="AP20" s="555">
        <v>2.8639999999999999</v>
      </c>
      <c r="AQ20" s="555">
        <v>0.22</v>
      </c>
      <c r="AR20" s="555">
        <v>1.9E-2</v>
      </c>
      <c r="AS20" s="555">
        <v>0.10299999999999999</v>
      </c>
      <c r="AT20" s="555">
        <v>0.29199999999999998</v>
      </c>
      <c r="AU20" s="555">
        <v>6.0000000000000001E-3</v>
      </c>
    </row>
    <row r="21" spans="1:48" ht="31.75" hidden="1">
      <c r="A21" s="914"/>
      <c r="B21" s="186" t="s">
        <v>296</v>
      </c>
      <c r="C21" s="186" t="s">
        <v>310</v>
      </c>
      <c r="D21" s="859">
        <v>87.984999999999999</v>
      </c>
      <c r="E21" s="195">
        <f t="shared" si="0"/>
        <v>90</v>
      </c>
      <c r="F21" s="195">
        <f t="shared" si="2"/>
        <v>180</v>
      </c>
      <c r="G21" s="859">
        <v>0</v>
      </c>
      <c r="H21" s="536">
        <v>0</v>
      </c>
      <c r="I21" s="536">
        <f t="shared" si="3"/>
        <v>0</v>
      </c>
      <c r="J21" s="859">
        <v>0</v>
      </c>
      <c r="K21" s="536">
        <v>0</v>
      </c>
      <c r="L21" s="536">
        <f t="shared" si="4"/>
        <v>0</v>
      </c>
      <c r="M21" s="859">
        <v>0</v>
      </c>
      <c r="N21" s="536">
        <v>0</v>
      </c>
      <c r="O21" s="536">
        <f t="shared" si="5"/>
        <v>0</v>
      </c>
      <c r="P21" s="859">
        <v>0</v>
      </c>
      <c r="Q21" s="536">
        <v>0</v>
      </c>
      <c r="R21" s="536">
        <f t="shared" si="6"/>
        <v>0</v>
      </c>
      <c r="S21" s="859">
        <v>0</v>
      </c>
      <c r="T21" s="536">
        <v>0</v>
      </c>
      <c r="U21" s="536">
        <f t="shared" si="7"/>
        <v>0</v>
      </c>
      <c r="V21" s="859">
        <v>9.8109999999999999</v>
      </c>
      <c r="W21" s="536">
        <f t="shared" si="1"/>
        <v>10</v>
      </c>
      <c r="X21" s="536">
        <f t="shared" si="8"/>
        <v>20</v>
      </c>
      <c r="Y21" s="859">
        <v>22.303999999999998</v>
      </c>
      <c r="Z21" s="536">
        <f t="shared" si="16"/>
        <v>22</v>
      </c>
      <c r="AA21" s="536">
        <f t="shared" si="9"/>
        <v>44</v>
      </c>
      <c r="AB21" s="859">
        <v>0</v>
      </c>
      <c r="AC21" s="536">
        <v>0</v>
      </c>
      <c r="AD21" s="536">
        <f t="shared" si="10"/>
        <v>0</v>
      </c>
      <c r="AE21" s="859">
        <v>21.405999999999999</v>
      </c>
      <c r="AF21" s="536">
        <f t="shared" si="14"/>
        <v>21</v>
      </c>
      <c r="AG21" s="536">
        <f t="shared" si="11"/>
        <v>42</v>
      </c>
      <c r="AH21" s="859">
        <v>21.405999999999999</v>
      </c>
      <c r="AI21" s="690">
        <f t="shared" si="15"/>
        <v>21</v>
      </c>
      <c r="AJ21" s="536">
        <f t="shared" si="12"/>
        <v>42</v>
      </c>
      <c r="AK21" s="859">
        <v>0</v>
      </c>
      <c r="AL21" s="536">
        <v>0</v>
      </c>
      <c r="AM21" s="536">
        <f t="shared" si="13"/>
        <v>0</v>
      </c>
      <c r="AN21" s="554">
        <v>0</v>
      </c>
      <c r="AO21" s="554">
        <v>0</v>
      </c>
      <c r="AP21" s="554">
        <v>2.2269999999999999</v>
      </c>
      <c r="AQ21" s="554">
        <v>0.17100000000000001</v>
      </c>
      <c r="AR21" s="554">
        <v>5.0000000000000001E-3</v>
      </c>
      <c r="AS21" s="554">
        <v>2.8000000000000001E-2</v>
      </c>
      <c r="AT21" s="554">
        <v>0.21299999999999999</v>
      </c>
      <c r="AU21" s="554">
        <v>5.0000000000000001E-3</v>
      </c>
    </row>
    <row r="22" spans="1:48" s="212" customFormat="1" ht="31.75" hidden="1">
      <c r="A22" s="914"/>
      <c r="B22" s="186" t="s">
        <v>296</v>
      </c>
      <c r="C22" s="186" t="s">
        <v>180</v>
      </c>
      <c r="D22" s="889">
        <v>81.013000000000005</v>
      </c>
      <c r="E22" s="195">
        <f t="shared" si="0"/>
        <v>80</v>
      </c>
      <c r="F22" s="195">
        <f t="shared" si="2"/>
        <v>160</v>
      </c>
      <c r="G22" s="889">
        <v>0</v>
      </c>
      <c r="H22" s="536">
        <v>0</v>
      </c>
      <c r="I22" s="536">
        <f t="shared" si="3"/>
        <v>0</v>
      </c>
      <c r="J22" s="889">
        <v>0</v>
      </c>
      <c r="K22" s="536">
        <v>0</v>
      </c>
      <c r="L22" s="536">
        <f t="shared" si="4"/>
        <v>0</v>
      </c>
      <c r="M22" s="889">
        <v>0</v>
      </c>
      <c r="N22" s="536">
        <v>0</v>
      </c>
      <c r="O22" s="536">
        <f t="shared" si="5"/>
        <v>0</v>
      </c>
      <c r="P22" s="889">
        <v>0</v>
      </c>
      <c r="Q22" s="536">
        <v>0</v>
      </c>
      <c r="R22" s="536">
        <f t="shared" si="6"/>
        <v>0</v>
      </c>
      <c r="S22" s="889">
        <v>0</v>
      </c>
      <c r="T22" s="536">
        <v>0</v>
      </c>
      <c r="U22" s="536">
        <f t="shared" si="7"/>
        <v>0</v>
      </c>
      <c r="V22" s="889">
        <v>36.552</v>
      </c>
      <c r="W22" s="536">
        <f t="shared" si="1"/>
        <v>35</v>
      </c>
      <c r="X22" s="536">
        <f t="shared" si="8"/>
        <v>70</v>
      </c>
      <c r="Y22" s="889">
        <v>20.727</v>
      </c>
      <c r="Z22" s="536">
        <f t="shared" si="16"/>
        <v>21</v>
      </c>
      <c r="AA22" s="536">
        <f t="shared" si="9"/>
        <v>42</v>
      </c>
      <c r="AB22" s="889">
        <v>7.0000000000000001E-3</v>
      </c>
      <c r="AC22" s="536">
        <v>0</v>
      </c>
      <c r="AD22" s="536">
        <f t="shared" si="10"/>
        <v>0</v>
      </c>
      <c r="AE22" s="889">
        <v>18.86</v>
      </c>
      <c r="AF22" s="536">
        <f t="shared" si="14"/>
        <v>19</v>
      </c>
      <c r="AG22" s="536">
        <f t="shared" si="11"/>
        <v>38</v>
      </c>
      <c r="AH22" s="889">
        <v>18.86</v>
      </c>
      <c r="AI22" s="690">
        <f t="shared" si="15"/>
        <v>19</v>
      </c>
      <c r="AJ22" s="536">
        <f t="shared" si="12"/>
        <v>38</v>
      </c>
      <c r="AK22" s="889">
        <v>1E-3</v>
      </c>
      <c r="AL22" s="536">
        <v>0</v>
      </c>
      <c r="AM22" s="536">
        <f t="shared" si="13"/>
        <v>0</v>
      </c>
      <c r="AN22" s="555">
        <v>0</v>
      </c>
      <c r="AO22" s="555">
        <v>0</v>
      </c>
      <c r="AP22" s="555">
        <v>2.8119999999999998</v>
      </c>
      <c r="AQ22" s="555">
        <v>0.216</v>
      </c>
      <c r="AR22" s="555">
        <v>0.19</v>
      </c>
      <c r="AS22" s="555">
        <v>1.056</v>
      </c>
      <c r="AT22" s="555">
        <v>7.2450000000000001</v>
      </c>
      <c r="AU22" s="555">
        <v>0.154</v>
      </c>
      <c r="AV22" s="248"/>
    </row>
    <row r="23" spans="1:48" ht="31.75" hidden="1">
      <c r="A23" s="914"/>
      <c r="B23" s="186" t="s">
        <v>296</v>
      </c>
      <c r="C23" s="186" t="s">
        <v>45</v>
      </c>
      <c r="D23" s="889">
        <v>77.528999999999996</v>
      </c>
      <c r="E23" s="195">
        <f t="shared" si="0"/>
        <v>80</v>
      </c>
      <c r="F23" s="195">
        <f t="shared" si="2"/>
        <v>160</v>
      </c>
      <c r="G23" s="889">
        <v>0</v>
      </c>
      <c r="H23" s="536">
        <v>0</v>
      </c>
      <c r="I23" s="536">
        <f t="shared" si="3"/>
        <v>0</v>
      </c>
      <c r="J23" s="889">
        <v>0</v>
      </c>
      <c r="K23" s="536">
        <v>0</v>
      </c>
      <c r="L23" s="536">
        <f t="shared" si="4"/>
        <v>0</v>
      </c>
      <c r="M23" s="889">
        <v>0</v>
      </c>
      <c r="N23" s="536">
        <v>0</v>
      </c>
      <c r="O23" s="536">
        <f t="shared" si="5"/>
        <v>0</v>
      </c>
      <c r="P23" s="860">
        <v>0</v>
      </c>
      <c r="Q23" s="536">
        <v>0</v>
      </c>
      <c r="R23" s="536">
        <f t="shared" si="6"/>
        <v>0</v>
      </c>
      <c r="S23" s="889">
        <v>0</v>
      </c>
      <c r="T23" s="536">
        <v>0</v>
      </c>
      <c r="U23" s="536">
        <f t="shared" si="7"/>
        <v>0</v>
      </c>
      <c r="V23" s="889">
        <v>9.4190000000000005</v>
      </c>
      <c r="W23" s="536">
        <f t="shared" si="1"/>
        <v>10</v>
      </c>
      <c r="X23" s="536">
        <f t="shared" si="8"/>
        <v>20</v>
      </c>
      <c r="Y23" s="889">
        <v>19.54</v>
      </c>
      <c r="Z23" s="536">
        <f t="shared" si="16"/>
        <v>20</v>
      </c>
      <c r="AA23" s="536">
        <f t="shared" si="9"/>
        <v>40</v>
      </c>
      <c r="AB23" s="889">
        <v>0</v>
      </c>
      <c r="AC23" s="536">
        <v>0</v>
      </c>
      <c r="AD23" s="536">
        <f t="shared" si="10"/>
        <v>0</v>
      </c>
      <c r="AE23" s="889">
        <v>18.751000000000001</v>
      </c>
      <c r="AF23" s="536">
        <f t="shared" si="14"/>
        <v>19</v>
      </c>
      <c r="AG23" s="536">
        <f t="shared" si="11"/>
        <v>38</v>
      </c>
      <c r="AH23" s="889">
        <v>18.677</v>
      </c>
      <c r="AI23" s="690">
        <f t="shared" si="15"/>
        <v>19</v>
      </c>
      <c r="AJ23" s="536">
        <f t="shared" si="12"/>
        <v>38</v>
      </c>
      <c r="AK23" s="889">
        <v>2E-3</v>
      </c>
      <c r="AL23" s="536">
        <v>0</v>
      </c>
      <c r="AM23" s="536">
        <f t="shared" si="13"/>
        <v>0</v>
      </c>
      <c r="AN23" s="555">
        <v>0</v>
      </c>
      <c r="AO23" s="555">
        <v>0</v>
      </c>
      <c r="AP23" s="555">
        <v>2.3980000000000001</v>
      </c>
      <c r="AQ23" s="555">
        <v>0.184</v>
      </c>
      <c r="AR23" s="555">
        <v>8.0000000000000002E-3</v>
      </c>
      <c r="AS23" s="555">
        <v>4.2999999999999997E-2</v>
      </c>
      <c r="AT23" s="555">
        <v>2.7789999999999999</v>
      </c>
      <c r="AU23" s="555">
        <v>5.8999999999999997E-2</v>
      </c>
    </row>
    <row r="24" spans="1:48" ht="31.75" hidden="1">
      <c r="A24" s="914"/>
      <c r="B24" s="186" t="s">
        <v>296</v>
      </c>
      <c r="C24" s="186" t="s">
        <v>314</v>
      </c>
      <c r="D24" s="859">
        <v>88.718999999999994</v>
      </c>
      <c r="E24" s="195">
        <f t="shared" si="0"/>
        <v>90</v>
      </c>
      <c r="F24" s="195">
        <f t="shared" si="2"/>
        <v>180</v>
      </c>
      <c r="G24" s="859">
        <v>0</v>
      </c>
      <c r="H24" s="536">
        <v>0</v>
      </c>
      <c r="I24" s="536">
        <f t="shared" si="3"/>
        <v>0</v>
      </c>
      <c r="J24" s="859">
        <v>0</v>
      </c>
      <c r="K24" s="536">
        <v>0</v>
      </c>
      <c r="L24" s="536">
        <f t="shared" si="4"/>
        <v>0</v>
      </c>
      <c r="M24" s="859">
        <v>0</v>
      </c>
      <c r="N24" s="536">
        <v>0</v>
      </c>
      <c r="O24" s="536">
        <f t="shared" si="5"/>
        <v>0</v>
      </c>
      <c r="P24" s="859">
        <v>0</v>
      </c>
      <c r="Q24" s="536">
        <v>0</v>
      </c>
      <c r="R24" s="536">
        <f t="shared" si="6"/>
        <v>0</v>
      </c>
      <c r="S24" s="859">
        <v>0</v>
      </c>
      <c r="T24" s="536">
        <v>0</v>
      </c>
      <c r="U24" s="536">
        <f t="shared" si="7"/>
        <v>0</v>
      </c>
      <c r="V24" s="859">
        <v>9.798</v>
      </c>
      <c r="W24" s="536">
        <f t="shared" si="1"/>
        <v>10</v>
      </c>
      <c r="X24" s="536">
        <f t="shared" si="8"/>
        <v>20</v>
      </c>
      <c r="Y24" s="859">
        <v>22.155000000000001</v>
      </c>
      <c r="Z24" s="536">
        <f t="shared" si="16"/>
        <v>22</v>
      </c>
      <c r="AA24" s="536">
        <f t="shared" si="9"/>
        <v>44</v>
      </c>
      <c r="AB24" s="859">
        <v>1.6E-2</v>
      </c>
      <c r="AC24" s="536">
        <v>0</v>
      </c>
      <c r="AD24" s="536">
        <f t="shared" si="10"/>
        <v>0</v>
      </c>
      <c r="AE24" s="859">
        <v>20.888000000000002</v>
      </c>
      <c r="AF24" s="536">
        <f t="shared" si="14"/>
        <v>21</v>
      </c>
      <c r="AG24" s="536">
        <f t="shared" si="11"/>
        <v>42</v>
      </c>
      <c r="AH24" s="859">
        <v>20.888000000000002</v>
      </c>
      <c r="AI24" s="690">
        <f t="shared" si="15"/>
        <v>21</v>
      </c>
      <c r="AJ24" s="536">
        <f t="shared" si="12"/>
        <v>42</v>
      </c>
      <c r="AK24" s="859">
        <v>2E-3</v>
      </c>
      <c r="AL24" s="536">
        <v>0</v>
      </c>
      <c r="AM24" s="536">
        <f t="shared" si="13"/>
        <v>0</v>
      </c>
      <c r="AN24" s="554">
        <v>0</v>
      </c>
      <c r="AO24" s="554">
        <v>0</v>
      </c>
      <c r="AP24" s="554">
        <v>2.2839999999999998</v>
      </c>
      <c r="AQ24" s="554">
        <v>0.17599999999999999</v>
      </c>
      <c r="AR24" s="554">
        <v>5.0000000000000001E-3</v>
      </c>
      <c r="AS24" s="554">
        <v>2.8000000000000001E-2</v>
      </c>
      <c r="AT24" s="554">
        <v>0.35399999999999998</v>
      </c>
      <c r="AU24" s="554">
        <v>8.0000000000000002E-3</v>
      </c>
    </row>
    <row r="25" spans="1:48" hidden="1">
      <c r="A25" s="914"/>
      <c r="B25" s="186" t="s">
        <v>410</v>
      </c>
      <c r="C25" s="186" t="s">
        <v>395</v>
      </c>
      <c r="D25" s="860">
        <v>37.987000000000002</v>
      </c>
      <c r="E25" s="195">
        <f t="shared" si="0"/>
        <v>40</v>
      </c>
      <c r="F25" s="195">
        <f t="shared" si="2"/>
        <v>80</v>
      </c>
      <c r="G25" s="860">
        <v>2.7E-2</v>
      </c>
      <c r="H25" s="536">
        <v>0</v>
      </c>
      <c r="I25" s="536">
        <f t="shared" si="3"/>
        <v>0</v>
      </c>
      <c r="J25" s="860">
        <v>3.0000000000000001E-3</v>
      </c>
      <c r="K25" s="536">
        <v>0</v>
      </c>
      <c r="L25" s="536">
        <f t="shared" si="4"/>
        <v>0</v>
      </c>
      <c r="M25" s="860">
        <v>2E-3</v>
      </c>
      <c r="N25" s="536">
        <v>0</v>
      </c>
      <c r="O25" s="536">
        <f t="shared" si="5"/>
        <v>0</v>
      </c>
      <c r="P25" s="860">
        <v>0</v>
      </c>
      <c r="Q25" s="536">
        <v>0</v>
      </c>
      <c r="R25" s="536">
        <f t="shared" si="6"/>
        <v>0</v>
      </c>
      <c r="S25" s="860">
        <v>0</v>
      </c>
      <c r="T25" s="536">
        <v>0</v>
      </c>
      <c r="U25" s="536">
        <f t="shared" si="7"/>
        <v>0</v>
      </c>
      <c r="V25" s="860">
        <v>7.9409999999999998</v>
      </c>
      <c r="W25" s="536">
        <f t="shared" si="1"/>
        <v>10</v>
      </c>
      <c r="X25" s="536">
        <f t="shared" si="8"/>
        <v>20</v>
      </c>
      <c r="Y25" s="860">
        <v>13.244</v>
      </c>
      <c r="Z25" s="536">
        <f t="shared" si="16"/>
        <v>13</v>
      </c>
      <c r="AA25" s="536">
        <f t="shared" si="9"/>
        <v>26</v>
      </c>
      <c r="AB25" s="860">
        <v>5.0000000000000001E-3</v>
      </c>
      <c r="AC25" s="536">
        <v>0</v>
      </c>
      <c r="AD25" s="536">
        <f t="shared" si="10"/>
        <v>0</v>
      </c>
      <c r="AE25" s="860">
        <v>4.7E-2</v>
      </c>
      <c r="AF25" s="536">
        <v>0</v>
      </c>
      <c r="AG25" s="536">
        <f t="shared" si="11"/>
        <v>0</v>
      </c>
      <c r="AH25" s="860">
        <v>0</v>
      </c>
      <c r="AI25" s="536">
        <v>0</v>
      </c>
      <c r="AJ25" s="536">
        <f t="shared" si="12"/>
        <v>0</v>
      </c>
      <c r="AK25" s="860">
        <v>4.0000000000000001E-3</v>
      </c>
      <c r="AL25" s="536">
        <v>0</v>
      </c>
      <c r="AM25" s="536">
        <f t="shared" si="13"/>
        <v>0</v>
      </c>
      <c r="AN25" s="555">
        <v>0</v>
      </c>
      <c r="AO25" s="555">
        <v>0</v>
      </c>
      <c r="AP25" s="555">
        <v>4.0599999999999996</v>
      </c>
      <c r="AQ25" s="555">
        <v>0.312</v>
      </c>
      <c r="AR25" s="555">
        <v>2.1000000000000001E-2</v>
      </c>
      <c r="AS25" s="555">
        <v>0.115</v>
      </c>
      <c r="AT25" s="555">
        <v>7.2370000000000001</v>
      </c>
      <c r="AU25" s="555">
        <v>0.154</v>
      </c>
    </row>
    <row r="26" spans="1:48" ht="31.75" hidden="1">
      <c r="A26" s="914"/>
      <c r="B26" s="186" t="s">
        <v>296</v>
      </c>
      <c r="C26" s="186" t="s">
        <v>304</v>
      </c>
      <c r="D26" s="860">
        <v>69.677000000000007</v>
      </c>
      <c r="E26" s="195">
        <f t="shared" si="0"/>
        <v>70</v>
      </c>
      <c r="F26" s="195">
        <f t="shared" si="2"/>
        <v>140</v>
      </c>
      <c r="G26" s="860">
        <v>1.2E-2</v>
      </c>
      <c r="H26" s="536">
        <v>0</v>
      </c>
      <c r="I26" s="536">
        <f t="shared" si="3"/>
        <v>0</v>
      </c>
      <c r="J26" s="860">
        <v>1E-3</v>
      </c>
      <c r="K26" s="536">
        <v>0</v>
      </c>
      <c r="L26" s="536">
        <f t="shared" si="4"/>
        <v>0</v>
      </c>
      <c r="M26" s="860">
        <v>0</v>
      </c>
      <c r="N26" s="536">
        <v>0</v>
      </c>
      <c r="O26" s="536">
        <f t="shared" si="5"/>
        <v>0</v>
      </c>
      <c r="P26" s="860">
        <v>0</v>
      </c>
      <c r="Q26" s="536">
        <v>0</v>
      </c>
      <c r="R26" s="536">
        <f t="shared" si="6"/>
        <v>0</v>
      </c>
      <c r="S26" s="860">
        <v>0</v>
      </c>
      <c r="T26" s="536">
        <v>0</v>
      </c>
      <c r="U26" s="536">
        <f t="shared" si="7"/>
        <v>0</v>
      </c>
      <c r="V26" s="860">
        <v>9.7539999999999996</v>
      </c>
      <c r="W26" s="536">
        <f t="shared" si="1"/>
        <v>10</v>
      </c>
      <c r="X26" s="536">
        <f t="shared" si="8"/>
        <v>20</v>
      </c>
      <c r="Y26" s="860">
        <v>17.614999999999998</v>
      </c>
      <c r="Z26" s="536">
        <f t="shared" si="16"/>
        <v>18</v>
      </c>
      <c r="AA26" s="536">
        <f t="shared" si="9"/>
        <v>36</v>
      </c>
      <c r="AB26" s="860">
        <v>2.1000000000000001E-2</v>
      </c>
      <c r="AC26" s="536">
        <v>0</v>
      </c>
      <c r="AD26" s="536">
        <f t="shared" si="10"/>
        <v>0</v>
      </c>
      <c r="AE26" s="860">
        <v>16.765999999999998</v>
      </c>
      <c r="AF26" s="536">
        <f>MROUND(AE26,1)</f>
        <v>17</v>
      </c>
      <c r="AG26" s="536">
        <f t="shared" si="11"/>
        <v>34</v>
      </c>
      <c r="AH26" s="860">
        <v>16.724</v>
      </c>
      <c r="AI26" s="690">
        <f>MROUND(AH26,1)</f>
        <v>17</v>
      </c>
      <c r="AJ26" s="536">
        <f t="shared" si="12"/>
        <v>34</v>
      </c>
      <c r="AK26" s="860">
        <v>6.0000000000000001E-3</v>
      </c>
      <c r="AL26" s="536">
        <v>0</v>
      </c>
      <c r="AM26" s="536">
        <f t="shared" si="13"/>
        <v>0</v>
      </c>
      <c r="AN26" s="555">
        <v>0</v>
      </c>
      <c r="AO26" s="555">
        <v>0</v>
      </c>
      <c r="AP26" s="536">
        <v>2.6659999999999999</v>
      </c>
      <c r="AQ26" s="536">
        <v>0.20499999999999999</v>
      </c>
      <c r="AR26" s="536">
        <v>7.0000000000000001E-3</v>
      </c>
      <c r="AS26" s="536">
        <v>3.9E-2</v>
      </c>
      <c r="AT26" s="536">
        <v>1.0369999999999999</v>
      </c>
      <c r="AU26" s="536">
        <v>2.1999999999999999E-2</v>
      </c>
    </row>
    <row r="27" spans="1:48" ht="31.75" hidden="1">
      <c r="A27" s="914"/>
      <c r="B27" s="186" t="s">
        <v>296</v>
      </c>
      <c r="C27" s="186" t="s">
        <v>51</v>
      </c>
      <c r="D27" s="860">
        <v>85.215000000000003</v>
      </c>
      <c r="E27" s="195">
        <f t="shared" si="0"/>
        <v>90</v>
      </c>
      <c r="F27" s="195">
        <f t="shared" si="2"/>
        <v>180</v>
      </c>
      <c r="G27" s="860">
        <v>2.7E-2</v>
      </c>
      <c r="H27" s="536">
        <v>0</v>
      </c>
      <c r="I27" s="536">
        <f t="shared" si="3"/>
        <v>0</v>
      </c>
      <c r="J27" s="860">
        <v>3.0000000000000001E-3</v>
      </c>
      <c r="K27" s="536">
        <v>0</v>
      </c>
      <c r="L27" s="536">
        <f t="shared" si="4"/>
        <v>0</v>
      </c>
      <c r="M27" s="860">
        <v>1E-3</v>
      </c>
      <c r="N27" s="536">
        <v>0</v>
      </c>
      <c r="O27" s="536">
        <f t="shared" si="5"/>
        <v>0</v>
      </c>
      <c r="P27" s="860">
        <v>3.0000000000000001E-3</v>
      </c>
      <c r="Q27" s="536">
        <v>0</v>
      </c>
      <c r="R27" s="536">
        <f t="shared" si="6"/>
        <v>0</v>
      </c>
      <c r="S27" s="860">
        <v>0</v>
      </c>
      <c r="T27" s="536">
        <v>0</v>
      </c>
      <c r="U27" s="536">
        <f t="shared" si="7"/>
        <v>0</v>
      </c>
      <c r="V27" s="860">
        <v>12.856999999999999</v>
      </c>
      <c r="W27" s="536">
        <f t="shared" si="1"/>
        <v>15</v>
      </c>
      <c r="X27" s="536">
        <f t="shared" si="8"/>
        <v>30</v>
      </c>
      <c r="Y27" s="860">
        <v>21.643000000000001</v>
      </c>
      <c r="Z27" s="536">
        <f t="shared" si="16"/>
        <v>22</v>
      </c>
      <c r="AA27" s="536">
        <f t="shared" si="9"/>
        <v>44</v>
      </c>
      <c r="AB27" s="860">
        <v>0.02</v>
      </c>
      <c r="AC27" s="536">
        <v>0</v>
      </c>
      <c r="AD27" s="536">
        <f t="shared" si="10"/>
        <v>0</v>
      </c>
      <c r="AE27" s="860">
        <v>20.239000000000001</v>
      </c>
      <c r="AF27" s="536">
        <f>MROUND(AE27,1)</f>
        <v>20</v>
      </c>
      <c r="AG27" s="536">
        <f t="shared" si="11"/>
        <v>40</v>
      </c>
      <c r="AH27" s="860">
        <v>19.766999999999999</v>
      </c>
      <c r="AI27" s="690">
        <f>MROUND(AH27,1)</f>
        <v>20</v>
      </c>
      <c r="AJ27" s="536">
        <f t="shared" si="12"/>
        <v>40</v>
      </c>
      <c r="AK27" s="860">
        <v>7.0000000000000001E-3</v>
      </c>
      <c r="AL27" s="536">
        <v>0</v>
      </c>
      <c r="AM27" s="536">
        <f t="shared" si="13"/>
        <v>0</v>
      </c>
      <c r="AN27" s="555">
        <v>0</v>
      </c>
      <c r="AO27" s="555">
        <v>0</v>
      </c>
      <c r="AP27" s="561">
        <v>2.5550000000000002</v>
      </c>
      <c r="AQ27" s="561">
        <v>0.19700000000000001</v>
      </c>
      <c r="AR27" s="561">
        <v>1.6E-2</v>
      </c>
      <c r="AS27" s="561">
        <v>8.7999999999999995E-2</v>
      </c>
      <c r="AT27" s="561">
        <v>3.2330000000000001</v>
      </c>
      <c r="AU27" s="561">
        <v>6.9000000000000006E-2</v>
      </c>
    </row>
    <row r="28" spans="1:48" hidden="1">
      <c r="A28" s="914"/>
      <c r="B28" s="186" t="s">
        <v>410</v>
      </c>
      <c r="C28" s="186" t="s">
        <v>123</v>
      </c>
      <c r="D28" s="860">
        <v>38.286000000000001</v>
      </c>
      <c r="E28" s="195">
        <f t="shared" si="0"/>
        <v>40</v>
      </c>
      <c r="F28" s="195">
        <f t="shared" si="2"/>
        <v>80</v>
      </c>
      <c r="G28" s="860">
        <v>2.1999999999999999E-2</v>
      </c>
      <c r="H28" s="536">
        <v>0</v>
      </c>
      <c r="I28" s="536">
        <f t="shared" si="3"/>
        <v>0</v>
      </c>
      <c r="J28" s="860">
        <v>2E-3</v>
      </c>
      <c r="K28" s="536">
        <v>0</v>
      </c>
      <c r="L28" s="536">
        <f t="shared" si="4"/>
        <v>0</v>
      </c>
      <c r="M28" s="860">
        <v>2E-3</v>
      </c>
      <c r="N28" s="536">
        <v>0</v>
      </c>
      <c r="O28" s="536">
        <f t="shared" si="5"/>
        <v>0</v>
      </c>
      <c r="P28" s="860">
        <v>0</v>
      </c>
      <c r="Q28" s="536">
        <v>0</v>
      </c>
      <c r="R28" s="536">
        <f t="shared" si="6"/>
        <v>0</v>
      </c>
      <c r="S28" s="860">
        <v>0</v>
      </c>
      <c r="T28" s="536">
        <v>0</v>
      </c>
      <c r="U28" s="536">
        <f t="shared" si="7"/>
        <v>0</v>
      </c>
      <c r="V28" s="860">
        <v>8.1950000000000003</v>
      </c>
      <c r="W28" s="536">
        <f t="shared" si="1"/>
        <v>10</v>
      </c>
      <c r="X28" s="536">
        <f t="shared" si="8"/>
        <v>20</v>
      </c>
      <c r="Y28" s="860">
        <v>13.401</v>
      </c>
      <c r="Z28" s="536">
        <f t="shared" si="16"/>
        <v>13</v>
      </c>
      <c r="AA28" s="536">
        <f t="shared" si="9"/>
        <v>26</v>
      </c>
      <c r="AB28" s="860">
        <v>2E-3</v>
      </c>
      <c r="AC28" s="536">
        <v>0</v>
      </c>
      <c r="AD28" s="536">
        <f t="shared" si="10"/>
        <v>0</v>
      </c>
      <c r="AE28" s="860">
        <v>2.7E-2</v>
      </c>
      <c r="AF28" s="536">
        <v>0</v>
      </c>
      <c r="AG28" s="536">
        <f t="shared" si="11"/>
        <v>0</v>
      </c>
      <c r="AH28" s="860">
        <v>0</v>
      </c>
      <c r="AI28" s="536">
        <v>0</v>
      </c>
      <c r="AJ28" s="536">
        <f t="shared" si="12"/>
        <v>0</v>
      </c>
      <c r="AK28" s="860">
        <v>8.0000000000000002E-3</v>
      </c>
      <c r="AL28" s="536">
        <v>0</v>
      </c>
      <c r="AM28" s="536">
        <f t="shared" si="13"/>
        <v>0</v>
      </c>
      <c r="AN28" s="555">
        <v>0</v>
      </c>
      <c r="AO28" s="555">
        <v>0</v>
      </c>
      <c r="AP28" s="555">
        <v>4.0670000000000002</v>
      </c>
      <c r="AQ28" s="555">
        <v>0.313</v>
      </c>
      <c r="AR28" s="555">
        <v>1.7000000000000001E-2</v>
      </c>
      <c r="AS28" s="555">
        <v>9.5000000000000001E-2</v>
      </c>
      <c r="AT28" s="555">
        <v>7.625</v>
      </c>
      <c r="AU28" s="555">
        <v>0.16200000000000001</v>
      </c>
    </row>
    <row r="29" spans="1:48" ht="31.75" hidden="1">
      <c r="A29" s="914"/>
      <c r="B29" s="186" t="s">
        <v>296</v>
      </c>
      <c r="C29" s="186" t="s">
        <v>30</v>
      </c>
      <c r="D29" s="860">
        <v>88.632999999999996</v>
      </c>
      <c r="E29" s="195">
        <f t="shared" si="0"/>
        <v>90</v>
      </c>
      <c r="F29" s="195">
        <f t="shared" si="2"/>
        <v>180</v>
      </c>
      <c r="G29" s="860">
        <v>0.105</v>
      </c>
      <c r="H29" s="536">
        <v>0</v>
      </c>
      <c r="I29" s="536">
        <f t="shared" si="3"/>
        <v>0</v>
      </c>
      <c r="J29" s="860">
        <v>1.2E-2</v>
      </c>
      <c r="K29" s="536">
        <v>0</v>
      </c>
      <c r="L29" s="536">
        <f t="shared" si="4"/>
        <v>0</v>
      </c>
      <c r="M29" s="860">
        <v>1E-3</v>
      </c>
      <c r="N29" s="536">
        <v>0</v>
      </c>
      <c r="O29" s="536">
        <f t="shared" si="5"/>
        <v>0</v>
      </c>
      <c r="P29" s="860">
        <v>0</v>
      </c>
      <c r="Q29" s="536">
        <v>0</v>
      </c>
      <c r="R29" s="536">
        <f t="shared" si="6"/>
        <v>0</v>
      </c>
      <c r="S29" s="860">
        <v>0</v>
      </c>
      <c r="T29" s="536">
        <v>0</v>
      </c>
      <c r="U29" s="536">
        <f t="shared" si="7"/>
        <v>0</v>
      </c>
      <c r="V29" s="860">
        <v>12.298</v>
      </c>
      <c r="W29" s="536">
        <f t="shared" si="1"/>
        <v>10</v>
      </c>
      <c r="X29" s="536">
        <f t="shared" si="8"/>
        <v>20</v>
      </c>
      <c r="Y29" s="860">
        <v>22.454000000000001</v>
      </c>
      <c r="Z29" s="536">
        <f t="shared" si="16"/>
        <v>22</v>
      </c>
      <c r="AA29" s="536">
        <f t="shared" si="9"/>
        <v>44</v>
      </c>
      <c r="AB29" s="860">
        <v>5.8000000000000003E-2</v>
      </c>
      <c r="AC29" s="536">
        <v>0</v>
      </c>
      <c r="AD29" s="536">
        <f t="shared" si="10"/>
        <v>0</v>
      </c>
      <c r="AE29" s="860">
        <v>21.806999999999999</v>
      </c>
      <c r="AF29" s="536">
        <f t="shared" ref="AF29:AF36" si="17">MROUND(AE29,1)</f>
        <v>22</v>
      </c>
      <c r="AG29" s="536">
        <f t="shared" si="11"/>
        <v>44</v>
      </c>
      <c r="AH29" s="860">
        <v>21.652999999999999</v>
      </c>
      <c r="AI29" s="690">
        <f t="shared" ref="AI29:AI36" si="18">MROUND(AH29,1)</f>
        <v>22</v>
      </c>
      <c r="AJ29" s="536">
        <f t="shared" si="12"/>
        <v>44</v>
      </c>
      <c r="AK29" s="860">
        <v>8.0000000000000002E-3</v>
      </c>
      <c r="AL29" s="536">
        <v>0</v>
      </c>
      <c r="AM29" s="536">
        <f t="shared" si="13"/>
        <v>0</v>
      </c>
      <c r="AN29" s="555">
        <v>0</v>
      </c>
      <c r="AO29" s="555">
        <v>0</v>
      </c>
      <c r="AP29" s="555">
        <v>2.9529999999999998</v>
      </c>
      <c r="AQ29" s="555">
        <v>0.22700000000000001</v>
      </c>
      <c r="AR29" s="555">
        <v>2.1999999999999999E-2</v>
      </c>
      <c r="AS29" s="555">
        <v>0.122</v>
      </c>
      <c r="AT29" s="555">
        <v>1.2769999999999999</v>
      </c>
      <c r="AU29" s="555">
        <v>2.7E-2</v>
      </c>
    </row>
    <row r="30" spans="1:48" ht="31.75" hidden="1">
      <c r="A30" s="914"/>
      <c r="B30" s="186" t="s">
        <v>296</v>
      </c>
      <c r="C30" s="186" t="s">
        <v>31</v>
      </c>
      <c r="D30" s="860">
        <v>68.218999999999994</v>
      </c>
      <c r="E30" s="195">
        <f t="shared" si="0"/>
        <v>70</v>
      </c>
      <c r="F30" s="195">
        <f t="shared" si="2"/>
        <v>140</v>
      </c>
      <c r="G30" s="860">
        <v>0</v>
      </c>
      <c r="H30" s="536">
        <v>0</v>
      </c>
      <c r="I30" s="536">
        <f t="shared" si="3"/>
        <v>0</v>
      </c>
      <c r="J30" s="860">
        <v>6.0000000000000001E-3</v>
      </c>
      <c r="K30" s="536">
        <v>0</v>
      </c>
      <c r="L30" s="536">
        <f t="shared" si="4"/>
        <v>0</v>
      </c>
      <c r="M30" s="860">
        <v>0</v>
      </c>
      <c r="N30" s="536">
        <v>0</v>
      </c>
      <c r="O30" s="536">
        <f t="shared" si="5"/>
        <v>0</v>
      </c>
      <c r="P30" s="860">
        <v>0</v>
      </c>
      <c r="Q30" s="536">
        <v>0</v>
      </c>
      <c r="R30" s="536">
        <f t="shared" si="6"/>
        <v>0</v>
      </c>
      <c r="S30" s="860">
        <v>0</v>
      </c>
      <c r="T30" s="536">
        <v>0</v>
      </c>
      <c r="U30" s="536">
        <f t="shared" si="7"/>
        <v>0</v>
      </c>
      <c r="V30" s="860">
        <v>11.691000000000001</v>
      </c>
      <c r="W30" s="536">
        <f t="shared" si="1"/>
        <v>10</v>
      </c>
      <c r="X30" s="536">
        <f t="shared" si="8"/>
        <v>20</v>
      </c>
      <c r="Y30" s="860">
        <v>17.547999999999998</v>
      </c>
      <c r="Z30" s="536">
        <f t="shared" si="16"/>
        <v>18</v>
      </c>
      <c r="AA30" s="536">
        <f t="shared" si="9"/>
        <v>36</v>
      </c>
      <c r="AB30" s="860">
        <v>3.5000000000000003E-2</v>
      </c>
      <c r="AC30" s="536">
        <v>0</v>
      </c>
      <c r="AD30" s="536">
        <f t="shared" si="10"/>
        <v>0</v>
      </c>
      <c r="AE30" s="860">
        <v>16.5</v>
      </c>
      <c r="AF30" s="536">
        <f t="shared" si="17"/>
        <v>17</v>
      </c>
      <c r="AG30" s="536">
        <f t="shared" si="11"/>
        <v>34</v>
      </c>
      <c r="AH30" s="860">
        <v>15.95</v>
      </c>
      <c r="AI30" s="690">
        <f t="shared" si="18"/>
        <v>16</v>
      </c>
      <c r="AJ30" s="536">
        <f t="shared" si="12"/>
        <v>32</v>
      </c>
      <c r="AK30" s="860">
        <v>8.9999999999999993E-3</v>
      </c>
      <c r="AL30" s="536">
        <v>0</v>
      </c>
      <c r="AM30" s="536">
        <f t="shared" si="13"/>
        <v>0</v>
      </c>
      <c r="AN30" s="555">
        <v>0</v>
      </c>
      <c r="AO30" s="555">
        <v>0</v>
      </c>
      <c r="AP30" s="555">
        <v>4.1360000000000001</v>
      </c>
      <c r="AQ30" s="555">
        <v>0.318</v>
      </c>
      <c r="AR30" s="555">
        <v>8.9999999999999993E-3</v>
      </c>
      <c r="AS30" s="555">
        <v>0.05</v>
      </c>
      <c r="AT30" s="555">
        <v>0.36</v>
      </c>
      <c r="AU30" s="555">
        <v>8.0000000000000002E-3</v>
      </c>
    </row>
    <row r="31" spans="1:48" ht="31.75" hidden="1">
      <c r="A31" s="914"/>
      <c r="B31" s="186" t="s">
        <v>296</v>
      </c>
      <c r="C31" s="186" t="s">
        <v>33</v>
      </c>
      <c r="D31" s="860">
        <v>82.716999999999999</v>
      </c>
      <c r="E31" s="195">
        <f t="shared" si="0"/>
        <v>80</v>
      </c>
      <c r="F31" s="195">
        <f t="shared" si="2"/>
        <v>160</v>
      </c>
      <c r="G31" s="860">
        <v>1.4999999999999999E-2</v>
      </c>
      <c r="H31" s="536">
        <v>0</v>
      </c>
      <c r="I31" s="536">
        <f t="shared" si="3"/>
        <v>0</v>
      </c>
      <c r="J31" s="860">
        <v>2E-3</v>
      </c>
      <c r="K31" s="536">
        <v>0</v>
      </c>
      <c r="L31" s="536">
        <f t="shared" si="4"/>
        <v>0</v>
      </c>
      <c r="M31" s="860">
        <v>0</v>
      </c>
      <c r="N31" s="536">
        <v>0</v>
      </c>
      <c r="O31" s="536">
        <f t="shared" si="5"/>
        <v>0</v>
      </c>
      <c r="P31" s="860">
        <v>0</v>
      </c>
      <c r="Q31" s="536">
        <v>0</v>
      </c>
      <c r="R31" s="536">
        <f t="shared" si="6"/>
        <v>0</v>
      </c>
      <c r="S31" s="860">
        <v>0</v>
      </c>
      <c r="T31" s="536">
        <v>0</v>
      </c>
      <c r="U31" s="536">
        <f t="shared" si="7"/>
        <v>0</v>
      </c>
      <c r="V31" s="860">
        <v>16.905000000000001</v>
      </c>
      <c r="W31" s="536">
        <f t="shared" si="1"/>
        <v>15</v>
      </c>
      <c r="X31" s="536">
        <f t="shared" si="8"/>
        <v>30</v>
      </c>
      <c r="Y31" s="860">
        <v>21.138000000000002</v>
      </c>
      <c r="Z31" s="536">
        <f t="shared" si="16"/>
        <v>21</v>
      </c>
      <c r="AA31" s="536">
        <f t="shared" si="9"/>
        <v>42</v>
      </c>
      <c r="AB31" s="860">
        <v>3.7999999999999999E-2</v>
      </c>
      <c r="AC31" s="536">
        <v>0</v>
      </c>
      <c r="AD31" s="536">
        <f t="shared" si="10"/>
        <v>0</v>
      </c>
      <c r="AE31" s="860">
        <v>20.103999999999999</v>
      </c>
      <c r="AF31" s="536">
        <f t="shared" si="17"/>
        <v>20</v>
      </c>
      <c r="AG31" s="536">
        <f t="shared" si="11"/>
        <v>40</v>
      </c>
      <c r="AH31" s="860">
        <v>20.088999999999999</v>
      </c>
      <c r="AI31" s="690">
        <f t="shared" si="18"/>
        <v>20</v>
      </c>
      <c r="AJ31" s="536">
        <f t="shared" si="12"/>
        <v>40</v>
      </c>
      <c r="AK31" s="860">
        <v>0.01</v>
      </c>
      <c r="AL31" s="536">
        <v>0</v>
      </c>
      <c r="AM31" s="536">
        <f t="shared" si="13"/>
        <v>0</v>
      </c>
      <c r="AN31" s="555">
        <v>0</v>
      </c>
      <c r="AO31" s="555">
        <v>0</v>
      </c>
      <c r="AP31" s="536">
        <v>2.6840000000000002</v>
      </c>
      <c r="AQ31" s="536">
        <v>0.20599999999999999</v>
      </c>
      <c r="AR31" s="536">
        <v>1.2E-2</v>
      </c>
      <c r="AS31" s="536">
        <v>6.4000000000000001E-2</v>
      </c>
      <c r="AT31" s="536">
        <v>1.127</v>
      </c>
      <c r="AU31" s="536">
        <v>2.4E-2</v>
      </c>
    </row>
    <row r="32" spans="1:48" ht="31.75" hidden="1">
      <c r="A32" s="914"/>
      <c r="B32" s="186" t="s">
        <v>296</v>
      </c>
      <c r="C32" s="186" t="s">
        <v>312</v>
      </c>
      <c r="D32" s="935">
        <v>71.870999999999995</v>
      </c>
      <c r="E32" s="195">
        <f t="shared" si="0"/>
        <v>70</v>
      </c>
      <c r="F32" s="195">
        <f t="shared" si="2"/>
        <v>140</v>
      </c>
      <c r="G32" s="935">
        <v>4.2999999999999997E-2</v>
      </c>
      <c r="H32" s="536">
        <v>0</v>
      </c>
      <c r="I32" s="536">
        <f t="shared" si="3"/>
        <v>0</v>
      </c>
      <c r="J32" s="935">
        <v>5.0000000000000001E-3</v>
      </c>
      <c r="K32" s="536">
        <v>0</v>
      </c>
      <c r="L32" s="536">
        <f t="shared" si="4"/>
        <v>0</v>
      </c>
      <c r="M32" s="935">
        <v>0</v>
      </c>
      <c r="N32" s="536">
        <v>0</v>
      </c>
      <c r="O32" s="536">
        <f t="shared" si="5"/>
        <v>0</v>
      </c>
      <c r="P32" s="935">
        <v>0</v>
      </c>
      <c r="Q32" s="536">
        <v>0</v>
      </c>
      <c r="R32" s="536">
        <f t="shared" si="6"/>
        <v>0</v>
      </c>
      <c r="S32" s="935">
        <v>0</v>
      </c>
      <c r="T32" s="536">
        <v>0</v>
      </c>
      <c r="U32" s="536">
        <f t="shared" si="7"/>
        <v>0</v>
      </c>
      <c r="V32" s="935">
        <v>11.268000000000001</v>
      </c>
      <c r="W32" s="536">
        <f t="shared" si="1"/>
        <v>10</v>
      </c>
      <c r="X32" s="536">
        <f t="shared" si="8"/>
        <v>20</v>
      </c>
      <c r="Y32" s="935">
        <v>18.356000000000002</v>
      </c>
      <c r="Z32" s="536">
        <f t="shared" si="16"/>
        <v>18</v>
      </c>
      <c r="AA32" s="536">
        <f t="shared" si="9"/>
        <v>36</v>
      </c>
      <c r="AB32" s="935">
        <v>8.9999999999999993E-3</v>
      </c>
      <c r="AC32" s="536">
        <v>0</v>
      </c>
      <c r="AD32" s="536">
        <f t="shared" si="10"/>
        <v>0</v>
      </c>
      <c r="AE32" s="935">
        <v>17.62</v>
      </c>
      <c r="AF32" s="536">
        <f t="shared" si="17"/>
        <v>18</v>
      </c>
      <c r="AG32" s="536">
        <f t="shared" si="11"/>
        <v>36</v>
      </c>
      <c r="AH32" s="935">
        <v>17.571000000000002</v>
      </c>
      <c r="AI32" s="690">
        <f t="shared" si="18"/>
        <v>18</v>
      </c>
      <c r="AJ32" s="536">
        <f t="shared" si="12"/>
        <v>36</v>
      </c>
      <c r="AK32" s="935">
        <v>1.2E-2</v>
      </c>
      <c r="AL32" s="536">
        <v>0</v>
      </c>
      <c r="AM32" s="536">
        <f t="shared" si="13"/>
        <v>0</v>
      </c>
      <c r="AN32" s="1135">
        <v>0</v>
      </c>
      <c r="AO32" s="1135">
        <v>0</v>
      </c>
      <c r="AP32" s="1135">
        <v>2.9870000000000001</v>
      </c>
      <c r="AQ32" s="1135">
        <v>0.23</v>
      </c>
      <c r="AR32" s="1135">
        <v>1.2999999999999999E-2</v>
      </c>
      <c r="AS32" s="1135">
        <v>7.2999999999999995E-2</v>
      </c>
      <c r="AT32" s="1135">
        <v>3.5539999999999998</v>
      </c>
      <c r="AU32" s="1135">
        <v>7.5999999999999998E-2</v>
      </c>
    </row>
    <row r="33" spans="1:48" ht="31.75" hidden="1">
      <c r="A33" s="914"/>
      <c r="B33" s="186" t="s">
        <v>296</v>
      </c>
      <c r="C33" s="186" t="s">
        <v>50</v>
      </c>
      <c r="D33" s="860">
        <v>85.463999999999999</v>
      </c>
      <c r="E33" s="195">
        <f t="shared" si="0"/>
        <v>90</v>
      </c>
      <c r="F33" s="195">
        <f t="shared" si="2"/>
        <v>180</v>
      </c>
      <c r="G33" s="860">
        <v>5.2999999999999999E-2</v>
      </c>
      <c r="H33" s="536">
        <v>0</v>
      </c>
      <c r="I33" s="536">
        <f t="shared" si="3"/>
        <v>0</v>
      </c>
      <c r="J33" s="860">
        <v>6.0000000000000001E-3</v>
      </c>
      <c r="K33" s="536">
        <v>0</v>
      </c>
      <c r="L33" s="536">
        <f t="shared" si="4"/>
        <v>0</v>
      </c>
      <c r="M33" s="860">
        <v>2E-3</v>
      </c>
      <c r="N33" s="536">
        <v>0</v>
      </c>
      <c r="O33" s="536">
        <f t="shared" si="5"/>
        <v>0</v>
      </c>
      <c r="P33" s="860">
        <v>6.0000000000000001E-3</v>
      </c>
      <c r="Q33" s="536">
        <v>0</v>
      </c>
      <c r="R33" s="536">
        <f t="shared" si="6"/>
        <v>0</v>
      </c>
      <c r="S33" s="860">
        <v>0</v>
      </c>
      <c r="T33" s="536">
        <v>0</v>
      </c>
      <c r="U33" s="536">
        <f t="shared" si="7"/>
        <v>0</v>
      </c>
      <c r="V33" s="860">
        <v>12.867000000000001</v>
      </c>
      <c r="W33" s="536">
        <f t="shared" si="1"/>
        <v>15</v>
      </c>
      <c r="X33" s="536">
        <f t="shared" si="8"/>
        <v>30</v>
      </c>
      <c r="Y33" s="860">
        <v>21.733000000000001</v>
      </c>
      <c r="Z33" s="536">
        <f t="shared" si="16"/>
        <v>22</v>
      </c>
      <c r="AA33" s="536">
        <f t="shared" si="9"/>
        <v>44</v>
      </c>
      <c r="AB33" s="860">
        <v>0.04</v>
      </c>
      <c r="AC33" s="536">
        <v>0</v>
      </c>
      <c r="AD33" s="536">
        <f t="shared" si="10"/>
        <v>0</v>
      </c>
      <c r="AE33" s="860">
        <v>20.739000000000001</v>
      </c>
      <c r="AF33" s="536">
        <f t="shared" si="17"/>
        <v>21</v>
      </c>
      <c r="AG33" s="536">
        <f t="shared" si="11"/>
        <v>42</v>
      </c>
      <c r="AH33" s="860">
        <v>20.420999999999999</v>
      </c>
      <c r="AI33" s="690">
        <f t="shared" si="18"/>
        <v>20</v>
      </c>
      <c r="AJ33" s="536">
        <f t="shared" si="12"/>
        <v>40</v>
      </c>
      <c r="AK33" s="860">
        <v>1.2E-2</v>
      </c>
      <c r="AL33" s="536">
        <v>0</v>
      </c>
      <c r="AM33" s="536">
        <f t="shared" si="13"/>
        <v>0</v>
      </c>
      <c r="AN33" s="555">
        <v>0</v>
      </c>
      <c r="AO33" s="555">
        <v>0</v>
      </c>
      <c r="AP33" s="555">
        <v>2.8620000000000001</v>
      </c>
      <c r="AQ33" s="555">
        <v>0.22</v>
      </c>
      <c r="AR33" s="555">
        <v>2.7E-2</v>
      </c>
      <c r="AS33" s="555">
        <v>0.14799999999999999</v>
      </c>
      <c r="AT33" s="555">
        <v>6.2290000000000001</v>
      </c>
      <c r="AU33" s="555">
        <v>0.13300000000000001</v>
      </c>
    </row>
    <row r="34" spans="1:48" ht="31.75" hidden="1">
      <c r="A34" s="914"/>
      <c r="B34" s="186" t="s">
        <v>296</v>
      </c>
      <c r="C34" s="186" t="s">
        <v>59</v>
      </c>
      <c r="D34" s="860">
        <v>77.120999999999995</v>
      </c>
      <c r="E34" s="195">
        <f t="shared" si="0"/>
        <v>80</v>
      </c>
      <c r="F34" s="195">
        <f t="shared" si="2"/>
        <v>160</v>
      </c>
      <c r="G34" s="860">
        <v>0</v>
      </c>
      <c r="H34" s="536">
        <v>0</v>
      </c>
      <c r="I34" s="536">
        <f t="shared" si="3"/>
        <v>0</v>
      </c>
      <c r="J34" s="860">
        <v>0</v>
      </c>
      <c r="K34" s="536">
        <v>0</v>
      </c>
      <c r="L34" s="536">
        <f t="shared" si="4"/>
        <v>0</v>
      </c>
      <c r="M34" s="860">
        <v>0</v>
      </c>
      <c r="N34" s="536">
        <v>0</v>
      </c>
      <c r="O34" s="536">
        <f t="shared" si="5"/>
        <v>0</v>
      </c>
      <c r="P34" s="860">
        <v>0</v>
      </c>
      <c r="Q34" s="536">
        <v>0</v>
      </c>
      <c r="R34" s="536">
        <f t="shared" si="6"/>
        <v>0</v>
      </c>
      <c r="S34" s="860">
        <v>0</v>
      </c>
      <c r="T34" s="536">
        <v>0</v>
      </c>
      <c r="U34" s="536">
        <f t="shared" si="7"/>
        <v>0</v>
      </c>
      <c r="V34" s="860">
        <v>12.077999999999999</v>
      </c>
      <c r="W34" s="536">
        <f t="shared" si="1"/>
        <v>10</v>
      </c>
      <c r="X34" s="536">
        <f t="shared" si="8"/>
        <v>20</v>
      </c>
      <c r="Y34" s="860">
        <v>19.251999999999999</v>
      </c>
      <c r="Z34" s="536">
        <f t="shared" si="16"/>
        <v>19</v>
      </c>
      <c r="AA34" s="536">
        <f t="shared" si="9"/>
        <v>38</v>
      </c>
      <c r="AB34" s="860">
        <v>1.9E-2</v>
      </c>
      <c r="AC34" s="536">
        <v>0</v>
      </c>
      <c r="AD34" s="536">
        <f t="shared" si="10"/>
        <v>0</v>
      </c>
      <c r="AE34" s="860">
        <v>18.594000000000001</v>
      </c>
      <c r="AF34" s="536">
        <f t="shared" si="17"/>
        <v>19</v>
      </c>
      <c r="AG34" s="536">
        <f t="shared" si="11"/>
        <v>38</v>
      </c>
      <c r="AH34" s="860">
        <v>18.274000000000001</v>
      </c>
      <c r="AI34" s="690">
        <f t="shared" si="18"/>
        <v>18</v>
      </c>
      <c r="AJ34" s="536">
        <f t="shared" si="12"/>
        <v>36</v>
      </c>
      <c r="AK34" s="860">
        <v>1.2999999999999999E-2</v>
      </c>
      <c r="AL34" s="536">
        <v>0</v>
      </c>
      <c r="AM34" s="536">
        <f t="shared" si="13"/>
        <v>0</v>
      </c>
      <c r="AN34" s="555">
        <v>0</v>
      </c>
      <c r="AO34" s="555">
        <v>0</v>
      </c>
      <c r="AP34" s="555">
        <v>2.8090000000000002</v>
      </c>
      <c r="AQ34" s="555">
        <v>0.216</v>
      </c>
      <c r="AR34" s="555">
        <v>9.6000000000000002E-2</v>
      </c>
      <c r="AS34" s="555">
        <v>0.53500000000000003</v>
      </c>
      <c r="AT34" s="555">
        <v>4.2530000000000001</v>
      </c>
      <c r="AU34" s="555">
        <v>0.09</v>
      </c>
    </row>
    <row r="35" spans="1:48" ht="31.75" hidden="1">
      <c r="A35" s="914"/>
      <c r="B35" s="186" t="s">
        <v>296</v>
      </c>
      <c r="C35" s="186" t="s">
        <v>58</v>
      </c>
      <c r="D35" s="860">
        <v>83.93</v>
      </c>
      <c r="E35" s="195">
        <f t="shared" si="0"/>
        <v>80</v>
      </c>
      <c r="F35" s="195">
        <f t="shared" si="2"/>
        <v>160</v>
      </c>
      <c r="G35" s="860">
        <v>1.8640000000000001</v>
      </c>
      <c r="H35" s="536">
        <v>0</v>
      </c>
      <c r="I35" s="536">
        <f t="shared" si="3"/>
        <v>0</v>
      </c>
      <c r="J35" s="860">
        <v>0.20699999999999999</v>
      </c>
      <c r="K35" s="536">
        <v>0</v>
      </c>
      <c r="L35" s="536">
        <f t="shared" si="4"/>
        <v>0</v>
      </c>
      <c r="M35" s="860">
        <v>0</v>
      </c>
      <c r="N35" s="536">
        <v>0</v>
      </c>
      <c r="O35" s="536">
        <f t="shared" si="5"/>
        <v>0</v>
      </c>
      <c r="P35" s="860">
        <v>0</v>
      </c>
      <c r="Q35" s="536">
        <v>0</v>
      </c>
      <c r="R35" s="536">
        <f t="shared" si="6"/>
        <v>0</v>
      </c>
      <c r="S35" s="860">
        <v>0</v>
      </c>
      <c r="T35" s="536">
        <v>0</v>
      </c>
      <c r="U35" s="536">
        <f t="shared" si="7"/>
        <v>0</v>
      </c>
      <c r="V35" s="860">
        <v>12.372</v>
      </c>
      <c r="W35" s="536">
        <f t="shared" si="1"/>
        <v>10</v>
      </c>
      <c r="X35" s="536">
        <f t="shared" si="8"/>
        <v>20</v>
      </c>
      <c r="Y35" s="860">
        <v>21.277999999999999</v>
      </c>
      <c r="Z35" s="536">
        <f t="shared" si="16"/>
        <v>21</v>
      </c>
      <c r="AA35" s="536">
        <f t="shared" si="9"/>
        <v>42</v>
      </c>
      <c r="AB35" s="860">
        <v>0.04</v>
      </c>
      <c r="AC35" s="536">
        <v>0</v>
      </c>
      <c r="AD35" s="536">
        <f t="shared" si="10"/>
        <v>0</v>
      </c>
      <c r="AE35" s="860">
        <v>20.411999999999999</v>
      </c>
      <c r="AF35" s="536">
        <f t="shared" si="17"/>
        <v>20</v>
      </c>
      <c r="AG35" s="536">
        <f t="shared" si="11"/>
        <v>40</v>
      </c>
      <c r="AH35" s="860">
        <v>20.239999999999998</v>
      </c>
      <c r="AI35" s="690">
        <f t="shared" si="18"/>
        <v>20</v>
      </c>
      <c r="AJ35" s="536">
        <f t="shared" si="12"/>
        <v>40</v>
      </c>
      <c r="AK35" s="860">
        <v>1.2999999999999999E-2</v>
      </c>
      <c r="AL35" s="536">
        <v>0</v>
      </c>
      <c r="AM35" s="536">
        <f t="shared" si="13"/>
        <v>0</v>
      </c>
      <c r="AN35" s="555">
        <v>0</v>
      </c>
      <c r="AO35" s="555">
        <v>0</v>
      </c>
      <c r="AP35" s="555">
        <v>3.302</v>
      </c>
      <c r="AQ35" s="555">
        <v>0.254</v>
      </c>
      <c r="AR35" s="555">
        <v>1.7999999999999999E-2</v>
      </c>
      <c r="AS35" s="555">
        <v>0.10299999999999999</v>
      </c>
      <c r="AT35" s="555">
        <v>0.34699999999999998</v>
      </c>
      <c r="AU35" s="555">
        <v>7.0000000000000001E-3</v>
      </c>
    </row>
    <row r="36" spans="1:48" ht="31.75" hidden="1">
      <c r="A36" s="914"/>
      <c r="B36" s="186" t="s">
        <v>296</v>
      </c>
      <c r="C36" s="186" t="s">
        <v>53</v>
      </c>
      <c r="D36" s="860">
        <v>85.899000000000001</v>
      </c>
      <c r="E36" s="195">
        <f t="shared" si="0"/>
        <v>90</v>
      </c>
      <c r="F36" s="195">
        <f t="shared" si="2"/>
        <v>180</v>
      </c>
      <c r="G36" s="860">
        <v>2.3E-2</v>
      </c>
      <c r="H36" s="536">
        <v>0</v>
      </c>
      <c r="I36" s="536">
        <f t="shared" si="3"/>
        <v>0</v>
      </c>
      <c r="J36" s="860">
        <v>3.0000000000000001E-3</v>
      </c>
      <c r="K36" s="536">
        <v>0</v>
      </c>
      <c r="L36" s="536">
        <f t="shared" si="4"/>
        <v>0</v>
      </c>
      <c r="M36" s="860">
        <v>1E-3</v>
      </c>
      <c r="N36" s="536">
        <v>0</v>
      </c>
      <c r="O36" s="536">
        <f t="shared" si="5"/>
        <v>0</v>
      </c>
      <c r="P36" s="860">
        <v>3.0000000000000001E-3</v>
      </c>
      <c r="Q36" s="536">
        <v>0</v>
      </c>
      <c r="R36" s="536">
        <f t="shared" si="6"/>
        <v>0</v>
      </c>
      <c r="S36" s="860">
        <v>0</v>
      </c>
      <c r="T36" s="536">
        <v>0</v>
      </c>
      <c r="U36" s="536">
        <f t="shared" si="7"/>
        <v>0</v>
      </c>
      <c r="V36" s="860">
        <v>12.305999999999999</v>
      </c>
      <c r="W36" s="536">
        <f t="shared" si="1"/>
        <v>10</v>
      </c>
      <c r="X36" s="536">
        <f t="shared" si="8"/>
        <v>20</v>
      </c>
      <c r="Y36" s="860">
        <v>21.664999999999999</v>
      </c>
      <c r="Z36" s="536">
        <f t="shared" si="16"/>
        <v>22</v>
      </c>
      <c r="AA36" s="536">
        <f t="shared" si="9"/>
        <v>44</v>
      </c>
      <c r="AB36" s="860">
        <v>2.8000000000000001E-2</v>
      </c>
      <c r="AC36" s="536">
        <v>0</v>
      </c>
      <c r="AD36" s="536">
        <f t="shared" si="10"/>
        <v>0</v>
      </c>
      <c r="AE36" s="860">
        <v>20.866</v>
      </c>
      <c r="AF36" s="536">
        <f t="shared" si="17"/>
        <v>21</v>
      </c>
      <c r="AG36" s="536">
        <f t="shared" si="11"/>
        <v>42</v>
      </c>
      <c r="AH36" s="860">
        <v>20.548999999999999</v>
      </c>
      <c r="AI36" s="690">
        <f t="shared" si="18"/>
        <v>21</v>
      </c>
      <c r="AJ36" s="536">
        <f t="shared" si="12"/>
        <v>42</v>
      </c>
      <c r="AK36" s="860">
        <v>1.2999999999999999E-2</v>
      </c>
      <c r="AL36" s="536">
        <v>0</v>
      </c>
      <c r="AM36" s="536">
        <f t="shared" si="13"/>
        <v>0</v>
      </c>
      <c r="AN36" s="555">
        <v>0</v>
      </c>
      <c r="AO36" s="555">
        <v>0</v>
      </c>
      <c r="AP36" s="536">
        <v>2.8029999999999999</v>
      </c>
      <c r="AQ36" s="536">
        <v>0.216</v>
      </c>
      <c r="AR36" s="536">
        <v>6.6000000000000003E-2</v>
      </c>
      <c r="AS36" s="536">
        <v>0.36799999999999999</v>
      </c>
      <c r="AT36" s="536">
        <v>5.0990000000000002</v>
      </c>
      <c r="AU36" s="536">
        <v>0.108</v>
      </c>
    </row>
    <row r="37" spans="1:48" hidden="1">
      <c r="A37" s="914"/>
      <c r="B37" s="186" t="s">
        <v>410</v>
      </c>
      <c r="C37" s="186" t="s">
        <v>335</v>
      </c>
      <c r="D37" s="860">
        <v>39.941000000000003</v>
      </c>
      <c r="E37" s="195">
        <f t="shared" ref="E37:E68" si="19">MROUND(D37,10)</f>
        <v>40</v>
      </c>
      <c r="F37" s="195">
        <f t="shared" si="2"/>
        <v>80</v>
      </c>
      <c r="G37" s="860">
        <v>0</v>
      </c>
      <c r="H37" s="536">
        <v>0</v>
      </c>
      <c r="I37" s="536">
        <f t="shared" si="3"/>
        <v>0</v>
      </c>
      <c r="J37" s="860">
        <v>4.0000000000000001E-3</v>
      </c>
      <c r="K37" s="536">
        <v>0</v>
      </c>
      <c r="L37" s="536">
        <f t="shared" si="4"/>
        <v>0</v>
      </c>
      <c r="M37" s="860">
        <v>1E-3</v>
      </c>
      <c r="N37" s="536">
        <v>0</v>
      </c>
      <c r="O37" s="536">
        <f t="shared" si="5"/>
        <v>0</v>
      </c>
      <c r="P37" s="860">
        <v>0</v>
      </c>
      <c r="Q37" s="536">
        <v>0</v>
      </c>
      <c r="R37" s="536">
        <f t="shared" si="6"/>
        <v>0</v>
      </c>
      <c r="S37" s="860">
        <v>0</v>
      </c>
      <c r="T37" s="536">
        <v>0</v>
      </c>
      <c r="U37" s="536">
        <f t="shared" si="7"/>
        <v>0</v>
      </c>
      <c r="V37" s="860">
        <v>10.756</v>
      </c>
      <c r="W37" s="536">
        <f t="shared" si="1"/>
        <v>10</v>
      </c>
      <c r="X37" s="536">
        <f t="shared" si="8"/>
        <v>20</v>
      </c>
      <c r="Y37" s="860">
        <v>13.992000000000001</v>
      </c>
      <c r="Z37" s="536">
        <f t="shared" si="16"/>
        <v>14</v>
      </c>
      <c r="AA37" s="536">
        <f t="shared" si="9"/>
        <v>28</v>
      </c>
      <c r="AB37" s="860">
        <v>0.01</v>
      </c>
      <c r="AC37" s="536">
        <v>0</v>
      </c>
      <c r="AD37" s="536">
        <f t="shared" si="10"/>
        <v>0</v>
      </c>
      <c r="AE37" s="860">
        <v>7.3999999999999996E-2</v>
      </c>
      <c r="AF37" s="536">
        <v>0</v>
      </c>
      <c r="AG37" s="536">
        <f t="shared" si="11"/>
        <v>0</v>
      </c>
      <c r="AH37" s="860">
        <v>0</v>
      </c>
      <c r="AI37" s="536">
        <v>0</v>
      </c>
      <c r="AJ37" s="536">
        <f t="shared" si="12"/>
        <v>0</v>
      </c>
      <c r="AK37" s="860">
        <v>1.4999999999999999E-2</v>
      </c>
      <c r="AL37" s="536">
        <v>0</v>
      </c>
      <c r="AM37" s="536">
        <f t="shared" si="13"/>
        <v>0</v>
      </c>
      <c r="AN37" s="555">
        <v>0</v>
      </c>
      <c r="AO37" s="555">
        <v>0</v>
      </c>
      <c r="AP37" s="536">
        <v>2.617</v>
      </c>
      <c r="AQ37" s="536">
        <v>0.20100000000000001</v>
      </c>
      <c r="AR37" s="536">
        <v>1.7999999999999999E-2</v>
      </c>
      <c r="AS37" s="536">
        <v>0.10199999999999999</v>
      </c>
      <c r="AT37" s="536">
        <v>9.3379999999999992</v>
      </c>
      <c r="AU37" s="536">
        <v>0.19900000000000001</v>
      </c>
    </row>
    <row r="38" spans="1:48" ht="31.75" hidden="1">
      <c r="A38" s="914"/>
      <c r="B38" s="186" t="s">
        <v>296</v>
      </c>
      <c r="C38" s="186" t="s">
        <v>301</v>
      </c>
      <c r="D38" s="859">
        <v>75.412999999999997</v>
      </c>
      <c r="E38" s="195">
        <f t="shared" si="19"/>
        <v>80</v>
      </c>
      <c r="F38" s="195">
        <f t="shared" si="2"/>
        <v>160</v>
      </c>
      <c r="G38" s="859">
        <v>3.3000000000000002E-2</v>
      </c>
      <c r="H38" s="536">
        <v>0</v>
      </c>
      <c r="I38" s="536">
        <f t="shared" si="3"/>
        <v>0</v>
      </c>
      <c r="J38" s="859">
        <v>4.0000000000000001E-3</v>
      </c>
      <c r="K38" s="536">
        <v>0</v>
      </c>
      <c r="L38" s="536">
        <f t="shared" si="4"/>
        <v>0</v>
      </c>
      <c r="M38" s="859">
        <v>1E-3</v>
      </c>
      <c r="N38" s="536">
        <v>0</v>
      </c>
      <c r="O38" s="536">
        <f t="shared" si="5"/>
        <v>0</v>
      </c>
      <c r="P38" s="859">
        <v>0</v>
      </c>
      <c r="Q38" s="536">
        <v>0</v>
      </c>
      <c r="R38" s="536">
        <f t="shared" si="6"/>
        <v>0</v>
      </c>
      <c r="S38" s="859">
        <v>0</v>
      </c>
      <c r="T38" s="536">
        <v>0</v>
      </c>
      <c r="U38" s="536">
        <f t="shared" si="7"/>
        <v>0</v>
      </c>
      <c r="V38" s="859">
        <v>12.429</v>
      </c>
      <c r="W38" s="536">
        <f t="shared" si="1"/>
        <v>10</v>
      </c>
      <c r="X38" s="536">
        <f t="shared" si="8"/>
        <v>20</v>
      </c>
      <c r="Y38" s="859">
        <v>19.155999999999999</v>
      </c>
      <c r="Z38" s="536">
        <f t="shared" si="16"/>
        <v>19</v>
      </c>
      <c r="AA38" s="536">
        <f t="shared" si="9"/>
        <v>38</v>
      </c>
      <c r="AB38" s="859">
        <v>1.7000000000000001E-2</v>
      </c>
      <c r="AC38" s="536">
        <v>0</v>
      </c>
      <c r="AD38" s="536">
        <f t="shared" si="10"/>
        <v>0</v>
      </c>
      <c r="AE38" s="859">
        <v>18.297999999999998</v>
      </c>
      <c r="AF38" s="536">
        <f t="shared" ref="AF38:AF65" si="20">MROUND(AE38,1)</f>
        <v>18</v>
      </c>
      <c r="AG38" s="536">
        <f t="shared" si="11"/>
        <v>36</v>
      </c>
      <c r="AH38" s="859">
        <v>18.148</v>
      </c>
      <c r="AI38" s="690">
        <f t="shared" ref="AI38:AI65" si="21">MROUND(AH38,1)</f>
        <v>18</v>
      </c>
      <c r="AJ38" s="536">
        <f t="shared" si="12"/>
        <v>36</v>
      </c>
      <c r="AK38" s="859">
        <v>1.7999999999999999E-2</v>
      </c>
      <c r="AL38" s="536">
        <v>0</v>
      </c>
      <c r="AM38" s="536">
        <f t="shared" si="13"/>
        <v>0</v>
      </c>
      <c r="AN38" s="554">
        <v>0</v>
      </c>
      <c r="AO38" s="554">
        <v>0</v>
      </c>
      <c r="AP38" s="554">
        <v>2.6240000000000001</v>
      </c>
      <c r="AQ38" s="554">
        <v>0.20200000000000001</v>
      </c>
      <c r="AR38" s="554">
        <v>0.01</v>
      </c>
      <c r="AS38" s="554">
        <v>5.8000000000000003E-2</v>
      </c>
      <c r="AT38" s="554">
        <v>5.43</v>
      </c>
      <c r="AU38" s="554">
        <v>0.11600000000000001</v>
      </c>
    </row>
    <row r="39" spans="1:48" ht="31.75" hidden="1">
      <c r="A39" s="914"/>
      <c r="B39" s="186" t="s">
        <v>296</v>
      </c>
      <c r="C39" s="186" t="s">
        <v>76</v>
      </c>
      <c r="D39" s="860">
        <v>86.971000000000004</v>
      </c>
      <c r="E39" s="195">
        <f t="shared" si="19"/>
        <v>90</v>
      </c>
      <c r="F39" s="195">
        <f t="shared" si="2"/>
        <v>180</v>
      </c>
      <c r="G39" s="860">
        <v>2.5999999999999999E-2</v>
      </c>
      <c r="H39" s="536">
        <v>0</v>
      </c>
      <c r="I39" s="536">
        <f t="shared" si="3"/>
        <v>0</v>
      </c>
      <c r="J39" s="860">
        <v>3.0000000000000001E-3</v>
      </c>
      <c r="K39" s="536">
        <v>0</v>
      </c>
      <c r="L39" s="536">
        <f t="shared" si="4"/>
        <v>0</v>
      </c>
      <c r="M39" s="860">
        <v>0</v>
      </c>
      <c r="N39" s="536">
        <v>0</v>
      </c>
      <c r="O39" s="536">
        <f t="shared" si="5"/>
        <v>0</v>
      </c>
      <c r="P39" s="860">
        <v>0</v>
      </c>
      <c r="Q39" s="536">
        <v>0</v>
      </c>
      <c r="R39" s="536">
        <f t="shared" si="6"/>
        <v>0</v>
      </c>
      <c r="S39" s="860">
        <v>0</v>
      </c>
      <c r="T39" s="536">
        <v>0</v>
      </c>
      <c r="U39" s="536">
        <f t="shared" si="7"/>
        <v>0</v>
      </c>
      <c r="V39" s="860">
        <v>12.106</v>
      </c>
      <c r="W39" s="536">
        <f t="shared" si="1"/>
        <v>10</v>
      </c>
      <c r="X39" s="536">
        <f t="shared" si="8"/>
        <v>20</v>
      </c>
      <c r="Y39" s="860">
        <v>22.094999999999999</v>
      </c>
      <c r="Z39" s="536">
        <f t="shared" si="16"/>
        <v>22</v>
      </c>
      <c r="AA39" s="536">
        <f t="shared" si="9"/>
        <v>44</v>
      </c>
      <c r="AB39" s="860">
        <v>1.4999999999999999E-2</v>
      </c>
      <c r="AC39" s="536">
        <v>0</v>
      </c>
      <c r="AD39" s="536">
        <f t="shared" si="10"/>
        <v>0</v>
      </c>
      <c r="AE39" s="860">
        <v>21.363</v>
      </c>
      <c r="AF39" s="536">
        <f t="shared" si="20"/>
        <v>21</v>
      </c>
      <c r="AG39" s="536">
        <f t="shared" si="11"/>
        <v>42</v>
      </c>
      <c r="AH39" s="860">
        <v>21.244</v>
      </c>
      <c r="AI39" s="690">
        <f t="shared" si="21"/>
        <v>21</v>
      </c>
      <c r="AJ39" s="536">
        <f t="shared" si="12"/>
        <v>42</v>
      </c>
      <c r="AK39" s="860">
        <v>1.7999999999999999E-2</v>
      </c>
      <c r="AL39" s="536">
        <v>0</v>
      </c>
      <c r="AM39" s="536">
        <f t="shared" si="13"/>
        <v>0</v>
      </c>
      <c r="AN39" s="555">
        <v>0</v>
      </c>
      <c r="AO39" s="555">
        <v>0</v>
      </c>
      <c r="AP39" s="536">
        <v>2.657</v>
      </c>
      <c r="AQ39" s="536">
        <v>0.20399999999999999</v>
      </c>
      <c r="AR39" s="536">
        <v>2.3E-2</v>
      </c>
      <c r="AS39" s="536">
        <v>0.127</v>
      </c>
      <c r="AT39" s="536">
        <v>2.4510000000000001</v>
      </c>
      <c r="AU39" s="536">
        <v>5.1999999999999998E-2</v>
      </c>
      <c r="AV39" s="248"/>
    </row>
    <row r="40" spans="1:48" ht="31.75" hidden="1">
      <c r="A40" s="914"/>
      <c r="B40" s="186" t="s">
        <v>296</v>
      </c>
      <c r="C40" s="186" t="s">
        <v>46</v>
      </c>
      <c r="D40" s="860">
        <v>75.995999999999995</v>
      </c>
      <c r="E40" s="195">
        <f t="shared" si="19"/>
        <v>80</v>
      </c>
      <c r="F40" s="195">
        <f t="shared" si="2"/>
        <v>160</v>
      </c>
      <c r="G40" s="860">
        <v>0</v>
      </c>
      <c r="H40" s="536">
        <v>0</v>
      </c>
      <c r="I40" s="536">
        <f t="shared" si="3"/>
        <v>0</v>
      </c>
      <c r="J40" s="860">
        <v>6.0000000000000001E-3</v>
      </c>
      <c r="K40" s="536">
        <v>0</v>
      </c>
      <c r="L40" s="536">
        <f t="shared" si="4"/>
        <v>0</v>
      </c>
      <c r="M40" s="860">
        <v>0</v>
      </c>
      <c r="N40" s="536">
        <v>0</v>
      </c>
      <c r="O40" s="536">
        <f t="shared" si="5"/>
        <v>0</v>
      </c>
      <c r="P40" s="860">
        <v>0</v>
      </c>
      <c r="Q40" s="536">
        <v>0</v>
      </c>
      <c r="R40" s="536">
        <f t="shared" si="6"/>
        <v>0</v>
      </c>
      <c r="S40" s="860">
        <v>0</v>
      </c>
      <c r="T40" s="536">
        <v>0</v>
      </c>
      <c r="U40" s="536">
        <f t="shared" si="7"/>
        <v>0</v>
      </c>
      <c r="V40" s="860">
        <v>19</v>
      </c>
      <c r="W40" s="536">
        <f t="shared" si="1"/>
        <v>20</v>
      </c>
      <c r="X40" s="536">
        <f t="shared" si="8"/>
        <v>40</v>
      </c>
      <c r="Y40" s="860">
        <v>19.288</v>
      </c>
      <c r="Z40" s="536">
        <f t="shared" ref="Z40:Z71" si="22">MROUND(Y40,1)</f>
        <v>19</v>
      </c>
      <c r="AA40" s="536">
        <f t="shared" si="9"/>
        <v>38</v>
      </c>
      <c r="AB40" s="860">
        <v>1.7000000000000001E-2</v>
      </c>
      <c r="AC40" s="536">
        <v>0</v>
      </c>
      <c r="AD40" s="536">
        <f t="shared" si="10"/>
        <v>0</v>
      </c>
      <c r="AE40" s="860">
        <v>18.134</v>
      </c>
      <c r="AF40" s="536">
        <f t="shared" si="20"/>
        <v>18</v>
      </c>
      <c r="AG40" s="536">
        <f t="shared" si="11"/>
        <v>36</v>
      </c>
      <c r="AH40" s="860">
        <v>18.082999999999998</v>
      </c>
      <c r="AI40" s="690">
        <f t="shared" si="21"/>
        <v>18</v>
      </c>
      <c r="AJ40" s="536">
        <f t="shared" si="12"/>
        <v>36</v>
      </c>
      <c r="AK40" s="860">
        <v>0.02</v>
      </c>
      <c r="AL40" s="536">
        <v>0</v>
      </c>
      <c r="AM40" s="536">
        <f t="shared" si="13"/>
        <v>0</v>
      </c>
      <c r="AN40" s="555">
        <v>0</v>
      </c>
      <c r="AO40" s="555">
        <v>0</v>
      </c>
      <c r="AP40" s="536">
        <v>2.4420000000000002</v>
      </c>
      <c r="AQ40" s="536">
        <v>0.188</v>
      </c>
      <c r="AR40" s="536">
        <v>7.0000000000000001E-3</v>
      </c>
      <c r="AS40" s="536">
        <v>0.04</v>
      </c>
      <c r="AT40" s="536">
        <v>3.2080000000000002</v>
      </c>
      <c r="AU40" s="536">
        <v>6.8000000000000005E-2</v>
      </c>
    </row>
    <row r="41" spans="1:48" ht="31.75" hidden="1">
      <c r="A41" s="914"/>
      <c r="B41" s="186" t="s">
        <v>296</v>
      </c>
      <c r="C41" s="186" t="s">
        <v>73</v>
      </c>
      <c r="D41" s="935">
        <v>74.468999999999994</v>
      </c>
      <c r="E41" s="195">
        <f t="shared" si="19"/>
        <v>70</v>
      </c>
      <c r="F41" s="195">
        <f t="shared" si="2"/>
        <v>140</v>
      </c>
      <c r="G41" s="935">
        <v>4.5330000000000004</v>
      </c>
      <c r="H41" s="536">
        <v>0</v>
      </c>
      <c r="I41" s="536">
        <f t="shared" si="3"/>
        <v>0</v>
      </c>
      <c r="J41" s="935">
        <v>0.504</v>
      </c>
      <c r="K41" s="552">
        <f>MROUND(J41,0.5)</f>
        <v>0.5</v>
      </c>
      <c r="L41" s="536">
        <f t="shared" si="4"/>
        <v>1</v>
      </c>
      <c r="M41" s="935">
        <v>0.45200000000000001</v>
      </c>
      <c r="N41" s="536">
        <v>0</v>
      </c>
      <c r="O41" s="536">
        <f t="shared" si="5"/>
        <v>0</v>
      </c>
      <c r="P41" s="935">
        <v>0</v>
      </c>
      <c r="Q41" s="536">
        <v>0</v>
      </c>
      <c r="R41" s="536">
        <f t="shared" si="6"/>
        <v>0</v>
      </c>
      <c r="S41" s="935">
        <v>0</v>
      </c>
      <c r="T41" s="536">
        <v>0</v>
      </c>
      <c r="U41" s="536">
        <f t="shared" si="7"/>
        <v>0</v>
      </c>
      <c r="V41" s="935">
        <v>12.096</v>
      </c>
      <c r="W41" s="536">
        <f t="shared" si="1"/>
        <v>10</v>
      </c>
      <c r="X41" s="536">
        <f t="shared" si="8"/>
        <v>20</v>
      </c>
      <c r="Y41" s="935">
        <v>17.539000000000001</v>
      </c>
      <c r="Z41" s="536">
        <f t="shared" si="22"/>
        <v>18</v>
      </c>
      <c r="AA41" s="536">
        <f t="shared" si="9"/>
        <v>36</v>
      </c>
      <c r="AB41" s="935">
        <v>0.115</v>
      </c>
      <c r="AC41" s="536">
        <v>0</v>
      </c>
      <c r="AD41" s="536">
        <f t="shared" si="10"/>
        <v>0</v>
      </c>
      <c r="AE41" s="935">
        <v>16.876999999999999</v>
      </c>
      <c r="AF41" s="536">
        <f t="shared" si="20"/>
        <v>17</v>
      </c>
      <c r="AG41" s="536">
        <f t="shared" si="11"/>
        <v>34</v>
      </c>
      <c r="AH41" s="935">
        <v>14.715999999999999</v>
      </c>
      <c r="AI41" s="690">
        <f t="shared" si="21"/>
        <v>15</v>
      </c>
      <c r="AJ41" s="536">
        <f t="shared" si="12"/>
        <v>30</v>
      </c>
      <c r="AK41" s="935">
        <v>2.7E-2</v>
      </c>
      <c r="AL41" s="536">
        <v>0</v>
      </c>
      <c r="AM41" s="536">
        <f t="shared" si="13"/>
        <v>0</v>
      </c>
      <c r="AN41" s="1135">
        <v>0</v>
      </c>
      <c r="AO41" s="1135">
        <v>0</v>
      </c>
      <c r="AP41" s="1135">
        <v>2.5680000000000001</v>
      </c>
      <c r="AQ41" s="1135">
        <v>0.19800000000000001</v>
      </c>
      <c r="AR41" s="1135">
        <v>1.2999999999999999E-2</v>
      </c>
      <c r="AS41" s="1135">
        <v>7.3999999999999996E-2</v>
      </c>
      <c r="AT41" s="1135">
        <v>1.6080000000000001</v>
      </c>
      <c r="AU41" s="1135">
        <v>3.4000000000000002E-2</v>
      </c>
      <c r="AV41" s="223"/>
    </row>
    <row r="42" spans="1:48" ht="31.75" hidden="1">
      <c r="A42" s="914"/>
      <c r="B42" s="186" t="s">
        <v>296</v>
      </c>
      <c r="C42" s="186" t="s">
        <v>67</v>
      </c>
      <c r="D42" s="860">
        <v>88.352000000000004</v>
      </c>
      <c r="E42" s="195">
        <f t="shared" si="19"/>
        <v>90</v>
      </c>
      <c r="F42" s="195">
        <f t="shared" si="2"/>
        <v>180</v>
      </c>
      <c r="G42" s="860">
        <v>6.0000000000000001E-3</v>
      </c>
      <c r="H42" s="536">
        <v>0</v>
      </c>
      <c r="I42" s="536">
        <f t="shared" si="3"/>
        <v>0</v>
      </c>
      <c r="J42" s="860">
        <v>1E-3</v>
      </c>
      <c r="K42" s="536">
        <v>0</v>
      </c>
      <c r="L42" s="536">
        <f t="shared" si="4"/>
        <v>0</v>
      </c>
      <c r="M42" s="860">
        <v>0</v>
      </c>
      <c r="N42" s="536">
        <v>0</v>
      </c>
      <c r="O42" s="536">
        <f t="shared" si="5"/>
        <v>0</v>
      </c>
      <c r="P42" s="860">
        <v>0</v>
      </c>
      <c r="Q42" s="536">
        <v>0</v>
      </c>
      <c r="R42" s="536">
        <f t="shared" si="6"/>
        <v>0</v>
      </c>
      <c r="S42" s="860">
        <v>0</v>
      </c>
      <c r="T42" s="536">
        <v>0</v>
      </c>
      <c r="U42" s="536">
        <f t="shared" si="7"/>
        <v>0</v>
      </c>
      <c r="V42" s="860">
        <v>12.499000000000001</v>
      </c>
      <c r="W42" s="536">
        <f t="shared" si="1"/>
        <v>10</v>
      </c>
      <c r="X42" s="536">
        <f t="shared" si="8"/>
        <v>20</v>
      </c>
      <c r="Y42" s="860">
        <v>22.343</v>
      </c>
      <c r="Z42" s="536">
        <f t="shared" si="22"/>
        <v>22</v>
      </c>
      <c r="AA42" s="536">
        <f t="shared" si="9"/>
        <v>44</v>
      </c>
      <c r="AB42" s="860">
        <v>2.4E-2</v>
      </c>
      <c r="AC42" s="536">
        <v>0</v>
      </c>
      <c r="AD42" s="536">
        <f t="shared" si="10"/>
        <v>0</v>
      </c>
      <c r="AE42" s="860">
        <v>21.666</v>
      </c>
      <c r="AF42" s="536">
        <f t="shared" si="20"/>
        <v>22</v>
      </c>
      <c r="AG42" s="536">
        <f t="shared" si="11"/>
        <v>44</v>
      </c>
      <c r="AH42" s="860">
        <v>21.544</v>
      </c>
      <c r="AI42" s="690">
        <f t="shared" si="21"/>
        <v>22</v>
      </c>
      <c r="AJ42" s="536">
        <f t="shared" si="12"/>
        <v>44</v>
      </c>
      <c r="AK42" s="860">
        <v>2.7E-2</v>
      </c>
      <c r="AL42" s="536">
        <v>0</v>
      </c>
      <c r="AM42" s="536">
        <f t="shared" si="13"/>
        <v>0</v>
      </c>
      <c r="AN42" s="555">
        <v>0</v>
      </c>
      <c r="AO42" s="555">
        <v>0</v>
      </c>
      <c r="AP42" s="555">
        <v>2.8090000000000002</v>
      </c>
      <c r="AQ42" s="555">
        <v>0.216</v>
      </c>
      <c r="AR42" s="555">
        <v>2.1999999999999999E-2</v>
      </c>
      <c r="AS42" s="555">
        <v>0.122</v>
      </c>
      <c r="AT42" s="555">
        <v>0.82499999999999996</v>
      </c>
      <c r="AU42" s="555">
        <v>1.7999999999999999E-2</v>
      </c>
    </row>
    <row r="43" spans="1:48" ht="31.75" hidden="1">
      <c r="A43" s="914"/>
      <c r="B43" s="186" t="s">
        <v>296</v>
      </c>
      <c r="C43" s="186" t="s">
        <v>55</v>
      </c>
      <c r="D43" s="860">
        <v>111.58199999999999</v>
      </c>
      <c r="E43" s="195">
        <f t="shared" si="19"/>
        <v>110</v>
      </c>
      <c r="F43" s="195">
        <f t="shared" si="2"/>
        <v>220</v>
      </c>
      <c r="G43" s="860">
        <v>7.5999999999999998E-2</v>
      </c>
      <c r="H43" s="536">
        <v>0</v>
      </c>
      <c r="I43" s="536">
        <f t="shared" si="3"/>
        <v>0</v>
      </c>
      <c r="J43" s="860">
        <v>8.0000000000000002E-3</v>
      </c>
      <c r="K43" s="536">
        <v>0</v>
      </c>
      <c r="L43" s="536">
        <f t="shared" si="4"/>
        <v>0</v>
      </c>
      <c r="M43" s="860">
        <v>1E-3</v>
      </c>
      <c r="N43" s="536">
        <v>0</v>
      </c>
      <c r="O43" s="536">
        <f t="shared" si="5"/>
        <v>0</v>
      </c>
      <c r="P43" s="860">
        <v>0</v>
      </c>
      <c r="Q43" s="536">
        <v>0</v>
      </c>
      <c r="R43" s="536">
        <f t="shared" si="6"/>
        <v>0</v>
      </c>
      <c r="S43" s="860">
        <v>0</v>
      </c>
      <c r="T43" s="536">
        <v>0</v>
      </c>
      <c r="U43" s="536">
        <f t="shared" si="7"/>
        <v>0</v>
      </c>
      <c r="V43" s="860">
        <v>265.44099999999997</v>
      </c>
      <c r="W43" s="536">
        <f>MROUND(V43,10)</f>
        <v>270</v>
      </c>
      <c r="X43" s="536">
        <f t="shared" si="8"/>
        <v>540</v>
      </c>
      <c r="Y43" s="860">
        <v>26.721</v>
      </c>
      <c r="Z43" s="536">
        <f t="shared" si="22"/>
        <v>27</v>
      </c>
      <c r="AA43" s="536">
        <f t="shared" si="9"/>
        <v>54</v>
      </c>
      <c r="AB43" s="860">
        <v>7.4999999999999997E-2</v>
      </c>
      <c r="AC43" s="536">
        <v>0</v>
      </c>
      <c r="AD43" s="536">
        <f t="shared" si="10"/>
        <v>0</v>
      </c>
      <c r="AE43" s="860">
        <v>12.518000000000001</v>
      </c>
      <c r="AF43" s="536">
        <f t="shared" si="20"/>
        <v>13</v>
      </c>
      <c r="AG43" s="536">
        <f t="shared" si="11"/>
        <v>26</v>
      </c>
      <c r="AH43" s="860">
        <v>12.393000000000001</v>
      </c>
      <c r="AI43" s="690">
        <f t="shared" si="21"/>
        <v>12</v>
      </c>
      <c r="AJ43" s="536">
        <f t="shared" si="12"/>
        <v>24</v>
      </c>
      <c r="AK43" s="860">
        <v>2.9000000000000001E-2</v>
      </c>
      <c r="AL43" s="536">
        <v>0</v>
      </c>
      <c r="AM43" s="536">
        <f t="shared" si="13"/>
        <v>0</v>
      </c>
      <c r="AN43" s="536">
        <v>0</v>
      </c>
      <c r="AO43" s="536">
        <v>0</v>
      </c>
      <c r="AP43" s="536">
        <v>3.113</v>
      </c>
      <c r="AQ43" s="536">
        <v>0.23899999999999999</v>
      </c>
      <c r="AR43" s="536">
        <v>1.4E-2</v>
      </c>
      <c r="AS43" s="536">
        <v>7.6999999999999999E-2</v>
      </c>
      <c r="AT43" s="536">
        <v>5.4059999999999997</v>
      </c>
      <c r="AU43" s="536">
        <v>0.115</v>
      </c>
    </row>
    <row r="44" spans="1:48" ht="31.75" hidden="1">
      <c r="A44" s="914"/>
      <c r="B44" s="186" t="s">
        <v>296</v>
      </c>
      <c r="C44" s="186" t="s">
        <v>32</v>
      </c>
      <c r="D44" s="860">
        <v>73.685000000000002</v>
      </c>
      <c r="E44" s="195">
        <f t="shared" si="19"/>
        <v>70</v>
      </c>
      <c r="F44" s="195">
        <f t="shared" si="2"/>
        <v>140</v>
      </c>
      <c r="G44" s="860">
        <v>0.105</v>
      </c>
      <c r="H44" s="536">
        <v>0</v>
      </c>
      <c r="I44" s="536">
        <f t="shared" si="3"/>
        <v>0</v>
      </c>
      <c r="J44" s="860">
        <v>1.2E-2</v>
      </c>
      <c r="K44" s="536">
        <v>0</v>
      </c>
      <c r="L44" s="536">
        <f t="shared" si="4"/>
        <v>0</v>
      </c>
      <c r="M44" s="860">
        <v>0</v>
      </c>
      <c r="N44" s="536">
        <v>0</v>
      </c>
      <c r="O44" s="536">
        <f t="shared" si="5"/>
        <v>0</v>
      </c>
      <c r="P44" s="860">
        <v>0</v>
      </c>
      <c r="Q44" s="536">
        <v>0</v>
      </c>
      <c r="R44" s="536">
        <f t="shared" si="6"/>
        <v>0</v>
      </c>
      <c r="S44" s="860">
        <v>0</v>
      </c>
      <c r="T44" s="536">
        <v>0</v>
      </c>
      <c r="U44" s="536">
        <f t="shared" si="7"/>
        <v>0</v>
      </c>
      <c r="V44" s="860">
        <v>9.9380000000000006</v>
      </c>
      <c r="W44" s="536">
        <f>MROUND(V44,5)</f>
        <v>10</v>
      </c>
      <c r="X44" s="536">
        <f t="shared" si="8"/>
        <v>20</v>
      </c>
      <c r="Y44" s="860">
        <v>19.125</v>
      </c>
      <c r="Z44" s="536">
        <f t="shared" si="22"/>
        <v>19</v>
      </c>
      <c r="AA44" s="536">
        <f t="shared" si="9"/>
        <v>38</v>
      </c>
      <c r="AB44" s="860">
        <v>1.7999999999999999E-2</v>
      </c>
      <c r="AC44" s="536">
        <v>0</v>
      </c>
      <c r="AD44" s="536">
        <f t="shared" si="10"/>
        <v>0</v>
      </c>
      <c r="AE44" s="860">
        <v>17.794</v>
      </c>
      <c r="AF44" s="536">
        <f t="shared" si="20"/>
        <v>18</v>
      </c>
      <c r="AG44" s="536">
        <f t="shared" si="11"/>
        <v>36</v>
      </c>
      <c r="AH44" s="860">
        <v>17.673999999999999</v>
      </c>
      <c r="AI44" s="690">
        <f t="shared" si="21"/>
        <v>18</v>
      </c>
      <c r="AJ44" s="536">
        <f t="shared" si="12"/>
        <v>36</v>
      </c>
      <c r="AK44" s="860">
        <v>3.2000000000000001E-2</v>
      </c>
      <c r="AL44" s="536">
        <v>0</v>
      </c>
      <c r="AM44" s="536">
        <f t="shared" si="13"/>
        <v>0</v>
      </c>
      <c r="AN44" s="555">
        <v>0</v>
      </c>
      <c r="AO44" s="555">
        <v>0</v>
      </c>
      <c r="AP44" s="555">
        <v>3.077</v>
      </c>
      <c r="AQ44" s="555">
        <v>0.23699999999999999</v>
      </c>
      <c r="AR44" s="555">
        <v>8.0000000000000002E-3</v>
      </c>
      <c r="AS44" s="555">
        <v>4.7E-2</v>
      </c>
      <c r="AT44" s="555">
        <v>8.375</v>
      </c>
      <c r="AU44" s="555">
        <v>0.17799999999999999</v>
      </c>
    </row>
    <row r="45" spans="1:48" ht="31.75" hidden="1">
      <c r="A45" s="914"/>
      <c r="B45" s="186" t="s">
        <v>296</v>
      </c>
      <c r="C45" s="186" t="s">
        <v>372</v>
      </c>
      <c r="D45" s="860">
        <v>77.977000000000004</v>
      </c>
      <c r="E45" s="195">
        <f t="shared" si="19"/>
        <v>80</v>
      </c>
      <c r="F45" s="195">
        <f t="shared" si="2"/>
        <v>160</v>
      </c>
      <c r="G45" s="860">
        <v>2.5000000000000001E-2</v>
      </c>
      <c r="H45" s="536">
        <v>0</v>
      </c>
      <c r="I45" s="536">
        <f t="shared" si="3"/>
        <v>0</v>
      </c>
      <c r="J45" s="860">
        <v>3.0000000000000001E-3</v>
      </c>
      <c r="K45" s="536">
        <v>0</v>
      </c>
      <c r="L45" s="536">
        <f t="shared" si="4"/>
        <v>0</v>
      </c>
      <c r="M45" s="860">
        <v>1E-3</v>
      </c>
      <c r="N45" s="536">
        <v>0</v>
      </c>
      <c r="O45" s="536">
        <f t="shared" si="5"/>
        <v>0</v>
      </c>
      <c r="P45" s="860">
        <v>3.0000000000000001E-3</v>
      </c>
      <c r="Q45" s="536">
        <v>0</v>
      </c>
      <c r="R45" s="536">
        <f t="shared" si="6"/>
        <v>0</v>
      </c>
      <c r="S45" s="860">
        <v>0</v>
      </c>
      <c r="T45" s="536">
        <v>0</v>
      </c>
      <c r="U45" s="536">
        <f t="shared" si="7"/>
        <v>0</v>
      </c>
      <c r="V45" s="860">
        <v>11.010999999999999</v>
      </c>
      <c r="W45" s="536">
        <f>MROUND(V45,5)</f>
        <v>10</v>
      </c>
      <c r="X45" s="536">
        <f t="shared" si="8"/>
        <v>20</v>
      </c>
      <c r="Y45" s="860">
        <v>19.709</v>
      </c>
      <c r="Z45" s="536">
        <f t="shared" si="22"/>
        <v>20</v>
      </c>
      <c r="AA45" s="536">
        <f t="shared" si="9"/>
        <v>40</v>
      </c>
      <c r="AB45" s="860">
        <v>0.06</v>
      </c>
      <c r="AC45" s="536">
        <v>0</v>
      </c>
      <c r="AD45" s="536">
        <f t="shared" si="10"/>
        <v>0</v>
      </c>
      <c r="AE45" s="860">
        <v>18.914000000000001</v>
      </c>
      <c r="AF45" s="536">
        <f t="shared" si="20"/>
        <v>19</v>
      </c>
      <c r="AG45" s="536">
        <f t="shared" si="11"/>
        <v>38</v>
      </c>
      <c r="AH45" s="860">
        <v>18.532</v>
      </c>
      <c r="AI45" s="690">
        <f t="shared" si="21"/>
        <v>19</v>
      </c>
      <c r="AJ45" s="536">
        <f t="shared" si="12"/>
        <v>38</v>
      </c>
      <c r="AK45" s="860">
        <v>3.2000000000000001E-2</v>
      </c>
      <c r="AL45" s="536">
        <v>0</v>
      </c>
      <c r="AM45" s="536">
        <f t="shared" si="13"/>
        <v>0</v>
      </c>
      <c r="AN45" s="555">
        <v>0</v>
      </c>
      <c r="AO45" s="555">
        <v>0</v>
      </c>
      <c r="AP45" s="561">
        <v>2.7890000000000001</v>
      </c>
      <c r="AQ45" s="561">
        <v>0.215</v>
      </c>
      <c r="AR45" s="561">
        <v>2.1000000000000001E-2</v>
      </c>
      <c r="AS45" s="561">
        <v>0.11700000000000001</v>
      </c>
      <c r="AT45" s="561">
        <v>3.0510000000000002</v>
      </c>
      <c r="AU45" s="561">
        <v>6.5000000000000002E-2</v>
      </c>
    </row>
    <row r="46" spans="1:48" ht="31.75" hidden="1">
      <c r="A46" s="914"/>
      <c r="B46" s="186" t="s">
        <v>296</v>
      </c>
      <c r="C46" s="186" t="s">
        <v>54</v>
      </c>
      <c r="D46" s="860">
        <v>86.676000000000002</v>
      </c>
      <c r="E46" s="195">
        <f t="shared" si="19"/>
        <v>90</v>
      </c>
      <c r="F46" s="195">
        <f t="shared" si="2"/>
        <v>180</v>
      </c>
      <c r="G46" s="860">
        <v>0.04</v>
      </c>
      <c r="H46" s="536">
        <v>0</v>
      </c>
      <c r="I46" s="536">
        <f t="shared" si="3"/>
        <v>0</v>
      </c>
      <c r="J46" s="860">
        <v>4.0000000000000001E-3</v>
      </c>
      <c r="K46" s="536">
        <v>0</v>
      </c>
      <c r="L46" s="536">
        <f t="shared" si="4"/>
        <v>0</v>
      </c>
      <c r="M46" s="860">
        <v>1E-3</v>
      </c>
      <c r="N46" s="536">
        <v>0</v>
      </c>
      <c r="O46" s="536">
        <f t="shared" si="5"/>
        <v>0</v>
      </c>
      <c r="P46" s="860">
        <v>3.0000000000000001E-3</v>
      </c>
      <c r="Q46" s="536">
        <v>0</v>
      </c>
      <c r="R46" s="536">
        <f t="shared" si="6"/>
        <v>0</v>
      </c>
      <c r="S46" s="860">
        <v>0</v>
      </c>
      <c r="T46" s="536">
        <v>0</v>
      </c>
      <c r="U46" s="536">
        <f t="shared" si="7"/>
        <v>0</v>
      </c>
      <c r="V46" s="860">
        <v>12.776999999999999</v>
      </c>
      <c r="W46" s="536">
        <f>MROUND(V46,5)</f>
        <v>15</v>
      </c>
      <c r="X46" s="536">
        <f t="shared" si="8"/>
        <v>30</v>
      </c>
      <c r="Y46" s="860">
        <v>21.949000000000002</v>
      </c>
      <c r="Z46" s="536">
        <f t="shared" si="22"/>
        <v>22</v>
      </c>
      <c r="AA46" s="536">
        <f t="shared" si="9"/>
        <v>44</v>
      </c>
      <c r="AB46" s="860">
        <v>0.05</v>
      </c>
      <c r="AC46" s="536">
        <v>0</v>
      </c>
      <c r="AD46" s="536">
        <f t="shared" si="10"/>
        <v>0</v>
      </c>
      <c r="AE46" s="860">
        <v>21.126999999999999</v>
      </c>
      <c r="AF46" s="536">
        <f t="shared" si="20"/>
        <v>21</v>
      </c>
      <c r="AG46" s="536">
        <f t="shared" si="11"/>
        <v>42</v>
      </c>
      <c r="AH46" s="860">
        <v>20.823</v>
      </c>
      <c r="AI46" s="690">
        <f t="shared" si="21"/>
        <v>21</v>
      </c>
      <c r="AJ46" s="536">
        <f t="shared" si="12"/>
        <v>42</v>
      </c>
      <c r="AK46" s="860">
        <v>3.2000000000000001E-2</v>
      </c>
      <c r="AL46" s="536">
        <v>0</v>
      </c>
      <c r="AM46" s="536">
        <f t="shared" si="13"/>
        <v>0</v>
      </c>
      <c r="AN46" s="555">
        <v>0</v>
      </c>
      <c r="AO46" s="555">
        <v>0</v>
      </c>
      <c r="AP46" s="555">
        <v>2.8719999999999999</v>
      </c>
      <c r="AQ46" s="555">
        <v>0.221</v>
      </c>
      <c r="AR46" s="555">
        <v>3.2000000000000001E-2</v>
      </c>
      <c r="AS46" s="555">
        <v>0.17699999999999999</v>
      </c>
      <c r="AT46" s="555">
        <v>5.016</v>
      </c>
      <c r="AU46" s="555">
        <v>0.107</v>
      </c>
    </row>
    <row r="47" spans="1:48" ht="31.75" hidden="1">
      <c r="A47" s="914"/>
      <c r="B47" s="186" t="s">
        <v>296</v>
      </c>
      <c r="C47" s="186" t="s">
        <v>311</v>
      </c>
      <c r="D47" s="860">
        <v>73.168000000000006</v>
      </c>
      <c r="E47" s="195">
        <f t="shared" si="19"/>
        <v>70</v>
      </c>
      <c r="F47" s="195">
        <f t="shared" si="2"/>
        <v>140</v>
      </c>
      <c r="G47" s="860">
        <v>0</v>
      </c>
      <c r="H47" s="536">
        <v>0</v>
      </c>
      <c r="I47" s="536">
        <f t="shared" si="3"/>
        <v>0</v>
      </c>
      <c r="J47" s="860">
        <v>0</v>
      </c>
      <c r="K47" s="536">
        <v>0</v>
      </c>
      <c r="L47" s="536">
        <f t="shared" si="4"/>
        <v>0</v>
      </c>
      <c r="M47" s="860">
        <v>0</v>
      </c>
      <c r="N47" s="536">
        <v>0</v>
      </c>
      <c r="O47" s="536">
        <f t="shared" si="5"/>
        <v>0</v>
      </c>
      <c r="P47" s="860">
        <v>0</v>
      </c>
      <c r="Q47" s="536">
        <v>0</v>
      </c>
      <c r="R47" s="536">
        <f t="shared" si="6"/>
        <v>0</v>
      </c>
      <c r="S47" s="860">
        <v>0</v>
      </c>
      <c r="T47" s="536">
        <v>0</v>
      </c>
      <c r="U47" s="536">
        <f t="shared" si="7"/>
        <v>0</v>
      </c>
      <c r="V47" s="860">
        <v>11.36</v>
      </c>
      <c r="W47" s="536">
        <f>MROUND(V47,5)</f>
        <v>10</v>
      </c>
      <c r="X47" s="536">
        <f t="shared" si="8"/>
        <v>20</v>
      </c>
      <c r="Y47" s="860">
        <v>18.690000000000001</v>
      </c>
      <c r="Z47" s="536">
        <f t="shared" si="22"/>
        <v>19</v>
      </c>
      <c r="AA47" s="536">
        <f t="shared" si="9"/>
        <v>38</v>
      </c>
      <c r="AB47" s="860">
        <v>4.8000000000000001E-2</v>
      </c>
      <c r="AC47" s="536">
        <v>0</v>
      </c>
      <c r="AD47" s="536">
        <f t="shared" si="10"/>
        <v>0</v>
      </c>
      <c r="AE47" s="860">
        <v>18.157</v>
      </c>
      <c r="AF47" s="536">
        <f t="shared" si="20"/>
        <v>18</v>
      </c>
      <c r="AG47" s="536">
        <f t="shared" si="11"/>
        <v>36</v>
      </c>
      <c r="AH47" s="860">
        <v>17.986999999999998</v>
      </c>
      <c r="AI47" s="690">
        <f t="shared" si="21"/>
        <v>18</v>
      </c>
      <c r="AJ47" s="536">
        <f t="shared" si="12"/>
        <v>36</v>
      </c>
      <c r="AK47" s="860">
        <v>3.4000000000000002E-2</v>
      </c>
      <c r="AL47" s="536">
        <v>0</v>
      </c>
      <c r="AM47" s="536">
        <f t="shared" si="13"/>
        <v>0</v>
      </c>
      <c r="AN47" s="555">
        <v>0</v>
      </c>
      <c r="AO47" s="555">
        <v>0</v>
      </c>
      <c r="AP47" s="555">
        <v>2.427</v>
      </c>
      <c r="AQ47" s="555">
        <v>0.187</v>
      </c>
      <c r="AR47" s="555">
        <v>1.7999999999999999E-2</v>
      </c>
      <c r="AS47" s="555">
        <v>0.10199999999999999</v>
      </c>
      <c r="AT47" s="555">
        <v>0.30499999999999999</v>
      </c>
      <c r="AU47" s="555">
        <v>6.0000000000000001E-3</v>
      </c>
    </row>
    <row r="48" spans="1:48" ht="31.75" hidden="1">
      <c r="A48" s="914"/>
      <c r="B48" s="186" t="s">
        <v>296</v>
      </c>
      <c r="C48" s="186" t="s">
        <v>26</v>
      </c>
      <c r="D48" s="935">
        <v>93.088999999999999</v>
      </c>
      <c r="E48" s="195">
        <f t="shared" si="19"/>
        <v>90</v>
      </c>
      <c r="F48" s="195">
        <f t="shared" si="2"/>
        <v>180</v>
      </c>
      <c r="G48" s="935">
        <v>0.22600000000000001</v>
      </c>
      <c r="H48" s="536">
        <v>0</v>
      </c>
      <c r="I48" s="536">
        <f t="shared" si="3"/>
        <v>0</v>
      </c>
      <c r="J48" s="935">
        <v>2.5000000000000001E-2</v>
      </c>
      <c r="K48" s="536">
        <v>0</v>
      </c>
      <c r="L48" s="536">
        <f t="shared" si="4"/>
        <v>0</v>
      </c>
      <c r="M48" s="935">
        <v>2.1000000000000001E-2</v>
      </c>
      <c r="N48" s="536">
        <v>0</v>
      </c>
      <c r="O48" s="536">
        <f t="shared" si="5"/>
        <v>0</v>
      </c>
      <c r="P48" s="935">
        <v>1E-3</v>
      </c>
      <c r="Q48" s="536">
        <v>0</v>
      </c>
      <c r="R48" s="536">
        <f t="shared" si="6"/>
        <v>0</v>
      </c>
      <c r="S48" s="935">
        <v>0</v>
      </c>
      <c r="T48" s="536">
        <v>0</v>
      </c>
      <c r="U48" s="536">
        <f t="shared" si="7"/>
        <v>0</v>
      </c>
      <c r="V48" s="935">
        <v>10.701000000000001</v>
      </c>
      <c r="W48" s="536">
        <f>MROUND(V48,5)</f>
        <v>10</v>
      </c>
      <c r="X48" s="536">
        <f t="shared" si="8"/>
        <v>20</v>
      </c>
      <c r="Y48" s="935">
        <v>23.559000000000001</v>
      </c>
      <c r="Z48" s="536">
        <f t="shared" si="22"/>
        <v>24</v>
      </c>
      <c r="AA48" s="536">
        <f t="shared" si="9"/>
        <v>48</v>
      </c>
      <c r="AB48" s="935">
        <v>0.10100000000000001</v>
      </c>
      <c r="AC48" s="536">
        <v>0</v>
      </c>
      <c r="AD48" s="536">
        <f t="shared" si="10"/>
        <v>0</v>
      </c>
      <c r="AE48" s="935">
        <v>22.498000000000001</v>
      </c>
      <c r="AF48" s="536">
        <f t="shared" si="20"/>
        <v>22</v>
      </c>
      <c r="AG48" s="536">
        <f t="shared" si="11"/>
        <v>44</v>
      </c>
      <c r="AH48" s="935">
        <v>21.829000000000001</v>
      </c>
      <c r="AI48" s="690">
        <f t="shared" si="21"/>
        <v>22</v>
      </c>
      <c r="AJ48" s="536">
        <f t="shared" si="12"/>
        <v>44</v>
      </c>
      <c r="AK48" s="935">
        <v>3.5999999999999997E-2</v>
      </c>
      <c r="AL48" s="536">
        <v>0</v>
      </c>
      <c r="AM48" s="536">
        <f t="shared" si="13"/>
        <v>0</v>
      </c>
      <c r="AN48" s="1136">
        <v>0</v>
      </c>
      <c r="AO48" s="1136">
        <v>0</v>
      </c>
      <c r="AP48" s="1136">
        <v>2.395</v>
      </c>
      <c r="AQ48" s="1136">
        <v>0.184</v>
      </c>
      <c r="AR48" s="1136">
        <v>1.7999999999999999E-2</v>
      </c>
      <c r="AS48" s="1136">
        <v>0.10100000000000001</v>
      </c>
      <c r="AT48" s="1136">
        <v>18.256</v>
      </c>
      <c r="AU48" s="1136">
        <v>0.38800000000000001</v>
      </c>
      <c r="AV48" s="223"/>
    </row>
    <row r="49" spans="1:48" ht="31.75" hidden="1">
      <c r="A49" s="914"/>
      <c r="B49" s="186" t="s">
        <v>296</v>
      </c>
      <c r="C49" s="186" t="s">
        <v>48</v>
      </c>
      <c r="D49" s="860">
        <v>65.653000000000006</v>
      </c>
      <c r="E49" s="195">
        <f t="shared" si="19"/>
        <v>70</v>
      </c>
      <c r="F49" s="195">
        <f t="shared" si="2"/>
        <v>140</v>
      </c>
      <c r="G49" s="860">
        <v>0.13200000000000001</v>
      </c>
      <c r="H49" s="536">
        <v>0</v>
      </c>
      <c r="I49" s="536">
        <f t="shared" si="3"/>
        <v>0</v>
      </c>
      <c r="J49" s="860">
        <v>1.4999999999999999E-2</v>
      </c>
      <c r="K49" s="536">
        <v>0</v>
      </c>
      <c r="L49" s="536">
        <f t="shared" si="4"/>
        <v>0</v>
      </c>
      <c r="M49" s="860">
        <v>0</v>
      </c>
      <c r="N49" s="536">
        <v>0</v>
      </c>
      <c r="O49" s="536">
        <f t="shared" si="5"/>
        <v>0</v>
      </c>
      <c r="P49" s="860">
        <v>0</v>
      </c>
      <c r="Q49" s="536">
        <v>0</v>
      </c>
      <c r="R49" s="536">
        <f t="shared" si="6"/>
        <v>0</v>
      </c>
      <c r="S49" s="860">
        <v>0</v>
      </c>
      <c r="T49" s="536">
        <v>0</v>
      </c>
      <c r="U49" s="536">
        <f t="shared" si="7"/>
        <v>0</v>
      </c>
      <c r="V49" s="860">
        <v>3.4550000000000001</v>
      </c>
      <c r="W49" s="536">
        <v>0</v>
      </c>
      <c r="X49" s="536">
        <f t="shared" si="8"/>
        <v>0</v>
      </c>
      <c r="Y49" s="860">
        <v>17.120999999999999</v>
      </c>
      <c r="Z49" s="536">
        <f t="shared" si="22"/>
        <v>17</v>
      </c>
      <c r="AA49" s="536">
        <f t="shared" si="9"/>
        <v>34</v>
      </c>
      <c r="AB49" s="860">
        <v>4.4999999999999998E-2</v>
      </c>
      <c r="AC49" s="536">
        <v>0</v>
      </c>
      <c r="AD49" s="536">
        <f t="shared" si="10"/>
        <v>0</v>
      </c>
      <c r="AE49" s="860">
        <v>16.355</v>
      </c>
      <c r="AF49" s="536">
        <f t="shared" si="20"/>
        <v>16</v>
      </c>
      <c r="AG49" s="536">
        <f t="shared" si="11"/>
        <v>32</v>
      </c>
      <c r="AH49" s="860">
        <v>16.207999999999998</v>
      </c>
      <c r="AI49" s="690">
        <f t="shared" si="21"/>
        <v>16</v>
      </c>
      <c r="AJ49" s="536">
        <f t="shared" si="12"/>
        <v>32</v>
      </c>
      <c r="AK49" s="860">
        <v>3.9E-2</v>
      </c>
      <c r="AL49" s="536">
        <v>0</v>
      </c>
      <c r="AM49" s="536">
        <f t="shared" si="13"/>
        <v>0</v>
      </c>
      <c r="AN49" s="555">
        <v>0</v>
      </c>
      <c r="AO49" s="555">
        <v>0</v>
      </c>
      <c r="AP49" s="555">
        <v>3.4910000000000001</v>
      </c>
      <c r="AQ49" s="555">
        <v>0.26900000000000002</v>
      </c>
      <c r="AR49" s="555">
        <v>1.2E-2</v>
      </c>
      <c r="AS49" s="555">
        <v>6.9000000000000006E-2</v>
      </c>
      <c r="AT49" s="555">
        <v>9.8670000000000009</v>
      </c>
      <c r="AU49" s="555">
        <v>0.21</v>
      </c>
    </row>
    <row r="50" spans="1:48" ht="31.75" hidden="1">
      <c r="A50" s="914"/>
      <c r="B50" s="186" t="s">
        <v>92</v>
      </c>
      <c r="C50" s="186" t="s">
        <v>115</v>
      </c>
      <c r="D50" s="860">
        <v>85.334000000000003</v>
      </c>
      <c r="E50" s="195">
        <f t="shared" si="19"/>
        <v>90</v>
      </c>
      <c r="F50" s="195">
        <f t="shared" si="2"/>
        <v>180</v>
      </c>
      <c r="G50" s="860">
        <v>0</v>
      </c>
      <c r="H50" s="536">
        <v>0</v>
      </c>
      <c r="I50" s="536">
        <f t="shared" si="3"/>
        <v>0</v>
      </c>
      <c r="J50" s="860">
        <v>0.439</v>
      </c>
      <c r="K50" s="536">
        <v>0</v>
      </c>
      <c r="L50" s="536">
        <f t="shared" si="4"/>
        <v>0</v>
      </c>
      <c r="M50" s="860">
        <v>0.40699999999999997</v>
      </c>
      <c r="N50" s="536">
        <v>0</v>
      </c>
      <c r="O50" s="536">
        <f t="shared" si="5"/>
        <v>0</v>
      </c>
      <c r="P50" s="860">
        <v>0</v>
      </c>
      <c r="Q50" s="536">
        <v>0</v>
      </c>
      <c r="R50" s="536">
        <f t="shared" si="6"/>
        <v>0</v>
      </c>
      <c r="S50" s="860">
        <v>0</v>
      </c>
      <c r="T50" s="536">
        <v>0</v>
      </c>
      <c r="U50" s="536">
        <f t="shared" si="7"/>
        <v>0</v>
      </c>
      <c r="V50" s="860">
        <v>16.954000000000001</v>
      </c>
      <c r="W50" s="536">
        <f t="shared" ref="W50:W93" si="23">MROUND(V50,5)</f>
        <v>15</v>
      </c>
      <c r="X50" s="536">
        <f t="shared" si="8"/>
        <v>30</v>
      </c>
      <c r="Y50" s="860">
        <v>15.718999999999999</v>
      </c>
      <c r="Z50" s="536">
        <f t="shared" si="22"/>
        <v>16</v>
      </c>
      <c r="AA50" s="536">
        <f t="shared" si="9"/>
        <v>32</v>
      </c>
      <c r="AB50" s="860">
        <v>8.9999999999999993E-3</v>
      </c>
      <c r="AC50" s="536">
        <v>0</v>
      </c>
      <c r="AD50" s="536">
        <f t="shared" si="10"/>
        <v>0</v>
      </c>
      <c r="AE50" s="860">
        <v>15.007999999999999</v>
      </c>
      <c r="AF50" s="536">
        <f t="shared" si="20"/>
        <v>15</v>
      </c>
      <c r="AG50" s="536">
        <f t="shared" si="11"/>
        <v>30</v>
      </c>
      <c r="AH50" s="860">
        <v>19.626999999999999</v>
      </c>
      <c r="AI50" s="690">
        <f t="shared" si="21"/>
        <v>20</v>
      </c>
      <c r="AJ50" s="536">
        <f t="shared" si="12"/>
        <v>40</v>
      </c>
      <c r="AK50" s="860">
        <v>0.04</v>
      </c>
      <c r="AL50" s="536">
        <v>0</v>
      </c>
      <c r="AM50" s="536">
        <f t="shared" si="13"/>
        <v>0</v>
      </c>
      <c r="AN50" s="555">
        <v>0</v>
      </c>
      <c r="AO50" s="555">
        <v>0</v>
      </c>
      <c r="AP50" s="555">
        <v>2.7959999999999998</v>
      </c>
      <c r="AQ50" s="555">
        <v>0.215</v>
      </c>
      <c r="AR50" s="555">
        <v>2.5999999999999999E-2</v>
      </c>
      <c r="AS50" s="555">
        <v>0.14599999999999999</v>
      </c>
      <c r="AT50" s="555">
        <v>7.1459999999999999</v>
      </c>
      <c r="AU50" s="555">
        <v>0.152</v>
      </c>
    </row>
    <row r="51" spans="1:48" ht="31.75" hidden="1">
      <c r="A51" s="914"/>
      <c r="B51" s="186" t="s">
        <v>296</v>
      </c>
      <c r="C51" s="186" t="s">
        <v>71</v>
      </c>
      <c r="D51" s="860">
        <v>83.804000000000002</v>
      </c>
      <c r="E51" s="195">
        <f t="shared" si="19"/>
        <v>80</v>
      </c>
      <c r="F51" s="195">
        <f t="shared" si="2"/>
        <v>160</v>
      </c>
      <c r="G51" s="860">
        <v>3.2000000000000001E-2</v>
      </c>
      <c r="H51" s="536">
        <v>0</v>
      </c>
      <c r="I51" s="536">
        <f t="shared" si="3"/>
        <v>0</v>
      </c>
      <c r="J51" s="860">
        <v>4.0000000000000001E-3</v>
      </c>
      <c r="K51" s="536">
        <v>0</v>
      </c>
      <c r="L51" s="536">
        <f t="shared" si="4"/>
        <v>0</v>
      </c>
      <c r="M51" s="860">
        <v>0</v>
      </c>
      <c r="N51" s="536">
        <v>0</v>
      </c>
      <c r="O51" s="536">
        <f t="shared" si="5"/>
        <v>0</v>
      </c>
      <c r="P51" s="860">
        <v>0</v>
      </c>
      <c r="Q51" s="536">
        <v>0</v>
      </c>
      <c r="R51" s="536">
        <f t="shared" si="6"/>
        <v>0</v>
      </c>
      <c r="S51" s="860">
        <v>0</v>
      </c>
      <c r="T51" s="536">
        <v>0</v>
      </c>
      <c r="U51" s="536">
        <f t="shared" si="7"/>
        <v>0</v>
      </c>
      <c r="V51" s="860">
        <v>12.779</v>
      </c>
      <c r="W51" s="536">
        <f t="shared" si="23"/>
        <v>15</v>
      </c>
      <c r="X51" s="536">
        <f t="shared" si="8"/>
        <v>30</v>
      </c>
      <c r="Y51" s="860">
        <v>21.164000000000001</v>
      </c>
      <c r="Z51" s="536">
        <f t="shared" si="22"/>
        <v>21</v>
      </c>
      <c r="AA51" s="536">
        <f t="shared" si="9"/>
        <v>42</v>
      </c>
      <c r="AB51" s="860">
        <v>2.4E-2</v>
      </c>
      <c r="AC51" s="536">
        <v>0</v>
      </c>
      <c r="AD51" s="536">
        <f t="shared" si="10"/>
        <v>0</v>
      </c>
      <c r="AE51" s="860">
        <v>20.477</v>
      </c>
      <c r="AF51" s="536">
        <f t="shared" si="20"/>
        <v>20</v>
      </c>
      <c r="AG51" s="536">
        <f t="shared" si="11"/>
        <v>40</v>
      </c>
      <c r="AH51" s="860">
        <v>20.242000000000001</v>
      </c>
      <c r="AI51" s="690">
        <f t="shared" si="21"/>
        <v>20</v>
      </c>
      <c r="AJ51" s="536">
        <f t="shared" si="12"/>
        <v>40</v>
      </c>
      <c r="AK51" s="860">
        <v>0.04</v>
      </c>
      <c r="AL51" s="536">
        <v>0</v>
      </c>
      <c r="AM51" s="536">
        <f t="shared" si="13"/>
        <v>0</v>
      </c>
      <c r="AN51" s="555">
        <v>0</v>
      </c>
      <c r="AO51" s="555">
        <v>0</v>
      </c>
      <c r="AP51" s="555">
        <v>2.7170000000000001</v>
      </c>
      <c r="AQ51" s="555">
        <v>0.20899999999999999</v>
      </c>
      <c r="AR51" s="555">
        <v>2.5999999999999999E-2</v>
      </c>
      <c r="AS51" s="555">
        <v>0.14399999999999999</v>
      </c>
      <c r="AT51" s="555">
        <v>2.9729999999999999</v>
      </c>
      <c r="AU51" s="555">
        <v>6.3E-2</v>
      </c>
      <c r="AV51" s="248"/>
    </row>
    <row r="52" spans="1:48" s="248" customFormat="1" ht="31.75" hidden="1">
      <c r="A52" s="914"/>
      <c r="B52" s="186" t="s">
        <v>296</v>
      </c>
      <c r="C52" s="186" t="s">
        <v>61</v>
      </c>
      <c r="D52" s="935">
        <v>56.87</v>
      </c>
      <c r="E52" s="195">
        <f t="shared" si="19"/>
        <v>60</v>
      </c>
      <c r="F52" s="195">
        <f t="shared" si="2"/>
        <v>120</v>
      </c>
      <c r="G52" s="935">
        <v>0.16200000000000001</v>
      </c>
      <c r="H52" s="536">
        <v>0</v>
      </c>
      <c r="I52" s="536">
        <f t="shared" si="3"/>
        <v>0</v>
      </c>
      <c r="J52" s="935">
        <v>1.7999999999999999E-2</v>
      </c>
      <c r="K52" s="536">
        <v>0</v>
      </c>
      <c r="L52" s="536">
        <f t="shared" si="4"/>
        <v>0</v>
      </c>
      <c r="M52" s="935">
        <v>1E-3</v>
      </c>
      <c r="N52" s="536">
        <v>0</v>
      </c>
      <c r="O52" s="536">
        <f t="shared" si="5"/>
        <v>0</v>
      </c>
      <c r="P52" s="935">
        <v>0</v>
      </c>
      <c r="Q52" s="536">
        <v>0</v>
      </c>
      <c r="R52" s="536">
        <f t="shared" si="6"/>
        <v>0</v>
      </c>
      <c r="S52" s="935">
        <v>0</v>
      </c>
      <c r="T52" s="536">
        <v>0</v>
      </c>
      <c r="U52" s="536">
        <f t="shared" si="7"/>
        <v>0</v>
      </c>
      <c r="V52" s="935">
        <v>13.231999999999999</v>
      </c>
      <c r="W52" s="536">
        <f t="shared" si="23"/>
        <v>15</v>
      </c>
      <c r="X52" s="536">
        <f t="shared" si="8"/>
        <v>30</v>
      </c>
      <c r="Y52" s="935">
        <v>14.669</v>
      </c>
      <c r="Z52" s="536">
        <f t="shared" si="22"/>
        <v>15</v>
      </c>
      <c r="AA52" s="536">
        <f t="shared" si="9"/>
        <v>30</v>
      </c>
      <c r="AB52" s="935">
        <v>6.9000000000000006E-2</v>
      </c>
      <c r="AC52" s="536">
        <v>0</v>
      </c>
      <c r="AD52" s="536">
        <f t="shared" si="10"/>
        <v>0</v>
      </c>
      <c r="AE52" s="935">
        <v>13.898999999999999</v>
      </c>
      <c r="AF52" s="536">
        <f t="shared" si="20"/>
        <v>14</v>
      </c>
      <c r="AG52" s="536">
        <f t="shared" si="11"/>
        <v>28</v>
      </c>
      <c r="AH52" s="935">
        <v>13.717000000000001</v>
      </c>
      <c r="AI52" s="690">
        <f t="shared" si="21"/>
        <v>14</v>
      </c>
      <c r="AJ52" s="536">
        <f t="shared" si="12"/>
        <v>28</v>
      </c>
      <c r="AK52" s="935">
        <v>4.2999999999999997E-2</v>
      </c>
      <c r="AL52" s="536">
        <v>0</v>
      </c>
      <c r="AM52" s="536">
        <f t="shared" si="13"/>
        <v>0</v>
      </c>
      <c r="AN52" s="819">
        <v>0</v>
      </c>
      <c r="AO52" s="819">
        <v>0</v>
      </c>
      <c r="AP52" s="819">
        <v>3.34</v>
      </c>
      <c r="AQ52" s="819">
        <v>0.25700000000000001</v>
      </c>
      <c r="AR52" s="819">
        <v>1.6E-2</v>
      </c>
      <c r="AS52" s="819">
        <v>9.0999999999999998E-2</v>
      </c>
      <c r="AT52" s="819">
        <v>9.4949999999999992</v>
      </c>
      <c r="AU52" s="819">
        <v>0.20200000000000001</v>
      </c>
      <c r="AV52" s="179"/>
    </row>
    <row r="53" spans="1:48" s="248" customFormat="1" ht="31.75" hidden="1">
      <c r="A53" s="914"/>
      <c r="B53" s="186" t="s">
        <v>296</v>
      </c>
      <c r="C53" s="186" t="s">
        <v>324</v>
      </c>
      <c r="D53" s="889">
        <v>85.819000000000003</v>
      </c>
      <c r="E53" s="195">
        <f t="shared" si="19"/>
        <v>90</v>
      </c>
      <c r="F53" s="195">
        <f t="shared" si="2"/>
        <v>180</v>
      </c>
      <c r="G53" s="889">
        <v>0</v>
      </c>
      <c r="H53" s="536">
        <v>0</v>
      </c>
      <c r="I53" s="536">
        <f t="shared" si="3"/>
        <v>0</v>
      </c>
      <c r="J53" s="889">
        <v>0</v>
      </c>
      <c r="K53" s="536">
        <v>0</v>
      </c>
      <c r="L53" s="536">
        <f t="shared" si="4"/>
        <v>0</v>
      </c>
      <c r="M53" s="889">
        <v>0</v>
      </c>
      <c r="N53" s="536">
        <v>0</v>
      </c>
      <c r="O53" s="536">
        <f t="shared" si="5"/>
        <v>0</v>
      </c>
      <c r="P53" s="889">
        <v>0</v>
      </c>
      <c r="Q53" s="536">
        <v>0</v>
      </c>
      <c r="R53" s="536">
        <f t="shared" si="6"/>
        <v>0</v>
      </c>
      <c r="S53" s="889">
        <v>0</v>
      </c>
      <c r="T53" s="536">
        <v>0</v>
      </c>
      <c r="U53" s="536">
        <f t="shared" si="7"/>
        <v>0</v>
      </c>
      <c r="V53" s="889">
        <v>16.998999999999999</v>
      </c>
      <c r="W53" s="536">
        <f t="shared" si="23"/>
        <v>15</v>
      </c>
      <c r="X53" s="536">
        <f t="shared" si="8"/>
        <v>30</v>
      </c>
      <c r="Y53" s="889">
        <v>21.783999999999999</v>
      </c>
      <c r="Z53" s="536">
        <f t="shared" si="22"/>
        <v>22</v>
      </c>
      <c r="AA53" s="536">
        <f t="shared" si="9"/>
        <v>44</v>
      </c>
      <c r="AB53" s="889">
        <v>8.0000000000000002E-3</v>
      </c>
      <c r="AC53" s="536">
        <v>0</v>
      </c>
      <c r="AD53" s="536">
        <f t="shared" si="10"/>
        <v>0</v>
      </c>
      <c r="AE53" s="889">
        <v>21.17</v>
      </c>
      <c r="AF53" s="536">
        <f t="shared" si="20"/>
        <v>21</v>
      </c>
      <c r="AG53" s="536">
        <f t="shared" si="11"/>
        <v>42</v>
      </c>
      <c r="AH53" s="889">
        <v>21.17</v>
      </c>
      <c r="AI53" s="690">
        <f t="shared" si="21"/>
        <v>21</v>
      </c>
      <c r="AJ53" s="536">
        <f t="shared" si="12"/>
        <v>42</v>
      </c>
      <c r="AK53" s="889">
        <v>4.5999999999999999E-2</v>
      </c>
      <c r="AL53" s="536">
        <v>0</v>
      </c>
      <c r="AM53" s="536">
        <f t="shared" si="13"/>
        <v>0</v>
      </c>
      <c r="AN53" s="555">
        <v>0</v>
      </c>
      <c r="AO53" s="555">
        <v>0</v>
      </c>
      <c r="AP53" s="555">
        <v>2.758</v>
      </c>
      <c r="AQ53" s="555">
        <v>0.21199999999999999</v>
      </c>
      <c r="AR53" s="555">
        <v>0.02</v>
      </c>
      <c r="AS53" s="555">
        <v>0.114</v>
      </c>
      <c r="AT53" s="555">
        <v>0.29199999999999998</v>
      </c>
      <c r="AU53" s="555">
        <v>6.0000000000000001E-3</v>
      </c>
    </row>
    <row r="54" spans="1:48" s="223" customFormat="1" ht="31.75" hidden="1">
      <c r="A54" s="914"/>
      <c r="B54" s="186" t="s">
        <v>296</v>
      </c>
      <c r="C54" s="186" t="s">
        <v>68</v>
      </c>
      <c r="D54" s="860">
        <v>75.725999999999999</v>
      </c>
      <c r="E54" s="195">
        <f t="shared" si="19"/>
        <v>80</v>
      </c>
      <c r="F54" s="195">
        <f t="shared" si="2"/>
        <v>160</v>
      </c>
      <c r="G54" s="860">
        <v>6.9000000000000006E-2</v>
      </c>
      <c r="H54" s="536">
        <v>0</v>
      </c>
      <c r="I54" s="536">
        <f t="shared" si="3"/>
        <v>0</v>
      </c>
      <c r="J54" s="860">
        <v>8.0000000000000002E-3</v>
      </c>
      <c r="K54" s="536">
        <v>0</v>
      </c>
      <c r="L54" s="536">
        <f t="shared" si="4"/>
        <v>0</v>
      </c>
      <c r="M54" s="860">
        <v>0</v>
      </c>
      <c r="N54" s="536">
        <v>0</v>
      </c>
      <c r="O54" s="536">
        <f t="shared" si="5"/>
        <v>0</v>
      </c>
      <c r="P54" s="860">
        <v>0</v>
      </c>
      <c r="Q54" s="536">
        <v>0</v>
      </c>
      <c r="R54" s="536">
        <f t="shared" si="6"/>
        <v>0</v>
      </c>
      <c r="S54" s="860">
        <v>0</v>
      </c>
      <c r="T54" s="536">
        <v>0</v>
      </c>
      <c r="U54" s="536">
        <f t="shared" si="7"/>
        <v>0</v>
      </c>
      <c r="V54" s="860">
        <v>11.414999999999999</v>
      </c>
      <c r="W54" s="536">
        <f t="shared" si="23"/>
        <v>10</v>
      </c>
      <c r="X54" s="536">
        <f t="shared" si="8"/>
        <v>20</v>
      </c>
      <c r="Y54" s="860">
        <v>19.291</v>
      </c>
      <c r="Z54" s="536">
        <f t="shared" si="22"/>
        <v>19</v>
      </c>
      <c r="AA54" s="536">
        <f t="shared" si="9"/>
        <v>38</v>
      </c>
      <c r="AB54" s="860">
        <v>5.5E-2</v>
      </c>
      <c r="AC54" s="536">
        <v>0</v>
      </c>
      <c r="AD54" s="536">
        <f t="shared" si="10"/>
        <v>0</v>
      </c>
      <c r="AE54" s="860">
        <v>18.425000000000001</v>
      </c>
      <c r="AF54" s="536">
        <f t="shared" si="20"/>
        <v>18</v>
      </c>
      <c r="AG54" s="536">
        <f t="shared" si="11"/>
        <v>36</v>
      </c>
      <c r="AH54" s="860">
        <v>18.201000000000001</v>
      </c>
      <c r="AI54" s="690">
        <f t="shared" si="21"/>
        <v>18</v>
      </c>
      <c r="AJ54" s="536">
        <f t="shared" si="12"/>
        <v>36</v>
      </c>
      <c r="AK54" s="860">
        <v>4.7E-2</v>
      </c>
      <c r="AL54" s="536">
        <v>0</v>
      </c>
      <c r="AM54" s="536">
        <f t="shared" si="13"/>
        <v>0</v>
      </c>
      <c r="AN54" s="555">
        <v>0</v>
      </c>
      <c r="AO54" s="555">
        <v>0</v>
      </c>
      <c r="AP54" s="561">
        <v>3.1459999999999999</v>
      </c>
      <c r="AQ54" s="561">
        <v>0.24199999999999999</v>
      </c>
      <c r="AR54" s="561">
        <v>2.5999999999999999E-2</v>
      </c>
      <c r="AS54" s="561">
        <v>0.14299999999999999</v>
      </c>
      <c r="AT54" s="561">
        <v>5.9660000000000002</v>
      </c>
      <c r="AU54" s="561">
        <v>0.127</v>
      </c>
      <c r="AV54" s="179"/>
    </row>
    <row r="55" spans="1:48" s="248" customFormat="1" ht="31.75" hidden="1">
      <c r="A55" s="914"/>
      <c r="B55" s="186" t="s">
        <v>296</v>
      </c>
      <c r="C55" s="186" t="s">
        <v>300</v>
      </c>
      <c r="D55" s="859">
        <v>63.253</v>
      </c>
      <c r="E55" s="195">
        <f t="shared" si="19"/>
        <v>60</v>
      </c>
      <c r="F55" s="195">
        <f t="shared" si="2"/>
        <v>120</v>
      </c>
      <c r="G55" s="859">
        <v>0.21299999999999999</v>
      </c>
      <c r="H55" s="536">
        <v>0</v>
      </c>
      <c r="I55" s="536">
        <f t="shared" si="3"/>
        <v>0</v>
      </c>
      <c r="J55" s="859">
        <v>2.4E-2</v>
      </c>
      <c r="K55" s="536">
        <v>0</v>
      </c>
      <c r="L55" s="536">
        <f t="shared" si="4"/>
        <v>0</v>
      </c>
      <c r="M55" s="859">
        <v>1E-3</v>
      </c>
      <c r="N55" s="536">
        <v>0</v>
      </c>
      <c r="O55" s="536">
        <f t="shared" si="5"/>
        <v>0</v>
      </c>
      <c r="P55" s="859">
        <v>0</v>
      </c>
      <c r="Q55" s="536">
        <v>0</v>
      </c>
      <c r="R55" s="536">
        <f t="shared" si="6"/>
        <v>0</v>
      </c>
      <c r="S55" s="859">
        <v>0</v>
      </c>
      <c r="T55" s="536">
        <v>0</v>
      </c>
      <c r="U55" s="536">
        <f t="shared" si="7"/>
        <v>0</v>
      </c>
      <c r="V55" s="859">
        <v>10.347</v>
      </c>
      <c r="W55" s="536">
        <f t="shared" si="23"/>
        <v>10</v>
      </c>
      <c r="X55" s="536">
        <f t="shared" si="8"/>
        <v>20</v>
      </c>
      <c r="Y55" s="859">
        <v>16.440000000000001</v>
      </c>
      <c r="Z55" s="536">
        <f t="shared" si="22"/>
        <v>16</v>
      </c>
      <c r="AA55" s="536">
        <f t="shared" si="9"/>
        <v>32</v>
      </c>
      <c r="AB55" s="859">
        <v>8.2000000000000003E-2</v>
      </c>
      <c r="AC55" s="536">
        <v>0</v>
      </c>
      <c r="AD55" s="536">
        <f t="shared" si="10"/>
        <v>0</v>
      </c>
      <c r="AE55" s="859">
        <v>15.189</v>
      </c>
      <c r="AF55" s="536">
        <f t="shared" si="20"/>
        <v>15</v>
      </c>
      <c r="AG55" s="536">
        <f t="shared" si="11"/>
        <v>30</v>
      </c>
      <c r="AH55" s="859">
        <v>14.928000000000001</v>
      </c>
      <c r="AI55" s="690">
        <f t="shared" si="21"/>
        <v>15</v>
      </c>
      <c r="AJ55" s="536">
        <f t="shared" si="12"/>
        <v>30</v>
      </c>
      <c r="AK55" s="859">
        <v>4.8000000000000001E-2</v>
      </c>
      <c r="AL55" s="536">
        <v>0</v>
      </c>
      <c r="AM55" s="536">
        <f t="shared" si="13"/>
        <v>0</v>
      </c>
      <c r="AN55" s="554">
        <v>0</v>
      </c>
      <c r="AO55" s="554">
        <v>0</v>
      </c>
      <c r="AP55" s="554">
        <v>3.6560000000000001</v>
      </c>
      <c r="AQ55" s="554">
        <v>0.28100000000000003</v>
      </c>
      <c r="AR55" s="554">
        <v>1.4999999999999999E-2</v>
      </c>
      <c r="AS55" s="554">
        <v>8.1000000000000003E-2</v>
      </c>
      <c r="AT55" s="554">
        <v>11.483000000000001</v>
      </c>
      <c r="AU55" s="554">
        <v>0.24399999999999999</v>
      </c>
      <c r="AV55" s="179"/>
    </row>
    <row r="56" spans="1:48" s="248" customFormat="1" ht="31.75" hidden="1">
      <c r="A56" s="914"/>
      <c r="B56" s="186" t="s">
        <v>296</v>
      </c>
      <c r="C56" s="186" t="s">
        <v>39</v>
      </c>
      <c r="D56" s="860">
        <v>78.962999999999994</v>
      </c>
      <c r="E56" s="195">
        <f t="shared" si="19"/>
        <v>80</v>
      </c>
      <c r="F56" s="195">
        <f t="shared" si="2"/>
        <v>160</v>
      </c>
      <c r="G56" s="860">
        <v>0</v>
      </c>
      <c r="H56" s="536">
        <v>0</v>
      </c>
      <c r="I56" s="536">
        <f t="shared" si="3"/>
        <v>0</v>
      </c>
      <c r="J56" s="860">
        <v>0</v>
      </c>
      <c r="K56" s="536">
        <v>0</v>
      </c>
      <c r="L56" s="536">
        <f t="shared" si="4"/>
        <v>0</v>
      </c>
      <c r="M56" s="860">
        <v>0</v>
      </c>
      <c r="N56" s="536">
        <v>0</v>
      </c>
      <c r="O56" s="536">
        <f t="shared" si="5"/>
        <v>0</v>
      </c>
      <c r="P56" s="860">
        <v>0</v>
      </c>
      <c r="Q56" s="536">
        <v>0</v>
      </c>
      <c r="R56" s="536">
        <f t="shared" si="6"/>
        <v>0</v>
      </c>
      <c r="S56" s="860">
        <v>0</v>
      </c>
      <c r="T56" s="536">
        <v>0</v>
      </c>
      <c r="U56" s="536">
        <f t="shared" si="7"/>
        <v>0</v>
      </c>
      <c r="V56" s="860">
        <v>9.27</v>
      </c>
      <c r="W56" s="536">
        <f t="shared" si="23"/>
        <v>10</v>
      </c>
      <c r="X56" s="536">
        <f t="shared" si="8"/>
        <v>20</v>
      </c>
      <c r="Y56" s="860">
        <v>19.89</v>
      </c>
      <c r="Z56" s="536">
        <f t="shared" si="22"/>
        <v>20</v>
      </c>
      <c r="AA56" s="536">
        <f t="shared" si="9"/>
        <v>40</v>
      </c>
      <c r="AB56" s="860">
        <v>7.8E-2</v>
      </c>
      <c r="AC56" s="536">
        <v>0</v>
      </c>
      <c r="AD56" s="536">
        <f t="shared" si="10"/>
        <v>0</v>
      </c>
      <c r="AE56" s="860">
        <v>19.273</v>
      </c>
      <c r="AF56" s="536">
        <f t="shared" si="20"/>
        <v>19</v>
      </c>
      <c r="AG56" s="536">
        <f t="shared" si="11"/>
        <v>38</v>
      </c>
      <c r="AH56" s="860">
        <v>18.84</v>
      </c>
      <c r="AI56" s="690">
        <f t="shared" si="21"/>
        <v>19</v>
      </c>
      <c r="AJ56" s="536">
        <f t="shared" si="12"/>
        <v>38</v>
      </c>
      <c r="AK56" s="860">
        <v>4.8000000000000001E-2</v>
      </c>
      <c r="AL56" s="536">
        <v>0</v>
      </c>
      <c r="AM56" s="536">
        <f t="shared" si="13"/>
        <v>0</v>
      </c>
      <c r="AN56" s="555">
        <v>0</v>
      </c>
      <c r="AO56" s="555">
        <v>0</v>
      </c>
      <c r="AP56" s="555">
        <v>2.6850000000000001</v>
      </c>
      <c r="AQ56" s="555">
        <v>0.20699999999999999</v>
      </c>
      <c r="AR56" s="555">
        <v>1.7000000000000001E-2</v>
      </c>
      <c r="AS56" s="555">
        <v>9.4E-2</v>
      </c>
      <c r="AT56" s="555">
        <v>0.32400000000000001</v>
      </c>
      <c r="AU56" s="555">
        <v>7.0000000000000001E-3</v>
      </c>
      <c r="AV56" s="179"/>
    </row>
    <row r="57" spans="1:48" s="248" customFormat="1" ht="31.75" hidden="1">
      <c r="A57" s="914"/>
      <c r="B57" s="186" t="s">
        <v>296</v>
      </c>
      <c r="C57" s="186" t="s">
        <v>69</v>
      </c>
      <c r="D57" s="860">
        <v>87.031000000000006</v>
      </c>
      <c r="E57" s="195">
        <f t="shared" si="19"/>
        <v>90</v>
      </c>
      <c r="F57" s="195">
        <f t="shared" si="2"/>
        <v>180</v>
      </c>
      <c r="G57" s="860">
        <v>7.1999999999999995E-2</v>
      </c>
      <c r="H57" s="536">
        <v>0</v>
      </c>
      <c r="I57" s="536">
        <f t="shared" si="3"/>
        <v>0</v>
      </c>
      <c r="J57" s="860">
        <v>8.0000000000000002E-3</v>
      </c>
      <c r="K57" s="536">
        <v>0</v>
      </c>
      <c r="L57" s="536">
        <f t="shared" si="4"/>
        <v>0</v>
      </c>
      <c r="M57" s="860">
        <v>0</v>
      </c>
      <c r="N57" s="536">
        <v>0</v>
      </c>
      <c r="O57" s="536">
        <f t="shared" si="5"/>
        <v>0</v>
      </c>
      <c r="P57" s="860">
        <v>0</v>
      </c>
      <c r="Q57" s="536">
        <v>0</v>
      </c>
      <c r="R57" s="536">
        <f t="shared" si="6"/>
        <v>0</v>
      </c>
      <c r="S57" s="860">
        <v>0</v>
      </c>
      <c r="T57" s="536">
        <v>0</v>
      </c>
      <c r="U57" s="536">
        <f t="shared" si="7"/>
        <v>0</v>
      </c>
      <c r="V57" s="860">
        <v>14.180999999999999</v>
      </c>
      <c r="W57" s="536">
        <f t="shared" si="23"/>
        <v>15</v>
      </c>
      <c r="X57" s="536">
        <f t="shared" si="8"/>
        <v>30</v>
      </c>
      <c r="Y57" s="860">
        <v>22.113</v>
      </c>
      <c r="Z57" s="536">
        <f t="shared" si="22"/>
        <v>22</v>
      </c>
      <c r="AA57" s="536">
        <f t="shared" si="9"/>
        <v>44</v>
      </c>
      <c r="AB57" s="860">
        <v>0.06</v>
      </c>
      <c r="AC57" s="536">
        <v>0</v>
      </c>
      <c r="AD57" s="536">
        <f t="shared" si="10"/>
        <v>0</v>
      </c>
      <c r="AE57" s="860">
        <v>21.164999999999999</v>
      </c>
      <c r="AF57" s="536">
        <f t="shared" si="20"/>
        <v>21</v>
      </c>
      <c r="AG57" s="536">
        <f t="shared" si="11"/>
        <v>42</v>
      </c>
      <c r="AH57" s="860">
        <v>20.942</v>
      </c>
      <c r="AI57" s="690">
        <f t="shared" si="21"/>
        <v>21</v>
      </c>
      <c r="AJ57" s="536">
        <f t="shared" si="12"/>
        <v>42</v>
      </c>
      <c r="AK57" s="860">
        <v>4.9000000000000002E-2</v>
      </c>
      <c r="AL57" s="536">
        <v>0</v>
      </c>
      <c r="AM57" s="536">
        <f t="shared" si="13"/>
        <v>0</v>
      </c>
      <c r="AN57" s="536">
        <v>0</v>
      </c>
      <c r="AO57" s="536">
        <v>0</v>
      </c>
      <c r="AP57" s="536">
        <v>3.202</v>
      </c>
      <c r="AQ57" s="536">
        <v>0.246</v>
      </c>
      <c r="AR57" s="536">
        <v>2.3E-2</v>
      </c>
      <c r="AS57" s="536">
        <v>0.125</v>
      </c>
      <c r="AT57" s="536">
        <v>5.4950000000000001</v>
      </c>
      <c r="AU57" s="536">
        <v>0.11700000000000001</v>
      </c>
      <c r="AV57" s="179"/>
    </row>
    <row r="58" spans="1:48" s="248" customFormat="1" ht="31.75" hidden="1">
      <c r="A58" s="914"/>
      <c r="B58" s="186" t="s">
        <v>296</v>
      </c>
      <c r="C58" s="186" t="s">
        <v>42</v>
      </c>
      <c r="D58" s="860">
        <v>90.638000000000005</v>
      </c>
      <c r="E58" s="195">
        <f t="shared" si="19"/>
        <v>90</v>
      </c>
      <c r="F58" s="195">
        <f t="shared" si="2"/>
        <v>180</v>
      </c>
      <c r="G58" s="860">
        <v>3.5000000000000003E-2</v>
      </c>
      <c r="H58" s="536">
        <v>0</v>
      </c>
      <c r="I58" s="536">
        <f t="shared" si="3"/>
        <v>0</v>
      </c>
      <c r="J58" s="860">
        <v>4.0000000000000001E-3</v>
      </c>
      <c r="K58" s="536">
        <v>0</v>
      </c>
      <c r="L58" s="536">
        <f t="shared" si="4"/>
        <v>0</v>
      </c>
      <c r="M58" s="860">
        <v>2E-3</v>
      </c>
      <c r="N58" s="536">
        <v>0</v>
      </c>
      <c r="O58" s="536">
        <f t="shared" si="5"/>
        <v>0</v>
      </c>
      <c r="P58" s="860">
        <v>2E-3</v>
      </c>
      <c r="Q58" s="536">
        <v>0</v>
      </c>
      <c r="R58" s="536">
        <f t="shared" si="6"/>
        <v>0</v>
      </c>
      <c r="S58" s="860">
        <v>0</v>
      </c>
      <c r="T58" s="536">
        <v>0</v>
      </c>
      <c r="U58" s="536">
        <f t="shared" si="7"/>
        <v>0</v>
      </c>
      <c r="V58" s="860">
        <v>9.5</v>
      </c>
      <c r="W58" s="536">
        <f t="shared" si="23"/>
        <v>10</v>
      </c>
      <c r="X58" s="536">
        <f t="shared" si="8"/>
        <v>20</v>
      </c>
      <c r="Y58" s="860">
        <v>22.898</v>
      </c>
      <c r="Z58" s="536">
        <f t="shared" si="22"/>
        <v>23</v>
      </c>
      <c r="AA58" s="536">
        <f t="shared" si="9"/>
        <v>46</v>
      </c>
      <c r="AB58" s="860">
        <v>0.06</v>
      </c>
      <c r="AC58" s="536">
        <v>0</v>
      </c>
      <c r="AD58" s="536">
        <f t="shared" si="10"/>
        <v>0</v>
      </c>
      <c r="AE58" s="860">
        <v>21.948</v>
      </c>
      <c r="AF58" s="536">
        <f t="shared" si="20"/>
        <v>22</v>
      </c>
      <c r="AG58" s="536">
        <f t="shared" si="11"/>
        <v>44</v>
      </c>
      <c r="AH58" s="860">
        <v>21.545999999999999</v>
      </c>
      <c r="AI58" s="690">
        <f t="shared" si="21"/>
        <v>22</v>
      </c>
      <c r="AJ58" s="536">
        <f t="shared" si="12"/>
        <v>44</v>
      </c>
      <c r="AK58" s="860">
        <v>5.2999999999999999E-2</v>
      </c>
      <c r="AL58" s="536">
        <v>0</v>
      </c>
      <c r="AM58" s="536">
        <f t="shared" si="13"/>
        <v>0</v>
      </c>
      <c r="AN58" s="555">
        <v>0.23799999999999999</v>
      </c>
      <c r="AO58" s="555">
        <v>1.1890000000000001</v>
      </c>
      <c r="AP58" s="555">
        <v>2.6739999999999999</v>
      </c>
      <c r="AQ58" s="555">
        <v>0.20599999999999999</v>
      </c>
      <c r="AR58" s="555">
        <v>1.9E-2</v>
      </c>
      <c r="AS58" s="555">
        <v>0.104</v>
      </c>
      <c r="AT58" s="555">
        <v>13.468999999999999</v>
      </c>
      <c r="AU58" s="555">
        <v>0.28699999999999998</v>
      </c>
      <c r="AV58" s="179"/>
    </row>
    <row r="59" spans="1:48" s="248" customFormat="1" ht="31.75" hidden="1">
      <c r="A59" s="914"/>
      <c r="B59" s="186" t="s">
        <v>296</v>
      </c>
      <c r="C59" s="186" t="s">
        <v>66</v>
      </c>
      <c r="D59" s="860">
        <v>88.977000000000004</v>
      </c>
      <c r="E59" s="195">
        <f t="shared" si="19"/>
        <v>90</v>
      </c>
      <c r="F59" s="195">
        <f t="shared" si="2"/>
        <v>180</v>
      </c>
      <c r="G59" s="860">
        <v>2.8000000000000001E-2</v>
      </c>
      <c r="H59" s="536">
        <v>0</v>
      </c>
      <c r="I59" s="536">
        <f t="shared" si="3"/>
        <v>0</v>
      </c>
      <c r="J59" s="860">
        <v>3.0000000000000001E-3</v>
      </c>
      <c r="K59" s="536">
        <v>0</v>
      </c>
      <c r="L59" s="536">
        <f t="shared" si="4"/>
        <v>0</v>
      </c>
      <c r="M59" s="860">
        <v>0</v>
      </c>
      <c r="N59" s="536">
        <v>0</v>
      </c>
      <c r="O59" s="536">
        <f t="shared" si="5"/>
        <v>0</v>
      </c>
      <c r="P59" s="860">
        <v>0</v>
      </c>
      <c r="Q59" s="536">
        <v>0</v>
      </c>
      <c r="R59" s="536">
        <f t="shared" si="6"/>
        <v>0</v>
      </c>
      <c r="S59" s="860">
        <v>0</v>
      </c>
      <c r="T59" s="536">
        <v>0</v>
      </c>
      <c r="U59" s="536">
        <f t="shared" si="7"/>
        <v>0</v>
      </c>
      <c r="V59" s="860">
        <v>12.759</v>
      </c>
      <c r="W59" s="536">
        <f t="shared" si="23"/>
        <v>15</v>
      </c>
      <c r="X59" s="536">
        <f t="shared" si="8"/>
        <v>30</v>
      </c>
      <c r="Y59" s="860">
        <v>22.425000000000001</v>
      </c>
      <c r="Z59" s="536">
        <f t="shared" si="22"/>
        <v>22</v>
      </c>
      <c r="AA59" s="536">
        <f t="shared" si="9"/>
        <v>44</v>
      </c>
      <c r="AB59" s="860">
        <v>6.0999999999999999E-2</v>
      </c>
      <c r="AC59" s="536">
        <v>0</v>
      </c>
      <c r="AD59" s="536">
        <f t="shared" si="10"/>
        <v>0</v>
      </c>
      <c r="AE59" s="860">
        <v>21.773</v>
      </c>
      <c r="AF59" s="536">
        <f t="shared" si="20"/>
        <v>22</v>
      </c>
      <c r="AG59" s="536">
        <f t="shared" si="11"/>
        <v>44</v>
      </c>
      <c r="AH59" s="860">
        <v>21.475999999999999</v>
      </c>
      <c r="AI59" s="690">
        <f t="shared" si="21"/>
        <v>21</v>
      </c>
      <c r="AJ59" s="536">
        <f t="shared" si="12"/>
        <v>42</v>
      </c>
      <c r="AK59" s="860">
        <v>5.5E-2</v>
      </c>
      <c r="AL59" s="536">
        <v>0</v>
      </c>
      <c r="AM59" s="536">
        <f t="shared" si="13"/>
        <v>0</v>
      </c>
      <c r="AN59" s="555">
        <v>0</v>
      </c>
      <c r="AO59" s="555">
        <v>0</v>
      </c>
      <c r="AP59" s="555">
        <v>2.8780000000000001</v>
      </c>
      <c r="AQ59" s="555">
        <v>0.221</v>
      </c>
      <c r="AR59" s="555">
        <v>3.7999999999999999E-2</v>
      </c>
      <c r="AS59" s="555">
        <v>0.20899999999999999</v>
      </c>
      <c r="AT59" s="555">
        <v>3.7890000000000001</v>
      </c>
      <c r="AU59" s="555">
        <v>8.1000000000000003E-2</v>
      </c>
      <c r="AV59" s="179"/>
    </row>
    <row r="60" spans="1:48" s="248" customFormat="1" ht="31.75" hidden="1">
      <c r="A60" s="914"/>
      <c r="B60" s="186" t="s">
        <v>296</v>
      </c>
      <c r="C60" s="186" t="s">
        <v>315</v>
      </c>
      <c r="D60" s="935">
        <v>68.813999999999993</v>
      </c>
      <c r="E60" s="195">
        <f t="shared" si="19"/>
        <v>70</v>
      </c>
      <c r="F60" s="195">
        <f t="shared" si="2"/>
        <v>140</v>
      </c>
      <c r="G60" s="935">
        <v>2E-3</v>
      </c>
      <c r="H60" s="536">
        <v>0</v>
      </c>
      <c r="I60" s="536">
        <f t="shared" si="3"/>
        <v>0</v>
      </c>
      <c r="J60" s="935">
        <v>0</v>
      </c>
      <c r="K60" s="536">
        <v>0</v>
      </c>
      <c r="L60" s="536">
        <f t="shared" si="4"/>
        <v>0</v>
      </c>
      <c r="M60" s="935">
        <v>0</v>
      </c>
      <c r="N60" s="536">
        <v>0</v>
      </c>
      <c r="O60" s="536">
        <f t="shared" si="5"/>
        <v>0</v>
      </c>
      <c r="P60" s="935">
        <v>0</v>
      </c>
      <c r="Q60" s="536">
        <v>0</v>
      </c>
      <c r="R60" s="536">
        <f t="shared" si="6"/>
        <v>0</v>
      </c>
      <c r="S60" s="935">
        <v>0</v>
      </c>
      <c r="T60" s="536">
        <v>0</v>
      </c>
      <c r="U60" s="536">
        <f t="shared" si="7"/>
        <v>0</v>
      </c>
      <c r="V60" s="935">
        <v>12.305999999999999</v>
      </c>
      <c r="W60" s="536">
        <f t="shared" si="23"/>
        <v>10</v>
      </c>
      <c r="X60" s="536">
        <f t="shared" si="8"/>
        <v>20</v>
      </c>
      <c r="Y60" s="935">
        <v>16.986000000000001</v>
      </c>
      <c r="Z60" s="536">
        <f t="shared" si="22"/>
        <v>17</v>
      </c>
      <c r="AA60" s="536">
        <f t="shared" si="9"/>
        <v>34</v>
      </c>
      <c r="AB60" s="935">
        <v>0.02</v>
      </c>
      <c r="AC60" s="536">
        <v>0</v>
      </c>
      <c r="AD60" s="536">
        <f t="shared" si="10"/>
        <v>0</v>
      </c>
      <c r="AE60" s="935">
        <v>16.077999999999999</v>
      </c>
      <c r="AF60" s="536">
        <f t="shared" si="20"/>
        <v>16</v>
      </c>
      <c r="AG60" s="536">
        <f t="shared" si="11"/>
        <v>32</v>
      </c>
      <c r="AH60" s="935">
        <v>16.077999999999999</v>
      </c>
      <c r="AI60" s="690">
        <f t="shared" si="21"/>
        <v>16</v>
      </c>
      <c r="AJ60" s="536">
        <f t="shared" si="12"/>
        <v>32</v>
      </c>
      <c r="AK60" s="935">
        <v>8.1000000000000003E-2</v>
      </c>
      <c r="AL60" s="536">
        <v>0</v>
      </c>
      <c r="AM60" s="536">
        <f t="shared" si="13"/>
        <v>0</v>
      </c>
      <c r="AN60" s="1135">
        <v>0</v>
      </c>
      <c r="AO60" s="1135">
        <v>0</v>
      </c>
      <c r="AP60" s="1135">
        <v>3.1320000000000001</v>
      </c>
      <c r="AQ60" s="1135">
        <v>0.24099999999999999</v>
      </c>
      <c r="AR60" s="1135">
        <v>1.2999999999999999E-2</v>
      </c>
      <c r="AS60" s="1135">
        <v>7.1999999999999995E-2</v>
      </c>
      <c r="AT60" s="1135">
        <v>3.9060000000000001</v>
      </c>
      <c r="AU60" s="1135">
        <v>8.3000000000000004E-2</v>
      </c>
    </row>
    <row r="61" spans="1:48" s="212" customFormat="1" ht="14.25" hidden="1" customHeight="1">
      <c r="A61" s="914"/>
      <c r="B61" s="186" t="s">
        <v>92</v>
      </c>
      <c r="C61" s="186" t="s">
        <v>322</v>
      </c>
      <c r="D61" s="859">
        <v>100.095</v>
      </c>
      <c r="E61" s="195">
        <f t="shared" si="19"/>
        <v>100</v>
      </c>
      <c r="F61" s="195">
        <f t="shared" ref="F61:F116" si="24">E61*2</f>
        <v>200</v>
      </c>
      <c r="G61" s="859">
        <v>0</v>
      </c>
      <c r="H61" s="536">
        <v>0</v>
      </c>
      <c r="I61" s="536">
        <f t="shared" ref="I61:I116" si="25">H61*2</f>
        <v>0</v>
      </c>
      <c r="J61" s="859">
        <v>0.90500000000000003</v>
      </c>
      <c r="K61" s="552">
        <f>MROUND(J61,0.5)</f>
        <v>1</v>
      </c>
      <c r="L61" s="536">
        <f t="shared" ref="L61:L116" si="26">K61*2</f>
        <v>2</v>
      </c>
      <c r="M61" s="859">
        <v>0.83899999999999997</v>
      </c>
      <c r="N61" s="536">
        <f>MROUND(M61,0.5)</f>
        <v>1</v>
      </c>
      <c r="O61" s="536">
        <f t="shared" ref="O61:O116" si="27">N61*2</f>
        <v>2</v>
      </c>
      <c r="P61" s="859">
        <v>0</v>
      </c>
      <c r="Q61" s="536">
        <v>0</v>
      </c>
      <c r="R61" s="536">
        <f t="shared" ref="R61:R116" si="28">Q61*2</f>
        <v>0</v>
      </c>
      <c r="S61" s="859">
        <v>0</v>
      </c>
      <c r="T61" s="536">
        <v>0</v>
      </c>
      <c r="U61" s="536">
        <f t="shared" ref="U61:U116" si="29">T61*2</f>
        <v>0</v>
      </c>
      <c r="V61" s="859">
        <v>17.791</v>
      </c>
      <c r="W61" s="536">
        <f t="shared" si="23"/>
        <v>20</v>
      </c>
      <c r="X61" s="536">
        <f t="shared" ref="X61:X116" si="30">W61*2</f>
        <v>40</v>
      </c>
      <c r="Y61" s="859">
        <v>23.172000000000001</v>
      </c>
      <c r="Z61" s="536">
        <f t="shared" si="22"/>
        <v>23</v>
      </c>
      <c r="AA61" s="536">
        <f t="shared" ref="AA61:AA116" si="31">Z61*2</f>
        <v>46</v>
      </c>
      <c r="AB61" s="859">
        <v>3.0000000000000001E-3</v>
      </c>
      <c r="AC61" s="536">
        <v>0</v>
      </c>
      <c r="AD61" s="536">
        <f t="shared" ref="AD61:AD116" si="32">AC61*2</f>
        <v>0</v>
      </c>
      <c r="AE61" s="859">
        <v>22.137</v>
      </c>
      <c r="AF61" s="536">
        <f t="shared" si="20"/>
        <v>22</v>
      </c>
      <c r="AG61" s="536">
        <f t="shared" ref="AG61:AG116" si="33">AF61*2</f>
        <v>44</v>
      </c>
      <c r="AH61" s="859">
        <v>22.082000000000001</v>
      </c>
      <c r="AI61" s="690">
        <f t="shared" si="21"/>
        <v>22</v>
      </c>
      <c r="AJ61" s="536">
        <f t="shared" ref="AJ61:AJ116" si="34">AI61*2</f>
        <v>44</v>
      </c>
      <c r="AK61" s="859">
        <v>8.2000000000000003E-2</v>
      </c>
      <c r="AL61" s="536">
        <v>0</v>
      </c>
      <c r="AM61" s="536">
        <f t="shared" ref="AM61:AM116" si="35">AL61*2</f>
        <v>0</v>
      </c>
      <c r="AN61" s="554">
        <v>0</v>
      </c>
      <c r="AO61" s="554">
        <v>0</v>
      </c>
      <c r="AP61" s="554">
        <v>2.34</v>
      </c>
      <c r="AQ61" s="554">
        <v>0.18</v>
      </c>
      <c r="AR61" s="554">
        <v>2.1999999999999999E-2</v>
      </c>
      <c r="AS61" s="554">
        <v>0.122</v>
      </c>
      <c r="AT61" s="554">
        <v>2.3479999999999999</v>
      </c>
      <c r="AU61" s="554">
        <v>0.05</v>
      </c>
      <c r="AV61" s="179"/>
    </row>
    <row r="62" spans="1:48" s="212" customFormat="1" ht="31.75" hidden="1">
      <c r="A62" s="914"/>
      <c r="B62" s="186" t="s">
        <v>92</v>
      </c>
      <c r="C62" s="186" t="s">
        <v>102</v>
      </c>
      <c r="D62" s="935">
        <v>104.849</v>
      </c>
      <c r="E62" s="195">
        <f t="shared" si="19"/>
        <v>100</v>
      </c>
      <c r="F62" s="195">
        <f t="shared" si="24"/>
        <v>200</v>
      </c>
      <c r="G62" s="935">
        <v>5.6970000000000001</v>
      </c>
      <c r="H62" s="690">
        <f>MROUND(G62,5)</f>
        <v>5</v>
      </c>
      <c r="I62" s="536">
        <f t="shared" si="25"/>
        <v>10</v>
      </c>
      <c r="J62" s="935">
        <v>1.569</v>
      </c>
      <c r="K62" s="552">
        <f>MROUND(J62,0.5)</f>
        <v>1.5</v>
      </c>
      <c r="L62" s="536">
        <f t="shared" si="26"/>
        <v>3</v>
      </c>
      <c r="M62" s="935">
        <v>1.3720000000000001</v>
      </c>
      <c r="N62" s="536">
        <f>MROUND(M62,0.5)</f>
        <v>1.5</v>
      </c>
      <c r="O62" s="536">
        <f t="shared" si="27"/>
        <v>3</v>
      </c>
      <c r="P62" s="935">
        <v>1.7999999999999999E-2</v>
      </c>
      <c r="Q62" s="536">
        <v>0</v>
      </c>
      <c r="R62" s="536">
        <f t="shared" si="28"/>
        <v>0</v>
      </c>
      <c r="S62" s="935">
        <v>0</v>
      </c>
      <c r="T62" s="536">
        <v>0</v>
      </c>
      <c r="U62" s="536">
        <f t="shared" si="29"/>
        <v>0</v>
      </c>
      <c r="V62" s="935">
        <v>23.161999999999999</v>
      </c>
      <c r="W62" s="536">
        <f t="shared" si="23"/>
        <v>25</v>
      </c>
      <c r="X62" s="536">
        <f t="shared" si="30"/>
        <v>50</v>
      </c>
      <c r="Y62" s="935">
        <v>22.777999999999999</v>
      </c>
      <c r="Z62" s="536">
        <f t="shared" si="22"/>
        <v>23</v>
      </c>
      <c r="AA62" s="536">
        <f t="shared" si="31"/>
        <v>46</v>
      </c>
      <c r="AB62" s="935">
        <v>0.153</v>
      </c>
      <c r="AC62" s="536">
        <v>0</v>
      </c>
      <c r="AD62" s="536">
        <f t="shared" si="32"/>
        <v>0</v>
      </c>
      <c r="AE62" s="935">
        <v>21.315999999999999</v>
      </c>
      <c r="AF62" s="536">
        <f t="shared" si="20"/>
        <v>21</v>
      </c>
      <c r="AG62" s="536">
        <f t="shared" si="33"/>
        <v>42</v>
      </c>
      <c r="AH62" s="935">
        <v>19.117999999999999</v>
      </c>
      <c r="AI62" s="690">
        <f t="shared" si="21"/>
        <v>19</v>
      </c>
      <c r="AJ62" s="536">
        <f t="shared" si="34"/>
        <v>38</v>
      </c>
      <c r="AK62" s="935">
        <v>8.5999999999999993E-2</v>
      </c>
      <c r="AL62" s="536">
        <v>0</v>
      </c>
      <c r="AM62" s="536">
        <f t="shared" si="35"/>
        <v>0</v>
      </c>
      <c r="AN62" s="819">
        <v>0</v>
      </c>
      <c r="AO62" s="819">
        <v>0</v>
      </c>
      <c r="AP62" s="819">
        <v>3.1579999999999999</v>
      </c>
      <c r="AQ62" s="819">
        <v>0.24299999999999999</v>
      </c>
      <c r="AR62" s="819">
        <v>4.3999999999999997E-2</v>
      </c>
      <c r="AS62" s="819">
        <v>0.247</v>
      </c>
      <c r="AT62" s="819">
        <v>3.1480000000000001</v>
      </c>
      <c r="AU62" s="819">
        <v>6.7000000000000004E-2</v>
      </c>
      <c r="AV62" s="179"/>
    </row>
    <row r="63" spans="1:48" ht="31.75" hidden="1">
      <c r="A63" s="914"/>
      <c r="B63" s="186" t="s">
        <v>296</v>
      </c>
      <c r="C63" s="186" t="s">
        <v>72</v>
      </c>
      <c r="D63" s="860">
        <v>96.302000000000007</v>
      </c>
      <c r="E63" s="195">
        <f t="shared" si="19"/>
        <v>100</v>
      </c>
      <c r="F63" s="195">
        <f t="shared" si="24"/>
        <v>200</v>
      </c>
      <c r="G63" s="860">
        <v>0</v>
      </c>
      <c r="H63" s="536">
        <v>0</v>
      </c>
      <c r="I63" s="536">
        <f t="shared" si="25"/>
        <v>0</v>
      </c>
      <c r="J63" s="860">
        <v>0</v>
      </c>
      <c r="K63" s="536">
        <v>0</v>
      </c>
      <c r="L63" s="536">
        <f t="shared" si="26"/>
        <v>0</v>
      </c>
      <c r="M63" s="860">
        <v>0</v>
      </c>
      <c r="N63" s="536">
        <v>0</v>
      </c>
      <c r="O63" s="536">
        <f t="shared" si="27"/>
        <v>0</v>
      </c>
      <c r="P63" s="860">
        <v>0</v>
      </c>
      <c r="Q63" s="536">
        <v>0</v>
      </c>
      <c r="R63" s="536">
        <f t="shared" si="28"/>
        <v>0</v>
      </c>
      <c r="S63" s="860">
        <v>0</v>
      </c>
      <c r="T63" s="536">
        <v>0</v>
      </c>
      <c r="U63" s="536">
        <f t="shared" si="29"/>
        <v>0</v>
      </c>
      <c r="V63" s="860">
        <v>21.645</v>
      </c>
      <c r="W63" s="536">
        <f t="shared" si="23"/>
        <v>20</v>
      </c>
      <c r="X63" s="536">
        <f t="shared" si="30"/>
        <v>40</v>
      </c>
      <c r="Y63" s="860">
        <v>24.526</v>
      </c>
      <c r="Z63" s="536">
        <f t="shared" si="22"/>
        <v>25</v>
      </c>
      <c r="AA63" s="536">
        <f t="shared" si="31"/>
        <v>50</v>
      </c>
      <c r="AB63" s="860">
        <v>8.0000000000000002E-3</v>
      </c>
      <c r="AC63" s="536">
        <v>0</v>
      </c>
      <c r="AD63" s="536">
        <f t="shared" si="32"/>
        <v>0</v>
      </c>
      <c r="AE63" s="860">
        <v>23.864999999999998</v>
      </c>
      <c r="AF63" s="536">
        <f t="shared" si="20"/>
        <v>24</v>
      </c>
      <c r="AG63" s="536">
        <f t="shared" si="33"/>
        <v>48</v>
      </c>
      <c r="AH63" s="860">
        <v>23.864999999999998</v>
      </c>
      <c r="AI63" s="690">
        <f t="shared" si="21"/>
        <v>24</v>
      </c>
      <c r="AJ63" s="536">
        <f t="shared" si="34"/>
        <v>48</v>
      </c>
      <c r="AK63" s="860">
        <v>9.0999999999999998E-2</v>
      </c>
      <c r="AL63" s="536">
        <v>0</v>
      </c>
      <c r="AM63" s="536">
        <f t="shared" si="35"/>
        <v>0</v>
      </c>
      <c r="AN63" s="555">
        <v>0</v>
      </c>
      <c r="AO63" s="555">
        <v>0</v>
      </c>
      <c r="AP63" s="555">
        <v>2.5939999999999999</v>
      </c>
      <c r="AQ63" s="555">
        <v>0.2</v>
      </c>
      <c r="AR63" s="555">
        <v>2.4E-2</v>
      </c>
      <c r="AS63" s="555">
        <v>0.13200000000000001</v>
      </c>
      <c r="AT63" s="555">
        <v>0.35</v>
      </c>
      <c r="AU63" s="555">
        <v>7.0000000000000001E-3</v>
      </c>
      <c r="AV63" s="248"/>
    </row>
    <row r="64" spans="1:48" ht="31.75" hidden="1">
      <c r="A64" s="914"/>
      <c r="B64" s="186" t="s">
        <v>92</v>
      </c>
      <c r="C64" s="186" t="s">
        <v>323</v>
      </c>
      <c r="D64" s="859">
        <v>97.504999999999995</v>
      </c>
      <c r="E64" s="195">
        <f t="shared" si="19"/>
        <v>100</v>
      </c>
      <c r="F64" s="195">
        <f t="shared" si="24"/>
        <v>200</v>
      </c>
      <c r="G64" s="859">
        <v>1.4999999999999999E-2</v>
      </c>
      <c r="H64" s="536">
        <v>0</v>
      </c>
      <c r="I64" s="536">
        <f t="shared" si="25"/>
        <v>0</v>
      </c>
      <c r="J64" s="859">
        <v>0.93400000000000005</v>
      </c>
      <c r="K64" s="552">
        <f>MROUND(J64,0.5)</f>
        <v>1</v>
      </c>
      <c r="L64" s="536">
        <f t="shared" si="26"/>
        <v>2</v>
      </c>
      <c r="M64" s="859">
        <v>0.86499999999999999</v>
      </c>
      <c r="N64" s="536">
        <f>MROUND(M64,0.5)</f>
        <v>1</v>
      </c>
      <c r="O64" s="536">
        <f t="shared" si="27"/>
        <v>2</v>
      </c>
      <c r="P64" s="859">
        <v>0</v>
      </c>
      <c r="Q64" s="536">
        <v>0</v>
      </c>
      <c r="R64" s="536">
        <f t="shared" si="28"/>
        <v>0</v>
      </c>
      <c r="S64" s="859">
        <v>0</v>
      </c>
      <c r="T64" s="536">
        <v>0</v>
      </c>
      <c r="U64" s="536">
        <f t="shared" si="29"/>
        <v>0</v>
      </c>
      <c r="V64" s="859">
        <v>19.116</v>
      </c>
      <c r="W64" s="536">
        <f t="shared" si="23"/>
        <v>20</v>
      </c>
      <c r="X64" s="536">
        <f t="shared" si="30"/>
        <v>40</v>
      </c>
      <c r="Y64" s="859">
        <v>22.454000000000001</v>
      </c>
      <c r="Z64" s="536">
        <f t="shared" si="22"/>
        <v>22</v>
      </c>
      <c r="AA64" s="536">
        <f t="shared" si="31"/>
        <v>44</v>
      </c>
      <c r="AB64" s="859">
        <v>3.5000000000000003E-2</v>
      </c>
      <c r="AC64" s="536">
        <v>0</v>
      </c>
      <c r="AD64" s="536">
        <f t="shared" si="32"/>
        <v>0</v>
      </c>
      <c r="AE64" s="859">
        <v>21.254999999999999</v>
      </c>
      <c r="AF64" s="536">
        <f t="shared" si="20"/>
        <v>21</v>
      </c>
      <c r="AG64" s="536">
        <f t="shared" si="33"/>
        <v>42</v>
      </c>
      <c r="AH64" s="859">
        <v>20.881</v>
      </c>
      <c r="AI64" s="690">
        <f t="shared" si="21"/>
        <v>21</v>
      </c>
      <c r="AJ64" s="536">
        <f t="shared" si="34"/>
        <v>42</v>
      </c>
      <c r="AK64" s="859">
        <v>9.9000000000000005E-2</v>
      </c>
      <c r="AL64" s="536">
        <v>0</v>
      </c>
      <c r="AM64" s="536">
        <f t="shared" si="35"/>
        <v>0</v>
      </c>
      <c r="AN64" s="554">
        <v>0</v>
      </c>
      <c r="AO64" s="554">
        <v>0</v>
      </c>
      <c r="AP64" s="554">
        <v>2.5920000000000001</v>
      </c>
      <c r="AQ64" s="554">
        <v>0.19900000000000001</v>
      </c>
      <c r="AR64" s="554">
        <v>3.5000000000000003E-2</v>
      </c>
      <c r="AS64" s="554">
        <v>0.193</v>
      </c>
      <c r="AT64" s="554">
        <v>4.7889999999999997</v>
      </c>
      <c r="AU64" s="554">
        <v>0.10199999999999999</v>
      </c>
    </row>
    <row r="65" spans="1:48" ht="31.75" hidden="1">
      <c r="A65" s="914"/>
      <c r="B65" s="186" t="s">
        <v>296</v>
      </c>
      <c r="C65" s="186" t="s">
        <v>60</v>
      </c>
      <c r="D65" s="860">
        <v>82.581000000000003</v>
      </c>
      <c r="E65" s="195">
        <f t="shared" si="19"/>
        <v>80</v>
      </c>
      <c r="F65" s="195">
        <f t="shared" si="24"/>
        <v>160</v>
      </c>
      <c r="G65" s="860">
        <v>8.0000000000000002E-3</v>
      </c>
      <c r="H65" s="536">
        <v>0</v>
      </c>
      <c r="I65" s="536">
        <f t="shared" si="25"/>
        <v>0</v>
      </c>
      <c r="J65" s="860">
        <v>1E-3</v>
      </c>
      <c r="K65" s="536">
        <v>0</v>
      </c>
      <c r="L65" s="536">
        <f t="shared" si="26"/>
        <v>0</v>
      </c>
      <c r="M65" s="860">
        <v>1E-3</v>
      </c>
      <c r="N65" s="536">
        <v>0</v>
      </c>
      <c r="O65" s="536">
        <f t="shared" si="27"/>
        <v>0</v>
      </c>
      <c r="P65" s="860">
        <v>0</v>
      </c>
      <c r="Q65" s="536">
        <v>0</v>
      </c>
      <c r="R65" s="536">
        <f t="shared" si="28"/>
        <v>0</v>
      </c>
      <c r="S65" s="860">
        <v>0</v>
      </c>
      <c r="T65" s="536">
        <v>0</v>
      </c>
      <c r="U65" s="536">
        <f t="shared" si="29"/>
        <v>0</v>
      </c>
      <c r="V65" s="860">
        <v>12.178000000000001</v>
      </c>
      <c r="W65" s="536">
        <f t="shared" si="23"/>
        <v>10</v>
      </c>
      <c r="X65" s="536">
        <f t="shared" si="30"/>
        <v>20</v>
      </c>
      <c r="Y65" s="860">
        <v>20.966999999999999</v>
      </c>
      <c r="Z65" s="536">
        <f t="shared" si="22"/>
        <v>21</v>
      </c>
      <c r="AA65" s="536">
        <f t="shared" si="31"/>
        <v>42</v>
      </c>
      <c r="AB65" s="860">
        <v>0.28899999999999998</v>
      </c>
      <c r="AC65" s="536">
        <v>0</v>
      </c>
      <c r="AD65" s="536">
        <f t="shared" si="32"/>
        <v>0</v>
      </c>
      <c r="AE65" s="860">
        <v>19.878</v>
      </c>
      <c r="AF65" s="536">
        <f t="shared" si="20"/>
        <v>20</v>
      </c>
      <c r="AG65" s="536">
        <f t="shared" si="33"/>
        <v>40</v>
      </c>
      <c r="AH65" s="860">
        <v>19.681000000000001</v>
      </c>
      <c r="AI65" s="690">
        <f t="shared" si="21"/>
        <v>20</v>
      </c>
      <c r="AJ65" s="536">
        <f t="shared" si="34"/>
        <v>40</v>
      </c>
      <c r="AK65" s="860">
        <v>0.10100000000000001</v>
      </c>
      <c r="AL65" s="536">
        <v>0</v>
      </c>
      <c r="AM65" s="536">
        <f t="shared" si="35"/>
        <v>0</v>
      </c>
      <c r="AN65" s="555">
        <v>0</v>
      </c>
      <c r="AO65" s="555">
        <v>0</v>
      </c>
      <c r="AP65" s="555">
        <v>3.419</v>
      </c>
      <c r="AQ65" s="555">
        <v>0.26300000000000001</v>
      </c>
      <c r="AR65" s="555">
        <v>3.5999999999999997E-2</v>
      </c>
      <c r="AS65" s="555">
        <v>0.20100000000000001</v>
      </c>
      <c r="AT65" s="555">
        <v>8.3559999999999999</v>
      </c>
      <c r="AU65" s="555">
        <v>0.17799999999999999</v>
      </c>
    </row>
    <row r="66" spans="1:48" ht="81.45" hidden="1">
      <c r="A66" s="914" t="s">
        <v>121</v>
      </c>
      <c r="B66" s="186" t="s">
        <v>410</v>
      </c>
      <c r="C66" s="186" t="s">
        <v>122</v>
      </c>
      <c r="D66" s="860">
        <v>38.244999999999997</v>
      </c>
      <c r="E66" s="195">
        <f t="shared" si="19"/>
        <v>40</v>
      </c>
      <c r="F66" s="195">
        <f t="shared" si="24"/>
        <v>80</v>
      </c>
      <c r="G66" s="860">
        <v>2.3E-2</v>
      </c>
      <c r="H66" s="536">
        <v>0</v>
      </c>
      <c r="I66" s="536">
        <f t="shared" si="25"/>
        <v>0</v>
      </c>
      <c r="J66" s="860">
        <v>3.0000000000000001E-3</v>
      </c>
      <c r="K66" s="536">
        <v>0</v>
      </c>
      <c r="L66" s="536">
        <f t="shared" si="26"/>
        <v>0</v>
      </c>
      <c r="M66" s="860">
        <v>3.0000000000000001E-3</v>
      </c>
      <c r="N66" s="536">
        <v>0</v>
      </c>
      <c r="O66" s="536">
        <f t="shared" si="27"/>
        <v>0</v>
      </c>
      <c r="P66" s="860">
        <v>0</v>
      </c>
      <c r="Q66" s="536">
        <v>0</v>
      </c>
      <c r="R66" s="536">
        <f t="shared" si="28"/>
        <v>0</v>
      </c>
      <c r="S66" s="860">
        <v>0</v>
      </c>
      <c r="T66" s="536">
        <v>0</v>
      </c>
      <c r="U66" s="536">
        <f t="shared" si="29"/>
        <v>0</v>
      </c>
      <c r="V66" s="860">
        <v>7.7549999999999999</v>
      </c>
      <c r="W66" s="536">
        <f t="shared" si="23"/>
        <v>10</v>
      </c>
      <c r="X66" s="536">
        <f t="shared" si="30"/>
        <v>20</v>
      </c>
      <c r="Y66" s="860">
        <v>13.423999999999999</v>
      </c>
      <c r="Z66" s="536">
        <f t="shared" si="22"/>
        <v>13</v>
      </c>
      <c r="AA66" s="536">
        <f t="shared" si="31"/>
        <v>26</v>
      </c>
      <c r="AB66" s="860">
        <v>0.01</v>
      </c>
      <c r="AC66" s="536">
        <v>0</v>
      </c>
      <c r="AD66" s="536">
        <f t="shared" si="32"/>
        <v>0</v>
      </c>
      <c r="AE66" s="860">
        <v>2.7E-2</v>
      </c>
      <c r="AF66" s="536">
        <v>0</v>
      </c>
      <c r="AG66" s="536">
        <f t="shared" si="33"/>
        <v>0</v>
      </c>
      <c r="AH66" s="860">
        <v>0</v>
      </c>
      <c r="AI66" s="536">
        <v>0</v>
      </c>
      <c r="AJ66" s="536">
        <f t="shared" si="34"/>
        <v>0</v>
      </c>
      <c r="AK66" s="860">
        <v>0.108</v>
      </c>
      <c r="AL66" s="536">
        <v>0</v>
      </c>
      <c r="AM66" s="536">
        <f t="shared" si="35"/>
        <v>0</v>
      </c>
      <c r="AN66" s="555">
        <v>0</v>
      </c>
      <c r="AO66" s="555">
        <v>0</v>
      </c>
      <c r="AP66" s="555">
        <v>4.0659999999999998</v>
      </c>
      <c r="AQ66" s="555">
        <v>0.313</v>
      </c>
      <c r="AR66" s="555">
        <v>1.7000000000000001E-2</v>
      </c>
      <c r="AS66" s="555">
        <v>9.5000000000000001E-2</v>
      </c>
      <c r="AT66" s="555">
        <v>5.4969999999999999</v>
      </c>
      <c r="AU66" s="555">
        <v>0.11700000000000001</v>
      </c>
    </row>
    <row r="67" spans="1:48" ht="31.75" hidden="1">
      <c r="A67" s="914"/>
      <c r="B67" s="186" t="s">
        <v>296</v>
      </c>
      <c r="C67" s="186" t="s">
        <v>78</v>
      </c>
      <c r="D67" s="860">
        <v>80.772999999999996</v>
      </c>
      <c r="E67" s="195">
        <f t="shared" si="19"/>
        <v>80</v>
      </c>
      <c r="F67" s="195">
        <f t="shared" si="24"/>
        <v>160</v>
      </c>
      <c r="G67" s="860">
        <v>3.0000000000000001E-3</v>
      </c>
      <c r="H67" s="536">
        <v>0</v>
      </c>
      <c r="I67" s="536">
        <f t="shared" si="25"/>
        <v>0</v>
      </c>
      <c r="J67" s="860">
        <v>3.0000000000000001E-3</v>
      </c>
      <c r="K67" s="536">
        <v>0</v>
      </c>
      <c r="L67" s="536">
        <f t="shared" si="26"/>
        <v>0</v>
      </c>
      <c r="M67" s="860">
        <v>0</v>
      </c>
      <c r="N67" s="536">
        <v>0</v>
      </c>
      <c r="O67" s="536">
        <f t="shared" si="27"/>
        <v>0</v>
      </c>
      <c r="P67" s="860">
        <v>0</v>
      </c>
      <c r="Q67" s="536">
        <v>0</v>
      </c>
      <c r="R67" s="536">
        <f t="shared" si="28"/>
        <v>0</v>
      </c>
      <c r="S67" s="860">
        <v>0</v>
      </c>
      <c r="T67" s="536">
        <v>0</v>
      </c>
      <c r="U67" s="536">
        <f t="shared" si="29"/>
        <v>0</v>
      </c>
      <c r="V67" s="860">
        <v>13.763</v>
      </c>
      <c r="W67" s="536">
        <f t="shared" si="23"/>
        <v>15</v>
      </c>
      <c r="X67" s="536">
        <f t="shared" si="30"/>
        <v>30</v>
      </c>
      <c r="Y67" s="860">
        <v>19.495000000000001</v>
      </c>
      <c r="Z67" s="536">
        <f t="shared" si="22"/>
        <v>19</v>
      </c>
      <c r="AA67" s="536">
        <f t="shared" si="31"/>
        <v>38</v>
      </c>
      <c r="AB67" s="860">
        <v>7.3999999999999996E-2</v>
      </c>
      <c r="AC67" s="536">
        <v>0</v>
      </c>
      <c r="AD67" s="536">
        <f t="shared" si="32"/>
        <v>0</v>
      </c>
      <c r="AE67" s="860">
        <v>18.157</v>
      </c>
      <c r="AF67" s="536">
        <f t="shared" ref="AF67:AF98" si="36">MROUND(AE67,1)</f>
        <v>18</v>
      </c>
      <c r="AG67" s="536">
        <f t="shared" si="33"/>
        <v>36</v>
      </c>
      <c r="AH67" s="860">
        <v>17.632999999999999</v>
      </c>
      <c r="AI67" s="690">
        <f t="shared" ref="AI67:AI113" si="37">MROUND(AH67,1)</f>
        <v>18</v>
      </c>
      <c r="AJ67" s="536">
        <f t="shared" si="34"/>
        <v>36</v>
      </c>
      <c r="AK67" s="860">
        <v>0.13900000000000001</v>
      </c>
      <c r="AL67" s="536">
        <v>0</v>
      </c>
      <c r="AM67" s="536">
        <f t="shared" si="35"/>
        <v>0</v>
      </c>
      <c r="AN67" s="555">
        <v>0</v>
      </c>
      <c r="AO67" s="555">
        <v>0</v>
      </c>
      <c r="AP67" s="555">
        <v>4.3949999999999996</v>
      </c>
      <c r="AQ67" s="555">
        <v>0.33800000000000002</v>
      </c>
      <c r="AR67" s="555">
        <v>5.8999999999999997E-2</v>
      </c>
      <c r="AS67" s="555">
        <v>0.32600000000000001</v>
      </c>
      <c r="AT67" s="555">
        <v>6.4569999999999999</v>
      </c>
      <c r="AU67" s="555">
        <v>0.13700000000000001</v>
      </c>
      <c r="AV67" s="248"/>
    </row>
    <row r="68" spans="1:48" ht="31.75" hidden="1">
      <c r="A68" s="914"/>
      <c r="B68" s="186" t="s">
        <v>92</v>
      </c>
      <c r="C68" s="186" t="s">
        <v>117</v>
      </c>
      <c r="D68" s="860">
        <v>73.352000000000004</v>
      </c>
      <c r="E68" s="195">
        <f t="shared" si="19"/>
        <v>70</v>
      </c>
      <c r="F68" s="195">
        <f t="shared" si="24"/>
        <v>140</v>
      </c>
      <c r="G68" s="860">
        <v>0.14199999999999999</v>
      </c>
      <c r="H68" s="536">
        <v>0</v>
      </c>
      <c r="I68" s="536">
        <f t="shared" si="25"/>
        <v>0</v>
      </c>
      <c r="J68" s="860">
        <v>1.048</v>
      </c>
      <c r="K68" s="552">
        <f t="shared" ref="K68:K74" si="38">MROUND(J68,0.5)</f>
        <v>1</v>
      </c>
      <c r="L68" s="536">
        <f t="shared" si="26"/>
        <v>2</v>
      </c>
      <c r="M68" s="860">
        <v>0.96899999999999997</v>
      </c>
      <c r="N68" s="536">
        <f t="shared" ref="N68:N74" si="39">MROUND(M68,0.5)</f>
        <v>1</v>
      </c>
      <c r="O68" s="536">
        <f t="shared" si="27"/>
        <v>2</v>
      </c>
      <c r="P68" s="860">
        <v>0</v>
      </c>
      <c r="Q68" s="536">
        <v>0</v>
      </c>
      <c r="R68" s="536">
        <f t="shared" si="28"/>
        <v>0</v>
      </c>
      <c r="S68" s="860">
        <v>0</v>
      </c>
      <c r="T68" s="536">
        <v>0</v>
      </c>
      <c r="U68" s="536">
        <f t="shared" si="29"/>
        <v>0</v>
      </c>
      <c r="V68" s="860">
        <v>22.757000000000001</v>
      </c>
      <c r="W68" s="536">
        <f t="shared" si="23"/>
        <v>25</v>
      </c>
      <c r="X68" s="536">
        <f t="shared" si="30"/>
        <v>50</v>
      </c>
      <c r="Y68" s="860">
        <v>15.833</v>
      </c>
      <c r="Z68" s="536">
        <f t="shared" si="22"/>
        <v>16</v>
      </c>
      <c r="AA68" s="536">
        <f t="shared" si="31"/>
        <v>32</v>
      </c>
      <c r="AB68" s="860">
        <v>0.09</v>
      </c>
      <c r="AC68" s="536">
        <v>0</v>
      </c>
      <c r="AD68" s="536">
        <f t="shared" si="32"/>
        <v>0</v>
      </c>
      <c r="AE68" s="860">
        <v>14.352</v>
      </c>
      <c r="AF68" s="536">
        <f t="shared" si="36"/>
        <v>14</v>
      </c>
      <c r="AG68" s="536">
        <f t="shared" si="33"/>
        <v>28</v>
      </c>
      <c r="AH68" s="860">
        <v>13.76</v>
      </c>
      <c r="AI68" s="690">
        <f t="shared" si="37"/>
        <v>14</v>
      </c>
      <c r="AJ68" s="536">
        <f t="shared" si="34"/>
        <v>28</v>
      </c>
      <c r="AK68" s="860">
        <v>0.14299999999999999</v>
      </c>
      <c r="AL68" s="536">
        <v>0</v>
      </c>
      <c r="AM68" s="536">
        <f t="shared" si="35"/>
        <v>0</v>
      </c>
      <c r="AN68" s="555">
        <v>0</v>
      </c>
      <c r="AO68" s="555">
        <v>0</v>
      </c>
      <c r="AP68" s="536">
        <v>2.8559999999999999</v>
      </c>
      <c r="AQ68" s="536">
        <v>0.22</v>
      </c>
      <c r="AR68" s="536">
        <v>4.4999999999999998E-2</v>
      </c>
      <c r="AS68" s="536">
        <v>0.248</v>
      </c>
      <c r="AT68" s="536">
        <v>14.355</v>
      </c>
      <c r="AU68" s="536">
        <v>0.30499999999999999</v>
      </c>
    </row>
    <row r="69" spans="1:48" ht="31.75" hidden="1">
      <c r="A69" s="914"/>
      <c r="B69" s="186" t="s">
        <v>92</v>
      </c>
      <c r="C69" s="186" t="s">
        <v>321</v>
      </c>
      <c r="D69" s="860">
        <v>82.052000000000007</v>
      </c>
      <c r="E69" s="195">
        <f t="shared" ref="E69:E100" si="40">MROUND(D69,10)</f>
        <v>80</v>
      </c>
      <c r="F69" s="195">
        <f t="shared" si="24"/>
        <v>160</v>
      </c>
      <c r="G69" s="860">
        <v>0.19700000000000001</v>
      </c>
      <c r="H69" s="536">
        <v>0</v>
      </c>
      <c r="I69" s="536">
        <f t="shared" si="25"/>
        <v>0</v>
      </c>
      <c r="J69" s="860">
        <v>0.92600000000000005</v>
      </c>
      <c r="K69" s="552">
        <f t="shared" si="38"/>
        <v>1</v>
      </c>
      <c r="L69" s="536">
        <f t="shared" si="26"/>
        <v>2</v>
      </c>
      <c r="M69" s="860">
        <v>0.84</v>
      </c>
      <c r="N69" s="536">
        <f t="shared" si="39"/>
        <v>1</v>
      </c>
      <c r="O69" s="536">
        <f t="shared" si="27"/>
        <v>2</v>
      </c>
      <c r="P69" s="860">
        <v>0</v>
      </c>
      <c r="Q69" s="536">
        <v>0</v>
      </c>
      <c r="R69" s="536">
        <f t="shared" si="28"/>
        <v>0</v>
      </c>
      <c r="S69" s="860">
        <v>0</v>
      </c>
      <c r="T69" s="536">
        <v>0</v>
      </c>
      <c r="U69" s="536">
        <f t="shared" si="29"/>
        <v>0</v>
      </c>
      <c r="V69" s="860">
        <v>18.754999999999999</v>
      </c>
      <c r="W69" s="536">
        <f t="shared" si="23"/>
        <v>20</v>
      </c>
      <c r="X69" s="536">
        <f t="shared" si="30"/>
        <v>40</v>
      </c>
      <c r="Y69" s="860">
        <v>18.457000000000001</v>
      </c>
      <c r="Z69" s="536">
        <f t="shared" si="22"/>
        <v>18</v>
      </c>
      <c r="AA69" s="536">
        <f t="shared" si="31"/>
        <v>36</v>
      </c>
      <c r="AB69" s="860">
        <v>0.20399999999999999</v>
      </c>
      <c r="AC69" s="536">
        <v>0</v>
      </c>
      <c r="AD69" s="536">
        <f t="shared" si="32"/>
        <v>0</v>
      </c>
      <c r="AE69" s="860">
        <v>17.100000000000001</v>
      </c>
      <c r="AF69" s="536">
        <f t="shared" si="36"/>
        <v>17</v>
      </c>
      <c r="AG69" s="536">
        <f t="shared" si="33"/>
        <v>34</v>
      </c>
      <c r="AH69" s="860">
        <v>16.812000000000001</v>
      </c>
      <c r="AI69" s="690">
        <f t="shared" si="37"/>
        <v>17</v>
      </c>
      <c r="AJ69" s="536">
        <f t="shared" si="34"/>
        <v>34</v>
      </c>
      <c r="AK69" s="889">
        <v>0.14299999999999999</v>
      </c>
      <c r="AL69" s="536">
        <v>0</v>
      </c>
      <c r="AM69" s="536">
        <f t="shared" si="35"/>
        <v>0</v>
      </c>
      <c r="AN69" s="555">
        <v>0</v>
      </c>
      <c r="AO69" s="555">
        <v>0</v>
      </c>
      <c r="AP69" s="555">
        <v>3.3149999999999999</v>
      </c>
      <c r="AQ69" s="555">
        <v>0.255</v>
      </c>
      <c r="AR69" s="555">
        <v>4.9000000000000002E-2</v>
      </c>
      <c r="AS69" s="555">
        <v>0.27200000000000002</v>
      </c>
      <c r="AT69" s="555">
        <v>9.5350000000000001</v>
      </c>
      <c r="AU69" s="555">
        <v>0.20300000000000001</v>
      </c>
    </row>
    <row r="70" spans="1:48" ht="31.75" hidden="1">
      <c r="A70" s="914"/>
      <c r="B70" s="186" t="s">
        <v>92</v>
      </c>
      <c r="C70" s="186" t="s">
        <v>103</v>
      </c>
      <c r="D70" s="860">
        <v>117.654</v>
      </c>
      <c r="E70" s="195">
        <f t="shared" si="40"/>
        <v>120</v>
      </c>
      <c r="F70" s="195">
        <f t="shared" si="24"/>
        <v>240</v>
      </c>
      <c r="G70" s="860">
        <v>2.4740000000000002</v>
      </c>
      <c r="H70" s="536">
        <v>0</v>
      </c>
      <c r="I70" s="536">
        <f t="shared" si="25"/>
        <v>0</v>
      </c>
      <c r="J70" s="860">
        <v>1.1879999999999999</v>
      </c>
      <c r="K70" s="552">
        <f t="shared" si="38"/>
        <v>1</v>
      </c>
      <c r="L70" s="536">
        <f t="shared" si="26"/>
        <v>2</v>
      </c>
      <c r="M70" s="860">
        <v>0.93200000000000005</v>
      </c>
      <c r="N70" s="536">
        <f t="shared" si="39"/>
        <v>1</v>
      </c>
      <c r="O70" s="536">
        <f t="shared" si="27"/>
        <v>2</v>
      </c>
      <c r="P70" s="860">
        <v>0</v>
      </c>
      <c r="Q70" s="536">
        <v>0</v>
      </c>
      <c r="R70" s="536">
        <f t="shared" si="28"/>
        <v>0</v>
      </c>
      <c r="S70" s="860">
        <v>8.9999999999999993E-3</v>
      </c>
      <c r="T70" s="536">
        <v>0</v>
      </c>
      <c r="U70" s="536">
        <f t="shared" si="29"/>
        <v>0</v>
      </c>
      <c r="V70" s="860">
        <v>22.594000000000001</v>
      </c>
      <c r="W70" s="536">
        <f t="shared" si="23"/>
        <v>25</v>
      </c>
      <c r="X70" s="536">
        <f t="shared" si="30"/>
        <v>50</v>
      </c>
      <c r="Y70" s="860">
        <v>26.925000000000001</v>
      </c>
      <c r="Z70" s="536">
        <f t="shared" si="22"/>
        <v>27</v>
      </c>
      <c r="AA70" s="536">
        <f t="shared" si="31"/>
        <v>54</v>
      </c>
      <c r="AB70" s="860">
        <v>3.2000000000000001E-2</v>
      </c>
      <c r="AC70" s="536">
        <v>0</v>
      </c>
      <c r="AD70" s="536">
        <f t="shared" si="32"/>
        <v>0</v>
      </c>
      <c r="AE70" s="860">
        <v>25.398</v>
      </c>
      <c r="AF70" s="536">
        <f t="shared" si="36"/>
        <v>25</v>
      </c>
      <c r="AG70" s="536">
        <f t="shared" si="33"/>
        <v>50</v>
      </c>
      <c r="AH70" s="860">
        <v>25.335000000000001</v>
      </c>
      <c r="AI70" s="690">
        <f t="shared" si="37"/>
        <v>25</v>
      </c>
      <c r="AJ70" s="536">
        <f t="shared" si="34"/>
        <v>50</v>
      </c>
      <c r="AK70" s="860">
        <v>0.14299999999999999</v>
      </c>
      <c r="AL70" s="536">
        <v>0</v>
      </c>
      <c r="AM70" s="536">
        <f t="shared" si="35"/>
        <v>0</v>
      </c>
      <c r="AN70" s="555">
        <v>0</v>
      </c>
      <c r="AO70" s="555">
        <v>0</v>
      </c>
      <c r="AP70" s="555">
        <v>2.8420000000000001</v>
      </c>
      <c r="AQ70" s="555">
        <v>0.219</v>
      </c>
      <c r="AR70" s="555">
        <v>8.2000000000000003E-2</v>
      </c>
      <c r="AS70" s="555">
        <v>0.45800000000000002</v>
      </c>
      <c r="AT70" s="555">
        <v>4.4059999999999997</v>
      </c>
      <c r="AU70" s="555">
        <v>9.4E-2</v>
      </c>
    </row>
    <row r="71" spans="1:48" ht="31.75" hidden="1">
      <c r="A71" s="914"/>
      <c r="B71" s="186" t="s">
        <v>92</v>
      </c>
      <c r="C71" s="186" t="s">
        <v>109</v>
      </c>
      <c r="D71" s="860">
        <v>97.42</v>
      </c>
      <c r="E71" s="195">
        <f t="shared" si="40"/>
        <v>100</v>
      </c>
      <c r="F71" s="195">
        <f t="shared" si="24"/>
        <v>200</v>
      </c>
      <c r="G71" s="860">
        <v>2.5369999999999999</v>
      </c>
      <c r="H71" s="536">
        <v>0</v>
      </c>
      <c r="I71" s="536">
        <f t="shared" si="25"/>
        <v>0</v>
      </c>
      <c r="J71" s="860">
        <v>1.2190000000000001</v>
      </c>
      <c r="K71" s="552">
        <f t="shared" si="38"/>
        <v>1</v>
      </c>
      <c r="L71" s="536">
        <f t="shared" si="26"/>
        <v>2</v>
      </c>
      <c r="M71" s="860">
        <v>0.95599999999999996</v>
      </c>
      <c r="N71" s="536">
        <f t="shared" si="39"/>
        <v>1</v>
      </c>
      <c r="O71" s="536">
        <f t="shared" si="27"/>
        <v>2</v>
      </c>
      <c r="P71" s="860">
        <v>0</v>
      </c>
      <c r="Q71" s="536">
        <v>0</v>
      </c>
      <c r="R71" s="536">
        <f t="shared" si="28"/>
        <v>0</v>
      </c>
      <c r="S71" s="860">
        <v>0.01</v>
      </c>
      <c r="T71" s="536">
        <v>0</v>
      </c>
      <c r="U71" s="536">
        <f t="shared" si="29"/>
        <v>0</v>
      </c>
      <c r="V71" s="860">
        <v>23.483000000000001</v>
      </c>
      <c r="W71" s="536">
        <f t="shared" si="23"/>
        <v>25</v>
      </c>
      <c r="X71" s="536">
        <f t="shared" si="30"/>
        <v>50</v>
      </c>
      <c r="Y71" s="860">
        <v>21.872</v>
      </c>
      <c r="Z71" s="536">
        <f t="shared" si="22"/>
        <v>22</v>
      </c>
      <c r="AA71" s="536">
        <f t="shared" si="31"/>
        <v>44</v>
      </c>
      <c r="AB71" s="860">
        <v>2.9000000000000001E-2</v>
      </c>
      <c r="AC71" s="536">
        <v>0</v>
      </c>
      <c r="AD71" s="536">
        <f t="shared" si="32"/>
        <v>0</v>
      </c>
      <c r="AE71" s="860">
        <v>20.43</v>
      </c>
      <c r="AF71" s="536">
        <f t="shared" si="36"/>
        <v>20</v>
      </c>
      <c r="AG71" s="536">
        <f t="shared" si="33"/>
        <v>40</v>
      </c>
      <c r="AH71" s="860">
        <v>20.373999999999999</v>
      </c>
      <c r="AI71" s="690">
        <f t="shared" si="37"/>
        <v>20</v>
      </c>
      <c r="AJ71" s="536">
        <f t="shared" si="34"/>
        <v>40</v>
      </c>
      <c r="AK71" s="860">
        <v>0.14599999999999999</v>
      </c>
      <c r="AL71" s="536">
        <v>0</v>
      </c>
      <c r="AM71" s="536">
        <f t="shared" si="35"/>
        <v>0</v>
      </c>
      <c r="AN71" s="555">
        <v>0</v>
      </c>
      <c r="AO71" s="555">
        <v>0</v>
      </c>
      <c r="AP71" s="555">
        <v>3.0830000000000002</v>
      </c>
      <c r="AQ71" s="555">
        <v>0.23699999999999999</v>
      </c>
      <c r="AR71" s="555">
        <v>8.4000000000000005E-2</v>
      </c>
      <c r="AS71" s="555">
        <v>0.46899999999999997</v>
      </c>
      <c r="AT71" s="555">
        <v>4.4470000000000001</v>
      </c>
      <c r="AU71" s="555">
        <v>9.5000000000000001E-2</v>
      </c>
    </row>
    <row r="72" spans="1:48" ht="31.75" hidden="1">
      <c r="A72" s="914"/>
      <c r="B72" s="186" t="s">
        <v>92</v>
      </c>
      <c r="C72" s="186" t="s">
        <v>112</v>
      </c>
      <c r="D72" s="860">
        <v>81.039000000000001</v>
      </c>
      <c r="E72" s="195">
        <f t="shared" si="40"/>
        <v>80</v>
      </c>
      <c r="F72" s="195">
        <f t="shared" si="24"/>
        <v>160</v>
      </c>
      <c r="G72" s="860">
        <v>1.7000000000000001E-2</v>
      </c>
      <c r="H72" s="536">
        <v>0</v>
      </c>
      <c r="I72" s="536">
        <f t="shared" si="25"/>
        <v>0</v>
      </c>
      <c r="J72" s="860">
        <v>0.93500000000000005</v>
      </c>
      <c r="K72" s="552">
        <f t="shared" si="38"/>
        <v>1</v>
      </c>
      <c r="L72" s="536">
        <f t="shared" si="26"/>
        <v>2</v>
      </c>
      <c r="M72" s="860">
        <v>0.86699999999999999</v>
      </c>
      <c r="N72" s="536">
        <f t="shared" si="39"/>
        <v>1</v>
      </c>
      <c r="O72" s="536">
        <f t="shared" si="27"/>
        <v>2</v>
      </c>
      <c r="P72" s="860">
        <v>0</v>
      </c>
      <c r="Q72" s="536">
        <v>0</v>
      </c>
      <c r="R72" s="536">
        <f t="shared" si="28"/>
        <v>0</v>
      </c>
      <c r="S72" s="860">
        <v>0</v>
      </c>
      <c r="T72" s="536">
        <v>0</v>
      </c>
      <c r="U72" s="536">
        <f t="shared" si="29"/>
        <v>0</v>
      </c>
      <c r="V72" s="860">
        <v>19.266999999999999</v>
      </c>
      <c r="W72" s="536">
        <f t="shared" si="23"/>
        <v>20</v>
      </c>
      <c r="X72" s="536">
        <f t="shared" si="30"/>
        <v>40</v>
      </c>
      <c r="Y72" s="860">
        <v>18.228000000000002</v>
      </c>
      <c r="Z72" s="536">
        <f t="shared" ref="Z72:Z103" si="41">MROUND(Y72,1)</f>
        <v>18</v>
      </c>
      <c r="AA72" s="536">
        <f t="shared" si="31"/>
        <v>36</v>
      </c>
      <c r="AB72" s="860">
        <v>0.27600000000000002</v>
      </c>
      <c r="AC72" s="536">
        <v>0</v>
      </c>
      <c r="AD72" s="536">
        <f t="shared" si="32"/>
        <v>0</v>
      </c>
      <c r="AE72" s="860">
        <v>16.777999999999999</v>
      </c>
      <c r="AF72" s="536">
        <f t="shared" si="36"/>
        <v>17</v>
      </c>
      <c r="AG72" s="536">
        <f t="shared" si="33"/>
        <v>34</v>
      </c>
      <c r="AH72" s="860">
        <v>16.483000000000001</v>
      </c>
      <c r="AI72" s="690">
        <f t="shared" si="37"/>
        <v>16</v>
      </c>
      <c r="AJ72" s="536">
        <f t="shared" si="34"/>
        <v>32</v>
      </c>
      <c r="AK72" s="860">
        <v>0.17</v>
      </c>
      <c r="AL72" s="536">
        <v>0</v>
      </c>
      <c r="AM72" s="536">
        <f t="shared" si="35"/>
        <v>0</v>
      </c>
      <c r="AN72" s="555">
        <v>0</v>
      </c>
      <c r="AO72" s="555">
        <v>0</v>
      </c>
      <c r="AP72" s="561">
        <v>4.8230000000000004</v>
      </c>
      <c r="AQ72" s="561">
        <v>0.371</v>
      </c>
      <c r="AR72" s="561">
        <v>0.109</v>
      </c>
      <c r="AS72" s="561">
        <v>0.60699999999999998</v>
      </c>
      <c r="AT72" s="561">
        <v>18.946999999999999</v>
      </c>
      <c r="AU72" s="561">
        <v>0.40300000000000002</v>
      </c>
    </row>
    <row r="73" spans="1:48" ht="31.75" hidden="1">
      <c r="A73" s="914"/>
      <c r="B73" s="186" t="s">
        <v>92</v>
      </c>
      <c r="C73" s="186" t="s">
        <v>116</v>
      </c>
      <c r="D73" s="860">
        <v>113.733</v>
      </c>
      <c r="E73" s="195">
        <f t="shared" si="40"/>
        <v>110</v>
      </c>
      <c r="F73" s="195">
        <f t="shared" si="24"/>
        <v>220</v>
      </c>
      <c r="G73" s="860">
        <v>0</v>
      </c>
      <c r="H73" s="536">
        <v>0</v>
      </c>
      <c r="I73" s="536">
        <f t="shared" si="25"/>
        <v>0</v>
      </c>
      <c r="J73" s="860">
        <v>1.379</v>
      </c>
      <c r="K73" s="552">
        <f t="shared" si="38"/>
        <v>1.5</v>
      </c>
      <c r="L73" s="536">
        <f t="shared" si="26"/>
        <v>3</v>
      </c>
      <c r="M73" s="860">
        <v>1.125</v>
      </c>
      <c r="N73" s="536">
        <f t="shared" si="39"/>
        <v>1</v>
      </c>
      <c r="O73" s="536">
        <f t="shared" si="27"/>
        <v>2</v>
      </c>
      <c r="P73" s="860">
        <v>0</v>
      </c>
      <c r="Q73" s="536">
        <v>0</v>
      </c>
      <c r="R73" s="536">
        <f t="shared" si="28"/>
        <v>0</v>
      </c>
      <c r="S73" s="860">
        <v>0</v>
      </c>
      <c r="T73" s="536">
        <v>0</v>
      </c>
      <c r="U73" s="536">
        <f t="shared" si="29"/>
        <v>0</v>
      </c>
      <c r="V73" s="860">
        <v>21.512</v>
      </c>
      <c r="W73" s="536">
        <f t="shared" si="23"/>
        <v>20</v>
      </c>
      <c r="X73" s="536">
        <f t="shared" si="30"/>
        <v>40</v>
      </c>
      <c r="Y73" s="860">
        <v>25.727</v>
      </c>
      <c r="Z73" s="536">
        <f t="shared" si="41"/>
        <v>26</v>
      </c>
      <c r="AA73" s="536">
        <f t="shared" si="31"/>
        <v>52</v>
      </c>
      <c r="AB73" s="860">
        <v>0.157</v>
      </c>
      <c r="AC73" s="536">
        <v>0</v>
      </c>
      <c r="AD73" s="536">
        <f t="shared" si="32"/>
        <v>0</v>
      </c>
      <c r="AE73" s="860">
        <v>24.518000000000001</v>
      </c>
      <c r="AF73" s="536">
        <f t="shared" si="36"/>
        <v>25</v>
      </c>
      <c r="AG73" s="536">
        <f t="shared" si="33"/>
        <v>50</v>
      </c>
      <c r="AH73" s="860">
        <v>24.468</v>
      </c>
      <c r="AI73" s="690">
        <f t="shared" si="37"/>
        <v>24</v>
      </c>
      <c r="AJ73" s="536">
        <f t="shared" si="34"/>
        <v>48</v>
      </c>
      <c r="AK73" s="860">
        <v>0.17199999999999999</v>
      </c>
      <c r="AL73" s="536">
        <v>0</v>
      </c>
      <c r="AM73" s="536">
        <f t="shared" si="35"/>
        <v>0</v>
      </c>
      <c r="AN73" s="555">
        <v>0</v>
      </c>
      <c r="AO73" s="555">
        <v>0</v>
      </c>
      <c r="AP73" s="555">
        <v>3.5369999999999999</v>
      </c>
      <c r="AQ73" s="555">
        <v>0.27200000000000002</v>
      </c>
      <c r="AR73" s="555">
        <v>0.26200000000000001</v>
      </c>
      <c r="AS73" s="555">
        <v>1.454</v>
      </c>
      <c r="AT73" s="555">
        <v>14.493</v>
      </c>
      <c r="AU73" s="555">
        <v>0.308</v>
      </c>
    </row>
    <row r="74" spans="1:48" ht="170.6" hidden="1">
      <c r="A74" s="914" t="s">
        <v>411</v>
      </c>
      <c r="B74" s="186" t="s">
        <v>92</v>
      </c>
      <c r="C74" s="186" t="s">
        <v>93</v>
      </c>
      <c r="D74" s="860">
        <v>97.587999999999994</v>
      </c>
      <c r="E74" s="195">
        <f t="shared" si="40"/>
        <v>100</v>
      </c>
      <c r="F74" s="195">
        <f t="shared" si="24"/>
        <v>200</v>
      </c>
      <c r="G74" s="860">
        <v>4.7220000000000004</v>
      </c>
      <c r="H74" s="536">
        <v>0</v>
      </c>
      <c r="I74" s="536">
        <f t="shared" si="25"/>
        <v>0</v>
      </c>
      <c r="J74" s="860">
        <v>1.446</v>
      </c>
      <c r="K74" s="552">
        <f t="shared" si="38"/>
        <v>1.5</v>
      </c>
      <c r="L74" s="536">
        <f t="shared" si="26"/>
        <v>3</v>
      </c>
      <c r="M74" s="860">
        <v>1.1200000000000001</v>
      </c>
      <c r="N74" s="536">
        <f t="shared" si="39"/>
        <v>1</v>
      </c>
      <c r="O74" s="536">
        <f t="shared" si="27"/>
        <v>2</v>
      </c>
      <c r="P74" s="860">
        <v>1E-3</v>
      </c>
      <c r="Q74" s="536">
        <v>0</v>
      </c>
      <c r="R74" s="536">
        <f t="shared" si="28"/>
        <v>0</v>
      </c>
      <c r="S74" s="860">
        <v>0</v>
      </c>
      <c r="T74" s="536">
        <v>0</v>
      </c>
      <c r="U74" s="536">
        <f t="shared" si="29"/>
        <v>0</v>
      </c>
      <c r="V74" s="860">
        <v>20.747</v>
      </c>
      <c r="W74" s="536">
        <f t="shared" si="23"/>
        <v>20</v>
      </c>
      <c r="X74" s="536">
        <f t="shared" si="30"/>
        <v>40</v>
      </c>
      <c r="Y74" s="860">
        <v>22.943000000000001</v>
      </c>
      <c r="Z74" s="536">
        <f t="shared" si="41"/>
        <v>23</v>
      </c>
      <c r="AA74" s="536">
        <f t="shared" si="31"/>
        <v>46</v>
      </c>
      <c r="AB74" s="860">
        <v>0.19600000000000001</v>
      </c>
      <c r="AC74" s="536">
        <v>0</v>
      </c>
      <c r="AD74" s="536">
        <f t="shared" si="32"/>
        <v>0</v>
      </c>
      <c r="AE74" s="860">
        <v>21.565000000000001</v>
      </c>
      <c r="AF74" s="536">
        <f t="shared" si="36"/>
        <v>22</v>
      </c>
      <c r="AG74" s="536">
        <f t="shared" si="33"/>
        <v>44</v>
      </c>
      <c r="AH74" s="860">
        <v>19.562999999999999</v>
      </c>
      <c r="AI74" s="690">
        <f t="shared" si="37"/>
        <v>20</v>
      </c>
      <c r="AJ74" s="536">
        <f t="shared" si="34"/>
        <v>40</v>
      </c>
      <c r="AK74" s="860">
        <v>0.17899999999999999</v>
      </c>
      <c r="AL74" s="536">
        <v>0</v>
      </c>
      <c r="AM74" s="536">
        <f t="shared" si="35"/>
        <v>0</v>
      </c>
      <c r="AN74" s="555">
        <v>3.0000000000000001E-3</v>
      </c>
      <c r="AO74" s="555">
        <v>1.7000000000000001E-2</v>
      </c>
      <c r="AP74" s="555">
        <v>4.3460000000000001</v>
      </c>
      <c r="AQ74" s="555">
        <v>0.33400000000000002</v>
      </c>
      <c r="AR74" s="555">
        <v>0.156</v>
      </c>
      <c r="AS74" s="555">
        <v>0.86599999999999999</v>
      </c>
      <c r="AT74" s="555">
        <v>20.68</v>
      </c>
      <c r="AU74" s="555">
        <v>0.44</v>
      </c>
      <c r="AV74" s="212"/>
    </row>
    <row r="75" spans="1:48" s="248" customFormat="1" ht="31.75" hidden="1">
      <c r="A75" s="914"/>
      <c r="B75" s="186" t="s">
        <v>296</v>
      </c>
      <c r="C75" s="186" t="s">
        <v>306</v>
      </c>
      <c r="D75" s="860">
        <v>101.604</v>
      </c>
      <c r="E75" s="195">
        <f t="shared" si="40"/>
        <v>100</v>
      </c>
      <c r="F75" s="195">
        <f t="shared" si="24"/>
        <v>200</v>
      </c>
      <c r="G75" s="860">
        <v>0.20499999999999999</v>
      </c>
      <c r="H75" s="536">
        <v>0</v>
      </c>
      <c r="I75" s="536">
        <f t="shared" si="25"/>
        <v>0</v>
      </c>
      <c r="J75" s="860">
        <v>2.3E-2</v>
      </c>
      <c r="K75" s="536">
        <v>0</v>
      </c>
      <c r="L75" s="536">
        <f t="shared" si="26"/>
        <v>0</v>
      </c>
      <c r="M75" s="860">
        <v>0</v>
      </c>
      <c r="N75" s="536">
        <v>0</v>
      </c>
      <c r="O75" s="536">
        <f t="shared" si="27"/>
        <v>0</v>
      </c>
      <c r="P75" s="860">
        <v>0</v>
      </c>
      <c r="Q75" s="536">
        <v>0</v>
      </c>
      <c r="R75" s="536">
        <f t="shared" si="28"/>
        <v>0</v>
      </c>
      <c r="S75" s="860">
        <v>0</v>
      </c>
      <c r="T75" s="536">
        <v>0</v>
      </c>
      <c r="U75" s="536">
        <f t="shared" si="29"/>
        <v>0</v>
      </c>
      <c r="V75" s="860">
        <v>10.369</v>
      </c>
      <c r="W75" s="536">
        <f t="shared" si="23"/>
        <v>10</v>
      </c>
      <c r="X75" s="536">
        <f t="shared" si="30"/>
        <v>20</v>
      </c>
      <c r="Y75" s="860">
        <v>25.381</v>
      </c>
      <c r="Z75" s="536">
        <f t="shared" si="41"/>
        <v>25</v>
      </c>
      <c r="AA75" s="536">
        <f t="shared" si="31"/>
        <v>50</v>
      </c>
      <c r="AB75" s="860">
        <v>0</v>
      </c>
      <c r="AC75" s="536">
        <v>0</v>
      </c>
      <c r="AD75" s="536">
        <f t="shared" si="32"/>
        <v>0</v>
      </c>
      <c r="AE75" s="860">
        <v>23.372</v>
      </c>
      <c r="AF75" s="536">
        <f t="shared" si="36"/>
        <v>23</v>
      </c>
      <c r="AG75" s="536">
        <f t="shared" si="33"/>
        <v>46</v>
      </c>
      <c r="AH75" s="860">
        <v>23.372</v>
      </c>
      <c r="AI75" s="690">
        <f t="shared" si="37"/>
        <v>23</v>
      </c>
      <c r="AJ75" s="536">
        <f t="shared" si="34"/>
        <v>46</v>
      </c>
      <c r="AK75" s="860">
        <v>0.182</v>
      </c>
      <c r="AL75" s="536">
        <v>0</v>
      </c>
      <c r="AM75" s="536">
        <f t="shared" si="35"/>
        <v>0</v>
      </c>
      <c r="AN75" s="555">
        <v>0</v>
      </c>
      <c r="AO75" s="555">
        <v>0</v>
      </c>
      <c r="AP75" s="555">
        <v>2.198</v>
      </c>
      <c r="AQ75" s="555">
        <v>0.16900000000000001</v>
      </c>
      <c r="AR75" s="555">
        <v>5.0000000000000001E-3</v>
      </c>
      <c r="AS75" s="555">
        <v>2.5000000000000001E-2</v>
      </c>
      <c r="AT75" s="555">
        <v>0.40699999999999997</v>
      </c>
      <c r="AU75" s="555">
        <v>8.9999999999999993E-3</v>
      </c>
      <c r="AV75" s="179"/>
    </row>
    <row r="76" spans="1:48" ht="15" hidden="1" customHeight="1">
      <c r="A76" s="914"/>
      <c r="B76" s="186" t="s">
        <v>92</v>
      </c>
      <c r="C76" s="186" t="s">
        <v>111</v>
      </c>
      <c r="D76" s="860">
        <v>92.629000000000005</v>
      </c>
      <c r="E76" s="195">
        <f t="shared" si="40"/>
        <v>90</v>
      </c>
      <c r="F76" s="195">
        <f t="shared" si="24"/>
        <v>180</v>
      </c>
      <c r="G76" s="860">
        <v>3.266</v>
      </c>
      <c r="H76" s="536">
        <v>0</v>
      </c>
      <c r="I76" s="536">
        <f t="shared" si="25"/>
        <v>0</v>
      </c>
      <c r="J76" s="860">
        <v>1.2929999999999999</v>
      </c>
      <c r="K76" s="552">
        <f>MROUND(J76,0.5)</f>
        <v>1.5</v>
      </c>
      <c r="L76" s="536">
        <f t="shared" si="26"/>
        <v>3</v>
      </c>
      <c r="M76" s="860">
        <v>1.0960000000000001</v>
      </c>
      <c r="N76" s="536">
        <f>MROUND(M76,0.5)</f>
        <v>1</v>
      </c>
      <c r="O76" s="536">
        <f t="shared" si="27"/>
        <v>2</v>
      </c>
      <c r="P76" s="860">
        <v>8.0000000000000002E-3</v>
      </c>
      <c r="Q76" s="536">
        <v>0</v>
      </c>
      <c r="R76" s="536">
        <f t="shared" si="28"/>
        <v>0</v>
      </c>
      <c r="S76" s="860">
        <v>0.89900000000000002</v>
      </c>
      <c r="T76" s="536">
        <v>0</v>
      </c>
      <c r="U76" s="536">
        <f t="shared" si="29"/>
        <v>0</v>
      </c>
      <c r="V76" s="860">
        <v>21.608000000000001</v>
      </c>
      <c r="W76" s="536">
        <f t="shared" si="23"/>
        <v>20</v>
      </c>
      <c r="X76" s="536">
        <f t="shared" si="30"/>
        <v>40</v>
      </c>
      <c r="Y76" s="860">
        <v>20.25</v>
      </c>
      <c r="Z76" s="536">
        <f t="shared" si="41"/>
        <v>20</v>
      </c>
      <c r="AA76" s="536">
        <f t="shared" si="31"/>
        <v>40</v>
      </c>
      <c r="AB76" s="860">
        <v>0.14099999999999999</v>
      </c>
      <c r="AC76" s="536">
        <v>0</v>
      </c>
      <c r="AD76" s="536">
        <f t="shared" si="32"/>
        <v>0</v>
      </c>
      <c r="AE76" s="860">
        <v>18.503</v>
      </c>
      <c r="AF76" s="536">
        <f t="shared" si="36"/>
        <v>19</v>
      </c>
      <c r="AG76" s="536">
        <f t="shared" si="33"/>
        <v>38</v>
      </c>
      <c r="AH76" s="860">
        <v>18.289000000000001</v>
      </c>
      <c r="AI76" s="690">
        <f t="shared" si="37"/>
        <v>18</v>
      </c>
      <c r="AJ76" s="536">
        <f t="shared" si="34"/>
        <v>36</v>
      </c>
      <c r="AK76" s="860">
        <v>0.188</v>
      </c>
      <c r="AL76" s="536">
        <v>0</v>
      </c>
      <c r="AM76" s="536">
        <f t="shared" si="35"/>
        <v>0</v>
      </c>
      <c r="AN76" s="555">
        <v>0</v>
      </c>
      <c r="AO76" s="555">
        <v>0</v>
      </c>
      <c r="AP76" s="555">
        <v>5.4859999999999998</v>
      </c>
      <c r="AQ76" s="555">
        <v>0.42199999999999999</v>
      </c>
      <c r="AR76" s="555">
        <v>7.0000000000000007E-2</v>
      </c>
      <c r="AS76" s="555">
        <v>0.38700000000000001</v>
      </c>
      <c r="AT76" s="555">
        <v>12.097</v>
      </c>
      <c r="AU76" s="555">
        <v>0.25700000000000001</v>
      </c>
    </row>
    <row r="77" spans="1:48" s="212" customFormat="1" ht="31.75" hidden="1">
      <c r="A77" s="914"/>
      <c r="B77" s="186" t="s">
        <v>92</v>
      </c>
      <c r="C77" s="186" t="s">
        <v>94</v>
      </c>
      <c r="D77" s="860">
        <v>103.465</v>
      </c>
      <c r="E77" s="195">
        <f t="shared" si="40"/>
        <v>100</v>
      </c>
      <c r="F77" s="195">
        <f t="shared" si="24"/>
        <v>200</v>
      </c>
      <c r="G77" s="860">
        <v>3.11</v>
      </c>
      <c r="H77" s="536">
        <v>0</v>
      </c>
      <c r="I77" s="536">
        <f t="shared" si="25"/>
        <v>0</v>
      </c>
      <c r="J77" s="860">
        <v>1.276</v>
      </c>
      <c r="K77" s="552">
        <f>MROUND(J77,0.5)</f>
        <v>1.5</v>
      </c>
      <c r="L77" s="536">
        <f t="shared" si="26"/>
        <v>3</v>
      </c>
      <c r="M77" s="860">
        <v>1.0349999999999999</v>
      </c>
      <c r="N77" s="536">
        <f>MROUND(M77,0.5)</f>
        <v>1</v>
      </c>
      <c r="O77" s="536">
        <f t="shared" si="27"/>
        <v>2</v>
      </c>
      <c r="P77" s="860">
        <v>3.0000000000000001E-3</v>
      </c>
      <c r="Q77" s="536">
        <v>0</v>
      </c>
      <c r="R77" s="536">
        <f t="shared" si="28"/>
        <v>0</v>
      </c>
      <c r="S77" s="860">
        <v>0</v>
      </c>
      <c r="T77" s="536">
        <v>0</v>
      </c>
      <c r="U77" s="536">
        <f t="shared" si="29"/>
        <v>0</v>
      </c>
      <c r="V77" s="860">
        <v>53.664000000000001</v>
      </c>
      <c r="W77" s="536">
        <f t="shared" si="23"/>
        <v>55</v>
      </c>
      <c r="X77" s="536">
        <f t="shared" si="30"/>
        <v>110</v>
      </c>
      <c r="Y77" s="860">
        <v>23.007000000000001</v>
      </c>
      <c r="Z77" s="536">
        <f t="shared" si="41"/>
        <v>23</v>
      </c>
      <c r="AA77" s="536">
        <f t="shared" si="31"/>
        <v>46</v>
      </c>
      <c r="AB77" s="860">
        <v>3.6999999999999998E-2</v>
      </c>
      <c r="AC77" s="536">
        <v>0</v>
      </c>
      <c r="AD77" s="536">
        <f t="shared" si="32"/>
        <v>0</v>
      </c>
      <c r="AE77" s="860">
        <v>20.617999999999999</v>
      </c>
      <c r="AF77" s="536">
        <f t="shared" si="36"/>
        <v>21</v>
      </c>
      <c r="AG77" s="536">
        <f t="shared" si="33"/>
        <v>42</v>
      </c>
      <c r="AH77" s="860">
        <v>17.829999999999998</v>
      </c>
      <c r="AI77" s="690">
        <f t="shared" si="37"/>
        <v>18</v>
      </c>
      <c r="AJ77" s="536">
        <f t="shared" si="34"/>
        <v>36</v>
      </c>
      <c r="AK77" s="860">
        <v>0.19500000000000001</v>
      </c>
      <c r="AL77" s="536">
        <v>0</v>
      </c>
      <c r="AM77" s="536">
        <f t="shared" si="35"/>
        <v>0</v>
      </c>
      <c r="AN77" s="555">
        <v>0</v>
      </c>
      <c r="AO77" s="555">
        <v>0</v>
      </c>
      <c r="AP77" s="536">
        <v>11.426</v>
      </c>
      <c r="AQ77" s="536">
        <v>0.879</v>
      </c>
      <c r="AR77" s="536">
        <v>8.5000000000000006E-2</v>
      </c>
      <c r="AS77" s="536">
        <v>0.47399999999999998</v>
      </c>
      <c r="AT77" s="536">
        <v>2.1800000000000002</v>
      </c>
      <c r="AU77" s="536">
        <v>4.5999999999999999E-2</v>
      </c>
    </row>
    <row r="78" spans="1:48" ht="31.75" hidden="1">
      <c r="A78" s="914"/>
      <c r="B78" s="186" t="s">
        <v>92</v>
      </c>
      <c r="C78" s="186" t="s">
        <v>95</v>
      </c>
      <c r="D78" s="860">
        <v>110.917</v>
      </c>
      <c r="E78" s="195">
        <f t="shared" si="40"/>
        <v>110</v>
      </c>
      <c r="F78" s="195">
        <f t="shared" si="24"/>
        <v>220</v>
      </c>
      <c r="G78" s="860">
        <v>6.4450000000000003</v>
      </c>
      <c r="H78" s="690">
        <f>MROUND(G78,5)</f>
        <v>5</v>
      </c>
      <c r="I78" s="536">
        <f t="shared" si="25"/>
        <v>10</v>
      </c>
      <c r="J78" s="860">
        <v>1.6359999999999999</v>
      </c>
      <c r="K78" s="552">
        <f>MROUND(J78,0.5)</f>
        <v>1.5</v>
      </c>
      <c r="L78" s="536">
        <f t="shared" si="26"/>
        <v>3</v>
      </c>
      <c r="M78" s="860">
        <v>1.3140000000000001</v>
      </c>
      <c r="N78" s="536">
        <f>MROUND(M78,0.5)</f>
        <v>1.5</v>
      </c>
      <c r="O78" s="536">
        <f t="shared" si="27"/>
        <v>3</v>
      </c>
      <c r="P78" s="860">
        <v>1.4999999999999999E-2</v>
      </c>
      <c r="Q78" s="536">
        <v>0</v>
      </c>
      <c r="R78" s="536">
        <f t="shared" si="28"/>
        <v>0</v>
      </c>
      <c r="S78" s="860">
        <v>1.7789999999999999</v>
      </c>
      <c r="T78" s="536">
        <v>0</v>
      </c>
      <c r="U78" s="536">
        <f t="shared" si="29"/>
        <v>0</v>
      </c>
      <c r="V78" s="860">
        <v>23.613</v>
      </c>
      <c r="W78" s="536">
        <f t="shared" si="23"/>
        <v>25</v>
      </c>
      <c r="X78" s="536">
        <f t="shared" si="30"/>
        <v>50</v>
      </c>
      <c r="Y78" s="860">
        <v>23.771000000000001</v>
      </c>
      <c r="Z78" s="536">
        <f t="shared" si="41"/>
        <v>24</v>
      </c>
      <c r="AA78" s="536">
        <f t="shared" si="31"/>
        <v>48</v>
      </c>
      <c r="AB78" s="860">
        <v>8.0000000000000002E-3</v>
      </c>
      <c r="AC78" s="536">
        <v>0</v>
      </c>
      <c r="AD78" s="536">
        <f t="shared" si="32"/>
        <v>0</v>
      </c>
      <c r="AE78" s="860">
        <v>21.742000000000001</v>
      </c>
      <c r="AF78" s="536">
        <f t="shared" si="36"/>
        <v>22</v>
      </c>
      <c r="AG78" s="536">
        <f t="shared" si="33"/>
        <v>44</v>
      </c>
      <c r="AH78" s="860">
        <v>21.609000000000002</v>
      </c>
      <c r="AI78" s="690">
        <f t="shared" si="37"/>
        <v>22</v>
      </c>
      <c r="AJ78" s="536">
        <f t="shared" si="34"/>
        <v>44</v>
      </c>
      <c r="AK78" s="860">
        <v>0.20399999999999999</v>
      </c>
      <c r="AL78" s="536">
        <v>0</v>
      </c>
      <c r="AM78" s="536">
        <f t="shared" si="35"/>
        <v>0</v>
      </c>
      <c r="AN78" s="555">
        <v>0</v>
      </c>
      <c r="AO78" s="555">
        <v>0</v>
      </c>
      <c r="AP78" s="555">
        <v>6.9290000000000003</v>
      </c>
      <c r="AQ78" s="555">
        <v>0.53300000000000003</v>
      </c>
      <c r="AR78" s="555">
        <v>0.03</v>
      </c>
      <c r="AS78" s="555">
        <v>0.16900000000000001</v>
      </c>
      <c r="AT78" s="555">
        <v>6.2060000000000004</v>
      </c>
      <c r="AU78" s="555">
        <v>0.13200000000000001</v>
      </c>
    </row>
    <row r="79" spans="1:48" ht="31.75" hidden="1">
      <c r="A79" s="914"/>
      <c r="B79" s="186" t="s">
        <v>92</v>
      </c>
      <c r="C79" s="186" t="s">
        <v>98</v>
      </c>
      <c r="D79" s="860">
        <v>106.871</v>
      </c>
      <c r="E79" s="195">
        <f t="shared" si="40"/>
        <v>110</v>
      </c>
      <c r="F79" s="195">
        <f t="shared" si="24"/>
        <v>220</v>
      </c>
      <c r="G79" s="860">
        <v>6.484</v>
      </c>
      <c r="H79" s="690">
        <f>MROUND(G79,5)</f>
        <v>5</v>
      </c>
      <c r="I79" s="536">
        <f t="shared" si="25"/>
        <v>10</v>
      </c>
      <c r="J79" s="860">
        <v>1.645</v>
      </c>
      <c r="K79" s="552">
        <f>MROUND(J79,0.5)</f>
        <v>1.5</v>
      </c>
      <c r="L79" s="536">
        <f t="shared" si="26"/>
        <v>3</v>
      </c>
      <c r="M79" s="860">
        <v>1.3220000000000001</v>
      </c>
      <c r="N79" s="536">
        <f>MROUND(M79,0.5)</f>
        <v>1.5</v>
      </c>
      <c r="O79" s="536">
        <f t="shared" si="27"/>
        <v>3</v>
      </c>
      <c r="P79" s="860">
        <v>1.4999999999999999E-2</v>
      </c>
      <c r="Q79" s="536">
        <v>0</v>
      </c>
      <c r="R79" s="536">
        <f t="shared" si="28"/>
        <v>0</v>
      </c>
      <c r="S79" s="860">
        <v>1.79</v>
      </c>
      <c r="T79" s="536">
        <v>0</v>
      </c>
      <c r="U79" s="536">
        <f t="shared" si="29"/>
        <v>0</v>
      </c>
      <c r="V79" s="860">
        <v>23.88</v>
      </c>
      <c r="W79" s="536">
        <f t="shared" si="23"/>
        <v>25</v>
      </c>
      <c r="X79" s="536">
        <f t="shared" si="30"/>
        <v>50</v>
      </c>
      <c r="Y79" s="860">
        <v>22.971</v>
      </c>
      <c r="Z79" s="536">
        <f t="shared" si="41"/>
        <v>23</v>
      </c>
      <c r="AA79" s="536">
        <f t="shared" si="31"/>
        <v>46</v>
      </c>
      <c r="AB79" s="860">
        <v>8.0000000000000002E-3</v>
      </c>
      <c r="AC79" s="536">
        <v>0</v>
      </c>
      <c r="AD79" s="536">
        <f t="shared" si="32"/>
        <v>0</v>
      </c>
      <c r="AE79" s="860">
        <v>20.93</v>
      </c>
      <c r="AF79" s="536">
        <f t="shared" si="36"/>
        <v>21</v>
      </c>
      <c r="AG79" s="536">
        <f t="shared" si="33"/>
        <v>42</v>
      </c>
      <c r="AH79" s="860">
        <v>20.797000000000001</v>
      </c>
      <c r="AI79" s="690">
        <f t="shared" si="37"/>
        <v>21</v>
      </c>
      <c r="AJ79" s="536">
        <f t="shared" si="34"/>
        <v>42</v>
      </c>
      <c r="AK79" s="860">
        <v>0.20499999999999999</v>
      </c>
      <c r="AL79" s="536">
        <v>0</v>
      </c>
      <c r="AM79" s="536">
        <f t="shared" si="35"/>
        <v>0</v>
      </c>
      <c r="AN79" s="555">
        <v>0</v>
      </c>
      <c r="AO79" s="555">
        <v>0</v>
      </c>
      <c r="AP79" s="555">
        <v>6.1239999999999997</v>
      </c>
      <c r="AQ79" s="555">
        <v>0.47099999999999997</v>
      </c>
      <c r="AR79" s="555">
        <v>3.1E-2</v>
      </c>
      <c r="AS79" s="555">
        <v>0.17</v>
      </c>
      <c r="AT79" s="555">
        <v>5.3019999999999996</v>
      </c>
      <c r="AU79" s="555">
        <v>0.113</v>
      </c>
    </row>
    <row r="80" spans="1:48" ht="31.75" hidden="1">
      <c r="A80" s="914"/>
      <c r="B80" s="186" t="s">
        <v>92</v>
      </c>
      <c r="C80" s="186" t="s">
        <v>118</v>
      </c>
      <c r="D80" s="935">
        <v>111.283</v>
      </c>
      <c r="E80" s="195">
        <f t="shared" si="40"/>
        <v>110</v>
      </c>
      <c r="F80" s="195">
        <f t="shared" si="24"/>
        <v>220</v>
      </c>
      <c r="G80" s="935">
        <v>6.4550000000000001</v>
      </c>
      <c r="H80" s="690">
        <f>MROUND(G80,5)</f>
        <v>5</v>
      </c>
      <c r="I80" s="536">
        <f t="shared" si="25"/>
        <v>10</v>
      </c>
      <c r="J80" s="935">
        <v>1.635</v>
      </c>
      <c r="K80" s="552">
        <f>MROUND(J80,0.5)</f>
        <v>1.5</v>
      </c>
      <c r="L80" s="536">
        <f t="shared" si="26"/>
        <v>3</v>
      </c>
      <c r="M80" s="935">
        <v>1.3120000000000001</v>
      </c>
      <c r="N80" s="536">
        <f>MROUND(M80,0.5)</f>
        <v>1.5</v>
      </c>
      <c r="O80" s="536">
        <f t="shared" si="27"/>
        <v>3</v>
      </c>
      <c r="P80" s="935">
        <v>1.4999999999999999E-2</v>
      </c>
      <c r="Q80" s="536">
        <v>0</v>
      </c>
      <c r="R80" s="536">
        <f t="shared" si="28"/>
        <v>0</v>
      </c>
      <c r="S80" s="935">
        <v>1.776</v>
      </c>
      <c r="T80" s="536">
        <v>0</v>
      </c>
      <c r="U80" s="536">
        <f t="shared" si="29"/>
        <v>0</v>
      </c>
      <c r="V80" s="935">
        <v>24.297999999999998</v>
      </c>
      <c r="W80" s="536">
        <f t="shared" si="23"/>
        <v>25</v>
      </c>
      <c r="X80" s="536">
        <f t="shared" si="30"/>
        <v>50</v>
      </c>
      <c r="Y80" s="935">
        <v>24.225999999999999</v>
      </c>
      <c r="Z80" s="536">
        <f t="shared" si="41"/>
        <v>24</v>
      </c>
      <c r="AA80" s="536">
        <f t="shared" si="31"/>
        <v>48</v>
      </c>
      <c r="AB80" s="935">
        <v>5.2999999999999999E-2</v>
      </c>
      <c r="AC80" s="536">
        <v>0</v>
      </c>
      <c r="AD80" s="536">
        <f t="shared" si="32"/>
        <v>0</v>
      </c>
      <c r="AE80" s="935">
        <v>21.983000000000001</v>
      </c>
      <c r="AF80" s="536">
        <f t="shared" si="36"/>
        <v>22</v>
      </c>
      <c r="AG80" s="536">
        <f t="shared" si="33"/>
        <v>44</v>
      </c>
      <c r="AH80" s="935">
        <v>21.4</v>
      </c>
      <c r="AI80" s="690">
        <f t="shared" si="37"/>
        <v>21</v>
      </c>
      <c r="AJ80" s="536">
        <f t="shared" si="34"/>
        <v>42</v>
      </c>
      <c r="AK80" s="935">
        <v>0.216</v>
      </c>
      <c r="AL80" s="536">
        <v>0</v>
      </c>
      <c r="AM80" s="536">
        <f t="shared" si="35"/>
        <v>0</v>
      </c>
      <c r="AN80" s="1135">
        <v>0</v>
      </c>
      <c r="AO80" s="1135">
        <v>0</v>
      </c>
      <c r="AP80" s="1135">
        <v>6.3650000000000002</v>
      </c>
      <c r="AQ80" s="1135">
        <v>0.49</v>
      </c>
      <c r="AR80" s="1135">
        <v>4.7E-2</v>
      </c>
      <c r="AS80" s="1135">
        <v>0.25900000000000001</v>
      </c>
      <c r="AT80" s="1135">
        <v>8.8989999999999991</v>
      </c>
      <c r="AU80" s="1135">
        <v>0.189</v>
      </c>
    </row>
    <row r="81" spans="1:48" ht="31.75" hidden="1">
      <c r="A81" s="914"/>
      <c r="B81" s="186" t="s">
        <v>296</v>
      </c>
      <c r="C81" s="186" t="s">
        <v>34</v>
      </c>
      <c r="D81" s="860">
        <v>99.855000000000004</v>
      </c>
      <c r="E81" s="195">
        <f t="shared" si="40"/>
        <v>100</v>
      </c>
      <c r="F81" s="195">
        <f t="shared" si="24"/>
        <v>200</v>
      </c>
      <c r="G81" s="860">
        <v>1.093</v>
      </c>
      <c r="H81" s="536">
        <v>0</v>
      </c>
      <c r="I81" s="536">
        <f t="shared" si="25"/>
        <v>0</v>
      </c>
      <c r="J81" s="860">
        <v>0.121</v>
      </c>
      <c r="K81" s="536">
        <v>0</v>
      </c>
      <c r="L81" s="536">
        <f t="shared" si="26"/>
        <v>0</v>
      </c>
      <c r="M81" s="860">
        <v>7.1999999999999995E-2</v>
      </c>
      <c r="N81" s="536">
        <v>0</v>
      </c>
      <c r="O81" s="536">
        <f t="shared" si="27"/>
        <v>0</v>
      </c>
      <c r="P81" s="860">
        <v>0</v>
      </c>
      <c r="Q81" s="536">
        <v>0</v>
      </c>
      <c r="R81" s="536">
        <f t="shared" si="28"/>
        <v>0</v>
      </c>
      <c r="S81" s="860">
        <v>0</v>
      </c>
      <c r="T81" s="536">
        <v>0</v>
      </c>
      <c r="U81" s="536">
        <f t="shared" si="29"/>
        <v>0</v>
      </c>
      <c r="V81" s="860">
        <v>18.850999999999999</v>
      </c>
      <c r="W81" s="536">
        <f t="shared" si="23"/>
        <v>20</v>
      </c>
      <c r="X81" s="536">
        <f t="shared" si="30"/>
        <v>40</v>
      </c>
      <c r="Y81" s="860">
        <v>25.456</v>
      </c>
      <c r="Z81" s="536">
        <f t="shared" si="41"/>
        <v>25</v>
      </c>
      <c r="AA81" s="536">
        <f t="shared" si="31"/>
        <v>50</v>
      </c>
      <c r="AB81" s="860">
        <v>0.35499999999999998</v>
      </c>
      <c r="AC81" s="536">
        <v>0</v>
      </c>
      <c r="AD81" s="536">
        <f t="shared" si="32"/>
        <v>0</v>
      </c>
      <c r="AE81" s="860">
        <v>24.181999999999999</v>
      </c>
      <c r="AF81" s="536">
        <f t="shared" si="36"/>
        <v>24</v>
      </c>
      <c r="AG81" s="536">
        <f t="shared" si="33"/>
        <v>48</v>
      </c>
      <c r="AH81" s="860">
        <v>24.082000000000001</v>
      </c>
      <c r="AI81" s="690">
        <f t="shared" si="37"/>
        <v>24</v>
      </c>
      <c r="AJ81" s="536">
        <f t="shared" si="34"/>
        <v>48</v>
      </c>
      <c r="AK81" s="860">
        <v>0.217</v>
      </c>
      <c r="AL81" s="536">
        <v>0</v>
      </c>
      <c r="AM81" s="536">
        <f t="shared" si="35"/>
        <v>0</v>
      </c>
      <c r="AN81" s="555">
        <v>2E-3</v>
      </c>
      <c r="AO81" s="555">
        <v>8.0000000000000002E-3</v>
      </c>
      <c r="AP81" s="555">
        <v>4.4530000000000003</v>
      </c>
      <c r="AQ81" s="555">
        <v>0.34300000000000003</v>
      </c>
      <c r="AR81" s="555">
        <v>0.189</v>
      </c>
      <c r="AS81" s="555">
        <v>1.0469999999999999</v>
      </c>
      <c r="AT81" s="555">
        <v>25.56</v>
      </c>
      <c r="AU81" s="555">
        <v>0.54400000000000004</v>
      </c>
    </row>
    <row r="82" spans="1:48" ht="31.75" hidden="1">
      <c r="A82" s="914"/>
      <c r="B82" s="186" t="s">
        <v>92</v>
      </c>
      <c r="C82" s="186" t="s">
        <v>108</v>
      </c>
      <c r="D82" s="860">
        <v>89.867000000000004</v>
      </c>
      <c r="E82" s="195">
        <f t="shared" si="40"/>
        <v>90</v>
      </c>
      <c r="F82" s="195">
        <f t="shared" si="24"/>
        <v>180</v>
      </c>
      <c r="G82" s="860">
        <v>6.67</v>
      </c>
      <c r="H82" s="690">
        <f>MROUND(G82,5)</f>
        <v>5</v>
      </c>
      <c r="I82" s="536">
        <f t="shared" si="25"/>
        <v>10</v>
      </c>
      <c r="J82" s="860">
        <v>1.6719999999999999</v>
      </c>
      <c r="K82" s="552">
        <f t="shared" ref="K82:K91" si="42">MROUND(J82,0.5)</f>
        <v>1.5</v>
      </c>
      <c r="L82" s="536">
        <f t="shared" si="26"/>
        <v>3</v>
      </c>
      <c r="M82" s="860">
        <v>1.3080000000000001</v>
      </c>
      <c r="N82" s="536">
        <f t="shared" ref="N82:N92" si="43">MROUND(M82,0.5)</f>
        <v>1.5</v>
      </c>
      <c r="O82" s="536">
        <f t="shared" si="27"/>
        <v>3</v>
      </c>
      <c r="P82" s="860">
        <v>0</v>
      </c>
      <c r="Q82" s="536">
        <v>0</v>
      </c>
      <c r="R82" s="536">
        <f t="shared" si="28"/>
        <v>0</v>
      </c>
      <c r="S82" s="860">
        <v>0</v>
      </c>
      <c r="T82" s="536">
        <v>0</v>
      </c>
      <c r="U82" s="536">
        <f t="shared" si="29"/>
        <v>0</v>
      </c>
      <c r="V82" s="860">
        <v>18.344000000000001</v>
      </c>
      <c r="W82" s="536">
        <f t="shared" si="23"/>
        <v>20</v>
      </c>
      <c r="X82" s="536">
        <f t="shared" si="30"/>
        <v>40</v>
      </c>
      <c r="Y82" s="860">
        <v>22.658000000000001</v>
      </c>
      <c r="Z82" s="536">
        <f t="shared" si="41"/>
        <v>23</v>
      </c>
      <c r="AA82" s="536">
        <f t="shared" si="31"/>
        <v>46</v>
      </c>
      <c r="AB82" s="860">
        <v>0.20899999999999999</v>
      </c>
      <c r="AC82" s="536">
        <v>0</v>
      </c>
      <c r="AD82" s="536">
        <f t="shared" si="32"/>
        <v>0</v>
      </c>
      <c r="AE82" s="860">
        <v>21.356999999999999</v>
      </c>
      <c r="AF82" s="536">
        <f t="shared" si="36"/>
        <v>21</v>
      </c>
      <c r="AG82" s="536">
        <f t="shared" si="33"/>
        <v>42</v>
      </c>
      <c r="AH82" s="860">
        <v>19.670000000000002</v>
      </c>
      <c r="AI82" s="690">
        <f t="shared" si="37"/>
        <v>20</v>
      </c>
      <c r="AJ82" s="536">
        <f t="shared" si="34"/>
        <v>40</v>
      </c>
      <c r="AK82" s="860">
        <v>0.218</v>
      </c>
      <c r="AL82" s="536">
        <v>0</v>
      </c>
      <c r="AM82" s="536">
        <f t="shared" si="35"/>
        <v>0</v>
      </c>
      <c r="AN82" s="555">
        <v>6.0000000000000001E-3</v>
      </c>
      <c r="AO82" s="555">
        <v>3.1E-2</v>
      </c>
      <c r="AP82" s="536">
        <v>3.43</v>
      </c>
      <c r="AQ82" s="536">
        <v>0.26400000000000001</v>
      </c>
      <c r="AR82" s="536">
        <v>0.252</v>
      </c>
      <c r="AS82" s="536">
        <v>1.4</v>
      </c>
      <c r="AT82" s="536">
        <v>14.055999999999999</v>
      </c>
      <c r="AU82" s="536">
        <v>0.29899999999999999</v>
      </c>
      <c r="AV82" s="248"/>
    </row>
    <row r="83" spans="1:48" ht="31.75" hidden="1">
      <c r="A83" s="914"/>
      <c r="B83" s="186" t="s">
        <v>92</v>
      </c>
      <c r="C83" s="186" t="s">
        <v>120</v>
      </c>
      <c r="D83" s="860">
        <v>100.852</v>
      </c>
      <c r="E83" s="195">
        <f t="shared" si="40"/>
        <v>100</v>
      </c>
      <c r="F83" s="195">
        <f t="shared" si="24"/>
        <v>200</v>
      </c>
      <c r="G83" s="860">
        <v>6.67</v>
      </c>
      <c r="H83" s="690">
        <f>MROUND(G83,5)</f>
        <v>5</v>
      </c>
      <c r="I83" s="536">
        <f t="shared" si="25"/>
        <v>10</v>
      </c>
      <c r="J83" s="860">
        <v>1.6659999999999999</v>
      </c>
      <c r="K83" s="552">
        <f t="shared" si="42"/>
        <v>1.5</v>
      </c>
      <c r="L83" s="536">
        <f t="shared" si="26"/>
        <v>3</v>
      </c>
      <c r="M83" s="860">
        <v>1.2989999999999999</v>
      </c>
      <c r="N83" s="536">
        <f t="shared" si="43"/>
        <v>1.5</v>
      </c>
      <c r="O83" s="536">
        <f t="shared" si="27"/>
        <v>3</v>
      </c>
      <c r="P83" s="860">
        <v>0</v>
      </c>
      <c r="Q83" s="536">
        <v>0</v>
      </c>
      <c r="R83" s="536">
        <f t="shared" si="28"/>
        <v>0</v>
      </c>
      <c r="S83" s="860">
        <v>0</v>
      </c>
      <c r="T83" s="536">
        <v>0</v>
      </c>
      <c r="U83" s="536">
        <f t="shared" si="29"/>
        <v>0</v>
      </c>
      <c r="V83" s="860">
        <v>21.164000000000001</v>
      </c>
      <c r="W83" s="536">
        <f t="shared" si="23"/>
        <v>20</v>
      </c>
      <c r="X83" s="536">
        <f t="shared" si="30"/>
        <v>40</v>
      </c>
      <c r="Y83" s="860">
        <v>25.396000000000001</v>
      </c>
      <c r="Z83" s="536">
        <f t="shared" si="41"/>
        <v>25</v>
      </c>
      <c r="AA83" s="536">
        <f t="shared" si="31"/>
        <v>50</v>
      </c>
      <c r="AB83" s="860">
        <v>0.217</v>
      </c>
      <c r="AC83" s="536">
        <v>0</v>
      </c>
      <c r="AD83" s="536">
        <f t="shared" si="32"/>
        <v>0</v>
      </c>
      <c r="AE83" s="860">
        <v>23.701000000000001</v>
      </c>
      <c r="AF83" s="536">
        <f t="shared" si="36"/>
        <v>24</v>
      </c>
      <c r="AG83" s="536">
        <f t="shared" si="33"/>
        <v>48</v>
      </c>
      <c r="AH83" s="860">
        <v>21.975999999999999</v>
      </c>
      <c r="AI83" s="690">
        <f t="shared" si="37"/>
        <v>22</v>
      </c>
      <c r="AJ83" s="536">
        <f t="shared" si="34"/>
        <v>44</v>
      </c>
      <c r="AK83" s="860">
        <v>0.23499999999999999</v>
      </c>
      <c r="AL83" s="536">
        <v>0</v>
      </c>
      <c r="AM83" s="536">
        <f t="shared" si="35"/>
        <v>0</v>
      </c>
      <c r="AN83" s="555">
        <v>6.0000000000000001E-3</v>
      </c>
      <c r="AO83" s="555">
        <v>3.1E-2</v>
      </c>
      <c r="AP83" s="536">
        <v>3.6989999999999998</v>
      </c>
      <c r="AQ83" s="536">
        <v>0.28499999999999998</v>
      </c>
      <c r="AR83" s="536">
        <v>0.26300000000000001</v>
      </c>
      <c r="AS83" s="536">
        <v>1.4590000000000001</v>
      </c>
      <c r="AT83" s="536">
        <v>17.193999999999999</v>
      </c>
      <c r="AU83" s="536">
        <v>0.36599999999999999</v>
      </c>
    </row>
    <row r="84" spans="1:48" ht="31.75" hidden="1">
      <c r="A84" s="914"/>
      <c r="B84" s="186" t="s">
        <v>92</v>
      </c>
      <c r="C84" s="186" t="s">
        <v>337</v>
      </c>
      <c r="D84" s="891">
        <v>103.64700000000001</v>
      </c>
      <c r="E84" s="195">
        <f t="shared" si="40"/>
        <v>100</v>
      </c>
      <c r="F84" s="195">
        <f t="shared" si="24"/>
        <v>200</v>
      </c>
      <c r="G84" s="891">
        <v>0.82899999999999996</v>
      </c>
      <c r="H84" s="536">
        <v>0</v>
      </c>
      <c r="I84" s="536">
        <f t="shared" si="25"/>
        <v>0</v>
      </c>
      <c r="J84" s="891">
        <v>0.97199999999999998</v>
      </c>
      <c r="K84" s="552">
        <f t="shared" si="42"/>
        <v>1</v>
      </c>
      <c r="L84" s="536">
        <f t="shared" si="26"/>
        <v>2</v>
      </c>
      <c r="M84" s="891">
        <v>0.871</v>
      </c>
      <c r="N84" s="536">
        <f t="shared" si="43"/>
        <v>1</v>
      </c>
      <c r="O84" s="536">
        <f t="shared" si="27"/>
        <v>2</v>
      </c>
      <c r="P84" s="891">
        <v>0</v>
      </c>
      <c r="Q84" s="536">
        <v>0</v>
      </c>
      <c r="R84" s="536">
        <f t="shared" si="28"/>
        <v>0</v>
      </c>
      <c r="S84" s="891">
        <v>0</v>
      </c>
      <c r="T84" s="536">
        <v>0</v>
      </c>
      <c r="U84" s="536">
        <f t="shared" si="29"/>
        <v>0</v>
      </c>
      <c r="V84" s="891">
        <v>25.286999999999999</v>
      </c>
      <c r="W84" s="536">
        <f t="shared" si="23"/>
        <v>25</v>
      </c>
      <c r="X84" s="536">
        <f t="shared" si="30"/>
        <v>50</v>
      </c>
      <c r="Y84" s="891">
        <v>24.273</v>
      </c>
      <c r="Z84" s="536">
        <f t="shared" si="41"/>
        <v>24</v>
      </c>
      <c r="AA84" s="536">
        <f t="shared" si="31"/>
        <v>48</v>
      </c>
      <c r="AB84" s="891">
        <v>0.27</v>
      </c>
      <c r="AC84" s="536">
        <v>0</v>
      </c>
      <c r="AD84" s="536">
        <f t="shared" si="32"/>
        <v>0</v>
      </c>
      <c r="AE84" s="891">
        <v>22.765999999999998</v>
      </c>
      <c r="AF84" s="536">
        <f t="shared" si="36"/>
        <v>23</v>
      </c>
      <c r="AG84" s="536">
        <f t="shared" si="33"/>
        <v>46</v>
      </c>
      <c r="AH84" s="891">
        <v>22.643000000000001</v>
      </c>
      <c r="AI84" s="690">
        <f t="shared" si="37"/>
        <v>23</v>
      </c>
      <c r="AJ84" s="536">
        <f t="shared" si="34"/>
        <v>46</v>
      </c>
      <c r="AK84" s="891">
        <v>0.24399999999999999</v>
      </c>
      <c r="AL84" s="536">
        <v>0</v>
      </c>
      <c r="AM84" s="536">
        <f t="shared" si="35"/>
        <v>0</v>
      </c>
      <c r="AN84" s="557">
        <v>1E-3</v>
      </c>
      <c r="AO84" s="557">
        <v>6.0000000000000001E-3</v>
      </c>
      <c r="AP84" s="557">
        <v>4.1219999999999999</v>
      </c>
      <c r="AQ84" s="557">
        <v>0.317</v>
      </c>
      <c r="AR84" s="557">
        <v>0.18</v>
      </c>
      <c r="AS84" s="557">
        <v>1.0009999999999999</v>
      </c>
      <c r="AT84" s="557">
        <v>21.952999999999999</v>
      </c>
      <c r="AU84" s="557">
        <v>0.46700000000000003</v>
      </c>
    </row>
    <row r="85" spans="1:48" ht="15" hidden="1" customHeight="1">
      <c r="A85" s="914"/>
      <c r="B85" s="186" t="s">
        <v>92</v>
      </c>
      <c r="C85" s="186" t="s">
        <v>100</v>
      </c>
      <c r="D85" s="860">
        <v>101.282</v>
      </c>
      <c r="E85" s="195">
        <f t="shared" si="40"/>
        <v>100</v>
      </c>
      <c r="F85" s="195">
        <f t="shared" si="24"/>
        <v>200</v>
      </c>
      <c r="G85" s="860">
        <v>5.782</v>
      </c>
      <c r="H85" s="690">
        <f>MROUND(G85,5)</f>
        <v>5</v>
      </c>
      <c r="I85" s="536">
        <f t="shared" si="25"/>
        <v>10</v>
      </c>
      <c r="J85" s="860">
        <v>1.57</v>
      </c>
      <c r="K85" s="552">
        <f t="shared" si="42"/>
        <v>1.5</v>
      </c>
      <c r="L85" s="536">
        <f t="shared" si="26"/>
        <v>3</v>
      </c>
      <c r="M85" s="860">
        <v>1.343</v>
      </c>
      <c r="N85" s="536">
        <f t="shared" si="43"/>
        <v>1.5</v>
      </c>
      <c r="O85" s="536">
        <f t="shared" si="27"/>
        <v>3</v>
      </c>
      <c r="P85" s="860">
        <v>1E-3</v>
      </c>
      <c r="Q85" s="536">
        <v>0</v>
      </c>
      <c r="R85" s="536">
        <f t="shared" si="28"/>
        <v>0</v>
      </c>
      <c r="S85" s="860">
        <v>0</v>
      </c>
      <c r="T85" s="536">
        <v>0</v>
      </c>
      <c r="U85" s="536">
        <f t="shared" si="29"/>
        <v>0</v>
      </c>
      <c r="V85" s="860">
        <v>26.067</v>
      </c>
      <c r="W85" s="536">
        <f t="shared" si="23"/>
        <v>25</v>
      </c>
      <c r="X85" s="536">
        <f t="shared" si="30"/>
        <v>50</v>
      </c>
      <c r="Y85" s="860">
        <v>23.742999999999999</v>
      </c>
      <c r="Z85" s="536">
        <f t="shared" si="41"/>
        <v>24</v>
      </c>
      <c r="AA85" s="536">
        <f t="shared" si="31"/>
        <v>48</v>
      </c>
      <c r="AB85" s="860">
        <v>0.22500000000000001</v>
      </c>
      <c r="AC85" s="536">
        <v>0</v>
      </c>
      <c r="AD85" s="536">
        <f t="shared" si="32"/>
        <v>0</v>
      </c>
      <c r="AE85" s="860">
        <v>21.905999999999999</v>
      </c>
      <c r="AF85" s="536">
        <f t="shared" si="36"/>
        <v>22</v>
      </c>
      <c r="AG85" s="536">
        <f t="shared" si="33"/>
        <v>44</v>
      </c>
      <c r="AH85" s="860">
        <v>20.477</v>
      </c>
      <c r="AI85" s="690">
        <f t="shared" si="37"/>
        <v>20</v>
      </c>
      <c r="AJ85" s="536">
        <f t="shared" si="34"/>
        <v>40</v>
      </c>
      <c r="AK85" s="860">
        <v>0.247</v>
      </c>
      <c r="AL85" s="536">
        <v>0</v>
      </c>
      <c r="AM85" s="536">
        <f t="shared" si="35"/>
        <v>0</v>
      </c>
      <c r="AN85" s="536">
        <v>3.0000000000000001E-3</v>
      </c>
      <c r="AO85" s="536">
        <v>1.6E-2</v>
      </c>
      <c r="AP85" s="536">
        <v>4.3419999999999996</v>
      </c>
      <c r="AQ85" s="536">
        <v>0.33400000000000002</v>
      </c>
      <c r="AR85" s="536">
        <v>0.20599999999999999</v>
      </c>
      <c r="AS85" s="536">
        <v>1.145</v>
      </c>
      <c r="AT85" s="536">
        <v>31.228999999999999</v>
      </c>
      <c r="AU85" s="536">
        <v>0.66400000000000003</v>
      </c>
    </row>
    <row r="86" spans="1:48" ht="15" hidden="1" customHeight="1">
      <c r="A86" s="914"/>
      <c r="B86" s="186" t="s">
        <v>92</v>
      </c>
      <c r="C86" s="186" t="s">
        <v>104</v>
      </c>
      <c r="D86" s="935">
        <v>112.825</v>
      </c>
      <c r="E86" s="195">
        <f t="shared" si="40"/>
        <v>110</v>
      </c>
      <c r="F86" s="195">
        <f t="shared" si="24"/>
        <v>220</v>
      </c>
      <c r="G86" s="935">
        <v>7.0810000000000004</v>
      </c>
      <c r="H86" s="690">
        <f>MROUND(G86,5)</f>
        <v>5</v>
      </c>
      <c r="I86" s="536">
        <f t="shared" si="25"/>
        <v>10</v>
      </c>
      <c r="J86" s="935">
        <v>1.7210000000000001</v>
      </c>
      <c r="K86" s="552">
        <f t="shared" si="42"/>
        <v>1.5</v>
      </c>
      <c r="L86" s="536">
        <f t="shared" si="26"/>
        <v>3</v>
      </c>
      <c r="M86" s="935">
        <v>1.224</v>
      </c>
      <c r="N86" s="536">
        <f t="shared" si="43"/>
        <v>1</v>
      </c>
      <c r="O86" s="536">
        <f t="shared" si="27"/>
        <v>2</v>
      </c>
      <c r="P86" s="935">
        <v>6.2E-2</v>
      </c>
      <c r="Q86" s="536">
        <v>0</v>
      </c>
      <c r="R86" s="536">
        <f t="shared" si="28"/>
        <v>0</v>
      </c>
      <c r="S86" s="935">
        <v>0.73099999999999998</v>
      </c>
      <c r="T86" s="536">
        <v>0</v>
      </c>
      <c r="U86" s="536">
        <f t="shared" si="29"/>
        <v>0</v>
      </c>
      <c r="V86" s="935">
        <v>32.966000000000001</v>
      </c>
      <c r="W86" s="536">
        <f t="shared" si="23"/>
        <v>35</v>
      </c>
      <c r="X86" s="536">
        <f t="shared" si="30"/>
        <v>70</v>
      </c>
      <c r="Y86" s="935">
        <v>24.31</v>
      </c>
      <c r="Z86" s="536">
        <f t="shared" si="41"/>
        <v>24</v>
      </c>
      <c r="AA86" s="536">
        <f t="shared" si="31"/>
        <v>48</v>
      </c>
      <c r="AB86" s="935">
        <v>0.12</v>
      </c>
      <c r="AC86" s="536">
        <v>0</v>
      </c>
      <c r="AD86" s="536">
        <f t="shared" si="32"/>
        <v>0</v>
      </c>
      <c r="AE86" s="935">
        <v>21.79</v>
      </c>
      <c r="AF86" s="536">
        <f t="shared" si="36"/>
        <v>22</v>
      </c>
      <c r="AG86" s="536">
        <f t="shared" si="33"/>
        <v>44</v>
      </c>
      <c r="AH86" s="935">
        <v>21.3</v>
      </c>
      <c r="AI86" s="690">
        <f t="shared" si="37"/>
        <v>21</v>
      </c>
      <c r="AJ86" s="536">
        <f t="shared" si="34"/>
        <v>42</v>
      </c>
      <c r="AK86" s="935">
        <v>0.254</v>
      </c>
      <c r="AL86" s="536">
        <v>0</v>
      </c>
      <c r="AM86" s="536">
        <f t="shared" si="35"/>
        <v>0</v>
      </c>
      <c r="AN86" s="819">
        <v>0</v>
      </c>
      <c r="AO86" s="819">
        <v>0</v>
      </c>
      <c r="AP86" s="819">
        <v>3.5049999999999999</v>
      </c>
      <c r="AQ86" s="819">
        <v>0.27</v>
      </c>
      <c r="AR86" s="819">
        <v>0.13200000000000001</v>
      </c>
      <c r="AS86" s="819">
        <v>0.73499999999999999</v>
      </c>
      <c r="AT86" s="819">
        <v>15.417999999999999</v>
      </c>
      <c r="AU86" s="819">
        <v>0.32800000000000001</v>
      </c>
    </row>
    <row r="87" spans="1:48" ht="31.75" hidden="1">
      <c r="A87" s="914"/>
      <c r="B87" s="186" t="s">
        <v>92</v>
      </c>
      <c r="C87" s="186" t="s">
        <v>96</v>
      </c>
      <c r="D87" s="860">
        <v>114.51300000000001</v>
      </c>
      <c r="E87" s="195">
        <f t="shared" si="40"/>
        <v>110</v>
      </c>
      <c r="F87" s="195">
        <f t="shared" si="24"/>
        <v>220</v>
      </c>
      <c r="G87" s="860">
        <v>7.68</v>
      </c>
      <c r="H87" s="690">
        <f>MROUND(G87,5)</f>
        <v>10</v>
      </c>
      <c r="I87" s="536">
        <f t="shared" si="25"/>
        <v>20</v>
      </c>
      <c r="J87" s="860">
        <v>1.786</v>
      </c>
      <c r="K87" s="552">
        <f t="shared" si="42"/>
        <v>2</v>
      </c>
      <c r="L87" s="536">
        <f t="shared" si="26"/>
        <v>4</v>
      </c>
      <c r="M87" s="860">
        <v>1.3540000000000001</v>
      </c>
      <c r="N87" s="536">
        <f t="shared" si="43"/>
        <v>1.5</v>
      </c>
      <c r="O87" s="536">
        <f t="shared" si="27"/>
        <v>3</v>
      </c>
      <c r="P87" s="860">
        <v>0</v>
      </c>
      <c r="Q87" s="536">
        <v>0</v>
      </c>
      <c r="R87" s="536">
        <f t="shared" si="28"/>
        <v>0</v>
      </c>
      <c r="S87" s="860">
        <v>0.73099999999999998</v>
      </c>
      <c r="T87" s="536">
        <v>0</v>
      </c>
      <c r="U87" s="536">
        <f t="shared" si="29"/>
        <v>0</v>
      </c>
      <c r="V87" s="860">
        <v>34.451000000000001</v>
      </c>
      <c r="W87" s="536">
        <f t="shared" si="23"/>
        <v>35</v>
      </c>
      <c r="X87" s="536">
        <f t="shared" si="30"/>
        <v>70</v>
      </c>
      <c r="Y87" s="860">
        <v>24.536999999999999</v>
      </c>
      <c r="Z87" s="536">
        <f t="shared" si="41"/>
        <v>25</v>
      </c>
      <c r="AA87" s="536">
        <f t="shared" si="31"/>
        <v>50</v>
      </c>
      <c r="AB87" s="860">
        <v>0.156</v>
      </c>
      <c r="AC87" s="536">
        <v>0</v>
      </c>
      <c r="AD87" s="536">
        <f t="shared" si="32"/>
        <v>0</v>
      </c>
      <c r="AE87" s="860">
        <v>21.870999999999999</v>
      </c>
      <c r="AF87" s="536">
        <f t="shared" si="36"/>
        <v>22</v>
      </c>
      <c r="AG87" s="536">
        <f t="shared" si="33"/>
        <v>44</v>
      </c>
      <c r="AH87" s="860">
        <v>21.786999999999999</v>
      </c>
      <c r="AI87" s="690">
        <f t="shared" si="37"/>
        <v>22</v>
      </c>
      <c r="AJ87" s="536">
        <f t="shared" si="34"/>
        <v>44</v>
      </c>
      <c r="AK87" s="860">
        <v>0.32200000000000001</v>
      </c>
      <c r="AL87" s="536">
        <v>0</v>
      </c>
      <c r="AM87" s="536">
        <f t="shared" si="35"/>
        <v>0</v>
      </c>
      <c r="AN87" s="697">
        <v>0</v>
      </c>
      <c r="AO87" s="697">
        <v>0</v>
      </c>
      <c r="AP87" s="697">
        <v>4.7469999999999999</v>
      </c>
      <c r="AQ87" s="697">
        <v>0.36499999999999999</v>
      </c>
      <c r="AR87" s="697">
        <v>0.16800000000000001</v>
      </c>
      <c r="AS87" s="697">
        <v>0.93300000000000005</v>
      </c>
      <c r="AT87" s="697">
        <v>25.103999999999999</v>
      </c>
      <c r="AU87" s="697">
        <v>0.53400000000000003</v>
      </c>
    </row>
    <row r="88" spans="1:48" ht="14.25" hidden="1" customHeight="1">
      <c r="A88" s="914"/>
      <c r="B88" s="186" t="s">
        <v>92</v>
      </c>
      <c r="C88" s="186" t="s">
        <v>99</v>
      </c>
      <c r="D88" s="860">
        <v>107.166</v>
      </c>
      <c r="E88" s="195">
        <f t="shared" si="40"/>
        <v>110</v>
      </c>
      <c r="F88" s="195">
        <f t="shared" si="24"/>
        <v>220</v>
      </c>
      <c r="G88" s="860">
        <v>13.15</v>
      </c>
      <c r="H88" s="690">
        <f>MROUND(G88,5)</f>
        <v>15</v>
      </c>
      <c r="I88" s="536">
        <f t="shared" si="25"/>
        <v>30</v>
      </c>
      <c r="J88" s="860">
        <v>2.3889999999999998</v>
      </c>
      <c r="K88" s="552">
        <f t="shared" si="42"/>
        <v>2.5</v>
      </c>
      <c r="L88" s="536">
        <f t="shared" si="26"/>
        <v>5</v>
      </c>
      <c r="M88" s="860">
        <v>1.7689999999999999</v>
      </c>
      <c r="N88" s="536">
        <f t="shared" si="43"/>
        <v>2</v>
      </c>
      <c r="O88" s="536">
        <f t="shared" si="27"/>
        <v>4</v>
      </c>
      <c r="P88" s="860">
        <v>1.4999999999999999E-2</v>
      </c>
      <c r="Q88" s="536">
        <v>0</v>
      </c>
      <c r="R88" s="536">
        <f t="shared" si="28"/>
        <v>0</v>
      </c>
      <c r="S88" s="860">
        <v>1.7949999999999999</v>
      </c>
      <c r="T88" s="536">
        <v>0</v>
      </c>
      <c r="U88" s="536">
        <f t="shared" si="29"/>
        <v>0</v>
      </c>
      <c r="V88" s="860">
        <v>23.824999999999999</v>
      </c>
      <c r="W88" s="536">
        <f t="shared" si="23"/>
        <v>25</v>
      </c>
      <c r="X88" s="536">
        <f t="shared" si="30"/>
        <v>50</v>
      </c>
      <c r="Y88" s="860">
        <v>25.007999999999999</v>
      </c>
      <c r="Z88" s="536">
        <f t="shared" si="41"/>
        <v>25</v>
      </c>
      <c r="AA88" s="536">
        <f t="shared" si="31"/>
        <v>50</v>
      </c>
      <c r="AB88" s="860">
        <v>0.216</v>
      </c>
      <c r="AC88" s="536">
        <v>0</v>
      </c>
      <c r="AD88" s="536">
        <f t="shared" si="32"/>
        <v>0</v>
      </c>
      <c r="AE88" s="860">
        <v>22.619</v>
      </c>
      <c r="AF88" s="536">
        <f t="shared" si="36"/>
        <v>23</v>
      </c>
      <c r="AG88" s="536">
        <f t="shared" si="33"/>
        <v>46</v>
      </c>
      <c r="AH88" s="860">
        <v>20.853999999999999</v>
      </c>
      <c r="AI88" s="690">
        <f t="shared" si="37"/>
        <v>21</v>
      </c>
      <c r="AJ88" s="536">
        <f t="shared" si="34"/>
        <v>42</v>
      </c>
      <c r="AK88" s="860">
        <v>0.33900000000000002</v>
      </c>
      <c r="AL88" s="536">
        <v>0</v>
      </c>
      <c r="AM88" s="536">
        <f t="shared" si="35"/>
        <v>0</v>
      </c>
      <c r="AN88" s="555">
        <v>6.0000000000000001E-3</v>
      </c>
      <c r="AO88" s="555">
        <v>3.1E-2</v>
      </c>
      <c r="AP88" s="536">
        <v>7.06</v>
      </c>
      <c r="AQ88" s="536">
        <v>0.54300000000000004</v>
      </c>
      <c r="AR88" s="536">
        <v>0.25800000000000001</v>
      </c>
      <c r="AS88" s="536">
        <v>1.4350000000000001</v>
      </c>
      <c r="AT88" s="536">
        <v>16.95</v>
      </c>
      <c r="AU88" s="536">
        <v>0.36099999999999999</v>
      </c>
    </row>
    <row r="89" spans="1:48" ht="31.75" hidden="1">
      <c r="A89" s="914"/>
      <c r="B89" s="186" t="s">
        <v>92</v>
      </c>
      <c r="C89" s="186" t="s">
        <v>101</v>
      </c>
      <c r="D89" s="860">
        <v>96.552000000000007</v>
      </c>
      <c r="E89" s="195">
        <f t="shared" si="40"/>
        <v>100</v>
      </c>
      <c r="F89" s="195">
        <f t="shared" si="24"/>
        <v>200</v>
      </c>
      <c r="G89" s="860">
        <v>9.0830000000000002</v>
      </c>
      <c r="H89" s="690">
        <f>MROUND(G89,5)</f>
        <v>10</v>
      </c>
      <c r="I89" s="536">
        <f t="shared" si="25"/>
        <v>20</v>
      </c>
      <c r="J89" s="860">
        <v>1.952</v>
      </c>
      <c r="K89" s="552">
        <f t="shared" si="42"/>
        <v>2</v>
      </c>
      <c r="L89" s="536">
        <f t="shared" si="26"/>
        <v>4</v>
      </c>
      <c r="M89" s="860">
        <v>1.57</v>
      </c>
      <c r="N89" s="536">
        <f t="shared" si="43"/>
        <v>1.5</v>
      </c>
      <c r="O89" s="536">
        <f t="shared" si="27"/>
        <v>3</v>
      </c>
      <c r="P89" s="860">
        <v>0</v>
      </c>
      <c r="Q89" s="536">
        <v>0</v>
      </c>
      <c r="R89" s="536">
        <f t="shared" si="28"/>
        <v>0</v>
      </c>
      <c r="S89" s="860">
        <v>0</v>
      </c>
      <c r="T89" s="536">
        <v>0</v>
      </c>
      <c r="U89" s="536">
        <f t="shared" si="29"/>
        <v>0</v>
      </c>
      <c r="V89" s="860">
        <v>28.471</v>
      </c>
      <c r="W89" s="536">
        <f t="shared" si="23"/>
        <v>30</v>
      </c>
      <c r="X89" s="536">
        <f t="shared" si="30"/>
        <v>60</v>
      </c>
      <c r="Y89" s="860">
        <v>23.41</v>
      </c>
      <c r="Z89" s="536">
        <f t="shared" si="41"/>
        <v>23</v>
      </c>
      <c r="AA89" s="536">
        <f t="shared" si="31"/>
        <v>46</v>
      </c>
      <c r="AB89" s="860">
        <v>0.31900000000000001</v>
      </c>
      <c r="AC89" s="536">
        <v>0</v>
      </c>
      <c r="AD89" s="536">
        <f t="shared" si="32"/>
        <v>0</v>
      </c>
      <c r="AE89" s="860">
        <v>21.686</v>
      </c>
      <c r="AF89" s="536">
        <f t="shared" si="36"/>
        <v>22</v>
      </c>
      <c r="AG89" s="536">
        <f t="shared" si="33"/>
        <v>44</v>
      </c>
      <c r="AH89" s="860">
        <v>19.667000000000002</v>
      </c>
      <c r="AI89" s="690">
        <f t="shared" si="37"/>
        <v>20</v>
      </c>
      <c r="AJ89" s="536">
        <f t="shared" si="34"/>
        <v>40</v>
      </c>
      <c r="AK89" s="860">
        <v>0.34899999999999998</v>
      </c>
      <c r="AL89" s="536">
        <v>0</v>
      </c>
      <c r="AM89" s="536">
        <f t="shared" si="35"/>
        <v>0</v>
      </c>
      <c r="AN89" s="555">
        <v>6.0000000000000001E-3</v>
      </c>
      <c r="AO89" s="555">
        <v>3.2000000000000001E-2</v>
      </c>
      <c r="AP89" s="536">
        <v>5.3659999999999997</v>
      </c>
      <c r="AQ89" s="536">
        <v>0.41299999999999998</v>
      </c>
      <c r="AR89" s="536">
        <v>0.34699999999999998</v>
      </c>
      <c r="AS89" s="536">
        <v>1.93</v>
      </c>
      <c r="AT89" s="536">
        <v>26.300999999999998</v>
      </c>
      <c r="AU89" s="536">
        <v>0.56000000000000005</v>
      </c>
    </row>
    <row r="90" spans="1:48" ht="31.75" hidden="1">
      <c r="A90" s="914"/>
      <c r="B90" s="186" t="s">
        <v>296</v>
      </c>
      <c r="C90" s="186" t="s">
        <v>35</v>
      </c>
      <c r="D90" s="860">
        <v>113.142</v>
      </c>
      <c r="E90" s="195">
        <f t="shared" si="40"/>
        <v>110</v>
      </c>
      <c r="F90" s="195">
        <f t="shared" si="24"/>
        <v>220</v>
      </c>
      <c r="G90" s="860">
        <v>1.0960000000000001</v>
      </c>
      <c r="H90" s="536">
        <v>0</v>
      </c>
      <c r="I90" s="536">
        <f t="shared" si="25"/>
        <v>0</v>
      </c>
      <c r="J90" s="860">
        <v>0.86399999999999999</v>
      </c>
      <c r="K90" s="552">
        <f t="shared" si="42"/>
        <v>1</v>
      </c>
      <c r="L90" s="536">
        <f t="shared" si="26"/>
        <v>2</v>
      </c>
      <c r="M90" s="860">
        <v>0.51400000000000001</v>
      </c>
      <c r="N90" s="536">
        <f t="shared" si="43"/>
        <v>0.5</v>
      </c>
      <c r="O90" s="536">
        <f t="shared" si="27"/>
        <v>1</v>
      </c>
      <c r="P90" s="860">
        <v>0</v>
      </c>
      <c r="Q90" s="536">
        <v>0</v>
      </c>
      <c r="R90" s="536">
        <f t="shared" si="28"/>
        <v>0</v>
      </c>
      <c r="S90" s="860">
        <v>0</v>
      </c>
      <c r="T90" s="536">
        <v>0</v>
      </c>
      <c r="U90" s="536">
        <f t="shared" si="29"/>
        <v>0</v>
      </c>
      <c r="V90" s="860">
        <v>18.783000000000001</v>
      </c>
      <c r="W90" s="536">
        <f t="shared" si="23"/>
        <v>20</v>
      </c>
      <c r="X90" s="536">
        <f t="shared" si="30"/>
        <v>40</v>
      </c>
      <c r="Y90" s="860">
        <v>27.44</v>
      </c>
      <c r="Z90" s="536">
        <f t="shared" si="41"/>
        <v>27</v>
      </c>
      <c r="AA90" s="536">
        <f t="shared" si="31"/>
        <v>54</v>
      </c>
      <c r="AB90" s="860">
        <v>0.58199999999999996</v>
      </c>
      <c r="AC90" s="536">
        <v>0</v>
      </c>
      <c r="AD90" s="536">
        <f t="shared" si="32"/>
        <v>0</v>
      </c>
      <c r="AE90" s="860">
        <v>25.795000000000002</v>
      </c>
      <c r="AF90" s="536">
        <f t="shared" si="36"/>
        <v>26</v>
      </c>
      <c r="AG90" s="536">
        <f t="shared" si="33"/>
        <v>52</v>
      </c>
      <c r="AH90" s="860">
        <v>25.695</v>
      </c>
      <c r="AI90" s="690">
        <f t="shared" si="37"/>
        <v>26</v>
      </c>
      <c r="AJ90" s="536">
        <f t="shared" si="34"/>
        <v>52</v>
      </c>
      <c r="AK90" s="860">
        <v>0.36</v>
      </c>
      <c r="AL90" s="536">
        <v>0</v>
      </c>
      <c r="AM90" s="536">
        <f t="shared" si="35"/>
        <v>0</v>
      </c>
      <c r="AN90" s="555">
        <v>2E-3</v>
      </c>
      <c r="AO90" s="555">
        <v>8.0000000000000002E-3</v>
      </c>
      <c r="AP90" s="536">
        <v>5.4580000000000002</v>
      </c>
      <c r="AQ90" s="536">
        <v>0.42</v>
      </c>
      <c r="AR90" s="536">
        <v>0.433</v>
      </c>
      <c r="AS90" s="536">
        <v>2.4039999999999999</v>
      </c>
      <c r="AT90" s="536">
        <v>38.107999999999997</v>
      </c>
      <c r="AU90" s="536">
        <v>0.81100000000000005</v>
      </c>
    </row>
    <row r="91" spans="1:48" ht="31.75" hidden="1">
      <c r="A91" s="914"/>
      <c r="B91" s="186" t="s">
        <v>92</v>
      </c>
      <c r="C91" s="186" t="s">
        <v>105</v>
      </c>
      <c r="D91" s="860">
        <v>124.79600000000001</v>
      </c>
      <c r="E91" s="195">
        <f t="shared" si="40"/>
        <v>120</v>
      </c>
      <c r="F91" s="195">
        <f t="shared" si="24"/>
        <v>240</v>
      </c>
      <c r="G91" s="860">
        <v>8.1240000000000006</v>
      </c>
      <c r="H91" s="690">
        <f>MROUND(G91,5)</f>
        <v>10</v>
      </c>
      <c r="I91" s="536">
        <f t="shared" si="25"/>
        <v>20</v>
      </c>
      <c r="J91" s="860">
        <v>1.792</v>
      </c>
      <c r="K91" s="552">
        <f t="shared" si="42"/>
        <v>2</v>
      </c>
      <c r="L91" s="536">
        <f t="shared" si="26"/>
        <v>4</v>
      </c>
      <c r="M91" s="860">
        <v>1.222</v>
      </c>
      <c r="N91" s="536">
        <f t="shared" si="43"/>
        <v>1</v>
      </c>
      <c r="O91" s="536">
        <f t="shared" si="27"/>
        <v>2</v>
      </c>
      <c r="P91" s="860">
        <v>1.2E-2</v>
      </c>
      <c r="Q91" s="536">
        <v>0</v>
      </c>
      <c r="R91" s="536">
        <f t="shared" si="28"/>
        <v>0</v>
      </c>
      <c r="S91" s="860">
        <v>0.71299999999999997</v>
      </c>
      <c r="T91" s="536">
        <v>0</v>
      </c>
      <c r="U91" s="536">
        <f t="shared" si="29"/>
        <v>0</v>
      </c>
      <c r="V91" s="860">
        <v>32.256999999999998</v>
      </c>
      <c r="W91" s="536">
        <f t="shared" si="23"/>
        <v>30</v>
      </c>
      <c r="X91" s="536">
        <f t="shared" si="30"/>
        <v>60</v>
      </c>
      <c r="Y91" s="860">
        <v>28.753</v>
      </c>
      <c r="Z91" s="536">
        <f t="shared" si="41"/>
        <v>29</v>
      </c>
      <c r="AA91" s="536">
        <f t="shared" si="31"/>
        <v>58</v>
      </c>
      <c r="AB91" s="860">
        <v>0.5</v>
      </c>
      <c r="AC91" s="536">
        <v>0</v>
      </c>
      <c r="AD91" s="536">
        <f t="shared" si="32"/>
        <v>0</v>
      </c>
      <c r="AE91" s="860">
        <v>25.593</v>
      </c>
      <c r="AF91" s="536">
        <f t="shared" si="36"/>
        <v>26</v>
      </c>
      <c r="AG91" s="536">
        <f t="shared" si="33"/>
        <v>52</v>
      </c>
      <c r="AH91" s="860">
        <v>23.533999999999999</v>
      </c>
      <c r="AI91" s="690">
        <f t="shared" si="37"/>
        <v>24</v>
      </c>
      <c r="AJ91" s="536">
        <f t="shared" si="34"/>
        <v>48</v>
      </c>
      <c r="AK91" s="860">
        <v>0.54200000000000004</v>
      </c>
      <c r="AL91" s="536" t="s">
        <v>303</v>
      </c>
      <c r="AM91" s="536" t="e">
        <f t="shared" si="35"/>
        <v>#VALUE!</v>
      </c>
      <c r="AN91" s="555">
        <v>3.0000000000000001E-3</v>
      </c>
      <c r="AO91" s="555">
        <v>1.6E-2</v>
      </c>
      <c r="AP91" s="536">
        <v>5.4589999999999996</v>
      </c>
      <c r="AQ91" s="536">
        <v>0.42</v>
      </c>
      <c r="AR91" s="536">
        <v>0.27800000000000002</v>
      </c>
      <c r="AS91" s="536">
        <v>1.5469999999999999</v>
      </c>
      <c r="AT91" s="536">
        <v>43.511000000000003</v>
      </c>
      <c r="AU91" s="536">
        <v>0.92600000000000005</v>
      </c>
    </row>
    <row r="92" spans="1:48" ht="31.75" hidden="1">
      <c r="A92" s="914"/>
      <c r="B92" s="186" t="s">
        <v>92</v>
      </c>
      <c r="C92" s="186" t="s">
        <v>319</v>
      </c>
      <c r="D92" s="860">
        <v>126.99</v>
      </c>
      <c r="E92" s="195">
        <f t="shared" si="40"/>
        <v>130</v>
      </c>
      <c r="F92" s="195">
        <f t="shared" si="24"/>
        <v>260</v>
      </c>
      <c r="G92" s="860">
        <v>17.989999999999998</v>
      </c>
      <c r="H92" s="690">
        <f>MROUND(G92,5)</f>
        <v>20</v>
      </c>
      <c r="I92" s="536">
        <f t="shared" si="25"/>
        <v>40</v>
      </c>
      <c r="J92" s="860">
        <v>2.9089999999999998</v>
      </c>
      <c r="K92" s="552">
        <f>MROUND(J92,1)</f>
        <v>3</v>
      </c>
      <c r="L92" s="536">
        <f t="shared" si="26"/>
        <v>6</v>
      </c>
      <c r="M92" s="860">
        <v>1.1759999999999999</v>
      </c>
      <c r="N92" s="536">
        <f t="shared" si="43"/>
        <v>1</v>
      </c>
      <c r="O92" s="536">
        <f t="shared" si="27"/>
        <v>2</v>
      </c>
      <c r="P92" s="860">
        <v>0</v>
      </c>
      <c r="Q92" s="536">
        <v>0</v>
      </c>
      <c r="R92" s="536">
        <f t="shared" si="28"/>
        <v>0</v>
      </c>
      <c r="S92" s="860">
        <v>0</v>
      </c>
      <c r="T92" s="536">
        <v>0</v>
      </c>
      <c r="U92" s="536">
        <f t="shared" si="29"/>
        <v>0</v>
      </c>
      <c r="V92" s="860">
        <v>36.176000000000002</v>
      </c>
      <c r="W92" s="536">
        <f t="shared" si="23"/>
        <v>35</v>
      </c>
      <c r="X92" s="536">
        <f t="shared" si="30"/>
        <v>70</v>
      </c>
      <c r="Y92" s="860">
        <v>25.045999999999999</v>
      </c>
      <c r="Z92" s="536">
        <f t="shared" si="41"/>
        <v>25</v>
      </c>
      <c r="AA92" s="536">
        <f t="shared" si="31"/>
        <v>50</v>
      </c>
      <c r="AB92" s="860">
        <v>0.23300000000000001</v>
      </c>
      <c r="AC92" s="536">
        <v>0</v>
      </c>
      <c r="AD92" s="536">
        <f t="shared" si="32"/>
        <v>0</v>
      </c>
      <c r="AE92" s="860">
        <v>23.760999999999999</v>
      </c>
      <c r="AF92" s="536">
        <f t="shared" si="36"/>
        <v>24</v>
      </c>
      <c r="AG92" s="536">
        <f t="shared" si="33"/>
        <v>48</v>
      </c>
      <c r="AH92" s="860">
        <v>23.61</v>
      </c>
      <c r="AI92" s="690">
        <f t="shared" si="37"/>
        <v>24</v>
      </c>
      <c r="AJ92" s="536">
        <f t="shared" si="34"/>
        <v>48</v>
      </c>
      <c r="AK92" s="860">
        <v>0.74099999999999999</v>
      </c>
      <c r="AL92" s="536" t="s">
        <v>303</v>
      </c>
      <c r="AM92" s="536" t="e">
        <f t="shared" si="35"/>
        <v>#VALUE!</v>
      </c>
      <c r="AN92" s="555">
        <v>0</v>
      </c>
      <c r="AO92" s="555">
        <v>0</v>
      </c>
      <c r="AP92" s="561">
        <v>5.1790000000000003</v>
      </c>
      <c r="AQ92" s="561">
        <v>0.39800000000000002</v>
      </c>
      <c r="AR92" s="561">
        <v>0.22600000000000001</v>
      </c>
      <c r="AS92" s="561">
        <v>1.254</v>
      </c>
      <c r="AT92" s="561">
        <v>24.654</v>
      </c>
      <c r="AU92" s="561">
        <v>0.52500000000000002</v>
      </c>
    </row>
    <row r="93" spans="1:48" ht="31.75" hidden="1">
      <c r="A93" s="914"/>
      <c r="B93" s="186" t="s">
        <v>296</v>
      </c>
      <c r="C93" s="186" t="s">
        <v>317</v>
      </c>
      <c r="D93" s="860">
        <v>120.604</v>
      </c>
      <c r="E93" s="195">
        <f t="shared" si="40"/>
        <v>120</v>
      </c>
      <c r="F93" s="195">
        <f t="shared" si="24"/>
        <v>240</v>
      </c>
      <c r="G93" s="860">
        <v>1.095</v>
      </c>
      <c r="H93" s="536">
        <v>0</v>
      </c>
      <c r="I93" s="536">
        <f t="shared" si="25"/>
        <v>0</v>
      </c>
      <c r="J93" s="860">
        <v>2.125</v>
      </c>
      <c r="K93" s="552">
        <f t="shared" ref="K93:K117" si="44">MROUND(J93,0.5)</f>
        <v>2</v>
      </c>
      <c r="L93" s="536">
        <f t="shared" si="26"/>
        <v>4</v>
      </c>
      <c r="M93" s="860">
        <v>0.40400000000000003</v>
      </c>
      <c r="N93" s="536">
        <v>0</v>
      </c>
      <c r="O93" s="536">
        <f t="shared" si="27"/>
        <v>0</v>
      </c>
      <c r="P93" s="860">
        <v>0</v>
      </c>
      <c r="Q93" s="536">
        <v>0</v>
      </c>
      <c r="R93" s="536">
        <f t="shared" si="28"/>
        <v>0</v>
      </c>
      <c r="S93" s="860">
        <v>0</v>
      </c>
      <c r="T93" s="536">
        <v>0</v>
      </c>
      <c r="U93" s="536">
        <f t="shared" si="29"/>
        <v>0</v>
      </c>
      <c r="V93" s="860">
        <v>27.626999999999999</v>
      </c>
      <c r="W93" s="536">
        <f t="shared" si="23"/>
        <v>30</v>
      </c>
      <c r="X93" s="536">
        <f t="shared" si="30"/>
        <v>60</v>
      </c>
      <c r="Y93" s="860">
        <v>25.797999999999998</v>
      </c>
      <c r="Z93" s="536">
        <f t="shared" si="41"/>
        <v>26</v>
      </c>
      <c r="AA93" s="536">
        <f t="shared" si="31"/>
        <v>52</v>
      </c>
      <c r="AB93" s="860">
        <v>0.57299999999999995</v>
      </c>
      <c r="AC93" s="536">
        <v>0</v>
      </c>
      <c r="AD93" s="536">
        <f t="shared" si="32"/>
        <v>0</v>
      </c>
      <c r="AE93" s="860">
        <v>24.524999999999999</v>
      </c>
      <c r="AF93" s="536">
        <f t="shared" si="36"/>
        <v>25</v>
      </c>
      <c r="AG93" s="536">
        <f t="shared" si="33"/>
        <v>50</v>
      </c>
      <c r="AH93" s="860">
        <v>24.323</v>
      </c>
      <c r="AI93" s="690">
        <f t="shared" si="37"/>
        <v>24</v>
      </c>
      <c r="AJ93" s="536">
        <f t="shared" si="34"/>
        <v>48</v>
      </c>
      <c r="AK93" s="860">
        <v>0.877</v>
      </c>
      <c r="AL93" s="536" t="s">
        <v>303</v>
      </c>
      <c r="AM93" s="536" t="e">
        <f t="shared" si="35"/>
        <v>#VALUE!</v>
      </c>
      <c r="AN93" s="555">
        <v>2E-3</v>
      </c>
      <c r="AO93" s="558">
        <v>8.0000000000000002E-3</v>
      </c>
      <c r="AP93" s="536">
        <v>6.7389999999999999</v>
      </c>
      <c r="AQ93" s="536">
        <v>0.51800000000000002</v>
      </c>
      <c r="AR93" s="536">
        <v>0.30599999999999999</v>
      </c>
      <c r="AS93" s="536">
        <v>1.7</v>
      </c>
      <c r="AT93" s="536">
        <v>43.624000000000002</v>
      </c>
      <c r="AU93" s="536">
        <v>0.92800000000000005</v>
      </c>
    </row>
    <row r="94" spans="1:48" ht="31.75">
      <c r="A94" s="914"/>
      <c r="B94" s="186" t="s">
        <v>396</v>
      </c>
      <c r="C94" s="186" t="s">
        <v>134</v>
      </c>
      <c r="D94" s="861">
        <v>343.74200000000002</v>
      </c>
      <c r="E94" s="195">
        <f t="shared" si="40"/>
        <v>340</v>
      </c>
      <c r="F94" s="195">
        <f t="shared" si="24"/>
        <v>680</v>
      </c>
      <c r="G94" s="861">
        <v>124.45699999999999</v>
      </c>
      <c r="H94" s="690">
        <f t="shared" ref="H94:H117" si="45">MROUND(G94,10)</f>
        <v>120</v>
      </c>
      <c r="I94" s="536">
        <f t="shared" si="25"/>
        <v>240</v>
      </c>
      <c r="J94" s="861">
        <v>13.827999999999999</v>
      </c>
      <c r="K94" s="552">
        <f t="shared" si="44"/>
        <v>14</v>
      </c>
      <c r="L94" s="536">
        <f t="shared" si="26"/>
        <v>28</v>
      </c>
      <c r="M94" s="861">
        <v>8.8000000000000007</v>
      </c>
      <c r="N94" s="536">
        <f t="shared" ref="N94:N117" si="46">MROUND(M94,1)</f>
        <v>9</v>
      </c>
      <c r="O94" s="536">
        <f t="shared" si="27"/>
        <v>18</v>
      </c>
      <c r="P94" s="861">
        <v>0</v>
      </c>
      <c r="Q94" s="536">
        <v>0</v>
      </c>
      <c r="R94" s="536">
        <f t="shared" si="28"/>
        <v>0</v>
      </c>
      <c r="S94" s="861">
        <v>81.713999999999999</v>
      </c>
      <c r="T94" s="730">
        <f t="shared" ref="T94:T117" si="47">MROUND(S94,5)</f>
        <v>80</v>
      </c>
      <c r="U94" s="536">
        <f t="shared" si="29"/>
        <v>160</v>
      </c>
      <c r="V94" s="861">
        <v>214.011</v>
      </c>
      <c r="W94" s="536">
        <f t="shared" ref="W94:W117" si="48">MROUND(V94,10)</f>
        <v>210</v>
      </c>
      <c r="X94" s="536">
        <f t="shared" si="30"/>
        <v>420</v>
      </c>
      <c r="Y94" s="861">
        <v>49.548999999999999</v>
      </c>
      <c r="Z94" s="536">
        <f t="shared" si="41"/>
        <v>50</v>
      </c>
      <c r="AA94" s="536">
        <f t="shared" si="31"/>
        <v>100</v>
      </c>
      <c r="AB94" s="861">
        <v>0</v>
      </c>
      <c r="AC94" s="536">
        <v>0</v>
      </c>
      <c r="AD94" s="536">
        <f t="shared" si="32"/>
        <v>0</v>
      </c>
      <c r="AE94" s="861">
        <v>37.29</v>
      </c>
      <c r="AF94" s="536">
        <f t="shared" si="36"/>
        <v>37</v>
      </c>
      <c r="AG94" s="536">
        <f t="shared" si="33"/>
        <v>74</v>
      </c>
      <c r="AH94" s="861">
        <v>14.662000000000001</v>
      </c>
      <c r="AI94" s="690">
        <f t="shared" si="37"/>
        <v>15</v>
      </c>
      <c r="AJ94" s="536">
        <f t="shared" si="34"/>
        <v>30</v>
      </c>
      <c r="AK94" s="861">
        <v>5.0289999999999999</v>
      </c>
      <c r="AL94" s="730">
        <f>MROUND(AK94,1)</f>
        <v>5</v>
      </c>
      <c r="AM94" s="536">
        <f t="shared" si="35"/>
        <v>10</v>
      </c>
      <c r="AN94" s="761">
        <v>0</v>
      </c>
      <c r="AO94" s="761">
        <v>0</v>
      </c>
      <c r="AP94" s="761">
        <v>248.4</v>
      </c>
      <c r="AQ94" s="761">
        <v>19.108000000000001</v>
      </c>
      <c r="AR94" s="761">
        <v>0</v>
      </c>
      <c r="AS94" s="761">
        <v>0</v>
      </c>
      <c r="AT94" s="761">
        <v>16.291</v>
      </c>
      <c r="AU94" s="761">
        <v>0.34699999999999998</v>
      </c>
    </row>
    <row r="95" spans="1:48" ht="18.75" customHeight="1">
      <c r="A95" s="914"/>
      <c r="B95" s="186" t="s">
        <v>396</v>
      </c>
      <c r="C95" s="186" t="s">
        <v>139</v>
      </c>
      <c r="D95" s="861">
        <v>360.03199999999998</v>
      </c>
      <c r="E95" s="195">
        <f t="shared" si="40"/>
        <v>360</v>
      </c>
      <c r="F95" s="195">
        <f t="shared" si="24"/>
        <v>720</v>
      </c>
      <c r="G95" s="861">
        <v>168.47</v>
      </c>
      <c r="H95" s="690">
        <f t="shared" si="45"/>
        <v>170</v>
      </c>
      <c r="I95" s="536">
        <f t="shared" si="25"/>
        <v>340</v>
      </c>
      <c r="J95" s="861">
        <v>18.719000000000001</v>
      </c>
      <c r="K95" s="552">
        <f t="shared" si="44"/>
        <v>18.5</v>
      </c>
      <c r="L95" s="536">
        <f t="shared" si="26"/>
        <v>37</v>
      </c>
      <c r="M95" s="861">
        <v>11.912000000000001</v>
      </c>
      <c r="N95" s="536">
        <f t="shared" si="46"/>
        <v>12</v>
      </c>
      <c r="O95" s="536">
        <f t="shared" si="27"/>
        <v>24</v>
      </c>
      <c r="P95" s="861">
        <v>0</v>
      </c>
      <c r="Q95" s="536">
        <v>0</v>
      </c>
      <c r="R95" s="536">
        <f t="shared" si="28"/>
        <v>0</v>
      </c>
      <c r="S95" s="861">
        <v>110.61199999999999</v>
      </c>
      <c r="T95" s="730">
        <f t="shared" si="47"/>
        <v>110</v>
      </c>
      <c r="U95" s="536">
        <f t="shared" si="29"/>
        <v>220</v>
      </c>
      <c r="V95" s="861">
        <v>241.68600000000001</v>
      </c>
      <c r="W95" s="536">
        <f t="shared" si="48"/>
        <v>240</v>
      </c>
      <c r="X95" s="536">
        <f t="shared" si="30"/>
        <v>480</v>
      </c>
      <c r="Y95" s="861">
        <v>42.88</v>
      </c>
      <c r="Z95" s="536">
        <f t="shared" si="41"/>
        <v>43</v>
      </c>
      <c r="AA95" s="536">
        <f t="shared" si="31"/>
        <v>86</v>
      </c>
      <c r="AB95" s="861">
        <v>0</v>
      </c>
      <c r="AC95" s="536">
        <v>0</v>
      </c>
      <c r="AD95" s="536">
        <f t="shared" si="32"/>
        <v>0</v>
      </c>
      <c r="AE95" s="861">
        <v>32.895000000000003</v>
      </c>
      <c r="AF95" s="536">
        <f t="shared" si="36"/>
        <v>33</v>
      </c>
      <c r="AG95" s="536">
        <f t="shared" si="33"/>
        <v>66</v>
      </c>
      <c r="AH95" s="861">
        <v>2.2639999999999998</v>
      </c>
      <c r="AI95" s="690">
        <f t="shared" si="37"/>
        <v>2</v>
      </c>
      <c r="AJ95" s="536">
        <f t="shared" si="34"/>
        <v>4</v>
      </c>
      <c r="AK95" s="861">
        <v>6.8070000000000004</v>
      </c>
      <c r="AL95" s="730">
        <f t="shared" ref="AL95:AL117" si="49">MROUND(AK95,1)</f>
        <v>7</v>
      </c>
      <c r="AM95" s="536">
        <f t="shared" si="35"/>
        <v>14</v>
      </c>
      <c r="AN95" s="761">
        <v>0</v>
      </c>
      <c r="AO95" s="761">
        <v>0</v>
      </c>
      <c r="AP95" s="761">
        <v>332.42500000000001</v>
      </c>
      <c r="AQ95" s="761">
        <v>25.571000000000002</v>
      </c>
      <c r="AR95" s="761">
        <v>0</v>
      </c>
      <c r="AS95" s="761">
        <v>0</v>
      </c>
      <c r="AT95" s="761">
        <v>2.9529999999999998</v>
      </c>
      <c r="AU95" s="761">
        <v>6.3E-2</v>
      </c>
    </row>
    <row r="96" spans="1:48" ht="18.75" customHeight="1">
      <c r="A96" s="914"/>
      <c r="B96" s="186" t="s">
        <v>396</v>
      </c>
      <c r="C96" s="186" t="s">
        <v>117</v>
      </c>
      <c r="D96" s="861">
        <v>356.03</v>
      </c>
      <c r="E96" s="195">
        <f t="shared" si="40"/>
        <v>360</v>
      </c>
      <c r="F96" s="195">
        <f t="shared" si="24"/>
        <v>720</v>
      </c>
      <c r="G96" s="861">
        <v>169.47399999999999</v>
      </c>
      <c r="H96" s="690">
        <f t="shared" si="45"/>
        <v>170</v>
      </c>
      <c r="I96" s="536">
        <f t="shared" si="25"/>
        <v>340</v>
      </c>
      <c r="J96" s="861">
        <v>18.829999999999998</v>
      </c>
      <c r="K96" s="552">
        <f t="shared" si="44"/>
        <v>19</v>
      </c>
      <c r="L96" s="536">
        <f t="shared" si="26"/>
        <v>38</v>
      </c>
      <c r="M96" s="861">
        <v>11.983000000000001</v>
      </c>
      <c r="N96" s="536">
        <f t="shared" si="46"/>
        <v>12</v>
      </c>
      <c r="O96" s="536">
        <f t="shared" si="27"/>
        <v>24</v>
      </c>
      <c r="P96" s="861">
        <v>0</v>
      </c>
      <c r="Q96" s="536">
        <v>0</v>
      </c>
      <c r="R96" s="536">
        <f t="shared" si="28"/>
        <v>0</v>
      </c>
      <c r="S96" s="861">
        <v>111.271</v>
      </c>
      <c r="T96" s="730">
        <f t="shared" si="47"/>
        <v>110</v>
      </c>
      <c r="U96" s="536">
        <f t="shared" si="29"/>
        <v>220</v>
      </c>
      <c r="V96" s="861">
        <v>242.309</v>
      </c>
      <c r="W96" s="536">
        <f t="shared" si="48"/>
        <v>240</v>
      </c>
      <c r="X96" s="536">
        <f t="shared" si="30"/>
        <v>480</v>
      </c>
      <c r="Y96" s="861">
        <v>42.805</v>
      </c>
      <c r="Z96" s="536">
        <f t="shared" si="41"/>
        <v>43</v>
      </c>
      <c r="AA96" s="536">
        <f t="shared" si="31"/>
        <v>86</v>
      </c>
      <c r="AB96" s="861">
        <v>0</v>
      </c>
      <c r="AC96" s="536">
        <v>0</v>
      </c>
      <c r="AD96" s="536">
        <f t="shared" si="32"/>
        <v>0</v>
      </c>
      <c r="AE96" s="861">
        <v>33.057000000000002</v>
      </c>
      <c r="AF96" s="536">
        <f t="shared" si="36"/>
        <v>33</v>
      </c>
      <c r="AG96" s="536">
        <f t="shared" si="33"/>
        <v>66</v>
      </c>
      <c r="AH96" s="861">
        <v>2.2429999999999999</v>
      </c>
      <c r="AI96" s="690">
        <f t="shared" si="37"/>
        <v>2</v>
      </c>
      <c r="AJ96" s="536">
        <f t="shared" si="34"/>
        <v>4</v>
      </c>
      <c r="AK96" s="861">
        <v>6.8470000000000004</v>
      </c>
      <c r="AL96" s="730">
        <f t="shared" si="49"/>
        <v>7</v>
      </c>
      <c r="AM96" s="536">
        <f t="shared" si="35"/>
        <v>14</v>
      </c>
      <c r="AN96" s="730">
        <v>0</v>
      </c>
      <c r="AO96" s="761">
        <v>0</v>
      </c>
      <c r="AP96" s="761">
        <v>334.38900000000001</v>
      </c>
      <c r="AQ96" s="761">
        <v>25.722000000000001</v>
      </c>
      <c r="AR96" s="761">
        <v>0</v>
      </c>
      <c r="AS96" s="761">
        <v>0</v>
      </c>
      <c r="AT96" s="761">
        <v>2.6019999999999999</v>
      </c>
      <c r="AU96" s="761">
        <v>5.5E-2</v>
      </c>
      <c r="AV96" s="1137"/>
    </row>
    <row r="97" spans="1:48" ht="31.75">
      <c r="A97" s="914"/>
      <c r="B97" s="186" t="s">
        <v>396</v>
      </c>
      <c r="C97" s="186" t="s">
        <v>358</v>
      </c>
      <c r="D97" s="861">
        <v>362.584</v>
      </c>
      <c r="E97" s="195">
        <f t="shared" si="40"/>
        <v>360</v>
      </c>
      <c r="F97" s="195">
        <f t="shared" si="24"/>
        <v>720</v>
      </c>
      <c r="G97" s="861">
        <v>169.79599999999999</v>
      </c>
      <c r="H97" s="690">
        <f t="shared" si="45"/>
        <v>170</v>
      </c>
      <c r="I97" s="536">
        <f t="shared" si="25"/>
        <v>340</v>
      </c>
      <c r="J97" s="861">
        <v>18.866</v>
      </c>
      <c r="K97" s="552">
        <f t="shared" si="44"/>
        <v>19</v>
      </c>
      <c r="L97" s="536">
        <f t="shared" si="26"/>
        <v>38</v>
      </c>
      <c r="M97" s="861">
        <v>12.006</v>
      </c>
      <c r="N97" s="536">
        <f t="shared" si="46"/>
        <v>12</v>
      </c>
      <c r="O97" s="536">
        <f t="shared" si="27"/>
        <v>24</v>
      </c>
      <c r="P97" s="861">
        <v>0</v>
      </c>
      <c r="Q97" s="536">
        <v>0</v>
      </c>
      <c r="R97" s="536">
        <f t="shared" si="28"/>
        <v>0</v>
      </c>
      <c r="S97" s="861">
        <v>111.483</v>
      </c>
      <c r="T97" s="730">
        <f t="shared" si="47"/>
        <v>110</v>
      </c>
      <c r="U97" s="536">
        <f t="shared" si="29"/>
        <v>220</v>
      </c>
      <c r="V97" s="861">
        <v>242.66800000000001</v>
      </c>
      <c r="W97" s="536">
        <f t="shared" si="48"/>
        <v>240</v>
      </c>
      <c r="X97" s="536">
        <f t="shared" si="30"/>
        <v>480</v>
      </c>
      <c r="Y97" s="861">
        <v>43.615000000000002</v>
      </c>
      <c r="Z97" s="536">
        <f t="shared" si="41"/>
        <v>44</v>
      </c>
      <c r="AA97" s="536">
        <f t="shared" si="31"/>
        <v>88</v>
      </c>
      <c r="AB97" s="861">
        <v>0</v>
      </c>
      <c r="AC97" s="536">
        <v>0</v>
      </c>
      <c r="AD97" s="536">
        <f t="shared" si="32"/>
        <v>0</v>
      </c>
      <c r="AE97" s="861">
        <v>32.997999999999998</v>
      </c>
      <c r="AF97" s="536">
        <f t="shared" si="36"/>
        <v>33</v>
      </c>
      <c r="AG97" s="536">
        <f t="shared" si="33"/>
        <v>66</v>
      </c>
      <c r="AH97" s="861">
        <v>2.1259999999999999</v>
      </c>
      <c r="AI97" s="690">
        <f t="shared" si="37"/>
        <v>2</v>
      </c>
      <c r="AJ97" s="536">
        <f t="shared" si="34"/>
        <v>4</v>
      </c>
      <c r="AK97" s="861">
        <v>6.86</v>
      </c>
      <c r="AL97" s="730">
        <f t="shared" si="49"/>
        <v>7</v>
      </c>
      <c r="AM97" s="536">
        <f t="shared" si="35"/>
        <v>14</v>
      </c>
      <c r="AN97" s="761">
        <v>0</v>
      </c>
      <c r="AO97" s="761">
        <v>0</v>
      </c>
      <c r="AP97" s="761">
        <v>334.70299999999997</v>
      </c>
      <c r="AQ97" s="761">
        <v>25.745999999999999</v>
      </c>
      <c r="AR97" s="761">
        <v>0</v>
      </c>
      <c r="AS97" s="761">
        <v>0</v>
      </c>
      <c r="AT97" s="761">
        <v>3.4020000000000001</v>
      </c>
      <c r="AU97" s="761">
        <v>7.1999999999999995E-2</v>
      </c>
    </row>
    <row r="98" spans="1:48" ht="31.75">
      <c r="A98" s="914"/>
      <c r="B98" s="186" t="s">
        <v>396</v>
      </c>
      <c r="C98" s="186" t="s">
        <v>397</v>
      </c>
      <c r="D98" s="861">
        <v>373.89400000000001</v>
      </c>
      <c r="E98" s="195">
        <f t="shared" si="40"/>
        <v>370</v>
      </c>
      <c r="F98" s="195">
        <f t="shared" si="24"/>
        <v>740</v>
      </c>
      <c r="G98" s="861">
        <v>154.56299999999999</v>
      </c>
      <c r="H98" s="690">
        <f t="shared" si="45"/>
        <v>150</v>
      </c>
      <c r="I98" s="536">
        <f t="shared" si="25"/>
        <v>300</v>
      </c>
      <c r="J98" s="861">
        <v>17.173999999999999</v>
      </c>
      <c r="K98" s="552">
        <f t="shared" si="44"/>
        <v>17</v>
      </c>
      <c r="L98" s="536">
        <f t="shared" si="26"/>
        <v>34</v>
      </c>
      <c r="M98" s="861">
        <v>10.304</v>
      </c>
      <c r="N98" s="536">
        <f t="shared" si="46"/>
        <v>10</v>
      </c>
      <c r="O98" s="536">
        <f t="shared" si="27"/>
        <v>20</v>
      </c>
      <c r="P98" s="861">
        <v>0</v>
      </c>
      <c r="Q98" s="536">
        <v>0</v>
      </c>
      <c r="R98" s="536">
        <f t="shared" si="28"/>
        <v>0</v>
      </c>
      <c r="S98" s="861">
        <v>94.454999999999998</v>
      </c>
      <c r="T98" s="730">
        <f t="shared" si="47"/>
        <v>95</v>
      </c>
      <c r="U98" s="536">
        <f t="shared" si="29"/>
        <v>190</v>
      </c>
      <c r="V98" s="861">
        <v>199.98099999999999</v>
      </c>
      <c r="W98" s="536">
        <f t="shared" si="48"/>
        <v>200</v>
      </c>
      <c r="X98" s="536">
        <f t="shared" si="30"/>
        <v>400</v>
      </c>
      <c r="Y98" s="861">
        <v>49.762999999999998</v>
      </c>
      <c r="Z98" s="536">
        <f t="shared" si="41"/>
        <v>50</v>
      </c>
      <c r="AA98" s="536">
        <f t="shared" si="31"/>
        <v>100</v>
      </c>
      <c r="AB98" s="861">
        <v>0</v>
      </c>
      <c r="AC98" s="536">
        <v>0</v>
      </c>
      <c r="AD98" s="536">
        <f t="shared" si="32"/>
        <v>0</v>
      </c>
      <c r="AE98" s="861">
        <v>38.299999999999997</v>
      </c>
      <c r="AF98" s="536">
        <f t="shared" si="36"/>
        <v>38</v>
      </c>
      <c r="AG98" s="536">
        <f t="shared" si="33"/>
        <v>76</v>
      </c>
      <c r="AH98" s="861">
        <v>2.2349999999999999</v>
      </c>
      <c r="AI98" s="690">
        <f t="shared" si="37"/>
        <v>2</v>
      </c>
      <c r="AJ98" s="536">
        <f t="shared" si="34"/>
        <v>4</v>
      </c>
      <c r="AK98" s="861">
        <v>6.8689999999999998</v>
      </c>
      <c r="AL98" s="730">
        <f t="shared" si="49"/>
        <v>7</v>
      </c>
      <c r="AM98" s="536">
        <f t="shared" si="35"/>
        <v>14</v>
      </c>
      <c r="AN98" s="761">
        <v>0</v>
      </c>
      <c r="AO98" s="761">
        <v>0</v>
      </c>
      <c r="AP98" s="761">
        <v>223.755</v>
      </c>
      <c r="AQ98" s="761">
        <v>17.212</v>
      </c>
      <c r="AR98" s="761">
        <v>1.855</v>
      </c>
      <c r="AS98" s="761">
        <v>10.304</v>
      </c>
      <c r="AT98" s="761">
        <v>2.484</v>
      </c>
      <c r="AU98" s="761">
        <v>5.2999999999999999E-2</v>
      </c>
    </row>
    <row r="99" spans="1:48" ht="31.75">
      <c r="A99" s="914"/>
      <c r="B99" s="186" t="s">
        <v>396</v>
      </c>
      <c r="C99" s="186" t="s">
        <v>398</v>
      </c>
      <c r="D99" s="861">
        <v>357.57400000000001</v>
      </c>
      <c r="E99" s="195">
        <f t="shared" si="40"/>
        <v>360</v>
      </c>
      <c r="F99" s="195">
        <f t="shared" si="24"/>
        <v>720</v>
      </c>
      <c r="G99" s="861">
        <v>170.102</v>
      </c>
      <c r="H99" s="690">
        <f t="shared" si="45"/>
        <v>170</v>
      </c>
      <c r="I99" s="536">
        <f t="shared" si="25"/>
        <v>340</v>
      </c>
      <c r="J99" s="861">
        <v>18.899999999999999</v>
      </c>
      <c r="K99" s="552">
        <f t="shared" si="44"/>
        <v>19</v>
      </c>
      <c r="L99" s="536">
        <f t="shared" si="26"/>
        <v>38</v>
      </c>
      <c r="M99" s="861">
        <v>12.026999999999999</v>
      </c>
      <c r="N99" s="536">
        <f t="shared" si="46"/>
        <v>12</v>
      </c>
      <c r="O99" s="536">
        <f t="shared" si="27"/>
        <v>24</v>
      </c>
      <c r="P99" s="861">
        <v>0</v>
      </c>
      <c r="Q99" s="536">
        <v>0</v>
      </c>
      <c r="R99" s="536">
        <f t="shared" si="28"/>
        <v>0</v>
      </c>
      <c r="S99" s="861">
        <v>111.68300000000001</v>
      </c>
      <c r="T99" s="730">
        <f t="shared" si="47"/>
        <v>110</v>
      </c>
      <c r="U99" s="536">
        <f t="shared" si="29"/>
        <v>220</v>
      </c>
      <c r="V99" s="861">
        <v>251.82</v>
      </c>
      <c r="W99" s="536">
        <f t="shared" si="48"/>
        <v>250</v>
      </c>
      <c r="X99" s="536">
        <f t="shared" si="30"/>
        <v>500</v>
      </c>
      <c r="Y99" s="861">
        <v>41.561999999999998</v>
      </c>
      <c r="Z99" s="536">
        <f t="shared" si="41"/>
        <v>42</v>
      </c>
      <c r="AA99" s="536">
        <f t="shared" si="31"/>
        <v>84</v>
      </c>
      <c r="AB99" s="861">
        <v>0</v>
      </c>
      <c r="AC99" s="536">
        <v>0</v>
      </c>
      <c r="AD99" s="536">
        <f t="shared" si="32"/>
        <v>0</v>
      </c>
      <c r="AE99" s="861">
        <v>33.058999999999997</v>
      </c>
      <c r="AF99" s="536">
        <f t="shared" ref="AF99:AF130" si="50">MROUND(AE99,1)</f>
        <v>33</v>
      </c>
      <c r="AG99" s="536">
        <f t="shared" si="33"/>
        <v>66</v>
      </c>
      <c r="AH99" s="861">
        <v>2.1309999999999998</v>
      </c>
      <c r="AI99" s="690">
        <f t="shared" si="37"/>
        <v>2</v>
      </c>
      <c r="AJ99" s="536">
        <f t="shared" si="34"/>
        <v>4</v>
      </c>
      <c r="AK99" s="861">
        <v>6.8730000000000002</v>
      </c>
      <c r="AL99" s="730">
        <f t="shared" si="49"/>
        <v>7</v>
      </c>
      <c r="AM99" s="536">
        <f t="shared" si="35"/>
        <v>14</v>
      </c>
      <c r="AN99" s="761">
        <v>0</v>
      </c>
      <c r="AO99" s="761">
        <v>0</v>
      </c>
      <c r="AP99" s="761">
        <v>335.654</v>
      </c>
      <c r="AQ99" s="761">
        <v>25.82</v>
      </c>
      <c r="AR99" s="761">
        <v>3.7999999999999999E-2</v>
      </c>
      <c r="AS99" s="761">
        <v>0.20899999999999999</v>
      </c>
      <c r="AT99" s="761">
        <v>5.3609999999999998</v>
      </c>
      <c r="AU99" s="761">
        <v>0.114</v>
      </c>
    </row>
    <row r="100" spans="1:48" ht="15" customHeight="1">
      <c r="A100" s="914"/>
      <c r="B100" s="186" t="s">
        <v>396</v>
      </c>
      <c r="C100" s="186" t="s">
        <v>399</v>
      </c>
      <c r="D100" s="861">
        <v>373.30399999999997</v>
      </c>
      <c r="E100" s="195">
        <f t="shared" si="40"/>
        <v>370</v>
      </c>
      <c r="F100" s="195">
        <f t="shared" si="24"/>
        <v>740</v>
      </c>
      <c r="G100" s="861">
        <v>154.91999999999999</v>
      </c>
      <c r="H100" s="690">
        <f t="shared" si="45"/>
        <v>150</v>
      </c>
      <c r="I100" s="536">
        <f t="shared" si="25"/>
        <v>300</v>
      </c>
      <c r="J100" s="861">
        <v>17.213000000000001</v>
      </c>
      <c r="K100" s="552">
        <f t="shared" si="44"/>
        <v>17</v>
      </c>
      <c r="L100" s="536">
        <f t="shared" si="26"/>
        <v>34</v>
      </c>
      <c r="M100" s="861">
        <v>10.327999999999999</v>
      </c>
      <c r="N100" s="536">
        <f t="shared" si="46"/>
        <v>10</v>
      </c>
      <c r="O100" s="536">
        <f t="shared" si="27"/>
        <v>20</v>
      </c>
      <c r="P100" s="861">
        <v>0</v>
      </c>
      <c r="Q100" s="536">
        <v>0</v>
      </c>
      <c r="R100" s="536">
        <f t="shared" si="28"/>
        <v>0</v>
      </c>
      <c r="S100" s="861">
        <v>94.673000000000002</v>
      </c>
      <c r="T100" s="730">
        <f t="shared" si="47"/>
        <v>95</v>
      </c>
      <c r="U100" s="536">
        <f t="shared" si="29"/>
        <v>190</v>
      </c>
      <c r="V100" s="861">
        <v>200.31800000000001</v>
      </c>
      <c r="W100" s="536">
        <f t="shared" si="48"/>
        <v>200</v>
      </c>
      <c r="X100" s="536">
        <f t="shared" si="30"/>
        <v>400</v>
      </c>
      <c r="Y100" s="861">
        <v>49.393000000000001</v>
      </c>
      <c r="Z100" s="536">
        <f t="shared" si="41"/>
        <v>49</v>
      </c>
      <c r="AA100" s="536">
        <f t="shared" si="31"/>
        <v>98</v>
      </c>
      <c r="AB100" s="861">
        <v>0</v>
      </c>
      <c r="AC100" s="536">
        <v>0</v>
      </c>
      <c r="AD100" s="536">
        <f t="shared" si="32"/>
        <v>0</v>
      </c>
      <c r="AE100" s="861">
        <v>38.04</v>
      </c>
      <c r="AF100" s="536">
        <f t="shared" si="50"/>
        <v>38</v>
      </c>
      <c r="AG100" s="536">
        <f t="shared" si="33"/>
        <v>76</v>
      </c>
      <c r="AH100" s="861">
        <v>1.8919999999999999</v>
      </c>
      <c r="AI100" s="690">
        <f t="shared" si="37"/>
        <v>2</v>
      </c>
      <c r="AJ100" s="536">
        <f t="shared" si="34"/>
        <v>4</v>
      </c>
      <c r="AK100" s="861">
        <v>6.8849999999999998</v>
      </c>
      <c r="AL100" s="730">
        <f t="shared" si="49"/>
        <v>7</v>
      </c>
      <c r="AM100" s="536">
        <f t="shared" si="35"/>
        <v>14</v>
      </c>
      <c r="AN100" s="761">
        <v>0</v>
      </c>
      <c r="AO100" s="761">
        <v>0</v>
      </c>
      <c r="AP100" s="761">
        <v>224.32400000000001</v>
      </c>
      <c r="AQ100" s="761">
        <v>17.256</v>
      </c>
      <c r="AR100" s="761">
        <v>1.859</v>
      </c>
      <c r="AS100" s="761">
        <v>10.327999999999999</v>
      </c>
      <c r="AT100" s="761">
        <v>2.286</v>
      </c>
      <c r="AU100" s="761">
        <v>4.9000000000000002E-2</v>
      </c>
      <c r="AV100" s="179" t="s">
        <v>179</v>
      </c>
    </row>
    <row r="101" spans="1:48" ht="14.25" customHeight="1">
      <c r="A101" s="914"/>
      <c r="B101" s="186" t="s">
        <v>396</v>
      </c>
      <c r="C101" s="186" t="s">
        <v>36</v>
      </c>
      <c r="D101" s="861">
        <v>363.83199999999999</v>
      </c>
      <c r="E101" s="195">
        <f t="shared" ref="E101:E132" si="51">MROUND(D101,10)</f>
        <v>360</v>
      </c>
      <c r="F101" s="195">
        <f t="shared" si="24"/>
        <v>720</v>
      </c>
      <c r="G101" s="861">
        <v>170.69200000000001</v>
      </c>
      <c r="H101" s="690">
        <f t="shared" si="45"/>
        <v>170</v>
      </c>
      <c r="I101" s="536">
        <f t="shared" si="25"/>
        <v>340</v>
      </c>
      <c r="J101" s="861">
        <v>18.966000000000001</v>
      </c>
      <c r="K101" s="552">
        <f t="shared" si="44"/>
        <v>19</v>
      </c>
      <c r="L101" s="536">
        <f t="shared" si="26"/>
        <v>38</v>
      </c>
      <c r="M101" s="861">
        <v>12.069000000000001</v>
      </c>
      <c r="N101" s="536">
        <f t="shared" si="46"/>
        <v>12</v>
      </c>
      <c r="O101" s="536">
        <f t="shared" si="27"/>
        <v>24</v>
      </c>
      <c r="P101" s="861">
        <v>0</v>
      </c>
      <c r="Q101" s="536">
        <v>0</v>
      </c>
      <c r="R101" s="536">
        <f t="shared" si="28"/>
        <v>0</v>
      </c>
      <c r="S101" s="861">
        <v>112.071</v>
      </c>
      <c r="T101" s="730">
        <f t="shared" si="47"/>
        <v>110</v>
      </c>
      <c r="U101" s="536">
        <f t="shared" si="29"/>
        <v>220</v>
      </c>
      <c r="V101" s="861">
        <v>241.38300000000001</v>
      </c>
      <c r="W101" s="536">
        <f t="shared" si="48"/>
        <v>240</v>
      </c>
      <c r="X101" s="536">
        <f t="shared" si="30"/>
        <v>480</v>
      </c>
      <c r="Y101" s="861">
        <v>44.216000000000001</v>
      </c>
      <c r="Z101" s="536">
        <f t="shared" si="41"/>
        <v>44</v>
      </c>
      <c r="AA101" s="536">
        <f t="shared" si="31"/>
        <v>88</v>
      </c>
      <c r="AB101" s="861">
        <v>0</v>
      </c>
      <c r="AC101" s="536">
        <v>0</v>
      </c>
      <c r="AD101" s="536">
        <f t="shared" si="32"/>
        <v>0</v>
      </c>
      <c r="AE101" s="861">
        <v>35.139000000000003</v>
      </c>
      <c r="AF101" s="536">
        <f t="shared" si="50"/>
        <v>35</v>
      </c>
      <c r="AG101" s="536">
        <f t="shared" si="33"/>
        <v>70</v>
      </c>
      <c r="AH101" s="861">
        <v>4.1040000000000001</v>
      </c>
      <c r="AI101" s="690">
        <f t="shared" si="37"/>
        <v>4</v>
      </c>
      <c r="AJ101" s="536">
        <f t="shared" si="34"/>
        <v>8</v>
      </c>
      <c r="AK101" s="861">
        <v>6.8970000000000002</v>
      </c>
      <c r="AL101" s="730">
        <f t="shared" si="49"/>
        <v>7</v>
      </c>
      <c r="AM101" s="536">
        <f t="shared" si="35"/>
        <v>14</v>
      </c>
      <c r="AN101" s="761">
        <v>0</v>
      </c>
      <c r="AO101" s="761">
        <v>0</v>
      </c>
      <c r="AP101" s="761">
        <v>336.59199999999998</v>
      </c>
      <c r="AQ101" s="761">
        <v>25.891999999999999</v>
      </c>
      <c r="AR101" s="761">
        <v>0</v>
      </c>
      <c r="AS101" s="761">
        <v>0</v>
      </c>
      <c r="AT101" s="761">
        <v>3.1920000000000002</v>
      </c>
      <c r="AU101" s="761">
        <v>6.8000000000000005E-2</v>
      </c>
    </row>
    <row r="102" spans="1:48" ht="14.25" customHeight="1">
      <c r="A102" s="914"/>
      <c r="B102" s="186" t="s">
        <v>396</v>
      </c>
      <c r="C102" s="186" t="s">
        <v>140</v>
      </c>
      <c r="D102" s="861">
        <v>357.88900000000001</v>
      </c>
      <c r="E102" s="195">
        <f t="shared" si="51"/>
        <v>360</v>
      </c>
      <c r="F102" s="195">
        <f t="shared" si="24"/>
        <v>720</v>
      </c>
      <c r="G102" s="861">
        <v>171.14400000000001</v>
      </c>
      <c r="H102" s="690">
        <f t="shared" si="45"/>
        <v>170</v>
      </c>
      <c r="I102" s="536">
        <f t="shared" si="25"/>
        <v>340</v>
      </c>
      <c r="J102" s="861">
        <v>19.015999999999998</v>
      </c>
      <c r="K102" s="552">
        <f t="shared" si="44"/>
        <v>19</v>
      </c>
      <c r="L102" s="536">
        <f t="shared" si="26"/>
        <v>38</v>
      </c>
      <c r="M102" s="861">
        <v>12.101000000000001</v>
      </c>
      <c r="N102" s="536">
        <f t="shared" si="46"/>
        <v>12</v>
      </c>
      <c r="O102" s="536">
        <f t="shared" si="27"/>
        <v>24</v>
      </c>
      <c r="P102" s="861">
        <v>0</v>
      </c>
      <c r="Q102" s="536">
        <v>0</v>
      </c>
      <c r="R102" s="536">
        <f t="shared" si="28"/>
        <v>0</v>
      </c>
      <c r="S102" s="861">
        <v>112.367</v>
      </c>
      <c r="T102" s="730">
        <f t="shared" si="47"/>
        <v>110</v>
      </c>
      <c r="U102" s="536">
        <f t="shared" si="29"/>
        <v>220</v>
      </c>
      <c r="V102" s="861">
        <v>249.88</v>
      </c>
      <c r="W102" s="536">
        <f t="shared" si="48"/>
        <v>250</v>
      </c>
      <c r="X102" s="536">
        <f t="shared" si="30"/>
        <v>500</v>
      </c>
      <c r="Y102" s="861">
        <v>40.689</v>
      </c>
      <c r="Z102" s="536">
        <f t="shared" si="41"/>
        <v>41</v>
      </c>
      <c r="AA102" s="536">
        <f t="shared" si="31"/>
        <v>82</v>
      </c>
      <c r="AB102" s="861">
        <v>0</v>
      </c>
      <c r="AC102" s="536">
        <v>0</v>
      </c>
      <c r="AD102" s="536">
        <f t="shared" si="32"/>
        <v>0</v>
      </c>
      <c r="AE102" s="861">
        <v>32.973999999999997</v>
      </c>
      <c r="AF102" s="536">
        <f t="shared" si="50"/>
        <v>33</v>
      </c>
      <c r="AG102" s="536">
        <f t="shared" si="33"/>
        <v>66</v>
      </c>
      <c r="AH102" s="861">
        <v>1.857</v>
      </c>
      <c r="AI102" s="690">
        <f t="shared" si="37"/>
        <v>2</v>
      </c>
      <c r="AJ102" s="536">
        <f t="shared" si="34"/>
        <v>4</v>
      </c>
      <c r="AK102" s="861">
        <v>6.915</v>
      </c>
      <c r="AL102" s="730">
        <f t="shared" si="49"/>
        <v>7</v>
      </c>
      <c r="AM102" s="536">
        <f t="shared" si="35"/>
        <v>14</v>
      </c>
      <c r="AN102" s="761">
        <v>0</v>
      </c>
      <c r="AO102" s="761">
        <v>0</v>
      </c>
      <c r="AP102" s="761">
        <v>337.53100000000001</v>
      </c>
      <c r="AQ102" s="761">
        <v>25.963999999999999</v>
      </c>
      <c r="AR102" s="761">
        <v>0</v>
      </c>
      <c r="AS102" s="761">
        <v>0</v>
      </c>
      <c r="AT102" s="761">
        <v>2.214</v>
      </c>
      <c r="AU102" s="761">
        <v>4.7E-2</v>
      </c>
    </row>
    <row r="103" spans="1:48" ht="14.25" customHeight="1">
      <c r="A103" s="914"/>
      <c r="B103" s="186" t="s">
        <v>396</v>
      </c>
      <c r="C103" s="186" t="s">
        <v>400</v>
      </c>
      <c r="D103" s="861">
        <v>375.23099999999999</v>
      </c>
      <c r="E103" s="195">
        <f t="shared" si="51"/>
        <v>380</v>
      </c>
      <c r="F103" s="195">
        <f t="shared" si="24"/>
        <v>760</v>
      </c>
      <c r="G103" s="861">
        <v>155.709</v>
      </c>
      <c r="H103" s="690">
        <f t="shared" si="45"/>
        <v>160</v>
      </c>
      <c r="I103" s="536">
        <f t="shared" si="25"/>
        <v>320</v>
      </c>
      <c r="J103" s="861">
        <v>17.300999999999998</v>
      </c>
      <c r="K103" s="552">
        <f t="shared" si="44"/>
        <v>17.5</v>
      </c>
      <c r="L103" s="536">
        <f t="shared" si="26"/>
        <v>35</v>
      </c>
      <c r="M103" s="861">
        <v>10.381</v>
      </c>
      <c r="N103" s="536">
        <f t="shared" si="46"/>
        <v>10</v>
      </c>
      <c r="O103" s="536">
        <f t="shared" si="27"/>
        <v>20</v>
      </c>
      <c r="P103" s="861">
        <v>0</v>
      </c>
      <c r="Q103" s="536">
        <v>0</v>
      </c>
      <c r="R103" s="536">
        <f t="shared" si="28"/>
        <v>0</v>
      </c>
      <c r="S103" s="861">
        <v>95.156000000000006</v>
      </c>
      <c r="T103" s="730">
        <f t="shared" si="47"/>
        <v>95</v>
      </c>
      <c r="U103" s="536">
        <f t="shared" si="29"/>
        <v>190</v>
      </c>
      <c r="V103" s="861">
        <v>203.86600000000001</v>
      </c>
      <c r="W103" s="536">
        <f t="shared" si="48"/>
        <v>200</v>
      </c>
      <c r="X103" s="536">
        <f t="shared" si="30"/>
        <v>400</v>
      </c>
      <c r="Y103" s="861">
        <v>49.375</v>
      </c>
      <c r="Z103" s="536">
        <f t="shared" si="41"/>
        <v>49</v>
      </c>
      <c r="AA103" s="536">
        <f t="shared" si="31"/>
        <v>98</v>
      </c>
      <c r="AB103" s="861">
        <v>0</v>
      </c>
      <c r="AC103" s="536">
        <v>0</v>
      </c>
      <c r="AD103" s="536">
        <f t="shared" si="32"/>
        <v>0</v>
      </c>
      <c r="AE103" s="861">
        <v>38.223999999999997</v>
      </c>
      <c r="AF103" s="536">
        <f t="shared" si="50"/>
        <v>38</v>
      </c>
      <c r="AG103" s="536">
        <f t="shared" si="33"/>
        <v>76</v>
      </c>
      <c r="AH103" s="861">
        <v>1.8919999999999999</v>
      </c>
      <c r="AI103" s="690">
        <f t="shared" si="37"/>
        <v>2</v>
      </c>
      <c r="AJ103" s="536">
        <f t="shared" si="34"/>
        <v>4</v>
      </c>
      <c r="AK103" s="861">
        <v>6.92</v>
      </c>
      <c r="AL103" s="730">
        <f t="shared" si="49"/>
        <v>7</v>
      </c>
      <c r="AM103" s="536">
        <f t="shared" si="35"/>
        <v>14</v>
      </c>
      <c r="AN103" s="761">
        <v>0</v>
      </c>
      <c r="AO103" s="761">
        <v>0</v>
      </c>
      <c r="AP103" s="761">
        <v>225.333</v>
      </c>
      <c r="AQ103" s="761">
        <v>17.332999999999998</v>
      </c>
      <c r="AR103" s="761">
        <v>1.869</v>
      </c>
      <c r="AS103" s="761">
        <v>10.381</v>
      </c>
      <c r="AT103" s="761">
        <v>2.1019999999999999</v>
      </c>
      <c r="AU103" s="761">
        <v>4.4999999999999998E-2</v>
      </c>
    </row>
    <row r="104" spans="1:48" ht="14.25" customHeight="1">
      <c r="A104" s="914"/>
      <c r="B104" s="186" t="s">
        <v>396</v>
      </c>
      <c r="C104" s="186" t="s">
        <v>373</v>
      </c>
      <c r="D104" s="861">
        <v>357.98899999999998</v>
      </c>
      <c r="E104" s="195">
        <f t="shared" si="51"/>
        <v>360</v>
      </c>
      <c r="F104" s="195">
        <f t="shared" si="24"/>
        <v>720</v>
      </c>
      <c r="G104" s="861">
        <v>171.47300000000001</v>
      </c>
      <c r="H104" s="690">
        <f t="shared" si="45"/>
        <v>170</v>
      </c>
      <c r="I104" s="536">
        <f t="shared" si="25"/>
        <v>340</v>
      </c>
      <c r="J104" s="861">
        <v>19.053000000000001</v>
      </c>
      <c r="K104" s="552">
        <f t="shared" si="44"/>
        <v>19</v>
      </c>
      <c r="L104" s="536">
        <f t="shared" si="26"/>
        <v>38</v>
      </c>
      <c r="M104" s="861">
        <v>12.124000000000001</v>
      </c>
      <c r="N104" s="536">
        <f t="shared" si="46"/>
        <v>12</v>
      </c>
      <c r="O104" s="536">
        <f t="shared" si="27"/>
        <v>24</v>
      </c>
      <c r="P104" s="861">
        <v>0</v>
      </c>
      <c r="Q104" s="536">
        <v>0</v>
      </c>
      <c r="R104" s="536">
        <f t="shared" si="28"/>
        <v>0</v>
      </c>
      <c r="S104" s="861">
        <v>112.583</v>
      </c>
      <c r="T104" s="730">
        <f t="shared" si="47"/>
        <v>115</v>
      </c>
      <c r="U104" s="536">
        <f t="shared" si="29"/>
        <v>230</v>
      </c>
      <c r="V104" s="861">
        <v>268.79500000000002</v>
      </c>
      <c r="W104" s="536">
        <f t="shared" si="48"/>
        <v>270</v>
      </c>
      <c r="X104" s="536">
        <f t="shared" si="30"/>
        <v>540</v>
      </c>
      <c r="Y104" s="861">
        <v>41.81</v>
      </c>
      <c r="Z104" s="536">
        <f t="shared" ref="Z104:Z135" si="52">MROUND(Y104,1)</f>
        <v>42</v>
      </c>
      <c r="AA104" s="536">
        <f t="shared" si="31"/>
        <v>84</v>
      </c>
      <c r="AB104" s="861">
        <v>0</v>
      </c>
      <c r="AC104" s="536">
        <v>0</v>
      </c>
      <c r="AD104" s="536">
        <f t="shared" si="32"/>
        <v>0</v>
      </c>
      <c r="AE104" s="861">
        <v>33.140999999999998</v>
      </c>
      <c r="AF104" s="536">
        <f t="shared" si="50"/>
        <v>33</v>
      </c>
      <c r="AG104" s="536">
        <f t="shared" si="33"/>
        <v>66</v>
      </c>
      <c r="AH104" s="861">
        <v>1.964</v>
      </c>
      <c r="AI104" s="690">
        <f t="shared" si="37"/>
        <v>2</v>
      </c>
      <c r="AJ104" s="536">
        <f t="shared" si="34"/>
        <v>4</v>
      </c>
      <c r="AK104" s="861">
        <v>6.9279999999999999</v>
      </c>
      <c r="AL104" s="730">
        <f t="shared" si="49"/>
        <v>7</v>
      </c>
      <c r="AM104" s="536">
        <f t="shared" si="35"/>
        <v>14</v>
      </c>
      <c r="AN104" s="761">
        <v>0</v>
      </c>
      <c r="AO104" s="761">
        <v>0</v>
      </c>
      <c r="AP104" s="761">
        <v>338.32799999999997</v>
      </c>
      <c r="AQ104" s="761">
        <v>26.024999999999999</v>
      </c>
      <c r="AR104" s="761">
        <v>5.0999999999999997E-2</v>
      </c>
      <c r="AS104" s="761">
        <v>0.28100000000000003</v>
      </c>
      <c r="AT104" s="761">
        <v>5.9050000000000002</v>
      </c>
      <c r="AU104" s="761">
        <v>0.126</v>
      </c>
    </row>
    <row r="105" spans="1:48" ht="14.25" customHeight="1">
      <c r="A105" s="504"/>
      <c r="B105" s="186" t="s">
        <v>396</v>
      </c>
      <c r="C105" s="186" t="s">
        <v>26</v>
      </c>
      <c r="D105" s="935">
        <v>356.851</v>
      </c>
      <c r="E105" s="195">
        <f t="shared" si="51"/>
        <v>360</v>
      </c>
      <c r="F105" s="195">
        <f t="shared" si="24"/>
        <v>720</v>
      </c>
      <c r="G105" s="935">
        <v>171.917</v>
      </c>
      <c r="H105" s="690">
        <f t="shared" si="45"/>
        <v>170</v>
      </c>
      <c r="I105" s="536">
        <f t="shared" si="25"/>
        <v>340</v>
      </c>
      <c r="J105" s="935">
        <v>19.102</v>
      </c>
      <c r="K105" s="552">
        <f t="shared" si="44"/>
        <v>19</v>
      </c>
      <c r="L105" s="536">
        <f t="shared" si="26"/>
        <v>38</v>
      </c>
      <c r="M105" s="935">
        <v>12.156000000000001</v>
      </c>
      <c r="N105" s="536">
        <f t="shared" si="46"/>
        <v>12</v>
      </c>
      <c r="O105" s="536">
        <f t="shared" si="27"/>
        <v>24</v>
      </c>
      <c r="P105" s="935">
        <v>0</v>
      </c>
      <c r="Q105" s="536">
        <v>0</v>
      </c>
      <c r="R105" s="536">
        <f t="shared" si="28"/>
        <v>0</v>
      </c>
      <c r="S105" s="935">
        <v>112.875</v>
      </c>
      <c r="T105" s="730">
        <f t="shared" si="47"/>
        <v>115</v>
      </c>
      <c r="U105" s="536">
        <f t="shared" si="29"/>
        <v>230</v>
      </c>
      <c r="V105" s="935">
        <v>245.024</v>
      </c>
      <c r="W105" s="536">
        <f t="shared" si="48"/>
        <v>250</v>
      </c>
      <c r="X105" s="536">
        <f t="shared" si="30"/>
        <v>500</v>
      </c>
      <c r="Y105" s="935">
        <v>42.293999999999997</v>
      </c>
      <c r="Z105" s="536">
        <f t="shared" si="52"/>
        <v>42</v>
      </c>
      <c r="AA105" s="536">
        <f t="shared" si="31"/>
        <v>84</v>
      </c>
      <c r="AB105" s="935">
        <v>0</v>
      </c>
      <c r="AC105" s="536">
        <v>0</v>
      </c>
      <c r="AD105" s="536">
        <f t="shared" si="32"/>
        <v>0</v>
      </c>
      <c r="AE105" s="935">
        <v>32.784999999999997</v>
      </c>
      <c r="AF105" s="536">
        <f t="shared" si="50"/>
        <v>33</v>
      </c>
      <c r="AG105" s="536">
        <f t="shared" si="33"/>
        <v>66</v>
      </c>
      <c r="AH105" s="935">
        <v>1.5269999999999999</v>
      </c>
      <c r="AI105" s="690">
        <f t="shared" si="37"/>
        <v>2</v>
      </c>
      <c r="AJ105" s="536">
        <f t="shared" si="34"/>
        <v>4</v>
      </c>
      <c r="AK105" s="935">
        <v>6.9459999999999997</v>
      </c>
      <c r="AL105" s="730">
        <f t="shared" si="49"/>
        <v>7</v>
      </c>
      <c r="AM105" s="536">
        <f t="shared" si="35"/>
        <v>14</v>
      </c>
      <c r="AN105" s="819">
        <v>0</v>
      </c>
      <c r="AO105" s="819">
        <v>0</v>
      </c>
      <c r="AP105" s="819">
        <v>339.07</v>
      </c>
      <c r="AQ105" s="819">
        <v>26.082000000000001</v>
      </c>
      <c r="AR105" s="819">
        <v>0</v>
      </c>
      <c r="AS105" s="819">
        <v>0</v>
      </c>
      <c r="AT105" s="819">
        <v>1.845</v>
      </c>
      <c r="AU105" s="819">
        <v>3.9E-2</v>
      </c>
    </row>
    <row r="106" spans="1:48" ht="31.75">
      <c r="A106" s="914"/>
      <c r="B106" s="186" t="s">
        <v>396</v>
      </c>
      <c r="C106" s="186" t="s">
        <v>98</v>
      </c>
      <c r="D106" s="861">
        <v>357.54300000000001</v>
      </c>
      <c r="E106" s="195">
        <f t="shared" si="51"/>
        <v>360</v>
      </c>
      <c r="F106" s="195">
        <f t="shared" si="24"/>
        <v>720</v>
      </c>
      <c r="G106" s="861">
        <v>172.054</v>
      </c>
      <c r="H106" s="690">
        <f t="shared" si="45"/>
        <v>170</v>
      </c>
      <c r="I106" s="536">
        <f t="shared" si="25"/>
        <v>340</v>
      </c>
      <c r="J106" s="861">
        <v>19.117000000000001</v>
      </c>
      <c r="K106" s="552">
        <f t="shared" si="44"/>
        <v>19</v>
      </c>
      <c r="L106" s="536">
        <f t="shared" si="26"/>
        <v>38</v>
      </c>
      <c r="M106" s="861">
        <v>12.164999999999999</v>
      </c>
      <c r="N106" s="536">
        <f t="shared" si="46"/>
        <v>12</v>
      </c>
      <c r="O106" s="536">
        <f t="shared" si="27"/>
        <v>24</v>
      </c>
      <c r="P106" s="861">
        <v>0</v>
      </c>
      <c r="Q106" s="536">
        <v>0</v>
      </c>
      <c r="R106" s="536">
        <f t="shared" si="28"/>
        <v>0</v>
      </c>
      <c r="S106" s="861">
        <v>112.965</v>
      </c>
      <c r="T106" s="730">
        <f t="shared" si="47"/>
        <v>115</v>
      </c>
      <c r="U106" s="536">
        <f t="shared" si="29"/>
        <v>230</v>
      </c>
      <c r="V106" s="861">
        <v>257.62400000000002</v>
      </c>
      <c r="W106" s="536">
        <f t="shared" si="48"/>
        <v>260</v>
      </c>
      <c r="X106" s="536">
        <f t="shared" si="30"/>
        <v>520</v>
      </c>
      <c r="Y106" s="861">
        <v>42.4</v>
      </c>
      <c r="Z106" s="536">
        <f t="shared" si="52"/>
        <v>42</v>
      </c>
      <c r="AA106" s="536">
        <f t="shared" si="31"/>
        <v>84</v>
      </c>
      <c r="AB106" s="861">
        <v>0</v>
      </c>
      <c r="AC106" s="536">
        <v>0</v>
      </c>
      <c r="AD106" s="536">
        <f t="shared" si="32"/>
        <v>0</v>
      </c>
      <c r="AE106" s="861">
        <v>33.212000000000003</v>
      </c>
      <c r="AF106" s="536">
        <f t="shared" si="50"/>
        <v>33</v>
      </c>
      <c r="AG106" s="536">
        <f t="shared" si="33"/>
        <v>66</v>
      </c>
      <c r="AH106" s="861">
        <v>1.929</v>
      </c>
      <c r="AI106" s="690">
        <f t="shared" si="37"/>
        <v>2</v>
      </c>
      <c r="AJ106" s="536">
        <f t="shared" si="34"/>
        <v>4</v>
      </c>
      <c r="AK106" s="861">
        <v>6.952</v>
      </c>
      <c r="AL106" s="730">
        <f t="shared" si="49"/>
        <v>7</v>
      </c>
      <c r="AM106" s="536">
        <f t="shared" si="35"/>
        <v>14</v>
      </c>
      <c r="AN106" s="761">
        <v>0</v>
      </c>
      <c r="AO106" s="761">
        <v>0</v>
      </c>
      <c r="AP106" s="761">
        <v>356.63299999999998</v>
      </c>
      <c r="AQ106" s="761">
        <v>27.433</v>
      </c>
      <c r="AR106" s="761">
        <v>0</v>
      </c>
      <c r="AS106" s="761">
        <v>0</v>
      </c>
      <c r="AT106" s="761">
        <v>1.7430000000000001</v>
      </c>
      <c r="AU106" s="761">
        <v>3.6999999999999998E-2</v>
      </c>
    </row>
    <row r="107" spans="1:48" ht="31.75">
      <c r="A107" s="914"/>
      <c r="B107" s="186" t="s">
        <v>396</v>
      </c>
      <c r="C107" s="186" t="s">
        <v>401</v>
      </c>
      <c r="D107" s="861">
        <v>358.44</v>
      </c>
      <c r="E107" s="195">
        <f t="shared" si="51"/>
        <v>360</v>
      </c>
      <c r="F107" s="195">
        <f t="shared" si="24"/>
        <v>720</v>
      </c>
      <c r="G107" s="861">
        <v>172.96299999999999</v>
      </c>
      <c r="H107" s="690">
        <f t="shared" si="45"/>
        <v>170</v>
      </c>
      <c r="I107" s="536">
        <f t="shared" si="25"/>
        <v>340</v>
      </c>
      <c r="J107" s="861">
        <v>19.218</v>
      </c>
      <c r="K107" s="552">
        <f t="shared" si="44"/>
        <v>19</v>
      </c>
      <c r="L107" s="536">
        <f t="shared" si="26"/>
        <v>38</v>
      </c>
      <c r="M107" s="861">
        <v>12.23</v>
      </c>
      <c r="N107" s="536">
        <f t="shared" si="46"/>
        <v>12</v>
      </c>
      <c r="O107" s="536">
        <f t="shared" si="27"/>
        <v>24</v>
      </c>
      <c r="P107" s="861">
        <v>0</v>
      </c>
      <c r="Q107" s="536">
        <v>0</v>
      </c>
      <c r="R107" s="536">
        <f t="shared" si="28"/>
        <v>0</v>
      </c>
      <c r="S107" s="861">
        <v>113.56100000000001</v>
      </c>
      <c r="T107" s="730">
        <f t="shared" si="47"/>
        <v>115</v>
      </c>
      <c r="U107" s="536">
        <f t="shared" si="29"/>
        <v>230</v>
      </c>
      <c r="V107" s="861">
        <v>298.18599999999998</v>
      </c>
      <c r="W107" s="536">
        <f t="shared" si="48"/>
        <v>300</v>
      </c>
      <c r="X107" s="536">
        <f t="shared" si="30"/>
        <v>600</v>
      </c>
      <c r="Y107" s="861">
        <v>40.183</v>
      </c>
      <c r="Z107" s="536">
        <f t="shared" si="52"/>
        <v>40</v>
      </c>
      <c r="AA107" s="536">
        <f t="shared" si="31"/>
        <v>80</v>
      </c>
      <c r="AB107" s="861">
        <v>0</v>
      </c>
      <c r="AC107" s="536">
        <v>0</v>
      </c>
      <c r="AD107" s="536">
        <f t="shared" si="32"/>
        <v>0</v>
      </c>
      <c r="AE107" s="861">
        <v>33.411000000000001</v>
      </c>
      <c r="AF107" s="536">
        <f t="shared" si="50"/>
        <v>33</v>
      </c>
      <c r="AG107" s="536">
        <f t="shared" si="33"/>
        <v>66</v>
      </c>
      <c r="AH107" s="861">
        <v>1.9630000000000001</v>
      </c>
      <c r="AI107" s="690">
        <f t="shared" si="37"/>
        <v>2</v>
      </c>
      <c r="AJ107" s="536">
        <f t="shared" si="34"/>
        <v>4</v>
      </c>
      <c r="AK107" s="861">
        <v>6.9880000000000004</v>
      </c>
      <c r="AL107" s="730">
        <f t="shared" si="49"/>
        <v>7</v>
      </c>
      <c r="AM107" s="536">
        <f t="shared" si="35"/>
        <v>14</v>
      </c>
      <c r="AN107" s="761">
        <v>0</v>
      </c>
      <c r="AO107" s="761">
        <v>0</v>
      </c>
      <c r="AP107" s="761">
        <v>341.05599999999998</v>
      </c>
      <c r="AQ107" s="761">
        <v>26.234999999999999</v>
      </c>
      <c r="AR107" s="761">
        <v>0</v>
      </c>
      <c r="AS107" s="761">
        <v>0</v>
      </c>
      <c r="AT107" s="761">
        <v>1.645</v>
      </c>
      <c r="AU107" s="761">
        <v>3.5000000000000003E-2</v>
      </c>
    </row>
    <row r="108" spans="1:48" ht="31.75">
      <c r="A108" s="914"/>
      <c r="B108" s="186" t="s">
        <v>396</v>
      </c>
      <c r="C108" s="186" t="s">
        <v>361</v>
      </c>
      <c r="D108" s="861">
        <v>375.911</v>
      </c>
      <c r="E108" s="195">
        <f t="shared" si="51"/>
        <v>380</v>
      </c>
      <c r="F108" s="195">
        <f t="shared" si="24"/>
        <v>760</v>
      </c>
      <c r="G108" s="861">
        <v>157.239</v>
      </c>
      <c r="H108" s="690">
        <f t="shared" si="45"/>
        <v>160</v>
      </c>
      <c r="I108" s="536">
        <f t="shared" si="25"/>
        <v>320</v>
      </c>
      <c r="J108" s="861">
        <v>17.471</v>
      </c>
      <c r="K108" s="552">
        <f t="shared" si="44"/>
        <v>17.5</v>
      </c>
      <c r="L108" s="536">
        <f t="shared" si="26"/>
        <v>35</v>
      </c>
      <c r="M108" s="861">
        <v>10.483000000000001</v>
      </c>
      <c r="N108" s="536">
        <f t="shared" si="46"/>
        <v>10</v>
      </c>
      <c r="O108" s="536">
        <f t="shared" si="27"/>
        <v>20</v>
      </c>
      <c r="P108" s="861">
        <v>0</v>
      </c>
      <c r="Q108" s="536">
        <v>0</v>
      </c>
      <c r="R108" s="536">
        <f t="shared" si="28"/>
        <v>0</v>
      </c>
      <c r="S108" s="861">
        <v>96.09</v>
      </c>
      <c r="T108" s="730">
        <f t="shared" si="47"/>
        <v>95</v>
      </c>
      <c r="U108" s="536">
        <f t="shared" si="29"/>
        <v>190</v>
      </c>
      <c r="V108" s="861">
        <v>254.50899999999999</v>
      </c>
      <c r="W108" s="536">
        <f t="shared" si="48"/>
        <v>250</v>
      </c>
      <c r="X108" s="536">
        <f t="shared" si="30"/>
        <v>500</v>
      </c>
      <c r="Y108" s="861">
        <v>47.171999999999997</v>
      </c>
      <c r="Z108" s="536">
        <f t="shared" si="52"/>
        <v>47</v>
      </c>
      <c r="AA108" s="536">
        <f t="shared" si="31"/>
        <v>94</v>
      </c>
      <c r="AB108" s="861">
        <v>0</v>
      </c>
      <c r="AC108" s="536">
        <v>0</v>
      </c>
      <c r="AD108" s="536">
        <f t="shared" si="32"/>
        <v>0</v>
      </c>
      <c r="AE108" s="861">
        <v>38.652000000000001</v>
      </c>
      <c r="AF108" s="536">
        <f t="shared" si="50"/>
        <v>39</v>
      </c>
      <c r="AG108" s="536">
        <f t="shared" si="33"/>
        <v>78</v>
      </c>
      <c r="AH108" s="861">
        <v>1.9630000000000001</v>
      </c>
      <c r="AI108" s="690">
        <f t="shared" si="37"/>
        <v>2</v>
      </c>
      <c r="AJ108" s="536">
        <f t="shared" si="34"/>
        <v>4</v>
      </c>
      <c r="AK108" s="861">
        <v>6.9880000000000004</v>
      </c>
      <c r="AL108" s="730">
        <f t="shared" si="49"/>
        <v>7</v>
      </c>
      <c r="AM108" s="536">
        <f t="shared" si="35"/>
        <v>14</v>
      </c>
      <c r="AN108" s="761">
        <v>0</v>
      </c>
      <c r="AO108" s="761">
        <v>0</v>
      </c>
      <c r="AP108" s="761">
        <v>227.494</v>
      </c>
      <c r="AQ108" s="761">
        <v>17.5</v>
      </c>
      <c r="AR108" s="761">
        <v>1.887</v>
      </c>
      <c r="AS108" s="761">
        <v>10.483000000000001</v>
      </c>
      <c r="AT108" s="761">
        <v>1.645</v>
      </c>
      <c r="AU108" s="761">
        <v>3.5000000000000003E-2</v>
      </c>
    </row>
    <row r="109" spans="1:48" ht="15.75" customHeight="1">
      <c r="A109" s="914"/>
      <c r="B109" s="186" t="s">
        <v>396</v>
      </c>
      <c r="C109" s="186" t="s">
        <v>357</v>
      </c>
      <c r="D109" s="861">
        <v>358.5</v>
      </c>
      <c r="E109" s="195">
        <f t="shared" si="51"/>
        <v>360</v>
      </c>
      <c r="F109" s="195">
        <f t="shared" si="24"/>
        <v>720</v>
      </c>
      <c r="G109" s="861">
        <v>173.16</v>
      </c>
      <c r="H109" s="690">
        <f t="shared" si="45"/>
        <v>170</v>
      </c>
      <c r="I109" s="536">
        <f t="shared" si="25"/>
        <v>340</v>
      </c>
      <c r="J109" s="861">
        <v>19.239999999999998</v>
      </c>
      <c r="K109" s="552">
        <f t="shared" si="44"/>
        <v>19</v>
      </c>
      <c r="L109" s="536">
        <f t="shared" si="26"/>
        <v>38</v>
      </c>
      <c r="M109" s="861">
        <v>12.244</v>
      </c>
      <c r="N109" s="536">
        <f t="shared" si="46"/>
        <v>12</v>
      </c>
      <c r="O109" s="536">
        <f t="shared" si="27"/>
        <v>24</v>
      </c>
      <c r="P109" s="861">
        <v>0</v>
      </c>
      <c r="Q109" s="536">
        <v>0</v>
      </c>
      <c r="R109" s="536">
        <f t="shared" si="28"/>
        <v>0</v>
      </c>
      <c r="S109" s="861">
        <v>113.691</v>
      </c>
      <c r="T109" s="730">
        <f t="shared" si="47"/>
        <v>115</v>
      </c>
      <c r="U109" s="536">
        <f t="shared" si="29"/>
        <v>230</v>
      </c>
      <c r="V109" s="861">
        <v>253.55500000000001</v>
      </c>
      <c r="W109" s="536">
        <f t="shared" si="48"/>
        <v>250</v>
      </c>
      <c r="X109" s="536">
        <f t="shared" si="30"/>
        <v>500</v>
      </c>
      <c r="Y109" s="861">
        <v>42.220999999999997</v>
      </c>
      <c r="Z109" s="536">
        <f t="shared" si="52"/>
        <v>42</v>
      </c>
      <c r="AA109" s="536">
        <f t="shared" si="31"/>
        <v>84</v>
      </c>
      <c r="AB109" s="861">
        <v>0</v>
      </c>
      <c r="AC109" s="536">
        <v>0</v>
      </c>
      <c r="AD109" s="536">
        <f t="shared" si="32"/>
        <v>0</v>
      </c>
      <c r="AE109" s="861">
        <v>32.811</v>
      </c>
      <c r="AF109" s="536">
        <f t="shared" si="50"/>
        <v>33</v>
      </c>
      <c r="AG109" s="536">
        <f t="shared" si="33"/>
        <v>66</v>
      </c>
      <c r="AH109" s="861">
        <v>1.3280000000000001</v>
      </c>
      <c r="AI109" s="690">
        <f t="shared" si="37"/>
        <v>1</v>
      </c>
      <c r="AJ109" s="536">
        <f t="shared" si="34"/>
        <v>2</v>
      </c>
      <c r="AK109" s="861">
        <v>6.9960000000000004</v>
      </c>
      <c r="AL109" s="730">
        <f t="shared" si="49"/>
        <v>7</v>
      </c>
      <c r="AM109" s="536">
        <f t="shared" si="35"/>
        <v>14</v>
      </c>
      <c r="AN109" s="761">
        <v>0</v>
      </c>
      <c r="AO109" s="761">
        <v>0</v>
      </c>
      <c r="AP109" s="761">
        <v>341.53199999999998</v>
      </c>
      <c r="AQ109" s="761">
        <v>26.271999999999998</v>
      </c>
      <c r="AR109" s="761">
        <v>5.0999999999999997E-2</v>
      </c>
      <c r="AS109" s="761">
        <v>0.28399999999999997</v>
      </c>
      <c r="AT109" s="761">
        <v>5.4139999999999997</v>
      </c>
      <c r="AU109" s="761">
        <v>0.115</v>
      </c>
    </row>
    <row r="110" spans="1:48" ht="15.75" customHeight="1">
      <c r="A110" s="914"/>
      <c r="B110" s="186" t="s">
        <v>396</v>
      </c>
      <c r="C110" s="186" t="s">
        <v>66</v>
      </c>
      <c r="D110" s="861">
        <v>358.00799999999998</v>
      </c>
      <c r="E110" s="195">
        <f t="shared" si="51"/>
        <v>360</v>
      </c>
      <c r="F110" s="195">
        <f t="shared" si="24"/>
        <v>720</v>
      </c>
      <c r="G110" s="861">
        <v>173.20599999999999</v>
      </c>
      <c r="H110" s="690">
        <f t="shared" si="45"/>
        <v>170</v>
      </c>
      <c r="I110" s="536">
        <f t="shared" si="25"/>
        <v>340</v>
      </c>
      <c r="J110" s="861">
        <v>19.245000000000001</v>
      </c>
      <c r="K110" s="552">
        <f t="shared" si="44"/>
        <v>19</v>
      </c>
      <c r="L110" s="536">
        <f t="shared" si="26"/>
        <v>38</v>
      </c>
      <c r="M110" s="861">
        <v>12.247</v>
      </c>
      <c r="N110" s="536">
        <f t="shared" si="46"/>
        <v>12</v>
      </c>
      <c r="O110" s="536">
        <f t="shared" si="27"/>
        <v>24</v>
      </c>
      <c r="P110" s="861">
        <v>0</v>
      </c>
      <c r="Q110" s="536">
        <v>0</v>
      </c>
      <c r="R110" s="536">
        <f t="shared" si="28"/>
        <v>0</v>
      </c>
      <c r="S110" s="861">
        <v>113.721</v>
      </c>
      <c r="T110" s="730">
        <f t="shared" si="47"/>
        <v>115</v>
      </c>
      <c r="U110" s="536">
        <f t="shared" si="29"/>
        <v>230</v>
      </c>
      <c r="V110" s="861">
        <v>246.45599999999999</v>
      </c>
      <c r="W110" s="536">
        <f t="shared" si="48"/>
        <v>250</v>
      </c>
      <c r="X110" s="536">
        <f t="shared" si="30"/>
        <v>500</v>
      </c>
      <c r="Y110" s="861">
        <v>42.314999999999998</v>
      </c>
      <c r="Z110" s="536">
        <f t="shared" si="52"/>
        <v>42</v>
      </c>
      <c r="AA110" s="536">
        <f t="shared" si="31"/>
        <v>84</v>
      </c>
      <c r="AB110" s="861">
        <v>0</v>
      </c>
      <c r="AC110" s="536">
        <v>0</v>
      </c>
      <c r="AD110" s="536">
        <f t="shared" si="32"/>
        <v>0</v>
      </c>
      <c r="AE110" s="861">
        <v>32.857999999999997</v>
      </c>
      <c r="AF110" s="536">
        <f t="shared" si="50"/>
        <v>33</v>
      </c>
      <c r="AG110" s="536">
        <f t="shared" si="33"/>
        <v>66</v>
      </c>
      <c r="AH110" s="861">
        <v>1.3660000000000001</v>
      </c>
      <c r="AI110" s="690">
        <f t="shared" si="37"/>
        <v>1</v>
      </c>
      <c r="AJ110" s="536">
        <f t="shared" si="34"/>
        <v>2</v>
      </c>
      <c r="AK110" s="861">
        <v>6.9980000000000002</v>
      </c>
      <c r="AL110" s="730">
        <f t="shared" si="49"/>
        <v>7</v>
      </c>
      <c r="AM110" s="536">
        <f t="shared" si="35"/>
        <v>14</v>
      </c>
      <c r="AN110" s="761">
        <v>0</v>
      </c>
      <c r="AO110" s="761">
        <v>0</v>
      </c>
      <c r="AP110" s="761">
        <v>341.46699999999998</v>
      </c>
      <c r="AQ110" s="761">
        <v>26.266999999999999</v>
      </c>
      <c r="AR110" s="761">
        <v>0</v>
      </c>
      <c r="AS110" s="761">
        <v>0</v>
      </c>
      <c r="AT110" s="761">
        <v>1.518</v>
      </c>
      <c r="AU110" s="761">
        <v>3.2000000000000001E-2</v>
      </c>
    </row>
    <row r="111" spans="1:48" ht="31.75">
      <c r="A111" s="914"/>
      <c r="B111" s="186" t="s">
        <v>396</v>
      </c>
      <c r="C111" s="186" t="s">
        <v>402</v>
      </c>
      <c r="D111" s="861">
        <v>359.06700000000001</v>
      </c>
      <c r="E111" s="195">
        <f t="shared" si="51"/>
        <v>360</v>
      </c>
      <c r="F111" s="195">
        <f t="shared" si="24"/>
        <v>720</v>
      </c>
      <c r="G111" s="861">
        <v>173.43799999999999</v>
      </c>
      <c r="H111" s="690">
        <f t="shared" si="45"/>
        <v>170</v>
      </c>
      <c r="I111" s="536">
        <f t="shared" si="25"/>
        <v>340</v>
      </c>
      <c r="J111" s="861">
        <v>19.271000000000001</v>
      </c>
      <c r="K111" s="552">
        <f t="shared" si="44"/>
        <v>19.5</v>
      </c>
      <c r="L111" s="536">
        <f t="shared" si="26"/>
        <v>39</v>
      </c>
      <c r="M111" s="861">
        <v>12.263</v>
      </c>
      <c r="N111" s="536">
        <f t="shared" si="46"/>
        <v>12</v>
      </c>
      <c r="O111" s="536">
        <f t="shared" si="27"/>
        <v>24</v>
      </c>
      <c r="P111" s="861">
        <v>0</v>
      </c>
      <c r="Q111" s="536">
        <v>0</v>
      </c>
      <c r="R111" s="536">
        <f t="shared" si="28"/>
        <v>0</v>
      </c>
      <c r="S111" s="861">
        <v>113.874</v>
      </c>
      <c r="T111" s="730">
        <f t="shared" si="47"/>
        <v>115</v>
      </c>
      <c r="U111" s="536">
        <f t="shared" si="29"/>
        <v>230</v>
      </c>
      <c r="V111" s="861">
        <v>248.64400000000001</v>
      </c>
      <c r="W111" s="536">
        <f t="shared" si="48"/>
        <v>250</v>
      </c>
      <c r="X111" s="536">
        <f t="shared" si="30"/>
        <v>500</v>
      </c>
      <c r="Y111" s="861">
        <v>42.514000000000003</v>
      </c>
      <c r="Z111" s="536">
        <f t="shared" si="52"/>
        <v>43</v>
      </c>
      <c r="AA111" s="536">
        <f t="shared" si="31"/>
        <v>86</v>
      </c>
      <c r="AB111" s="861">
        <v>0</v>
      </c>
      <c r="AC111" s="536">
        <v>0</v>
      </c>
      <c r="AD111" s="536">
        <f t="shared" si="32"/>
        <v>0</v>
      </c>
      <c r="AE111" s="861">
        <v>33.03</v>
      </c>
      <c r="AF111" s="536">
        <f t="shared" si="50"/>
        <v>33</v>
      </c>
      <c r="AG111" s="536">
        <f t="shared" si="33"/>
        <v>66</v>
      </c>
      <c r="AH111" s="861">
        <v>1.496</v>
      </c>
      <c r="AI111" s="690">
        <f t="shared" si="37"/>
        <v>1</v>
      </c>
      <c r="AJ111" s="536">
        <f t="shared" si="34"/>
        <v>2</v>
      </c>
      <c r="AK111" s="861">
        <v>7.008</v>
      </c>
      <c r="AL111" s="730">
        <f t="shared" si="49"/>
        <v>7</v>
      </c>
      <c r="AM111" s="536">
        <f t="shared" si="35"/>
        <v>14</v>
      </c>
      <c r="AN111" s="761">
        <v>0</v>
      </c>
      <c r="AO111" s="761">
        <v>0</v>
      </c>
      <c r="AP111" s="761">
        <v>341.95800000000003</v>
      </c>
      <c r="AQ111" s="761">
        <v>26.303999999999998</v>
      </c>
      <c r="AR111" s="761">
        <v>0</v>
      </c>
      <c r="AS111" s="761">
        <v>0</v>
      </c>
      <c r="AT111" s="761">
        <v>1.593</v>
      </c>
      <c r="AU111" s="761">
        <v>3.4000000000000002E-2</v>
      </c>
    </row>
    <row r="112" spans="1:48" ht="45.45">
      <c r="A112" s="914" t="s">
        <v>396</v>
      </c>
      <c r="B112" s="186" t="s">
        <v>396</v>
      </c>
      <c r="C112" s="186" t="s">
        <v>356</v>
      </c>
      <c r="D112" s="935">
        <v>358.38499999999999</v>
      </c>
      <c r="E112" s="195">
        <f t="shared" si="51"/>
        <v>360</v>
      </c>
      <c r="F112" s="195">
        <f t="shared" si="24"/>
        <v>720</v>
      </c>
      <c r="G112" s="935">
        <v>174.13800000000001</v>
      </c>
      <c r="H112" s="690">
        <f t="shared" si="45"/>
        <v>170</v>
      </c>
      <c r="I112" s="536">
        <f t="shared" si="25"/>
        <v>340</v>
      </c>
      <c r="J112" s="935">
        <v>19.349</v>
      </c>
      <c r="K112" s="552">
        <f t="shared" si="44"/>
        <v>19.5</v>
      </c>
      <c r="L112" s="536">
        <f t="shared" si="26"/>
        <v>39</v>
      </c>
      <c r="M112" s="935">
        <v>12.313000000000001</v>
      </c>
      <c r="N112" s="536">
        <f t="shared" si="46"/>
        <v>12</v>
      </c>
      <c r="O112" s="536">
        <f t="shared" si="27"/>
        <v>24</v>
      </c>
      <c r="P112" s="935">
        <v>0</v>
      </c>
      <c r="Q112" s="536">
        <v>0</v>
      </c>
      <c r="R112" s="536">
        <f t="shared" si="28"/>
        <v>0</v>
      </c>
      <c r="S112" s="935">
        <v>114.333</v>
      </c>
      <c r="T112" s="730">
        <f t="shared" si="47"/>
        <v>115</v>
      </c>
      <c r="U112" s="536">
        <f t="shared" si="29"/>
        <v>230</v>
      </c>
      <c r="V112" s="935">
        <v>248.11</v>
      </c>
      <c r="W112" s="536">
        <f t="shared" si="48"/>
        <v>250</v>
      </c>
      <c r="X112" s="536">
        <f t="shared" si="30"/>
        <v>500</v>
      </c>
      <c r="Y112" s="935">
        <v>41.98</v>
      </c>
      <c r="Z112" s="536">
        <f t="shared" si="52"/>
        <v>42</v>
      </c>
      <c r="AA112" s="536">
        <f t="shared" si="31"/>
        <v>84</v>
      </c>
      <c r="AB112" s="935">
        <v>0</v>
      </c>
      <c r="AC112" s="536">
        <v>0</v>
      </c>
      <c r="AD112" s="536">
        <f t="shared" si="32"/>
        <v>0</v>
      </c>
      <c r="AE112" s="935">
        <v>32.691000000000003</v>
      </c>
      <c r="AF112" s="536">
        <f t="shared" si="50"/>
        <v>33</v>
      </c>
      <c r="AG112" s="536">
        <f t="shared" si="33"/>
        <v>66</v>
      </c>
      <c r="AH112" s="935">
        <v>1.03</v>
      </c>
      <c r="AI112" s="690">
        <f t="shared" si="37"/>
        <v>1</v>
      </c>
      <c r="AJ112" s="536">
        <f t="shared" si="34"/>
        <v>2</v>
      </c>
      <c r="AK112" s="935">
        <v>7.0359999999999996</v>
      </c>
      <c r="AL112" s="730">
        <f t="shared" si="49"/>
        <v>7</v>
      </c>
      <c r="AM112" s="536">
        <f t="shared" si="35"/>
        <v>14</v>
      </c>
      <c r="AN112" s="819">
        <v>0</v>
      </c>
      <c r="AO112" s="819">
        <v>0</v>
      </c>
      <c r="AP112" s="819">
        <v>343.28800000000001</v>
      </c>
      <c r="AQ112" s="819">
        <v>26.407</v>
      </c>
      <c r="AR112" s="819">
        <v>0</v>
      </c>
      <c r="AS112" s="819">
        <v>0</v>
      </c>
      <c r="AT112" s="819">
        <v>1.236</v>
      </c>
      <c r="AU112" s="819">
        <v>2.5999999999999999E-2</v>
      </c>
    </row>
    <row r="113" spans="1:48" ht="31.75">
      <c r="A113" s="914"/>
      <c r="B113" s="186" t="s">
        <v>396</v>
      </c>
      <c r="C113" s="186" t="s">
        <v>359</v>
      </c>
      <c r="D113" s="861">
        <v>360.03199999999998</v>
      </c>
      <c r="E113" s="195">
        <f t="shared" si="51"/>
        <v>360</v>
      </c>
      <c r="F113" s="195">
        <f t="shared" si="24"/>
        <v>720</v>
      </c>
      <c r="G113" s="861">
        <v>174.31399999999999</v>
      </c>
      <c r="H113" s="690">
        <f t="shared" si="45"/>
        <v>170</v>
      </c>
      <c r="I113" s="536">
        <f t="shared" si="25"/>
        <v>340</v>
      </c>
      <c r="J113" s="861">
        <v>19.367999999999999</v>
      </c>
      <c r="K113" s="552">
        <f t="shared" si="44"/>
        <v>19.5</v>
      </c>
      <c r="L113" s="536">
        <f t="shared" si="26"/>
        <v>39</v>
      </c>
      <c r="M113" s="861">
        <v>12.324999999999999</v>
      </c>
      <c r="N113" s="536">
        <f t="shared" si="46"/>
        <v>12</v>
      </c>
      <c r="O113" s="536">
        <f t="shared" si="27"/>
        <v>24</v>
      </c>
      <c r="P113" s="861">
        <v>0</v>
      </c>
      <c r="Q113" s="536">
        <v>0</v>
      </c>
      <c r="R113" s="536">
        <f t="shared" si="28"/>
        <v>0</v>
      </c>
      <c r="S113" s="861">
        <v>114.449</v>
      </c>
      <c r="T113" s="730">
        <f t="shared" si="47"/>
        <v>115</v>
      </c>
      <c r="U113" s="536">
        <f t="shared" si="29"/>
        <v>230</v>
      </c>
      <c r="V113" s="861">
        <v>246.505</v>
      </c>
      <c r="W113" s="536">
        <f t="shared" si="48"/>
        <v>250</v>
      </c>
      <c r="X113" s="536">
        <f t="shared" si="30"/>
        <v>500</v>
      </c>
      <c r="Y113" s="861">
        <v>42.152999999999999</v>
      </c>
      <c r="Z113" s="536">
        <f t="shared" si="52"/>
        <v>42</v>
      </c>
      <c r="AA113" s="536">
        <f t="shared" si="31"/>
        <v>84</v>
      </c>
      <c r="AB113" s="861">
        <v>0</v>
      </c>
      <c r="AC113" s="536">
        <v>0</v>
      </c>
      <c r="AD113" s="536">
        <f t="shared" si="32"/>
        <v>0</v>
      </c>
      <c r="AE113" s="861">
        <v>32.994</v>
      </c>
      <c r="AF113" s="536">
        <f t="shared" si="50"/>
        <v>33</v>
      </c>
      <c r="AG113" s="536">
        <f t="shared" si="33"/>
        <v>66</v>
      </c>
      <c r="AH113" s="861">
        <v>1.3009999999999999</v>
      </c>
      <c r="AI113" s="690">
        <f t="shared" si="37"/>
        <v>1</v>
      </c>
      <c r="AJ113" s="536">
        <f t="shared" si="34"/>
        <v>2</v>
      </c>
      <c r="AK113" s="861">
        <v>7.0430000000000001</v>
      </c>
      <c r="AL113" s="730">
        <f t="shared" si="49"/>
        <v>7</v>
      </c>
      <c r="AM113" s="536">
        <f t="shared" si="35"/>
        <v>14</v>
      </c>
      <c r="AN113" s="761">
        <v>0</v>
      </c>
      <c r="AO113" s="761">
        <v>0</v>
      </c>
      <c r="AP113" s="761">
        <v>343.54399999999998</v>
      </c>
      <c r="AQ113" s="761">
        <v>26.425999999999998</v>
      </c>
      <c r="AR113" s="761">
        <v>0</v>
      </c>
      <c r="AS113" s="761">
        <v>0</v>
      </c>
      <c r="AT113" s="761">
        <v>1.6950000000000001</v>
      </c>
      <c r="AU113" s="761">
        <v>3.5999999999999997E-2</v>
      </c>
    </row>
    <row r="114" spans="1:48" ht="31.75">
      <c r="A114" s="914"/>
      <c r="B114" s="186" t="s">
        <v>396</v>
      </c>
      <c r="C114" s="186" t="s">
        <v>403</v>
      </c>
      <c r="D114" s="861">
        <v>359.28199999999998</v>
      </c>
      <c r="E114" s="195">
        <f t="shared" si="51"/>
        <v>360</v>
      </c>
      <c r="F114" s="195">
        <f t="shared" si="24"/>
        <v>720</v>
      </c>
      <c r="G114" s="861">
        <v>174.50200000000001</v>
      </c>
      <c r="H114" s="690">
        <f t="shared" si="45"/>
        <v>170</v>
      </c>
      <c r="I114" s="536">
        <f t="shared" si="25"/>
        <v>340</v>
      </c>
      <c r="J114" s="861">
        <v>19.388999999999999</v>
      </c>
      <c r="K114" s="552">
        <f t="shared" si="44"/>
        <v>19.5</v>
      </c>
      <c r="L114" s="536">
        <f t="shared" si="26"/>
        <v>39</v>
      </c>
      <c r="M114" s="861">
        <v>12.339</v>
      </c>
      <c r="N114" s="536">
        <f t="shared" si="46"/>
        <v>12</v>
      </c>
      <c r="O114" s="536">
        <f t="shared" si="27"/>
        <v>24</v>
      </c>
      <c r="P114" s="861">
        <v>0</v>
      </c>
      <c r="Q114" s="536">
        <v>0</v>
      </c>
      <c r="R114" s="536">
        <f t="shared" si="28"/>
        <v>0</v>
      </c>
      <c r="S114" s="861">
        <v>114.572</v>
      </c>
      <c r="T114" s="730">
        <f t="shared" si="47"/>
        <v>115</v>
      </c>
      <c r="U114" s="536">
        <f t="shared" si="29"/>
        <v>230</v>
      </c>
      <c r="V114" s="861">
        <v>247.89699999999999</v>
      </c>
      <c r="W114" s="536">
        <f t="shared" si="48"/>
        <v>250</v>
      </c>
      <c r="X114" s="536">
        <f t="shared" si="30"/>
        <v>500</v>
      </c>
      <c r="Y114" s="861">
        <v>41.816000000000003</v>
      </c>
      <c r="Z114" s="536">
        <f t="shared" si="52"/>
        <v>42</v>
      </c>
      <c r="AA114" s="536">
        <f t="shared" si="31"/>
        <v>84</v>
      </c>
      <c r="AB114" s="861">
        <v>0</v>
      </c>
      <c r="AC114" s="536">
        <v>0</v>
      </c>
      <c r="AD114" s="536">
        <f t="shared" si="32"/>
        <v>0</v>
      </c>
      <c r="AE114" s="861">
        <v>32.703000000000003</v>
      </c>
      <c r="AF114" s="536">
        <f t="shared" si="50"/>
        <v>33</v>
      </c>
      <c r="AG114" s="536">
        <f t="shared" si="33"/>
        <v>66</v>
      </c>
      <c r="AH114" s="861">
        <v>0.9</v>
      </c>
      <c r="AI114" s="536">
        <v>0</v>
      </c>
      <c r="AJ114" s="536">
        <f t="shared" si="34"/>
        <v>0</v>
      </c>
      <c r="AK114" s="861">
        <v>7.0510000000000002</v>
      </c>
      <c r="AL114" s="730">
        <f t="shared" si="49"/>
        <v>7</v>
      </c>
      <c r="AM114" s="536">
        <f t="shared" si="35"/>
        <v>14</v>
      </c>
      <c r="AN114" s="761">
        <v>0</v>
      </c>
      <c r="AO114" s="761">
        <v>0</v>
      </c>
      <c r="AP114" s="761">
        <v>343.98</v>
      </c>
      <c r="AQ114" s="761">
        <v>26.46</v>
      </c>
      <c r="AR114" s="761">
        <v>0</v>
      </c>
      <c r="AS114" s="761">
        <v>0</v>
      </c>
      <c r="AT114" s="761">
        <v>2.4009999999999998</v>
      </c>
      <c r="AU114" s="761">
        <v>5.0999999999999997E-2</v>
      </c>
    </row>
    <row r="115" spans="1:48" ht="31.75">
      <c r="A115" s="914"/>
      <c r="B115" s="186" t="s">
        <v>396</v>
      </c>
      <c r="C115" s="186" t="s">
        <v>404</v>
      </c>
      <c r="D115" s="935">
        <v>359.44900000000001</v>
      </c>
      <c r="E115" s="195">
        <f t="shared" si="51"/>
        <v>360</v>
      </c>
      <c r="F115" s="195">
        <f t="shared" si="24"/>
        <v>720</v>
      </c>
      <c r="G115" s="935">
        <v>174.60900000000001</v>
      </c>
      <c r="H115" s="690">
        <f t="shared" si="45"/>
        <v>170</v>
      </c>
      <c r="I115" s="536">
        <f t="shared" si="25"/>
        <v>340</v>
      </c>
      <c r="J115" s="935">
        <v>19.401</v>
      </c>
      <c r="K115" s="552">
        <f t="shared" si="44"/>
        <v>19.5</v>
      </c>
      <c r="L115" s="536">
        <f t="shared" si="26"/>
        <v>39</v>
      </c>
      <c r="M115" s="935">
        <v>12.346</v>
      </c>
      <c r="N115" s="536">
        <f t="shared" si="46"/>
        <v>12</v>
      </c>
      <c r="O115" s="536">
        <f t="shared" si="27"/>
        <v>24</v>
      </c>
      <c r="P115" s="935">
        <v>0</v>
      </c>
      <c r="Q115" s="536">
        <v>0</v>
      </c>
      <c r="R115" s="536">
        <f t="shared" si="28"/>
        <v>0</v>
      </c>
      <c r="S115" s="935">
        <v>114.642</v>
      </c>
      <c r="T115" s="730">
        <f t="shared" si="47"/>
        <v>115</v>
      </c>
      <c r="U115" s="536">
        <f t="shared" si="29"/>
        <v>230</v>
      </c>
      <c r="V115" s="935">
        <v>249.209</v>
      </c>
      <c r="W115" s="536">
        <f t="shared" si="48"/>
        <v>250</v>
      </c>
      <c r="X115" s="536">
        <f t="shared" si="30"/>
        <v>500</v>
      </c>
      <c r="Y115" s="935">
        <v>42.276000000000003</v>
      </c>
      <c r="Z115" s="536">
        <f t="shared" si="52"/>
        <v>42</v>
      </c>
      <c r="AA115" s="536">
        <f t="shared" si="31"/>
        <v>84</v>
      </c>
      <c r="AB115" s="935">
        <v>2.7E-2</v>
      </c>
      <c r="AC115" s="536">
        <v>0</v>
      </c>
      <c r="AD115" s="536">
        <f t="shared" si="32"/>
        <v>0</v>
      </c>
      <c r="AE115" s="935">
        <v>33.11</v>
      </c>
      <c r="AF115" s="536">
        <f t="shared" si="50"/>
        <v>33</v>
      </c>
      <c r="AG115" s="536">
        <f t="shared" si="33"/>
        <v>66</v>
      </c>
      <c r="AH115" s="935">
        <v>0</v>
      </c>
      <c r="AI115" s="536">
        <v>0</v>
      </c>
      <c r="AJ115" s="536">
        <f t="shared" si="34"/>
        <v>0</v>
      </c>
      <c r="AK115" s="935">
        <v>7.056</v>
      </c>
      <c r="AL115" s="730">
        <f t="shared" si="49"/>
        <v>7</v>
      </c>
      <c r="AM115" s="536">
        <f t="shared" si="35"/>
        <v>14</v>
      </c>
      <c r="AN115" s="819">
        <v>0</v>
      </c>
      <c r="AO115" s="819">
        <v>0</v>
      </c>
      <c r="AP115" s="819">
        <v>344.00799999999998</v>
      </c>
      <c r="AQ115" s="819">
        <v>26.462</v>
      </c>
      <c r="AR115" s="819">
        <v>2E-3</v>
      </c>
      <c r="AS115" s="819">
        <v>1.2E-2</v>
      </c>
      <c r="AT115" s="819">
        <v>1.4379999999999999</v>
      </c>
      <c r="AU115" s="819">
        <v>3.1E-2</v>
      </c>
    </row>
    <row r="116" spans="1:48" ht="31.75">
      <c r="A116" s="914"/>
      <c r="B116" s="186" t="s">
        <v>396</v>
      </c>
      <c r="C116" s="186" t="s">
        <v>130</v>
      </c>
      <c r="D116" s="861">
        <v>360.03199999999998</v>
      </c>
      <c r="E116" s="195">
        <f t="shared" si="51"/>
        <v>360</v>
      </c>
      <c r="F116" s="195">
        <f t="shared" si="24"/>
        <v>720</v>
      </c>
      <c r="G116" s="861">
        <v>178.21600000000001</v>
      </c>
      <c r="H116" s="690">
        <f t="shared" si="45"/>
        <v>180</v>
      </c>
      <c r="I116" s="536">
        <f t="shared" si="25"/>
        <v>360</v>
      </c>
      <c r="J116" s="861">
        <v>19.802</v>
      </c>
      <c r="K116" s="552">
        <f t="shared" si="44"/>
        <v>20</v>
      </c>
      <c r="L116" s="536">
        <f t="shared" si="26"/>
        <v>40</v>
      </c>
      <c r="M116" s="861">
        <v>12.601000000000001</v>
      </c>
      <c r="N116" s="536">
        <f t="shared" si="46"/>
        <v>13</v>
      </c>
      <c r="O116" s="536">
        <f t="shared" si="27"/>
        <v>26</v>
      </c>
      <c r="P116" s="861">
        <v>0</v>
      </c>
      <c r="Q116" s="536">
        <v>0</v>
      </c>
      <c r="R116" s="536">
        <f t="shared" si="28"/>
        <v>0</v>
      </c>
      <c r="S116" s="861">
        <v>117.01</v>
      </c>
      <c r="T116" s="730">
        <f t="shared" si="47"/>
        <v>115</v>
      </c>
      <c r="U116" s="536">
        <f t="shared" si="29"/>
        <v>230</v>
      </c>
      <c r="V116" s="861">
        <v>252.023</v>
      </c>
      <c r="W116" s="536">
        <f t="shared" si="48"/>
        <v>250</v>
      </c>
      <c r="X116" s="536">
        <f t="shared" si="30"/>
        <v>500</v>
      </c>
      <c r="Y116" s="861">
        <v>41.404000000000003</v>
      </c>
      <c r="Z116" s="536">
        <f t="shared" si="52"/>
        <v>41</v>
      </c>
      <c r="AA116" s="536">
        <f t="shared" si="31"/>
        <v>82</v>
      </c>
      <c r="AB116" s="861">
        <v>0</v>
      </c>
      <c r="AC116" s="536">
        <v>0</v>
      </c>
      <c r="AD116" s="536">
        <f t="shared" si="32"/>
        <v>0</v>
      </c>
      <c r="AE116" s="861">
        <v>32.402999999999999</v>
      </c>
      <c r="AF116" s="536">
        <f t="shared" si="50"/>
        <v>32</v>
      </c>
      <c r="AG116" s="536">
        <f t="shared" si="33"/>
        <v>64</v>
      </c>
      <c r="AH116" s="861">
        <v>0</v>
      </c>
      <c r="AI116" s="536">
        <v>0</v>
      </c>
      <c r="AJ116" s="536">
        <f t="shared" si="34"/>
        <v>0</v>
      </c>
      <c r="AK116" s="861">
        <v>7.2009999999999996</v>
      </c>
      <c r="AL116" s="730">
        <f t="shared" si="49"/>
        <v>7</v>
      </c>
      <c r="AM116" s="536">
        <f t="shared" si="35"/>
        <v>14</v>
      </c>
      <c r="AN116" s="761">
        <v>0</v>
      </c>
      <c r="AO116" s="761">
        <v>0</v>
      </c>
      <c r="AP116" s="761">
        <v>351.03100000000001</v>
      </c>
      <c r="AQ116" s="761">
        <v>27.001999999999999</v>
      </c>
      <c r="AR116" s="761">
        <v>0</v>
      </c>
      <c r="AS116" s="761">
        <v>0</v>
      </c>
      <c r="AT116" s="761">
        <v>0</v>
      </c>
      <c r="AU116" s="761">
        <v>0</v>
      </c>
      <c r="AV116" s="188"/>
    </row>
    <row r="117" spans="1:48" ht="31.75">
      <c r="A117" s="914"/>
      <c r="B117" s="186" t="s">
        <v>396</v>
      </c>
      <c r="C117" s="186" t="s">
        <v>129</v>
      </c>
      <c r="D117" s="861">
        <v>378.03399999999999</v>
      </c>
      <c r="E117" s="195">
        <f t="shared" si="51"/>
        <v>380</v>
      </c>
      <c r="F117" s="195">
        <f t="shared" ref="F117" si="53">E117*2</f>
        <v>760</v>
      </c>
      <c r="G117" s="861">
        <v>162.01499999999999</v>
      </c>
      <c r="H117" s="690">
        <f t="shared" si="45"/>
        <v>160</v>
      </c>
      <c r="I117" s="536">
        <f t="shared" ref="I117" si="54">H117*2</f>
        <v>320</v>
      </c>
      <c r="J117" s="861">
        <v>18.001999999999999</v>
      </c>
      <c r="K117" s="552">
        <f t="shared" si="44"/>
        <v>18</v>
      </c>
      <c r="L117" s="536">
        <f t="shared" ref="L117" si="55">K117*2</f>
        <v>36</v>
      </c>
      <c r="M117" s="861">
        <v>10.801</v>
      </c>
      <c r="N117" s="536">
        <f t="shared" si="46"/>
        <v>11</v>
      </c>
      <c r="O117" s="536">
        <f t="shared" ref="O117" si="56">N117*2</f>
        <v>22</v>
      </c>
      <c r="P117" s="861">
        <v>0</v>
      </c>
      <c r="Q117" s="536">
        <v>0</v>
      </c>
      <c r="R117" s="536">
        <f t="shared" ref="R117" si="57">Q117*2</f>
        <v>0</v>
      </c>
      <c r="S117" s="861">
        <v>99.009</v>
      </c>
      <c r="T117" s="730">
        <f t="shared" si="47"/>
        <v>100</v>
      </c>
      <c r="U117" s="536">
        <f t="shared" ref="U117" si="58">T117*2</f>
        <v>200</v>
      </c>
      <c r="V117" s="861">
        <v>207.01900000000001</v>
      </c>
      <c r="W117" s="536">
        <f t="shared" si="48"/>
        <v>210</v>
      </c>
      <c r="X117" s="536">
        <f t="shared" ref="X117" si="59">W117*2</f>
        <v>420</v>
      </c>
      <c r="Y117" s="861">
        <v>48.603999999999999</v>
      </c>
      <c r="Z117" s="536">
        <f t="shared" si="52"/>
        <v>49</v>
      </c>
      <c r="AA117" s="536">
        <f t="shared" ref="AA117" si="60">Z117*2</f>
        <v>98</v>
      </c>
      <c r="AB117" s="861">
        <v>0</v>
      </c>
      <c r="AC117" s="536">
        <v>0</v>
      </c>
      <c r="AD117" s="536">
        <f t="shared" ref="AD117" si="61">AC117*2</f>
        <v>0</v>
      </c>
      <c r="AE117" s="861">
        <v>37.802999999999997</v>
      </c>
      <c r="AF117" s="536">
        <f t="shared" si="50"/>
        <v>38</v>
      </c>
      <c r="AG117" s="536">
        <f t="shared" ref="AG117" si="62">AF117*2</f>
        <v>76</v>
      </c>
      <c r="AH117" s="861">
        <v>0</v>
      </c>
      <c r="AI117" s="536">
        <v>0</v>
      </c>
      <c r="AJ117" s="536">
        <f t="shared" ref="AJ117" si="63">AI117*2</f>
        <v>0</v>
      </c>
      <c r="AK117" s="861">
        <v>7.2009999999999996</v>
      </c>
      <c r="AL117" s="730">
        <f t="shared" si="49"/>
        <v>7</v>
      </c>
      <c r="AM117" s="536">
        <f t="shared" ref="AM117" si="64">AL117*2</f>
        <v>14</v>
      </c>
      <c r="AN117" s="761">
        <v>0</v>
      </c>
      <c r="AO117" s="761">
        <v>0</v>
      </c>
      <c r="AP117" s="761">
        <v>234.02099999999999</v>
      </c>
      <c r="AQ117" s="761">
        <v>18.001999999999999</v>
      </c>
      <c r="AR117" s="761">
        <v>1.944</v>
      </c>
      <c r="AS117" s="761">
        <v>10.801</v>
      </c>
      <c r="AT117" s="761">
        <v>0</v>
      </c>
      <c r="AU117" s="761">
        <v>0</v>
      </c>
    </row>
    <row r="119" spans="1:48" ht="46.5" customHeight="1">
      <c r="C119" s="925" t="s">
        <v>168</v>
      </c>
      <c r="D119" s="929"/>
      <c r="E119" s="925"/>
      <c r="F119" s="925"/>
      <c r="G119" s="929"/>
      <c r="H119" s="925"/>
      <c r="I119" s="925"/>
      <c r="J119" s="929"/>
      <c r="K119" s="925"/>
      <c r="L119" s="925"/>
      <c r="M119" s="929"/>
      <c r="N119" s="925"/>
      <c r="O119" s="925"/>
      <c r="P119" s="929"/>
      <c r="Q119" s="925"/>
      <c r="R119" s="925"/>
      <c r="S119" s="929"/>
      <c r="T119" s="925"/>
      <c r="U119" s="925"/>
      <c r="V119" s="929"/>
      <c r="W119" s="925"/>
      <c r="X119" s="925"/>
      <c r="Y119" s="929"/>
      <c r="Z119" s="925"/>
      <c r="AA119" s="925"/>
      <c r="AB119" s="929"/>
      <c r="AC119" s="925"/>
      <c r="AD119" s="925"/>
      <c r="AE119" s="929"/>
      <c r="AF119" s="925"/>
      <c r="AG119" s="925"/>
      <c r="AH119" s="929"/>
      <c r="AI119" s="925"/>
      <c r="AJ119" s="925"/>
      <c r="AK119" s="929"/>
      <c r="AL119" s="925"/>
      <c r="AM119" s="925"/>
      <c r="AN119" s="925"/>
      <c r="AO119" s="925"/>
      <c r="AP119" s="925"/>
      <c r="AQ119" s="925"/>
      <c r="AR119" s="925"/>
      <c r="AS119" s="925"/>
      <c r="AT119" s="925"/>
      <c r="AU119" s="925"/>
    </row>
    <row r="121" spans="1:48" ht="15.75" hidden="1" customHeight="1">
      <c r="C121" s="191" t="s">
        <v>362</v>
      </c>
      <c r="D121" s="867">
        <f>SUM(AVERAGE(D5:D60),AVERAGE(D94:D117))</f>
        <v>438.0682023809523</v>
      </c>
      <c r="E121" s="191"/>
      <c r="F121" s="191"/>
      <c r="G121" s="867">
        <f>SUM(AVERAGE(G5:G60),AVERAGE(G94:G117))</f>
        <v>167.33438690476189</v>
      </c>
      <c r="H121" s="191"/>
      <c r="I121" s="191"/>
      <c r="J121" s="867">
        <f>SUM(AVERAGE(J5:J60),AVERAGE(J94:J117))</f>
        <v>18.600869047619046</v>
      </c>
      <c r="K121" s="191"/>
      <c r="L121" s="191"/>
      <c r="M121" s="867">
        <f>SUM(AVERAGE(M5:M60),AVERAGE(M94:M117))</f>
        <v>11.705571428571426</v>
      </c>
      <c r="N121" s="191"/>
      <c r="O121" s="191"/>
      <c r="P121" s="867">
        <f>SUM(AVERAGE(P5:P60),AVERAGE(P94:P117))</f>
        <v>3.7499999999999995E-4</v>
      </c>
      <c r="Q121" s="191"/>
      <c r="R121" s="191"/>
      <c r="S121" s="867">
        <f>SUM(AVERAGE(S5:S60),AVERAGE(S94:S117))</f>
        <v>108.28583333333334</v>
      </c>
      <c r="T121" s="191"/>
      <c r="U121" s="191"/>
      <c r="V121" s="867">
        <f>SUM(AVERAGE(V5:V60),AVERAGE(V94:V117))</f>
        <v>258.83370238095239</v>
      </c>
      <c r="W121" s="191"/>
      <c r="X121" s="191"/>
      <c r="Y121" s="867">
        <f>SUM(AVERAGE(Y5:Y60),AVERAGE(Y94:Y117))</f>
        <v>62.928628151260497</v>
      </c>
      <c r="Z121" s="191"/>
      <c r="AA121" s="191"/>
      <c r="AB121" s="867">
        <f>SUM(AVERAGE(AB5:AB60),AVERAGE(AB94:AB117))</f>
        <v>2.8482142857142859E-2</v>
      </c>
      <c r="AC121" s="191"/>
      <c r="AD121" s="191"/>
      <c r="AE121" s="867">
        <f>SUM(AVERAGE(AE5:AE60),AVERAGE(AE94:AE117))</f>
        <v>51.642726190476196</v>
      </c>
      <c r="AF121" s="191"/>
      <c r="AG121" s="191"/>
      <c r="AH121" s="867">
        <f>SUM(AVERAGE(AH5:AH60),AVERAGE(AH94:AH117))</f>
        <v>19.33441071428571</v>
      </c>
      <c r="AI121" s="191"/>
      <c r="AJ121" s="191"/>
      <c r="AK121" s="867">
        <f>SUM(AVERAGE(AK5:AK60),AVERAGE(AK94:AK117))</f>
        <v>6.9056249999999979</v>
      </c>
      <c r="AL121" s="191"/>
      <c r="AM121" s="191"/>
      <c r="AN121" s="191">
        <f t="shared" ref="AN121:AU121" si="65">SUM(AVERAGE(AN5:AN60),AVERAGE(AN94:AN117))</f>
        <v>4.2499999999999994E-3</v>
      </c>
      <c r="AO121" s="191">
        <f t="shared" si="65"/>
        <v>2.1232142857142859E-2</v>
      </c>
      <c r="AP121" s="191">
        <f t="shared" si="65"/>
        <v>316.11338690476185</v>
      </c>
      <c r="AQ121" s="191">
        <f t="shared" si="65"/>
        <v>24.316369047619045</v>
      </c>
      <c r="AR121" s="191">
        <f t="shared" si="65"/>
        <v>0.4184166666666666</v>
      </c>
      <c r="AS121" s="191">
        <f t="shared" si="65"/>
        <v>2.3243273809523814</v>
      </c>
      <c r="AT121" s="191">
        <f t="shared" si="65"/>
        <v>6.9127142857142863</v>
      </c>
      <c r="AU121" s="191">
        <f t="shared" si="65"/>
        <v>0.14709523809523808</v>
      </c>
    </row>
    <row r="122" spans="1:48" ht="31.5" hidden="1" customHeight="1">
      <c r="C122" s="191" t="s">
        <v>363</v>
      </c>
      <c r="D122" s="867" t="str">
        <f xml:space="preserve"> ROUND(MIN(D5:D60)+MIN(D94:D117), 0) &amp; " - " &amp; ROUND(MAX(D5:D60)+MAX(D94:D117),0)</f>
        <v>380 - 490</v>
      </c>
      <c r="E122" s="191"/>
      <c r="F122" s="191"/>
      <c r="G122" s="867" t="str">
        <f xml:space="preserve"> ROUND(MIN(G5:G60)+MIN(G94:G117), 0) &amp; " - " &amp; ROUND(MAX(G5:G60)+MAX(G94:G117),0)</f>
        <v>124 - 183</v>
      </c>
      <c r="H122" s="191"/>
      <c r="I122" s="191"/>
      <c r="J122" s="867" t="str">
        <f xml:space="preserve"> ROUND(MIN(J5:J60)+MIN(J94:J117), 0) &amp; " - " &amp; ROUND(MAX(J5:J60)+MAX(J94:J117),0)</f>
        <v>14 - 20</v>
      </c>
      <c r="K122" s="191"/>
      <c r="L122" s="191"/>
      <c r="M122" s="867" t="str">
        <f xml:space="preserve"> ROUND(MIN(M5:M60)+MIN(M94:M117), 0) &amp; " - " &amp; ROUND(MAX(M5:M60)+MAX(M94:M117),0)</f>
        <v>9 - 13</v>
      </c>
      <c r="N122" s="191"/>
      <c r="O122" s="191"/>
      <c r="P122" s="867" t="str">
        <f xml:space="preserve"> ROUND(MIN(P5:P60)+MIN(P94:P117), 0) &amp; " - " &amp; ROUND(MAX(P5:P60)+MAX(P94:P117),0)</f>
        <v>0 - 0</v>
      </c>
      <c r="Q122" s="191"/>
      <c r="R122" s="191"/>
      <c r="S122" s="867" t="str">
        <f xml:space="preserve"> ROUND(MIN(S5:S60)+MIN(S94:S117), 0) &amp; " - " &amp; ROUND(MAX(S5:S60)+MAX(S94:S117),0)</f>
        <v>82 - 117</v>
      </c>
      <c r="T122" s="191"/>
      <c r="U122" s="191"/>
      <c r="V122" s="867" t="str">
        <f xml:space="preserve"> ROUND(MIN(V5:V60)+MIN(V94:V117), 0) &amp; " - " &amp; ROUND(MAX(V5:V60)+MAX(V94:V117),0)</f>
        <v>203 - 564</v>
      </c>
      <c r="W122" s="191"/>
      <c r="X122" s="191"/>
      <c r="Y122" s="867" t="str">
        <f xml:space="preserve"> ROUND(MIN(Y5:Y60)+MIN(Y94:Y117), 0) &amp; " - " &amp; ROUND(MAX(Y5:Y60)+MAX(Y94:Y117),0)</f>
        <v>40 - 76</v>
      </c>
      <c r="Z122" s="191"/>
      <c r="AA122" s="191"/>
      <c r="AB122" s="867" t="str">
        <f xml:space="preserve"> ROUND(MIN(AB5:AB60)+MIN(AB94:AB117), 0) &amp; " - " &amp; ROUND(MAX(AB5:AB60)+MAX(AB94:AB117),0)</f>
        <v>0 - 0</v>
      </c>
      <c r="AC122" s="191"/>
      <c r="AD122" s="191"/>
      <c r="AE122" s="867" t="str">
        <f xml:space="preserve"> ROUND(MIN(AE5:AE60)+MIN(AE94:AE117), 0) &amp; " - " &amp; ROUND(MAX(AE5:AE60)+MAX(AE94:AE117),0)</f>
        <v>32 - 61</v>
      </c>
      <c r="AF122" s="191"/>
      <c r="AG122" s="191"/>
      <c r="AH122" s="867" t="str">
        <f xml:space="preserve"> ROUND(MIN(AH5:AH60)+MIN(AH94:AH117), 0) &amp; " - " &amp; ROUND(MAX(AH5:AH60)+MAX(AH94:AH117),0)</f>
        <v>0 - 36</v>
      </c>
      <c r="AI122" s="191"/>
      <c r="AJ122" s="191"/>
      <c r="AK122" s="867" t="str">
        <f xml:space="preserve"> ROUND(MIN(AK5:AK60)+MIN(AK94:AK117), 0) &amp; " - " &amp; ROUND(MAX(AK5:AK60)+MAX(AK94:AK117),0)</f>
        <v>5 - 7</v>
      </c>
      <c r="AL122" s="191"/>
      <c r="AM122" s="191"/>
      <c r="AN122" s="191" t="str">
        <f t="shared" ref="AN122:AU122" si="66" xml:space="preserve"> ROUND(MIN(AN5:AN60)+MIN(AN94:AN117), 0) &amp; " - " &amp; ROUND(MAX(AN5:AN60)+MAX(AN94:AN117),0)</f>
        <v>0 - 0</v>
      </c>
      <c r="AO122" s="191" t="str">
        <f t="shared" si="66"/>
        <v>0 - 1</v>
      </c>
      <c r="AP122" s="191" t="str">
        <f t="shared" si="66"/>
        <v>224 - 361</v>
      </c>
      <c r="AQ122" s="191" t="str">
        <f t="shared" si="66"/>
        <v>17 - 28</v>
      </c>
      <c r="AR122" s="191" t="str">
        <f t="shared" si="66"/>
        <v>0 - 2</v>
      </c>
      <c r="AS122" s="191" t="str">
        <f t="shared" si="66"/>
        <v>0 - 12</v>
      </c>
      <c r="AT122" s="191" t="str">
        <f t="shared" si="66"/>
        <v>0 - 35</v>
      </c>
      <c r="AU122" s="191" t="str">
        <f t="shared" si="66"/>
        <v>0 - 1</v>
      </c>
    </row>
    <row r="123" spans="1:48" ht="15.75" hidden="1" customHeight="1">
      <c r="C123" s="191" t="s">
        <v>364</v>
      </c>
      <c r="D123" s="867" t="e">
        <f>SUM(AVERAGE(#REF!), AVERAGE(D94:D117))</f>
        <v>#REF!</v>
      </c>
      <c r="E123" s="191"/>
      <c r="F123" s="191"/>
      <c r="G123" s="867" t="e">
        <f>SUM(AVERAGE(#REF!), AVERAGE(G94:G117))</f>
        <v>#REF!</v>
      </c>
      <c r="H123" s="191"/>
      <c r="I123" s="191"/>
      <c r="J123" s="867" t="e">
        <f>SUM(AVERAGE(#REF!), AVERAGE(J94:J117))</f>
        <v>#REF!</v>
      </c>
      <c r="K123" s="191"/>
      <c r="L123" s="191"/>
      <c r="M123" s="867" t="e">
        <f>SUM(AVERAGE(#REF!), AVERAGE(M94:M117))</f>
        <v>#REF!</v>
      </c>
      <c r="N123" s="191"/>
      <c r="O123" s="191"/>
      <c r="P123" s="867" t="e">
        <f>SUM(AVERAGE(#REF!), AVERAGE(P94:P117))</f>
        <v>#REF!</v>
      </c>
      <c r="Q123" s="191"/>
      <c r="R123" s="191"/>
      <c r="S123" s="867" t="e">
        <f>SUM(AVERAGE(#REF!), AVERAGE(S94:S117))</f>
        <v>#REF!</v>
      </c>
      <c r="T123" s="191"/>
      <c r="U123" s="191"/>
      <c r="V123" s="867" t="e">
        <f>SUM(AVERAGE(#REF!), AVERAGE(V94:V117))</f>
        <v>#REF!</v>
      </c>
      <c r="W123" s="191"/>
      <c r="X123" s="191"/>
      <c r="Y123" s="867" t="e">
        <f>SUM(AVERAGE(#REF!), AVERAGE(Y94:Y117))</f>
        <v>#REF!</v>
      </c>
      <c r="Z123" s="191"/>
      <c r="AA123" s="191"/>
      <c r="AB123" s="867" t="e">
        <f>SUM(AVERAGE(#REF!), AVERAGE(AB94:AB117))</f>
        <v>#REF!</v>
      </c>
      <c r="AC123" s="191"/>
      <c r="AD123" s="191"/>
      <c r="AE123" s="867" t="e">
        <f>SUM(AVERAGE(#REF!), AVERAGE(AE94:AE117))</f>
        <v>#REF!</v>
      </c>
      <c r="AF123" s="191"/>
      <c r="AG123" s="191"/>
      <c r="AH123" s="867" t="e">
        <f>SUM(AVERAGE(#REF!), AVERAGE(AH94:AH117))</f>
        <v>#REF!</v>
      </c>
      <c r="AI123" s="191"/>
      <c r="AJ123" s="191"/>
      <c r="AK123" s="867" t="e">
        <f>SUM(AVERAGE(#REF!), AVERAGE(AK94:AK117))</f>
        <v>#REF!</v>
      </c>
      <c r="AL123" s="191"/>
      <c r="AM123" s="191"/>
      <c r="AN123" s="191" t="e">
        <f>SUM(AVERAGE(#REF!), AVERAGE(AN94:AN117))</f>
        <v>#REF!</v>
      </c>
      <c r="AO123" s="191" t="e">
        <f>SUM(AVERAGE(#REF!), AVERAGE(AO94:AO117))</f>
        <v>#REF!</v>
      </c>
      <c r="AP123" s="191" t="e">
        <f>SUM(AVERAGE(#REF!), AVERAGE(AP94:AP117))</f>
        <v>#REF!</v>
      </c>
      <c r="AQ123" s="191" t="e">
        <f>SUM(AVERAGE(#REF!), AVERAGE(AQ94:AQ117))</f>
        <v>#REF!</v>
      </c>
      <c r="AR123" s="191" t="e">
        <f>SUM(AVERAGE(#REF!), AVERAGE(AR94:AR117))</f>
        <v>#REF!</v>
      </c>
      <c r="AS123" s="191" t="e">
        <f>SUM(AVERAGE(#REF!), AVERAGE(AS94:AS117))</f>
        <v>#REF!</v>
      </c>
      <c r="AT123" s="191" t="e">
        <f>SUM(AVERAGE(#REF!), AVERAGE(AT94:AT117))</f>
        <v>#REF!</v>
      </c>
      <c r="AU123" s="191" t="e">
        <f>SUM(AVERAGE(#REF!), AVERAGE(AU94:AU117))</f>
        <v>#REF!</v>
      </c>
    </row>
    <row r="124" spans="1:48" ht="31.5" hidden="1" customHeight="1">
      <c r="C124" s="191" t="s">
        <v>365</v>
      </c>
      <c r="D124" s="867" t="e">
        <f xml:space="preserve"> ROUND(MIN(#REF!)+MIN(D94:D117),0) &amp; " - " &amp; ROUND(MAX(#REF!)+MAX(D94:D117),0)</f>
        <v>#REF!</v>
      </c>
      <c r="E124" s="191"/>
      <c r="F124" s="191"/>
      <c r="G124" s="867" t="e">
        <f xml:space="preserve"> ROUND(MIN(#REF!)+MIN(G94:G117),0) &amp; " - " &amp; ROUND(MAX(#REF!)+MAX(G94:G117),0)</f>
        <v>#REF!</v>
      </c>
      <c r="H124" s="191"/>
      <c r="I124" s="191"/>
      <c r="J124" s="867" t="e">
        <f xml:space="preserve"> ROUND(MIN(#REF!)+MIN(J94:J117),0) &amp; " - " &amp; ROUND(MAX(#REF!)+MAX(J94:J117),0)</f>
        <v>#REF!</v>
      </c>
      <c r="K124" s="191"/>
      <c r="L124" s="191"/>
      <c r="M124" s="867" t="e">
        <f xml:space="preserve"> ROUND(MIN(#REF!)+MIN(M94:M117),0) &amp; " - " &amp; ROUND(MAX(#REF!)+MAX(M94:M117),0)</f>
        <v>#REF!</v>
      </c>
      <c r="N124" s="191"/>
      <c r="O124" s="191"/>
      <c r="P124" s="867" t="e">
        <f xml:space="preserve"> ROUND(MIN(#REF!)+MIN(P94:P117),0) &amp; " - " &amp; ROUND(MAX(#REF!)+MAX(P94:P117),0)</f>
        <v>#REF!</v>
      </c>
      <c r="Q124" s="191"/>
      <c r="R124" s="191"/>
      <c r="S124" s="867" t="e">
        <f xml:space="preserve"> ROUND(MIN(#REF!)+MIN(S94:S117),0) &amp; " - " &amp; ROUND(MAX(#REF!)+MAX(S94:S117),0)</f>
        <v>#REF!</v>
      </c>
      <c r="T124" s="191"/>
      <c r="U124" s="191"/>
      <c r="V124" s="867" t="e">
        <f xml:space="preserve"> ROUND(MIN(#REF!)+MIN(V94:V117),0) &amp; " - " &amp; ROUND(MAX(#REF!)+MAX(V94:V117),0)</f>
        <v>#REF!</v>
      </c>
      <c r="W124" s="191"/>
      <c r="X124" s="191"/>
      <c r="Y124" s="867" t="e">
        <f xml:space="preserve"> ROUND(MIN(#REF!)+MIN(Y94:Y117),0) &amp; " - " &amp; ROUND(MAX(#REF!)+MAX(Y94:Y117),0)</f>
        <v>#REF!</v>
      </c>
      <c r="Z124" s="191"/>
      <c r="AA124" s="191"/>
      <c r="AB124" s="867" t="e">
        <f xml:space="preserve"> ROUND(MIN(#REF!)+MIN(AB94:AB117),0) &amp; " - " &amp; ROUND(MAX(#REF!)+MAX(AB94:AB117),0)</f>
        <v>#REF!</v>
      </c>
      <c r="AC124" s="191"/>
      <c r="AD124" s="191"/>
      <c r="AE124" s="867" t="e">
        <f xml:space="preserve"> ROUND(MIN(#REF!)+MIN(AE94:AE117),0) &amp; " - " &amp; ROUND(MAX(#REF!)+MAX(AE94:AE117),0)</f>
        <v>#REF!</v>
      </c>
      <c r="AF124" s="191"/>
      <c r="AG124" s="191"/>
      <c r="AH124" s="867" t="e">
        <f xml:space="preserve"> ROUND(MIN(#REF!)+MIN(AH94:AH117),0) &amp; " - " &amp; ROUND(MAX(#REF!)+MAX(AH94:AH117),0)</f>
        <v>#REF!</v>
      </c>
      <c r="AI124" s="191"/>
      <c r="AJ124" s="191"/>
      <c r="AK124" s="867" t="e">
        <f xml:space="preserve"> ROUND(MIN(#REF!)+MIN(AK94:AK117),0) &amp; " - " &amp; ROUND(MAX(#REF!)+MAX(AK94:AK117),0)</f>
        <v>#REF!</v>
      </c>
      <c r="AL124" s="191"/>
      <c r="AM124" s="191"/>
      <c r="AN124" s="191" t="e">
        <f xml:space="preserve"> ROUND(MIN(#REF!)+MIN(AN94:AN117),0) &amp; " - " &amp; ROUND(MAX(#REF!)+MAX(AN94:AN117),0)</f>
        <v>#REF!</v>
      </c>
      <c r="AO124" s="191" t="e">
        <f xml:space="preserve"> ROUND(MIN(#REF!)+MIN(AO94:AO117),0) &amp; " - " &amp; ROUND(MAX(#REF!)+MAX(AO94:AO117),0)</f>
        <v>#REF!</v>
      </c>
      <c r="AP124" s="191" t="e">
        <f xml:space="preserve"> ROUND(MIN(#REF!)+MIN(AP94:AP117),0) &amp; " - " &amp; ROUND(MAX(#REF!)+MAX(AP94:AP117),0)</f>
        <v>#REF!</v>
      </c>
      <c r="AQ124" s="191" t="e">
        <f xml:space="preserve"> ROUND(MIN(#REF!)+MIN(AQ94:AQ117),0) &amp; " - " &amp; ROUND(MAX(#REF!)+MAX(AQ94:AQ117),0)</f>
        <v>#REF!</v>
      </c>
      <c r="AR124" s="191" t="e">
        <f xml:space="preserve"> ROUND(MIN(#REF!)+MIN(AR94:AR117),0) &amp; " - " &amp; ROUND(MAX(#REF!)+MAX(AR94:AR117),0)</f>
        <v>#REF!</v>
      </c>
      <c r="AS124" s="191" t="e">
        <f xml:space="preserve"> ROUND(MIN(#REF!)+MIN(AS94:AS117),0) &amp; " - " &amp; ROUND(MAX(#REF!)+MAX(AS94:AS117),0)</f>
        <v>#REF!</v>
      </c>
      <c r="AT124" s="191" t="e">
        <f xml:space="preserve"> ROUND(MIN(#REF!)+MIN(AT94:AT117),0) &amp; " - " &amp; ROUND(MAX(#REF!)+MAX(AT94:AT117),0)</f>
        <v>#REF!</v>
      </c>
      <c r="AU124" s="191" t="e">
        <f xml:space="preserve"> ROUND(MIN(#REF!)+MIN(AU94:AU117),0) &amp; " - " &amp; ROUND(MAX(#REF!)+MAX(AU94:AU117),0)</f>
        <v>#REF!</v>
      </c>
    </row>
    <row r="125" spans="1:48" ht="15.75" hidden="1" customHeight="1">
      <c r="C125" s="191" t="s">
        <v>366</v>
      </c>
      <c r="D125" s="867">
        <f>SUM(AVERAGE(D61:D87),AVERAGE(D94:D117))</f>
        <v>458.50508796296288</v>
      </c>
      <c r="E125" s="191"/>
      <c r="F125" s="191"/>
      <c r="G125" s="867">
        <f>SUM(AVERAGE(G61:G87),AVERAGE(G94:G117))</f>
        <v>170.06471759259256</v>
      </c>
      <c r="H125" s="191"/>
      <c r="I125" s="191"/>
      <c r="J125" s="867">
        <f>SUM(AVERAGE(J61:J87),AVERAGE(J94:J117))</f>
        <v>19.634930555555556</v>
      </c>
      <c r="K125" s="191"/>
      <c r="L125" s="191"/>
      <c r="M125" s="867">
        <f>SUM(AVERAGE(M61:M87),AVERAGE(M94:M117))</f>
        <v>12.557611111111108</v>
      </c>
      <c r="N125" s="191"/>
      <c r="O125" s="191"/>
      <c r="P125" s="867">
        <f>SUM(AVERAGE(P61:P87),AVERAGE(P94:P117))</f>
        <v>5.1111111111111114E-3</v>
      </c>
      <c r="Q125" s="191"/>
      <c r="R125" s="191"/>
      <c r="S125" s="867">
        <f>SUM(AVERAGE(S61:S87),AVERAGE(S94:S117))</f>
        <v>108.57194444444445</v>
      </c>
      <c r="T125" s="191"/>
      <c r="U125" s="191"/>
      <c r="V125" s="867">
        <f>SUM(AVERAGE(V61:V87),AVERAGE(V94:V117))</f>
        <v>264.33332407407408</v>
      </c>
      <c r="W125" s="191"/>
      <c r="X125" s="191"/>
      <c r="Y125" s="867">
        <f>SUM(AVERAGE(Y61:Y87),AVERAGE(Y94:Y117))</f>
        <v>66.347875000000002</v>
      </c>
      <c r="Z125" s="191"/>
      <c r="AA125" s="191"/>
      <c r="AB125" s="867">
        <f>SUM(AVERAGE(AB61:AB87),AVERAGE(AB94:AB117))</f>
        <v>0.12538425925925925</v>
      </c>
      <c r="AC125" s="191"/>
      <c r="AD125" s="191"/>
      <c r="AE125" s="867">
        <f>SUM(AVERAGE(AE61:AE87),AVERAGE(AE94:AE117))</f>
        <v>54.741648148148158</v>
      </c>
      <c r="AF125" s="191"/>
      <c r="AG125" s="191"/>
      <c r="AH125" s="867">
        <f>SUM(AVERAGE(AH61:AH87),AVERAGE(AH94:AH117))</f>
        <v>21.999319444444446</v>
      </c>
      <c r="AI125" s="191"/>
      <c r="AJ125" s="191"/>
      <c r="AK125" s="867">
        <f>SUM(AVERAGE(AK61:AK87),AVERAGE(AK94:AK117))</f>
        <v>7.0623981481481461</v>
      </c>
      <c r="AL125" s="191"/>
      <c r="AM125" s="191"/>
      <c r="AN125" s="191">
        <f t="shared" ref="AN125:AU125" si="67">SUM(AVERAGE(AN61:AN87),AVERAGE(AN94:AN117))</f>
        <v>7.7777777777777784E-4</v>
      </c>
      <c r="AO125" s="191">
        <f t="shared" si="67"/>
        <v>4.0370370370370369E-3</v>
      </c>
      <c r="AP125" s="191">
        <f t="shared" si="67"/>
        <v>317.58416666666659</v>
      </c>
      <c r="AQ125" s="191">
        <f t="shared" si="67"/>
        <v>24.429615740740736</v>
      </c>
      <c r="AR125" s="191">
        <f t="shared" si="67"/>
        <v>0.49749999999999994</v>
      </c>
      <c r="AS125" s="191">
        <f t="shared" si="67"/>
        <v>2.7634212962962965</v>
      </c>
      <c r="AT125" s="191">
        <f t="shared" si="67"/>
        <v>14.194393518518517</v>
      </c>
      <c r="AU125" s="191">
        <f t="shared" si="67"/>
        <v>0.30195370370370367</v>
      </c>
    </row>
    <row r="126" spans="1:48" ht="31.5" hidden="1" customHeight="1">
      <c r="C126" s="191" t="s">
        <v>367</v>
      </c>
      <c r="D126" s="867" t="str">
        <f xml:space="preserve"> ROUND(MIN(D61:D87)+MIN(D94:D117),0) &amp; " - " &amp; ROUND(MAX(D61:D87)+MAX(D94:D117),0)</f>
        <v>382 - 496</v>
      </c>
      <c r="E126" s="191"/>
      <c r="F126" s="191"/>
      <c r="G126" s="867" t="str">
        <f xml:space="preserve"> ROUND(MIN(G61:G87)+MIN(G94:G117),0) &amp; " - " &amp; ROUND(MAX(G61:G87)+MAX(G94:G117),0)</f>
        <v>124 - 186</v>
      </c>
      <c r="H126" s="191"/>
      <c r="I126" s="191"/>
      <c r="J126" s="867" t="str">
        <f xml:space="preserve"> ROUND(MIN(J61:J87)+MIN(J94:J117),0) &amp; " - " &amp; ROUND(MAX(J61:J87)+MAX(J94:J117),0)</f>
        <v>14 - 22</v>
      </c>
      <c r="K126" s="191"/>
      <c r="L126" s="191"/>
      <c r="M126" s="867" t="str">
        <f xml:space="preserve"> ROUND(MIN(M61:M87)+MIN(M94:M117),0) &amp; " - " &amp; ROUND(MAX(M61:M87)+MAX(M94:M117),0)</f>
        <v>9 - 14</v>
      </c>
      <c r="N126" s="191"/>
      <c r="O126" s="191"/>
      <c r="P126" s="867" t="str">
        <f xml:space="preserve"> ROUND(MIN(P61:P87)+MIN(P94:P117),0) &amp; " - " &amp; ROUND(MAX(P61:P87)+MAX(P94:P117),0)</f>
        <v>0 - 0</v>
      </c>
      <c r="Q126" s="191"/>
      <c r="R126" s="191"/>
      <c r="S126" s="867" t="str">
        <f xml:space="preserve"> ROUND(MIN(S61:S87)+MIN(S94:S117),0) &amp; " - " &amp; ROUND(MAX(S61:S87)+MAX(S94:S117),0)</f>
        <v>82 - 119</v>
      </c>
      <c r="T126" s="191"/>
      <c r="U126" s="191"/>
      <c r="V126" s="867" t="str">
        <f xml:space="preserve"> ROUND(MIN(V61:V87)+MIN(V94:V117),0) &amp; " - " &amp; ROUND(MAX(V61:V87)+MAX(V94:V117),0)</f>
        <v>208 - 352</v>
      </c>
      <c r="W126" s="191"/>
      <c r="X126" s="191"/>
      <c r="Y126" s="867" t="str">
        <f xml:space="preserve"> ROUND(MIN(Y61:Y87)+MIN(Y94:Y117),0) &amp; " - " &amp; ROUND(MAX(Y61:Y87)+MAX(Y94:Y117),0)</f>
        <v>54 - 77</v>
      </c>
      <c r="Z126" s="191"/>
      <c r="AA126" s="191"/>
      <c r="AB126" s="867" t="str">
        <f xml:space="preserve"> ROUND(MIN(AB61:AB87)+MIN(AB94:AB117),0) &amp; " - " &amp; ROUND(MAX(AB61:AB87)+MAX(AB94:AB117),0)</f>
        <v>0 - 0</v>
      </c>
      <c r="AC126" s="191"/>
      <c r="AD126" s="191"/>
      <c r="AE126" s="867" t="str">
        <f xml:space="preserve"> ROUND(MIN(AE61:AE87)+MIN(AE94:AE117),0) &amp; " - " &amp; ROUND(MAX(AE61:AE87)+MAX(AE94:AE117),0)</f>
        <v>32 - 64</v>
      </c>
      <c r="AF126" s="191"/>
      <c r="AG126" s="191"/>
      <c r="AH126" s="867" t="str">
        <f xml:space="preserve"> ROUND(MIN(AH61:AH87)+MIN(AH94:AH117),0) &amp; " - " &amp; ROUND(MAX(AH61:AH87)+MAX(AH94:AH117),0)</f>
        <v>0 - 40</v>
      </c>
      <c r="AI126" s="191"/>
      <c r="AJ126" s="191"/>
      <c r="AK126" s="867" t="str">
        <f xml:space="preserve"> ROUND(MIN(AK61:AK87)+MIN(AK94:AK117),0) &amp; " - " &amp; ROUND(MAX(AK61:AK87)+MAX(AK94:AK117),0)</f>
        <v>5 - 8</v>
      </c>
      <c r="AL126" s="191"/>
      <c r="AM126" s="191"/>
      <c r="AN126" s="191" t="str">
        <f t="shared" ref="AN126:AU126" si="68" xml:space="preserve"> ROUND(MIN(AN61:AN87)+MIN(AN94:AN117),0) &amp; " - " &amp; ROUND(MAX(AN61:AN87)+MAX(AN94:AN117),0)</f>
        <v>0 - 0</v>
      </c>
      <c r="AO126" s="191" t="str">
        <f t="shared" si="68"/>
        <v>0 - 0</v>
      </c>
      <c r="AP126" s="191" t="str">
        <f t="shared" si="68"/>
        <v>226 - 368</v>
      </c>
      <c r="AQ126" s="191" t="str">
        <f t="shared" si="68"/>
        <v>17 - 28</v>
      </c>
      <c r="AR126" s="191" t="str">
        <f t="shared" si="68"/>
        <v>0 - 2</v>
      </c>
      <c r="AS126" s="191" t="str">
        <f t="shared" si="68"/>
        <v>0 - 12</v>
      </c>
      <c r="AT126" s="191" t="str">
        <f t="shared" si="68"/>
        <v>0 - 48</v>
      </c>
      <c r="AU126" s="191" t="str">
        <f t="shared" si="68"/>
        <v>0 - 1</v>
      </c>
    </row>
    <row r="127" spans="1:48" ht="15.75" hidden="1" customHeight="1">
      <c r="C127" s="191" t="s">
        <v>368</v>
      </c>
      <c r="D127" s="867">
        <f>SUM(AVERAGE(D88:D93), AVERAGE(D94:D117))</f>
        <v>476.60979166666658</v>
      </c>
      <c r="E127" s="191"/>
      <c r="F127" s="191"/>
      <c r="G127" s="867">
        <f>SUM(AVERAGE(G88:G93), AVERAGE(G94:G117))</f>
        <v>175.61345833333331</v>
      </c>
      <c r="H127" s="191"/>
      <c r="I127" s="191"/>
      <c r="J127" s="867">
        <f>SUM(AVERAGE(J88:J93), AVERAGE(J94:J117))</f>
        <v>20.581875</v>
      </c>
      <c r="K127" s="191"/>
      <c r="L127" s="191"/>
      <c r="M127" s="867">
        <f>SUM(AVERAGE(M88:M93), AVERAGE(M94:M117))</f>
        <v>12.798666666666664</v>
      </c>
      <c r="N127" s="191"/>
      <c r="O127" s="191"/>
      <c r="P127" s="867">
        <f>SUM(AVERAGE(P88:P93), AVERAGE(P94:P117))</f>
        <v>4.4999999999999997E-3</v>
      </c>
      <c r="Q127" s="191"/>
      <c r="R127" s="191"/>
      <c r="S127" s="867">
        <f>SUM(AVERAGE(S88:S93), AVERAGE(S94:S117))</f>
        <v>108.70383333333335</v>
      </c>
      <c r="T127" s="191"/>
      <c r="U127" s="191"/>
      <c r="V127" s="867">
        <f>SUM(AVERAGE(V88:V93), AVERAGE(V94:V117))</f>
        <v>270.00141666666667</v>
      </c>
      <c r="W127" s="191"/>
      <c r="X127" s="191"/>
      <c r="Y127" s="867">
        <f>SUM(AVERAGE(Y88:Y93), AVERAGE(Y94:Y117))</f>
        <v>69.783708333333337</v>
      </c>
      <c r="Z127" s="191"/>
      <c r="AA127" s="191"/>
      <c r="AB127" s="867">
        <f>SUM(AVERAGE(AB88:AB93), AVERAGE(AB94:AB117))</f>
        <v>0.40495833333333331</v>
      </c>
      <c r="AC127" s="191"/>
      <c r="AD127" s="191"/>
      <c r="AE127" s="867">
        <f>SUM(AVERAGE(AE88:AE93), AVERAGE(AE94:AE117))</f>
        <v>58.312333333333335</v>
      </c>
      <c r="AF127" s="191"/>
      <c r="AG127" s="191"/>
      <c r="AH127" s="867">
        <f>SUM(AVERAGE(AH88:AH93), AVERAGE(AH94:AH117))</f>
        <v>25.121041666666663</v>
      </c>
      <c r="AI127" s="191"/>
      <c r="AJ127" s="191"/>
      <c r="AK127" s="867">
        <f>SUM(AVERAGE(AK88:AK93), AVERAGE(AK94:AK117))</f>
        <v>7.4219166666666645</v>
      </c>
      <c r="AL127" s="191"/>
      <c r="AM127" s="191"/>
      <c r="AN127" s="191">
        <f t="shared" ref="AN127:AU127" si="69">SUM(AVERAGE(AN88:AN93), AVERAGE(AN94:AN117))</f>
        <v>3.166666666666667E-3</v>
      </c>
      <c r="AO127" s="191">
        <f t="shared" si="69"/>
        <v>1.5833333333333335E-2</v>
      </c>
      <c r="AP127" s="191">
        <f t="shared" si="69"/>
        <v>319.23166666666657</v>
      </c>
      <c r="AQ127" s="191">
        <f t="shared" si="69"/>
        <v>24.556208333333331</v>
      </c>
      <c r="AR127" s="191">
        <f t="shared" si="69"/>
        <v>0.70616666666666661</v>
      </c>
      <c r="AS127" s="191">
        <f t="shared" si="69"/>
        <v>3.9234583333333335</v>
      </c>
      <c r="AT127" s="191">
        <f t="shared" si="69"/>
        <v>35.148208333333329</v>
      </c>
      <c r="AU127" s="191">
        <f t="shared" si="69"/>
        <v>0.74808333333333343</v>
      </c>
    </row>
    <row r="128" spans="1:48" ht="31.5" hidden="1" customHeight="1">
      <c r="A128" s="223"/>
      <c r="B128" s="223"/>
      <c r="C128" s="191" t="s">
        <v>369</v>
      </c>
      <c r="D128" s="867" t="str">
        <f>ROUND( MIN(D88:D93)+MIN(D94:D117),0) &amp; " - " &amp; ROUND(MAX(D88:D93)+MAX(D94:D117),0)</f>
        <v>440 - 505</v>
      </c>
      <c r="E128" s="191"/>
      <c r="F128" s="191"/>
      <c r="G128" s="867" t="str">
        <f>ROUND( MIN(G88:G93)+MIN(G94:G117),0) &amp; " - " &amp; ROUND(MAX(G88:G93)+MAX(G94:G117),0)</f>
        <v>126 - 196</v>
      </c>
      <c r="H128" s="191"/>
      <c r="I128" s="191"/>
      <c r="J128" s="867" t="str">
        <f>ROUND( MIN(J88:J93)+MIN(J94:J117),0) &amp; " - " &amp; ROUND(MAX(J88:J93)+MAX(J94:J117),0)</f>
        <v>15 - 23</v>
      </c>
      <c r="K128" s="191"/>
      <c r="L128" s="191"/>
      <c r="M128" s="867" t="str">
        <f>ROUND( MIN(M88:M93)+MIN(M94:M117),0) &amp; " - " &amp; ROUND(MAX(M88:M93)+MAX(M94:M117),0)</f>
        <v>9 - 14</v>
      </c>
      <c r="N128" s="191"/>
      <c r="O128" s="191"/>
      <c r="P128" s="867" t="str">
        <f>ROUND( MIN(P88:P93)+MIN(P94:P117),0) &amp; " - " &amp; ROUND(MAX(P88:P93)+MAX(P94:P117),0)</f>
        <v>0 - 0</v>
      </c>
      <c r="Q128" s="191"/>
      <c r="R128" s="191"/>
      <c r="S128" s="867" t="str">
        <f>ROUND( MIN(S88:S93)+MIN(S94:S117),0) &amp; " - " &amp; ROUND(MAX(S88:S93)+MAX(S94:S117),0)</f>
        <v>82 - 119</v>
      </c>
      <c r="T128" s="191"/>
      <c r="U128" s="191"/>
      <c r="V128" s="867" t="str">
        <f>ROUND( MIN(V88:V93)+MIN(V94:V117),0) &amp; " - " &amp; ROUND(MAX(V88:V93)+MAX(V94:V117),0)</f>
        <v>219 - 334</v>
      </c>
      <c r="W128" s="191"/>
      <c r="X128" s="191"/>
      <c r="Y128" s="867" t="str">
        <f>ROUND( MIN(Y88:Y93)+MIN(Y94:Y117),0) &amp; " - " &amp; ROUND(MAX(Y88:Y93)+MAX(Y94:Y117),0)</f>
        <v>64 - 79</v>
      </c>
      <c r="Z128" s="191"/>
      <c r="AA128" s="191"/>
      <c r="AB128" s="867" t="str">
        <f>ROUND( MIN(AB88:AB93)+MIN(AB94:AB117),0) &amp; " - " &amp; ROUND(MAX(AB88:AB93)+MAX(AB94:AB117),0)</f>
        <v>0 - 1</v>
      </c>
      <c r="AC128" s="191"/>
      <c r="AD128" s="191"/>
      <c r="AE128" s="867" t="str">
        <f>ROUND( MIN(AE88:AE93)+MIN(AE94:AE117),0) &amp; " - " &amp; ROUND(MAX(AE88:AE93)+MAX(AE94:AE117),0)</f>
        <v>54 - 64</v>
      </c>
      <c r="AF128" s="191"/>
      <c r="AG128" s="191"/>
      <c r="AH128" s="867" t="str">
        <f>ROUND( MIN(AH88:AH93)+MIN(AH94:AH117),0) &amp; " - " &amp; ROUND(MAX(AH88:AH93)+MAX(AH94:AH117),0)</f>
        <v>20 - 40</v>
      </c>
      <c r="AI128" s="191"/>
      <c r="AJ128" s="191"/>
      <c r="AK128" s="867" t="str">
        <f>ROUND( MIN(AK88:AK93)+MIN(AK94:AK117),0) &amp; " - " &amp; ROUND(MAX(AK88:AK93)+MAX(AK94:AK117),0)</f>
        <v>5 - 8</v>
      </c>
      <c r="AL128" s="191"/>
      <c r="AM128" s="191"/>
      <c r="AN128" s="191" t="str">
        <f t="shared" ref="AN128:AU128" si="70">ROUND( MIN(AN88:AN93)+MIN(AN94:AN117),0) &amp; " - " &amp; ROUND(MAX(AN88:AN93)+MAX(AN94:AN117),0)</f>
        <v>0 - 0</v>
      </c>
      <c r="AO128" s="191" t="str">
        <f t="shared" si="70"/>
        <v>0 - 0</v>
      </c>
      <c r="AP128" s="191" t="str">
        <f t="shared" si="70"/>
        <v>229 - 364</v>
      </c>
      <c r="AQ128" s="191" t="str">
        <f t="shared" si="70"/>
        <v>18 - 28</v>
      </c>
      <c r="AR128" s="191" t="str">
        <f t="shared" si="70"/>
        <v>0 - 2</v>
      </c>
      <c r="AS128" s="191" t="str">
        <f t="shared" si="70"/>
        <v>1 - 13</v>
      </c>
      <c r="AT128" s="191" t="str">
        <f t="shared" si="70"/>
        <v>17 - 60</v>
      </c>
      <c r="AU128" s="191" t="str">
        <f t="shared" si="70"/>
        <v>0 - 1</v>
      </c>
    </row>
    <row r="129" spans="3:13">
      <c r="D129" s="868">
        <f>MAX(D5:D93)</f>
        <v>126.99</v>
      </c>
    </row>
    <row r="130" spans="3:13">
      <c r="D130" s="868">
        <f>MAX(D94:D117)</f>
        <v>378.03399999999999</v>
      </c>
    </row>
    <row r="131" spans="3:13">
      <c r="D131" s="868">
        <f>370+120+120</f>
        <v>610</v>
      </c>
    </row>
    <row r="133" spans="3:13">
      <c r="D133" s="868" t="s">
        <v>405</v>
      </c>
      <c r="G133" s="868" t="s">
        <v>405</v>
      </c>
      <c r="J133" s="868" t="s">
        <v>396</v>
      </c>
      <c r="M133" s="868" t="s">
        <v>412</v>
      </c>
    </row>
    <row r="134" spans="3:13">
      <c r="C134" s="179" t="s">
        <v>406</v>
      </c>
      <c r="D134" s="868">
        <f>MAX(D5:D93)</f>
        <v>126.99</v>
      </c>
      <c r="G134" s="868">
        <v>120</v>
      </c>
      <c r="J134" s="868">
        <f>MAX(D94:D117)</f>
        <v>378.03399999999999</v>
      </c>
      <c r="M134" s="868">
        <f>SUM(D134:J134)</f>
        <v>625.024</v>
      </c>
    </row>
    <row r="135" spans="3:13">
      <c r="C135" s="179" t="s">
        <v>407</v>
      </c>
      <c r="D135" s="868">
        <f>MIN(D5:D93)</f>
        <v>36.613999999999997</v>
      </c>
      <c r="G135" s="868">
        <v>35</v>
      </c>
      <c r="J135" s="868">
        <f>MIN(D94:D117)</f>
        <v>343.74200000000002</v>
      </c>
      <c r="M135" s="868">
        <f>SUM(D135:J135)</f>
        <v>415.35599999999999</v>
      </c>
    </row>
    <row r="189" spans="3:41" s="248" customFormat="1">
      <c r="C189" s="223"/>
      <c r="D189" s="921"/>
      <c r="E189" s="223"/>
      <c r="F189" s="223"/>
      <c r="G189" s="921"/>
      <c r="H189" s="223"/>
      <c r="I189" s="223"/>
      <c r="J189" s="921"/>
      <c r="K189" s="223"/>
      <c r="L189" s="223"/>
      <c r="M189" s="921"/>
      <c r="N189" s="223"/>
      <c r="O189" s="223"/>
      <c r="P189" s="921"/>
      <c r="Q189" s="223"/>
      <c r="R189" s="223"/>
      <c r="S189" s="921"/>
      <c r="T189" s="223"/>
      <c r="U189" s="223"/>
      <c r="V189" s="921"/>
      <c r="W189" s="223"/>
      <c r="X189" s="223"/>
      <c r="Y189" s="921"/>
      <c r="Z189" s="223"/>
      <c r="AA189" s="223"/>
      <c r="AB189" s="921"/>
      <c r="AC189" s="223"/>
      <c r="AD189" s="223"/>
      <c r="AE189" s="921"/>
      <c r="AF189" s="223"/>
      <c r="AG189" s="223"/>
      <c r="AH189" s="921"/>
      <c r="AI189" s="223"/>
      <c r="AJ189" s="223"/>
      <c r="AK189" s="921"/>
      <c r="AL189" s="223"/>
      <c r="AM189" s="223"/>
      <c r="AN189" s="223"/>
      <c r="AO189" s="223"/>
    </row>
    <row r="190" spans="3:41" s="212" customFormat="1">
      <c r="C190" s="179"/>
      <c r="D190" s="868"/>
      <c r="E190" s="179"/>
      <c r="F190" s="179"/>
      <c r="G190" s="868"/>
      <c r="H190" s="179"/>
      <c r="I190" s="179"/>
      <c r="J190" s="868"/>
      <c r="K190" s="179"/>
      <c r="L190" s="179"/>
      <c r="M190" s="868"/>
      <c r="N190" s="179"/>
      <c r="O190" s="179"/>
      <c r="P190" s="868"/>
      <c r="Q190" s="179"/>
      <c r="R190" s="179"/>
      <c r="S190" s="868"/>
      <c r="T190" s="179"/>
      <c r="U190" s="179"/>
      <c r="V190" s="868"/>
      <c r="W190" s="179"/>
      <c r="X190" s="179"/>
      <c r="Y190" s="868"/>
      <c r="Z190" s="179"/>
      <c r="AA190" s="179"/>
      <c r="AB190" s="868"/>
      <c r="AC190" s="179"/>
      <c r="AD190" s="179"/>
      <c r="AE190" s="868"/>
      <c r="AF190" s="179"/>
      <c r="AG190" s="179"/>
      <c r="AH190" s="868"/>
      <c r="AI190" s="179"/>
      <c r="AJ190" s="179"/>
      <c r="AK190" s="868"/>
      <c r="AL190" s="179"/>
      <c r="AM190" s="179"/>
      <c r="AN190" s="179"/>
      <c r="AO190" s="179"/>
    </row>
    <row r="191" spans="3:41">
      <c r="D191" s="921"/>
      <c r="E191" s="223"/>
      <c r="F191" s="223"/>
      <c r="G191" s="921"/>
      <c r="H191" s="223"/>
      <c r="I191" s="223"/>
      <c r="J191" s="921"/>
      <c r="K191" s="223"/>
      <c r="L191" s="223"/>
      <c r="M191" s="921"/>
      <c r="N191" s="223"/>
      <c r="O191" s="223"/>
      <c r="P191" s="921"/>
      <c r="Q191" s="223"/>
      <c r="R191" s="223"/>
      <c r="S191" s="921"/>
      <c r="T191" s="223"/>
      <c r="U191" s="223"/>
      <c r="V191" s="921"/>
      <c r="W191" s="223"/>
      <c r="X191" s="223"/>
      <c r="Y191" s="921"/>
      <c r="Z191" s="223"/>
      <c r="AA191" s="223"/>
      <c r="AB191" s="921"/>
      <c r="AC191" s="223"/>
      <c r="AD191" s="223"/>
      <c r="AE191" s="921"/>
      <c r="AF191" s="223"/>
      <c r="AG191" s="223"/>
      <c r="AH191" s="921"/>
      <c r="AI191" s="223"/>
      <c r="AJ191" s="223"/>
      <c r="AK191" s="921"/>
      <c r="AL191" s="223"/>
      <c r="AM191" s="223"/>
      <c r="AN191" s="223"/>
      <c r="AO191" s="223"/>
    </row>
    <row r="193" spans="4:41">
      <c r="D193" s="921"/>
      <c r="E193" s="223"/>
      <c r="F193" s="223"/>
      <c r="G193" s="921"/>
      <c r="H193" s="223"/>
      <c r="I193" s="223"/>
      <c r="J193" s="921"/>
      <c r="K193" s="223"/>
      <c r="L193" s="223"/>
      <c r="M193" s="921"/>
      <c r="N193" s="223"/>
      <c r="O193" s="223"/>
      <c r="P193" s="921"/>
      <c r="Q193" s="223"/>
      <c r="R193" s="223"/>
      <c r="S193" s="921"/>
      <c r="T193" s="223"/>
      <c r="U193" s="223"/>
      <c r="V193" s="921"/>
      <c r="W193" s="223"/>
      <c r="X193" s="223"/>
      <c r="Y193" s="921"/>
      <c r="Z193" s="223"/>
      <c r="AA193" s="223"/>
      <c r="AB193" s="921"/>
      <c r="AC193" s="223"/>
      <c r="AD193" s="223"/>
      <c r="AE193" s="921"/>
      <c r="AF193" s="223"/>
      <c r="AG193" s="223"/>
      <c r="AH193" s="921"/>
      <c r="AI193" s="223"/>
      <c r="AJ193" s="223"/>
      <c r="AK193" s="921"/>
      <c r="AL193" s="223"/>
      <c r="AM193" s="223"/>
      <c r="AN193" s="223"/>
      <c r="AO193" s="223"/>
    </row>
    <row r="195" spans="4:41">
      <c r="D195" s="921"/>
      <c r="E195" s="223"/>
      <c r="F195" s="223"/>
      <c r="G195" s="921"/>
      <c r="H195" s="223"/>
      <c r="I195" s="223"/>
      <c r="J195" s="921"/>
      <c r="K195" s="223"/>
      <c r="L195" s="223"/>
      <c r="M195" s="921"/>
      <c r="N195" s="223"/>
      <c r="O195" s="223"/>
      <c r="P195" s="921"/>
      <c r="Q195" s="223"/>
      <c r="R195" s="223"/>
      <c r="S195" s="921"/>
      <c r="T195" s="223"/>
      <c r="U195" s="223"/>
      <c r="V195" s="921"/>
      <c r="W195" s="223"/>
      <c r="X195" s="223"/>
      <c r="Y195" s="921"/>
      <c r="Z195" s="223"/>
      <c r="AA195" s="223"/>
      <c r="AB195" s="921"/>
      <c r="AC195" s="223"/>
      <c r="AD195" s="223"/>
      <c r="AE195" s="921"/>
      <c r="AF195" s="223"/>
      <c r="AG195" s="223"/>
      <c r="AH195" s="921"/>
      <c r="AI195" s="223"/>
      <c r="AJ195" s="223"/>
      <c r="AK195" s="921"/>
      <c r="AL195" s="223"/>
      <c r="AM195" s="223"/>
      <c r="AN195" s="223"/>
      <c r="AO195" s="223"/>
    </row>
  </sheetData>
  <autoFilter ref="A4:AV117" xr:uid="{89897BF3-BBD9-43F3-B6BF-BC7E437DE559}">
    <filterColumn colId="1">
      <filters>
        <filter val="Custard"/>
      </filters>
    </filterColumn>
    <sortState xmlns:xlrd2="http://schemas.microsoft.com/office/spreadsheetml/2017/richdata2" ref="A5:AV117">
      <sortCondition ref="AK4"/>
    </sortState>
  </autoFilter>
  <pageMargins left="0.7" right="0.7" top="0.75" bottom="0.75" header="0.3" footer="0.3"/>
  <pageSetup scale="43" fitToHeight="0" orientation="landscape" r:id="rId1"/>
  <headerFooter>
    <oddHeader xml:space="preserve">&amp;R&amp;14 2024 Nutrition Information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49F2E-71DF-4D33-A068-ADC246C16462}">
  <sheetPr>
    <pageSetUpPr fitToPage="1"/>
  </sheetPr>
  <dimension ref="A1:V114"/>
  <sheetViews>
    <sheetView topLeftCell="A3" zoomScaleNormal="100" zoomScalePageLayoutView="77" workbookViewId="0">
      <selection activeCell="B74" sqref="B74"/>
    </sheetView>
    <sheetView workbookViewId="1">
      <selection sqref="A1:V1"/>
    </sheetView>
    <sheetView workbookViewId="2">
      <selection sqref="A1:V1"/>
    </sheetView>
  </sheetViews>
  <sheetFormatPr defaultColWidth="8.84375" defaultRowHeight="15.9"/>
  <cols>
    <col min="1" max="1" width="6.53515625" style="179" customWidth="1"/>
    <col min="2" max="2" width="42.84375" style="179" customWidth="1"/>
    <col min="3" max="4" width="10.53515625" style="179" customWidth="1"/>
    <col min="5" max="5" width="8.53515625" style="179" customWidth="1"/>
    <col min="6" max="6" width="11.53515625" style="179" customWidth="1"/>
    <col min="7" max="7" width="8.53515625" style="179" customWidth="1"/>
    <col min="8" max="8" width="13" style="179" customWidth="1"/>
    <col min="9" max="9" width="9" style="179" customWidth="1"/>
    <col min="10" max="10" width="16.84375" style="179" customWidth="1"/>
    <col min="11" max="11" width="9" style="179" customWidth="1"/>
    <col min="12" max="12" width="7.84375" style="179" customWidth="1"/>
    <col min="13" max="13" width="9" style="179" customWidth="1"/>
    <col min="14" max="16" width="11.53515625" style="179" customWidth="1"/>
    <col min="17" max="17" width="9" style="179" customWidth="1"/>
    <col min="18" max="18" width="10.53515625" style="179" customWidth="1"/>
    <col min="19" max="19" width="8.84375" style="179"/>
    <col min="20" max="20" width="12.53515625" style="179" customWidth="1"/>
    <col min="21" max="21" width="10.3828125" style="179" customWidth="1"/>
    <col min="22" max="22" width="11.53515625" style="179" customWidth="1"/>
    <col min="23" max="16384" width="8.84375" style="179"/>
  </cols>
  <sheetData>
    <row r="1" spans="1:22" ht="15" customHeight="1">
      <c r="A1" s="1214" t="s">
        <v>413</v>
      </c>
      <c r="B1" s="1215"/>
      <c r="C1" s="1215"/>
      <c r="D1" s="1215"/>
      <c r="E1" s="1215"/>
      <c r="F1" s="1215"/>
      <c r="G1" s="1215"/>
      <c r="H1" s="1215"/>
      <c r="I1" s="1215"/>
      <c r="J1" s="1215"/>
      <c r="K1" s="1215"/>
      <c r="L1" s="1215"/>
      <c r="M1" s="1215"/>
      <c r="N1" s="1215"/>
      <c r="O1" s="1215"/>
      <c r="P1" s="1215"/>
      <c r="Q1" s="1215"/>
      <c r="R1" s="1215"/>
      <c r="S1" s="1215"/>
      <c r="T1" s="1215"/>
      <c r="U1" s="1215"/>
      <c r="V1" s="1215"/>
    </row>
    <row r="2" spans="1:22" ht="18" customHeight="1" thickBot="1">
      <c r="A2" s="1209" t="s">
        <v>414</v>
      </c>
      <c r="B2" s="1210"/>
      <c r="C2" s="1210"/>
      <c r="D2" s="1210"/>
      <c r="E2" s="1210"/>
      <c r="F2" s="1210"/>
      <c r="G2" s="1210"/>
      <c r="H2" s="1210"/>
      <c r="I2" s="1210"/>
      <c r="J2" s="1210"/>
      <c r="K2" s="1210"/>
      <c r="L2" s="1210"/>
      <c r="M2" s="1210"/>
      <c r="N2" s="1210"/>
      <c r="O2" s="1210"/>
      <c r="P2" s="1210"/>
      <c r="Q2" s="1210"/>
      <c r="R2" s="1210"/>
      <c r="S2" s="1210"/>
      <c r="T2" s="1210"/>
      <c r="U2" s="1210"/>
      <c r="V2" s="1210"/>
    </row>
    <row r="3" spans="1:22" s="223" customFormat="1" ht="37.5" customHeight="1" thickBot="1">
      <c r="A3" s="259"/>
      <c r="B3" s="213" t="s">
        <v>3</v>
      </c>
      <c r="C3" s="214" t="s">
        <v>4</v>
      </c>
      <c r="D3" s="214" t="s">
        <v>5</v>
      </c>
      <c r="E3" s="214" t="s">
        <v>6</v>
      </c>
      <c r="F3" s="214" t="s">
        <v>7</v>
      </c>
      <c r="G3" s="214" t="s">
        <v>8</v>
      </c>
      <c r="H3" s="214" t="s">
        <v>9</v>
      </c>
      <c r="I3" s="214" t="s">
        <v>10</v>
      </c>
      <c r="J3" s="214" t="s">
        <v>11</v>
      </c>
      <c r="K3" s="214" t="s">
        <v>12</v>
      </c>
      <c r="L3" s="214" t="s">
        <v>13</v>
      </c>
      <c r="M3" s="214" t="s">
        <v>14</v>
      </c>
      <c r="N3" s="214" t="s">
        <v>15</v>
      </c>
      <c r="O3" s="215" t="s">
        <v>16</v>
      </c>
      <c r="P3" s="215" t="s">
        <v>17</v>
      </c>
      <c r="Q3" s="215" t="s">
        <v>18</v>
      </c>
      <c r="R3" s="215" t="s">
        <v>19</v>
      </c>
      <c r="S3" s="215" t="s">
        <v>20</v>
      </c>
      <c r="T3" s="215" t="s">
        <v>21</v>
      </c>
      <c r="U3" s="215" t="s">
        <v>22</v>
      </c>
      <c r="V3" s="215" t="s">
        <v>23</v>
      </c>
    </row>
    <row r="4" spans="1:22" ht="16.5" customHeight="1">
      <c r="A4" s="1248" t="s">
        <v>396</v>
      </c>
      <c r="B4" s="216" t="s">
        <v>75</v>
      </c>
      <c r="C4" s="195">
        <v>560</v>
      </c>
      <c r="D4" s="195">
        <v>235</v>
      </c>
      <c r="E4" s="195">
        <v>26</v>
      </c>
      <c r="F4" s="195">
        <v>16</v>
      </c>
      <c r="G4" s="195">
        <v>0</v>
      </c>
      <c r="H4" s="195">
        <v>170</v>
      </c>
      <c r="I4" s="195">
        <v>330</v>
      </c>
      <c r="J4" s="195">
        <v>73</v>
      </c>
      <c r="K4" s="195">
        <v>0</v>
      </c>
      <c r="L4" s="195">
        <v>65</v>
      </c>
      <c r="M4" s="195">
        <v>35</v>
      </c>
      <c r="N4" s="195">
        <v>12</v>
      </c>
      <c r="O4" s="195">
        <v>1</v>
      </c>
      <c r="P4" s="195">
        <v>6</v>
      </c>
      <c r="Q4" s="195">
        <v>415</v>
      </c>
      <c r="R4" s="195">
        <v>33</v>
      </c>
      <c r="S4" s="195">
        <v>0</v>
      </c>
      <c r="T4" s="195">
        <v>0</v>
      </c>
      <c r="U4" s="195">
        <v>543</v>
      </c>
      <c r="V4" s="195">
        <v>10</v>
      </c>
    </row>
    <row r="5" spans="1:22" ht="16.5" customHeight="1">
      <c r="A5" s="1190"/>
      <c r="B5" s="216" t="s">
        <v>415</v>
      </c>
      <c r="C5" s="195">
        <v>540</v>
      </c>
      <c r="D5" s="195">
        <v>215</v>
      </c>
      <c r="E5" s="195">
        <v>25</v>
      </c>
      <c r="F5" s="195">
        <v>15</v>
      </c>
      <c r="G5" s="195">
        <v>0</v>
      </c>
      <c r="H5" s="195">
        <v>140</v>
      </c>
      <c r="I5" s="195">
        <v>280</v>
      </c>
      <c r="J5" s="195">
        <v>70</v>
      </c>
      <c r="K5" s="195">
        <v>0</v>
      </c>
      <c r="L5" s="195">
        <v>64</v>
      </c>
      <c r="M5" s="195">
        <v>34</v>
      </c>
      <c r="N5" s="195">
        <v>12</v>
      </c>
      <c r="O5" s="195">
        <v>1</v>
      </c>
      <c r="P5" s="195">
        <v>6</v>
      </c>
      <c r="Q5" s="195">
        <v>405</v>
      </c>
      <c r="R5" s="195">
        <v>33</v>
      </c>
      <c r="S5" s="195">
        <v>2</v>
      </c>
      <c r="T5" s="195">
        <v>10</v>
      </c>
      <c r="U5" s="195">
        <v>718</v>
      </c>
      <c r="V5" s="195">
        <v>17</v>
      </c>
    </row>
    <row r="6" spans="1:22" ht="16.5" customHeight="1">
      <c r="A6" s="1190"/>
      <c r="B6" s="216" t="s">
        <v>131</v>
      </c>
      <c r="C6" s="195">
        <v>560</v>
      </c>
      <c r="D6" s="195">
        <v>235</v>
      </c>
      <c r="E6" s="195">
        <v>26</v>
      </c>
      <c r="F6" s="195">
        <v>16</v>
      </c>
      <c r="G6" s="195">
        <v>0</v>
      </c>
      <c r="H6" s="195">
        <v>170</v>
      </c>
      <c r="I6" s="195">
        <v>330</v>
      </c>
      <c r="J6" s="195">
        <v>73</v>
      </c>
      <c r="K6" s="195">
        <v>0</v>
      </c>
      <c r="L6" s="195">
        <v>65</v>
      </c>
      <c r="M6" s="195">
        <v>35</v>
      </c>
      <c r="N6" s="195">
        <v>12</v>
      </c>
      <c r="O6" s="195">
        <v>1</v>
      </c>
      <c r="P6" s="195">
        <v>6</v>
      </c>
      <c r="Q6" s="195">
        <v>415</v>
      </c>
      <c r="R6" s="195">
        <v>33</v>
      </c>
      <c r="S6" s="195">
        <v>0</v>
      </c>
      <c r="T6" s="195">
        <v>0</v>
      </c>
      <c r="U6" s="195">
        <v>543</v>
      </c>
      <c r="V6" s="195">
        <v>10</v>
      </c>
    </row>
    <row r="7" spans="1:22" ht="16.5" customHeight="1">
      <c r="A7" s="1190"/>
      <c r="B7" s="216" t="s">
        <v>356</v>
      </c>
      <c r="C7" s="195">
        <v>560</v>
      </c>
      <c r="D7" s="195">
        <v>235</v>
      </c>
      <c r="E7" s="195">
        <v>26</v>
      </c>
      <c r="F7" s="195">
        <v>17</v>
      </c>
      <c r="G7" s="195">
        <v>0</v>
      </c>
      <c r="H7" s="195">
        <v>170</v>
      </c>
      <c r="I7" s="195">
        <v>330</v>
      </c>
      <c r="J7" s="195">
        <v>70</v>
      </c>
      <c r="K7" s="195">
        <v>0</v>
      </c>
      <c r="L7" s="195">
        <v>61</v>
      </c>
      <c r="M7" s="195">
        <v>31</v>
      </c>
      <c r="N7" s="195">
        <v>12</v>
      </c>
      <c r="O7" s="195">
        <v>1</v>
      </c>
      <c r="P7" s="195">
        <v>6</v>
      </c>
      <c r="Q7" s="195">
        <v>421</v>
      </c>
      <c r="R7" s="195">
        <v>33</v>
      </c>
      <c r="S7" s="195">
        <v>0</v>
      </c>
      <c r="T7" s="195">
        <v>0</v>
      </c>
      <c r="U7" s="195">
        <v>549</v>
      </c>
      <c r="V7" s="195">
        <v>10</v>
      </c>
    </row>
    <row r="8" spans="1:22" ht="16.5" customHeight="1">
      <c r="A8" s="1190"/>
      <c r="B8" s="216" t="s">
        <v>404</v>
      </c>
      <c r="C8" s="195">
        <v>560</v>
      </c>
      <c r="D8" s="195">
        <v>235</v>
      </c>
      <c r="E8" s="195">
        <v>27</v>
      </c>
      <c r="F8" s="195">
        <v>17</v>
      </c>
      <c r="G8" s="195">
        <v>0</v>
      </c>
      <c r="H8" s="195">
        <v>175</v>
      </c>
      <c r="I8" s="195">
        <v>330</v>
      </c>
      <c r="J8" s="195">
        <v>71</v>
      </c>
      <c r="K8" s="195">
        <v>0</v>
      </c>
      <c r="L8" s="195">
        <v>63</v>
      </c>
      <c r="M8" s="195">
        <v>31</v>
      </c>
      <c r="N8" s="195">
        <v>12</v>
      </c>
      <c r="O8" s="195">
        <v>1</v>
      </c>
      <c r="P8" s="195">
        <v>6</v>
      </c>
      <c r="Q8" s="195">
        <v>423</v>
      </c>
      <c r="R8" s="195">
        <v>33</v>
      </c>
      <c r="S8" s="195">
        <v>0</v>
      </c>
      <c r="T8" s="195">
        <v>0</v>
      </c>
      <c r="U8" s="195">
        <v>554</v>
      </c>
      <c r="V8" s="195">
        <v>12</v>
      </c>
    </row>
    <row r="9" spans="1:22" ht="16.5" customHeight="1">
      <c r="A9" s="1190"/>
      <c r="B9" s="216" t="s">
        <v>134</v>
      </c>
      <c r="C9" s="195">
        <v>580</v>
      </c>
      <c r="D9" s="195">
        <v>215</v>
      </c>
      <c r="E9" s="195">
        <v>25</v>
      </c>
      <c r="F9" s="195">
        <v>15</v>
      </c>
      <c r="G9" s="195">
        <v>0</v>
      </c>
      <c r="H9" s="195">
        <v>160</v>
      </c>
      <c r="I9" s="195">
        <v>310</v>
      </c>
      <c r="J9" s="195">
        <v>79</v>
      </c>
      <c r="K9" s="195">
        <v>0</v>
      </c>
      <c r="L9" s="195">
        <v>70</v>
      </c>
      <c r="M9" s="195">
        <v>41</v>
      </c>
      <c r="N9" s="195">
        <v>11</v>
      </c>
      <c r="O9" s="195">
        <v>1</v>
      </c>
      <c r="P9" s="195">
        <v>6</v>
      </c>
      <c r="Q9" s="195">
        <v>397</v>
      </c>
      <c r="R9" s="195">
        <v>28</v>
      </c>
      <c r="S9" s="195">
        <v>0</v>
      </c>
      <c r="T9" s="195">
        <v>0</v>
      </c>
      <c r="U9" s="195">
        <v>518</v>
      </c>
      <c r="V9" s="195">
        <v>10</v>
      </c>
    </row>
    <row r="10" spans="1:22" ht="16.5" customHeight="1">
      <c r="A10" s="1190"/>
      <c r="B10" s="216" t="s">
        <v>98</v>
      </c>
      <c r="C10" s="195">
        <v>570</v>
      </c>
      <c r="D10" s="195">
        <v>225</v>
      </c>
      <c r="E10" s="195">
        <v>25</v>
      </c>
      <c r="F10" s="195">
        <v>16</v>
      </c>
      <c r="G10" s="195">
        <v>0</v>
      </c>
      <c r="H10" s="195">
        <v>165</v>
      </c>
      <c r="I10" s="195">
        <v>320</v>
      </c>
      <c r="J10" s="195">
        <v>76</v>
      </c>
      <c r="K10" s="195">
        <v>0</v>
      </c>
      <c r="L10" s="195">
        <v>69</v>
      </c>
      <c r="M10" s="195">
        <v>39</v>
      </c>
      <c r="N10" s="195">
        <v>11</v>
      </c>
      <c r="O10" s="195">
        <v>1</v>
      </c>
      <c r="P10" s="195">
        <v>6</v>
      </c>
      <c r="Q10" s="195">
        <v>406</v>
      </c>
      <c r="R10" s="195">
        <v>33</v>
      </c>
      <c r="S10" s="195">
        <v>0</v>
      </c>
      <c r="T10" s="195">
        <v>0</v>
      </c>
      <c r="U10" s="195">
        <v>535</v>
      </c>
      <c r="V10" s="195">
        <v>10</v>
      </c>
    </row>
    <row r="11" spans="1:22" ht="16.5" customHeight="1">
      <c r="A11" s="1190"/>
      <c r="B11" s="216" t="s">
        <v>136</v>
      </c>
      <c r="C11" s="195">
        <v>560</v>
      </c>
      <c r="D11" s="195">
        <v>235</v>
      </c>
      <c r="E11" s="195">
        <v>27</v>
      </c>
      <c r="F11" s="195">
        <v>17</v>
      </c>
      <c r="G11" s="195">
        <v>0</v>
      </c>
      <c r="H11" s="195">
        <v>175</v>
      </c>
      <c r="I11" s="195">
        <v>350</v>
      </c>
      <c r="J11" s="195">
        <v>70</v>
      </c>
      <c r="K11" s="195">
        <v>0</v>
      </c>
      <c r="L11" s="195">
        <v>62</v>
      </c>
      <c r="M11" s="195">
        <v>31</v>
      </c>
      <c r="N11" s="195">
        <v>12</v>
      </c>
      <c r="O11" s="195">
        <v>1</v>
      </c>
      <c r="P11" s="195">
        <v>6</v>
      </c>
      <c r="Q11" s="195">
        <v>425</v>
      </c>
      <c r="R11" s="195">
        <v>33</v>
      </c>
      <c r="S11" s="195">
        <v>0</v>
      </c>
      <c r="T11" s="195">
        <v>0</v>
      </c>
      <c r="U11" s="195">
        <v>554</v>
      </c>
      <c r="V11" s="195">
        <v>12</v>
      </c>
    </row>
    <row r="12" spans="1:22" ht="16.5" customHeight="1">
      <c r="A12" s="1190"/>
      <c r="B12" s="216" t="s">
        <v>36</v>
      </c>
      <c r="C12" s="195">
        <v>570</v>
      </c>
      <c r="D12" s="195">
        <v>235</v>
      </c>
      <c r="E12" s="195">
        <v>26</v>
      </c>
      <c r="F12" s="195">
        <v>16</v>
      </c>
      <c r="G12" s="195">
        <v>0</v>
      </c>
      <c r="H12" s="195">
        <v>170</v>
      </c>
      <c r="I12" s="195">
        <v>330</v>
      </c>
      <c r="J12" s="195">
        <v>74</v>
      </c>
      <c r="K12" s="195">
        <v>0</v>
      </c>
      <c r="L12" s="195">
        <v>66</v>
      </c>
      <c r="M12" s="195">
        <v>31</v>
      </c>
      <c r="N12" s="195">
        <v>12</v>
      </c>
      <c r="O12" s="195">
        <v>1</v>
      </c>
      <c r="P12" s="195">
        <v>6</v>
      </c>
      <c r="Q12" s="195">
        <v>417</v>
      </c>
      <c r="R12" s="195">
        <v>33</v>
      </c>
      <c r="S12" s="195">
        <v>0</v>
      </c>
      <c r="T12" s="195">
        <v>0</v>
      </c>
      <c r="U12" s="195">
        <v>545</v>
      </c>
      <c r="V12" s="195">
        <v>10</v>
      </c>
    </row>
    <row r="13" spans="1:22" ht="16.5" customHeight="1">
      <c r="A13" s="1190"/>
      <c r="B13" s="216" t="s">
        <v>374</v>
      </c>
      <c r="C13" s="195">
        <v>560</v>
      </c>
      <c r="D13" s="195">
        <v>235</v>
      </c>
      <c r="E13" s="195">
        <v>26</v>
      </c>
      <c r="F13" s="195">
        <v>17</v>
      </c>
      <c r="G13" s="195">
        <v>0</v>
      </c>
      <c r="H13" s="195">
        <v>170</v>
      </c>
      <c r="I13" s="195">
        <v>330</v>
      </c>
      <c r="J13" s="195">
        <v>71</v>
      </c>
      <c r="K13" s="195">
        <v>0</v>
      </c>
      <c r="L13" s="195">
        <v>63</v>
      </c>
      <c r="M13" s="195">
        <v>33</v>
      </c>
      <c r="N13" s="195">
        <v>12</v>
      </c>
      <c r="O13" s="195">
        <v>1</v>
      </c>
      <c r="P13" s="195">
        <v>6</v>
      </c>
      <c r="Q13" s="195">
        <v>420</v>
      </c>
      <c r="R13" s="195">
        <v>33</v>
      </c>
      <c r="S13" s="195">
        <v>0</v>
      </c>
      <c r="T13" s="195">
        <v>0</v>
      </c>
      <c r="U13" s="195">
        <v>550</v>
      </c>
      <c r="V13" s="195">
        <v>10</v>
      </c>
    </row>
    <row r="14" spans="1:22" ht="16.5" customHeight="1">
      <c r="A14" s="1190"/>
      <c r="B14" s="216" t="s">
        <v>137</v>
      </c>
      <c r="C14" s="195">
        <v>560</v>
      </c>
      <c r="D14" s="195">
        <v>235</v>
      </c>
      <c r="E14" s="195">
        <v>27</v>
      </c>
      <c r="F14" s="195">
        <v>17</v>
      </c>
      <c r="G14" s="195">
        <v>0</v>
      </c>
      <c r="H14" s="195">
        <v>175</v>
      </c>
      <c r="I14" s="195">
        <v>330</v>
      </c>
      <c r="J14" s="195">
        <v>69</v>
      </c>
      <c r="K14" s="195">
        <v>0</v>
      </c>
      <c r="L14" s="195">
        <v>62</v>
      </c>
      <c r="M14" s="195">
        <v>31</v>
      </c>
      <c r="N14" s="195">
        <v>12</v>
      </c>
      <c r="O14" s="195">
        <v>1</v>
      </c>
      <c r="P14" s="195">
        <v>6</v>
      </c>
      <c r="Q14" s="195">
        <v>424</v>
      </c>
      <c r="R14" s="195">
        <v>33</v>
      </c>
      <c r="S14" s="195">
        <v>0</v>
      </c>
      <c r="T14" s="195">
        <v>0</v>
      </c>
      <c r="U14" s="195">
        <v>554</v>
      </c>
      <c r="V14" s="195">
        <v>12</v>
      </c>
    </row>
    <row r="15" spans="1:22" ht="16.5" customHeight="1">
      <c r="A15" s="1190"/>
      <c r="B15" s="216" t="s">
        <v>416</v>
      </c>
      <c r="C15" s="195">
        <v>560</v>
      </c>
      <c r="D15" s="195">
        <v>235</v>
      </c>
      <c r="E15" s="195">
        <v>26</v>
      </c>
      <c r="F15" s="195">
        <v>16</v>
      </c>
      <c r="G15" s="195">
        <v>0</v>
      </c>
      <c r="H15" s="195">
        <v>170</v>
      </c>
      <c r="I15" s="195">
        <v>330</v>
      </c>
      <c r="J15" s="195">
        <v>71</v>
      </c>
      <c r="K15" s="195">
        <v>0</v>
      </c>
      <c r="L15" s="195">
        <v>64</v>
      </c>
      <c r="M15" s="195">
        <v>31</v>
      </c>
      <c r="N15" s="195">
        <v>12</v>
      </c>
      <c r="O15" s="195">
        <v>1</v>
      </c>
      <c r="P15" s="195">
        <v>6</v>
      </c>
      <c r="Q15" s="195">
        <v>420</v>
      </c>
      <c r="R15" s="195">
        <v>33</v>
      </c>
      <c r="S15" s="195">
        <v>0</v>
      </c>
      <c r="T15" s="195">
        <v>0</v>
      </c>
      <c r="U15" s="195">
        <v>548</v>
      </c>
      <c r="V15" s="195">
        <v>10</v>
      </c>
    </row>
    <row r="16" spans="1:22" ht="16.5" customHeight="1">
      <c r="A16" s="1190"/>
      <c r="B16" s="216" t="s">
        <v>417</v>
      </c>
      <c r="C16" s="195">
        <v>570</v>
      </c>
      <c r="D16" s="195">
        <v>235</v>
      </c>
      <c r="E16" s="195">
        <v>27</v>
      </c>
      <c r="F16" s="195">
        <v>17</v>
      </c>
      <c r="G16" s="195">
        <v>0</v>
      </c>
      <c r="H16" s="195">
        <v>175</v>
      </c>
      <c r="I16" s="195">
        <v>330</v>
      </c>
      <c r="J16" s="195">
        <v>71</v>
      </c>
      <c r="K16" s="195">
        <v>0</v>
      </c>
      <c r="L16" s="195">
        <v>63</v>
      </c>
      <c r="M16" s="195">
        <v>33</v>
      </c>
      <c r="N16" s="195">
        <v>12</v>
      </c>
      <c r="O16" s="195">
        <v>1</v>
      </c>
      <c r="P16" s="195">
        <v>6</v>
      </c>
      <c r="Q16" s="195">
        <v>423</v>
      </c>
      <c r="R16" s="195">
        <v>33</v>
      </c>
      <c r="S16" s="195">
        <v>0</v>
      </c>
      <c r="T16" s="195">
        <v>0</v>
      </c>
      <c r="U16" s="195">
        <v>554</v>
      </c>
      <c r="V16" s="195">
        <v>12</v>
      </c>
    </row>
    <row r="17" spans="1:22" ht="16.5" customHeight="1">
      <c r="A17" s="1190"/>
      <c r="B17" s="216" t="s">
        <v>418</v>
      </c>
      <c r="C17" s="195">
        <v>570</v>
      </c>
      <c r="D17" s="195">
        <v>235</v>
      </c>
      <c r="E17" s="195">
        <v>26</v>
      </c>
      <c r="F17" s="195">
        <v>16</v>
      </c>
      <c r="G17" s="195">
        <v>0</v>
      </c>
      <c r="H17" s="195">
        <v>170</v>
      </c>
      <c r="I17" s="195">
        <v>330</v>
      </c>
      <c r="J17" s="195">
        <v>73</v>
      </c>
      <c r="K17" s="195">
        <v>0</v>
      </c>
      <c r="L17" s="195">
        <v>65</v>
      </c>
      <c r="M17" s="195">
        <v>35</v>
      </c>
      <c r="N17" s="195">
        <v>12</v>
      </c>
      <c r="O17" s="195">
        <v>1</v>
      </c>
      <c r="P17" s="195">
        <v>6</v>
      </c>
      <c r="Q17" s="195">
        <v>417</v>
      </c>
      <c r="R17" s="195">
        <v>33</v>
      </c>
      <c r="S17" s="195">
        <v>0</v>
      </c>
      <c r="T17" s="195">
        <v>0</v>
      </c>
      <c r="U17" s="195">
        <v>547</v>
      </c>
      <c r="V17" s="195">
        <v>10</v>
      </c>
    </row>
    <row r="18" spans="1:22" ht="16.5" customHeight="1">
      <c r="A18" s="1190"/>
      <c r="B18" s="216" t="s">
        <v>360</v>
      </c>
      <c r="C18" s="195">
        <v>560</v>
      </c>
      <c r="D18" s="195">
        <v>235</v>
      </c>
      <c r="E18" s="195">
        <v>27</v>
      </c>
      <c r="F18" s="195">
        <v>17</v>
      </c>
      <c r="G18" s="195">
        <v>0</v>
      </c>
      <c r="H18" s="195">
        <v>170</v>
      </c>
      <c r="I18" s="195">
        <v>330</v>
      </c>
      <c r="J18" s="195">
        <v>71</v>
      </c>
      <c r="K18" s="195">
        <v>0</v>
      </c>
      <c r="L18" s="195">
        <v>63</v>
      </c>
      <c r="M18" s="195">
        <v>31</v>
      </c>
      <c r="N18" s="195">
        <v>12</v>
      </c>
      <c r="O18" s="195">
        <v>1</v>
      </c>
      <c r="P18" s="195">
        <v>6</v>
      </c>
      <c r="Q18" s="195">
        <v>423</v>
      </c>
      <c r="R18" s="195">
        <v>33</v>
      </c>
      <c r="S18" s="195">
        <v>0</v>
      </c>
      <c r="T18" s="195">
        <v>0</v>
      </c>
      <c r="U18" s="195">
        <v>553</v>
      </c>
      <c r="V18" s="195">
        <v>12</v>
      </c>
    </row>
    <row r="19" spans="1:22" ht="16.5" customHeight="1">
      <c r="A19" s="1190"/>
      <c r="B19" s="218" t="s">
        <v>66</v>
      </c>
      <c r="C19" s="195">
        <v>570</v>
      </c>
      <c r="D19" s="195">
        <v>235</v>
      </c>
      <c r="E19" s="195">
        <v>26</v>
      </c>
      <c r="F19" s="195">
        <v>17</v>
      </c>
      <c r="G19" s="195">
        <v>0</v>
      </c>
      <c r="H19" s="195">
        <v>170</v>
      </c>
      <c r="I19" s="195">
        <v>330</v>
      </c>
      <c r="J19" s="195">
        <v>72</v>
      </c>
      <c r="K19" s="195">
        <v>0</v>
      </c>
      <c r="L19" s="195">
        <v>64</v>
      </c>
      <c r="M19" s="195">
        <v>34</v>
      </c>
      <c r="N19" s="195">
        <v>12</v>
      </c>
      <c r="O19" s="195">
        <v>1</v>
      </c>
      <c r="P19" s="195">
        <v>6</v>
      </c>
      <c r="Q19" s="195">
        <v>420</v>
      </c>
      <c r="R19" s="195">
        <v>33</v>
      </c>
      <c r="S19" s="195">
        <v>0</v>
      </c>
      <c r="T19" s="195">
        <v>0</v>
      </c>
      <c r="U19" s="195">
        <v>549</v>
      </c>
      <c r="V19" s="195">
        <v>10</v>
      </c>
    </row>
    <row r="20" spans="1:22" ht="16.5" customHeight="1">
      <c r="A20" s="283"/>
      <c r="B20" s="280"/>
      <c r="C20" s="212"/>
      <c r="D20" s="212"/>
      <c r="E20" s="212"/>
      <c r="F20" s="212"/>
      <c r="G20" s="212"/>
      <c r="H20" s="212"/>
      <c r="I20" s="212"/>
      <c r="J20" s="212"/>
      <c r="K20" s="212"/>
      <c r="L20" s="212"/>
      <c r="M20" s="212"/>
      <c r="N20" s="212"/>
      <c r="O20" s="212"/>
      <c r="P20" s="212"/>
      <c r="Q20" s="212"/>
      <c r="R20" s="212"/>
      <c r="S20" s="212"/>
      <c r="T20" s="212"/>
      <c r="U20" s="212"/>
      <c r="V20" s="282"/>
    </row>
    <row r="21" spans="1:22" ht="16.5" customHeight="1">
      <c r="A21" s="1214" t="s">
        <v>419</v>
      </c>
      <c r="B21" s="1215"/>
      <c r="C21" s="1215"/>
      <c r="D21" s="1215"/>
      <c r="E21" s="1215"/>
      <c r="F21" s="1215"/>
      <c r="G21" s="1215"/>
      <c r="H21" s="1215"/>
      <c r="I21" s="1215"/>
      <c r="J21" s="1215"/>
      <c r="K21" s="1215"/>
      <c r="L21" s="1215"/>
      <c r="M21" s="1215"/>
      <c r="N21" s="1215"/>
      <c r="O21" s="1215"/>
      <c r="P21" s="1215"/>
      <c r="Q21" s="1215"/>
      <c r="R21" s="1215"/>
      <c r="S21" s="1215"/>
      <c r="T21" s="1215"/>
      <c r="U21" s="1215"/>
      <c r="V21" s="1243"/>
    </row>
    <row r="22" spans="1:22" ht="16.5" customHeight="1" thickBot="1">
      <c r="A22" s="1209" t="s">
        <v>420</v>
      </c>
      <c r="B22" s="1210"/>
      <c r="C22" s="1210"/>
      <c r="D22" s="1210"/>
      <c r="E22" s="1210"/>
      <c r="F22" s="1210"/>
      <c r="G22" s="1210"/>
      <c r="H22" s="1210"/>
      <c r="I22" s="1210"/>
      <c r="J22" s="1210"/>
      <c r="K22" s="1210"/>
      <c r="L22" s="1210"/>
      <c r="M22" s="1210"/>
      <c r="N22" s="1210"/>
      <c r="O22" s="1210"/>
      <c r="P22" s="1210"/>
      <c r="Q22" s="1210"/>
      <c r="R22" s="1210"/>
      <c r="S22" s="1210"/>
      <c r="T22" s="1210"/>
      <c r="U22" s="1210"/>
      <c r="V22" s="1244"/>
    </row>
    <row r="23" spans="1:22" ht="32.15" thickBot="1">
      <c r="A23" s="253"/>
      <c r="B23" s="213" t="s">
        <v>3</v>
      </c>
      <c r="C23" s="214" t="s">
        <v>4</v>
      </c>
      <c r="D23" s="214" t="s">
        <v>5</v>
      </c>
      <c r="E23" s="214" t="s">
        <v>6</v>
      </c>
      <c r="F23" s="214" t="s">
        <v>7</v>
      </c>
      <c r="G23" s="214" t="s">
        <v>8</v>
      </c>
      <c r="H23" s="214" t="s">
        <v>9</v>
      </c>
      <c r="I23" s="214" t="s">
        <v>10</v>
      </c>
      <c r="J23" s="214" t="s">
        <v>11</v>
      </c>
      <c r="K23" s="214" t="s">
        <v>12</v>
      </c>
      <c r="L23" s="214" t="s">
        <v>13</v>
      </c>
      <c r="M23" s="214" t="s">
        <v>14</v>
      </c>
      <c r="N23" s="214" t="s">
        <v>15</v>
      </c>
      <c r="O23" s="215" t="s">
        <v>16</v>
      </c>
      <c r="P23" s="215" t="s">
        <v>17</v>
      </c>
      <c r="Q23" s="215" t="s">
        <v>18</v>
      </c>
      <c r="R23" s="215" t="s">
        <v>19</v>
      </c>
      <c r="S23" s="215" t="s">
        <v>20</v>
      </c>
      <c r="T23" s="215" t="s">
        <v>21</v>
      </c>
      <c r="U23" s="215" t="s">
        <v>22</v>
      </c>
      <c r="V23" s="215" t="s">
        <v>23</v>
      </c>
    </row>
    <row r="24" spans="1:22">
      <c r="A24" s="1245" t="s">
        <v>421</v>
      </c>
      <c r="B24" s="246" t="s">
        <v>144</v>
      </c>
      <c r="C24" s="195">
        <v>130</v>
      </c>
      <c r="D24" s="195">
        <v>70</v>
      </c>
      <c r="E24" s="195">
        <v>7</v>
      </c>
      <c r="F24" s="195">
        <v>4.5</v>
      </c>
      <c r="G24" s="195">
        <v>0</v>
      </c>
      <c r="H24" s="195">
        <v>0</v>
      </c>
      <c r="I24" s="195">
        <v>0</v>
      </c>
      <c r="J24" s="195">
        <v>19</v>
      </c>
      <c r="K24" s="195">
        <v>0</v>
      </c>
      <c r="L24" s="195">
        <v>15</v>
      </c>
      <c r="M24" s="195">
        <v>15</v>
      </c>
      <c r="N24" s="195">
        <v>1</v>
      </c>
      <c r="O24" s="195">
        <v>0</v>
      </c>
      <c r="P24" s="195">
        <v>0</v>
      </c>
      <c r="Q24" s="195">
        <v>11</v>
      </c>
      <c r="R24" s="195">
        <v>0</v>
      </c>
      <c r="S24" s="195">
        <v>2</v>
      </c>
      <c r="T24" s="195">
        <v>10</v>
      </c>
      <c r="U24" s="195">
        <v>124</v>
      </c>
      <c r="V24" s="195">
        <v>2</v>
      </c>
    </row>
    <row r="25" spans="1:22">
      <c r="A25" s="1246"/>
      <c r="B25" s="246" t="s">
        <v>145</v>
      </c>
      <c r="C25" s="195">
        <v>90</v>
      </c>
      <c r="D25" s="195">
        <v>25</v>
      </c>
      <c r="E25" s="195">
        <v>3</v>
      </c>
      <c r="F25" s="195">
        <v>1</v>
      </c>
      <c r="G25" s="195">
        <v>0</v>
      </c>
      <c r="H25" s="195">
        <v>5</v>
      </c>
      <c r="I25" s="195">
        <v>40</v>
      </c>
      <c r="J25" s="195">
        <v>15</v>
      </c>
      <c r="K25" s="195">
        <v>1</v>
      </c>
      <c r="L25" s="195">
        <v>8</v>
      </c>
      <c r="M25" s="195">
        <v>8</v>
      </c>
      <c r="N25" s="195">
        <v>1</v>
      </c>
      <c r="O25" s="195">
        <v>0</v>
      </c>
      <c r="P25" s="195">
        <v>0</v>
      </c>
      <c r="Q25" s="195">
        <v>4</v>
      </c>
      <c r="R25" s="195">
        <v>0</v>
      </c>
      <c r="S25" s="195">
        <v>1</v>
      </c>
      <c r="T25" s="195">
        <v>6</v>
      </c>
      <c r="U25" s="195">
        <v>64</v>
      </c>
      <c r="V25" s="195">
        <v>2</v>
      </c>
    </row>
    <row r="26" spans="1:22">
      <c r="A26" s="1246"/>
      <c r="B26" s="246" t="s">
        <v>146</v>
      </c>
      <c r="C26" s="195">
        <v>90</v>
      </c>
      <c r="D26" s="195">
        <v>25</v>
      </c>
      <c r="E26" s="195">
        <v>3</v>
      </c>
      <c r="F26" s="195">
        <v>1</v>
      </c>
      <c r="G26" s="195">
        <v>0</v>
      </c>
      <c r="H26" s="195">
        <v>5</v>
      </c>
      <c r="I26" s="195">
        <v>55</v>
      </c>
      <c r="J26" s="195">
        <v>15</v>
      </c>
      <c r="K26" s="195">
        <v>0</v>
      </c>
      <c r="L26" s="195">
        <v>9</v>
      </c>
      <c r="M26" s="195">
        <v>9</v>
      </c>
      <c r="N26" s="195">
        <v>1</v>
      </c>
      <c r="O26" s="195">
        <v>0</v>
      </c>
      <c r="P26" s="195">
        <v>0</v>
      </c>
      <c r="Q26" s="195">
        <v>3</v>
      </c>
      <c r="R26" s="195">
        <v>0</v>
      </c>
      <c r="S26" s="195">
        <v>0</v>
      </c>
      <c r="T26" s="195">
        <v>0</v>
      </c>
      <c r="U26" s="195">
        <v>20</v>
      </c>
      <c r="V26" s="195">
        <v>0</v>
      </c>
    </row>
    <row r="27" spans="1:22">
      <c r="A27" s="1246"/>
      <c r="B27" s="246" t="s">
        <v>147</v>
      </c>
      <c r="C27" s="195">
        <v>170</v>
      </c>
      <c r="D27" s="195">
        <v>130</v>
      </c>
      <c r="E27" s="195">
        <v>14</v>
      </c>
      <c r="F27" s="195">
        <v>2</v>
      </c>
      <c r="G27" s="195">
        <v>0</v>
      </c>
      <c r="H27" s="195">
        <v>0</v>
      </c>
      <c r="I27" s="195">
        <v>0</v>
      </c>
      <c r="J27" s="195">
        <v>6</v>
      </c>
      <c r="K27" s="195">
        <v>0</v>
      </c>
      <c r="L27" s="195">
        <v>1</v>
      </c>
      <c r="M27" s="195">
        <v>0</v>
      </c>
      <c r="N27" s="195">
        <v>7</v>
      </c>
      <c r="O27" s="195">
        <v>0</v>
      </c>
      <c r="P27" s="195">
        <v>0</v>
      </c>
      <c r="Q27" s="195">
        <v>16</v>
      </c>
      <c r="R27" s="195">
        <v>2</v>
      </c>
      <c r="S27" s="195">
        <v>0</v>
      </c>
      <c r="T27" s="195">
        <v>0</v>
      </c>
      <c r="U27" s="195">
        <v>180</v>
      </c>
      <c r="V27" s="195">
        <v>4</v>
      </c>
    </row>
    <row r="28" spans="1:22">
      <c r="A28" s="1246"/>
      <c r="B28" s="246" t="s">
        <v>148</v>
      </c>
      <c r="C28" s="195">
        <v>45</v>
      </c>
      <c r="D28" s="195">
        <v>5</v>
      </c>
      <c r="E28" s="195">
        <v>0</v>
      </c>
      <c r="F28" s="195">
        <v>0</v>
      </c>
      <c r="G28" s="195">
        <v>0</v>
      </c>
      <c r="H28" s="195">
        <v>0</v>
      </c>
      <c r="I28" s="195">
        <v>70</v>
      </c>
      <c r="J28" s="195">
        <v>10</v>
      </c>
      <c r="K28" s="195">
        <v>0</v>
      </c>
      <c r="L28" s="195">
        <v>4</v>
      </c>
      <c r="M28" s="195"/>
      <c r="N28" s="195">
        <v>0</v>
      </c>
      <c r="O28" s="195">
        <v>0</v>
      </c>
      <c r="P28" s="195">
        <v>0</v>
      </c>
      <c r="Q28" s="195">
        <v>0</v>
      </c>
      <c r="R28" s="195">
        <v>0</v>
      </c>
      <c r="S28" s="195">
        <v>1</v>
      </c>
      <c r="T28" s="195">
        <v>6</v>
      </c>
      <c r="U28" s="195"/>
      <c r="V28" s="195"/>
    </row>
    <row r="29" spans="1:22">
      <c r="A29" s="1246"/>
      <c r="B29" s="246" t="s">
        <v>149</v>
      </c>
      <c r="C29" s="195">
        <v>150</v>
      </c>
      <c r="D29" s="195">
        <v>80</v>
      </c>
      <c r="E29" s="195">
        <v>9</v>
      </c>
      <c r="F29" s="195">
        <v>5</v>
      </c>
      <c r="G29" s="195">
        <v>0</v>
      </c>
      <c r="H29" s="195">
        <v>5</v>
      </c>
      <c r="I29" s="195">
        <v>100</v>
      </c>
      <c r="J29" s="195">
        <v>18</v>
      </c>
      <c r="K29" s="195">
        <v>0</v>
      </c>
      <c r="L29" s="195">
        <v>17</v>
      </c>
      <c r="M29" s="195">
        <v>17</v>
      </c>
      <c r="N29" s="195">
        <v>1</v>
      </c>
      <c r="O29" s="195">
        <v>0</v>
      </c>
      <c r="P29" s="195">
        <v>0</v>
      </c>
      <c r="Q29" s="195">
        <v>17</v>
      </c>
      <c r="R29" s="195">
        <v>2</v>
      </c>
      <c r="S29" s="195">
        <v>0</v>
      </c>
      <c r="T29" s="195">
        <v>0</v>
      </c>
      <c r="U29" s="195">
        <v>39</v>
      </c>
      <c r="V29" s="195">
        <v>0</v>
      </c>
    </row>
    <row r="30" spans="1:22">
      <c r="A30" s="1246"/>
      <c r="B30" s="246" t="s">
        <v>150</v>
      </c>
      <c r="C30" s="195">
        <v>90</v>
      </c>
      <c r="D30" s="195">
        <v>15</v>
      </c>
      <c r="E30" s="195">
        <v>1.5</v>
      </c>
      <c r="F30" s="195">
        <v>1</v>
      </c>
      <c r="G30" s="195">
        <v>0</v>
      </c>
      <c r="H30" s="195">
        <v>5</v>
      </c>
      <c r="I30" s="195">
        <v>70</v>
      </c>
      <c r="J30" s="195">
        <v>19</v>
      </c>
      <c r="K30" s="195">
        <v>0</v>
      </c>
      <c r="L30" s="195">
        <v>14</v>
      </c>
      <c r="M30" s="195">
        <v>14</v>
      </c>
      <c r="N30" s="195">
        <v>1</v>
      </c>
      <c r="O30" s="195">
        <v>0</v>
      </c>
      <c r="P30" s="195">
        <v>0</v>
      </c>
      <c r="Q30" s="195">
        <v>20</v>
      </c>
      <c r="R30" s="195">
        <v>2</v>
      </c>
      <c r="S30" s="195">
        <v>0</v>
      </c>
      <c r="T30" s="195">
        <v>0</v>
      </c>
      <c r="U30" s="195">
        <v>29</v>
      </c>
      <c r="V30" s="195">
        <v>0</v>
      </c>
    </row>
    <row r="31" spans="1:22">
      <c r="A31" s="1246"/>
      <c r="B31" s="246" t="s">
        <v>151</v>
      </c>
      <c r="C31" s="195">
        <v>90</v>
      </c>
      <c r="D31" s="195">
        <v>30</v>
      </c>
      <c r="E31" s="195">
        <v>3</v>
      </c>
      <c r="F31" s="195">
        <v>3</v>
      </c>
      <c r="G31" s="195">
        <v>0</v>
      </c>
      <c r="H31" s="195">
        <v>0</v>
      </c>
      <c r="I31" s="195">
        <v>80</v>
      </c>
      <c r="J31" s="195">
        <v>15</v>
      </c>
      <c r="K31" s="195">
        <v>1</v>
      </c>
      <c r="L31" s="195">
        <v>13</v>
      </c>
      <c r="M31" s="195">
        <v>12</v>
      </c>
      <c r="N31" s="195">
        <v>1</v>
      </c>
      <c r="O31" s="195">
        <v>0</v>
      </c>
      <c r="P31" s="195">
        <v>0</v>
      </c>
      <c r="Q31" s="195">
        <v>18</v>
      </c>
      <c r="R31" s="195">
        <v>2</v>
      </c>
      <c r="S31" s="195">
        <v>1</v>
      </c>
      <c r="T31" s="195">
        <v>6</v>
      </c>
      <c r="U31" s="195">
        <v>104</v>
      </c>
      <c r="V31" s="195">
        <v>2</v>
      </c>
    </row>
    <row r="32" spans="1:22">
      <c r="A32" s="1246"/>
      <c r="B32" s="246" t="s">
        <v>152</v>
      </c>
      <c r="C32" s="195">
        <v>140</v>
      </c>
      <c r="D32" s="195">
        <v>50</v>
      </c>
      <c r="E32" s="195">
        <v>6</v>
      </c>
      <c r="F32" s="195">
        <v>3.5</v>
      </c>
      <c r="G32" s="195">
        <v>0</v>
      </c>
      <c r="H32" s="195">
        <v>0</v>
      </c>
      <c r="I32" s="195">
        <v>20</v>
      </c>
      <c r="J32" s="195">
        <v>20</v>
      </c>
      <c r="K32" s="195">
        <v>1</v>
      </c>
      <c r="L32" s="195">
        <v>18</v>
      </c>
      <c r="M32" s="195">
        <v>17</v>
      </c>
      <c r="N32" s="195">
        <v>1</v>
      </c>
      <c r="O32" s="195">
        <v>0</v>
      </c>
      <c r="P32" s="195">
        <v>0</v>
      </c>
      <c r="Q32" s="195">
        <v>37</v>
      </c>
      <c r="R32" s="195">
        <v>2</v>
      </c>
      <c r="S32" s="195">
        <v>0</v>
      </c>
      <c r="T32" s="195">
        <v>0</v>
      </c>
      <c r="U32" s="195">
        <v>91</v>
      </c>
      <c r="V32" s="195">
        <v>2</v>
      </c>
    </row>
    <row r="33" spans="1:22">
      <c r="A33" s="1246"/>
      <c r="B33" s="246" t="s">
        <v>153</v>
      </c>
      <c r="C33" s="195">
        <v>130</v>
      </c>
      <c r="D33" s="195">
        <v>0</v>
      </c>
      <c r="E33" s="195">
        <v>0</v>
      </c>
      <c r="F33" s="195">
        <v>0</v>
      </c>
      <c r="G33" s="195">
        <v>0</v>
      </c>
      <c r="H33" s="195">
        <v>0</v>
      </c>
      <c r="I33" s="195">
        <v>15</v>
      </c>
      <c r="J33" s="195">
        <v>29</v>
      </c>
      <c r="K33" s="195">
        <v>0</v>
      </c>
      <c r="L33" s="195">
        <v>18</v>
      </c>
      <c r="M33" s="195">
        <v>18</v>
      </c>
      <c r="N33" s="195">
        <v>2</v>
      </c>
      <c r="O33" s="195">
        <v>0</v>
      </c>
      <c r="P33" s="195">
        <v>0</v>
      </c>
      <c r="Q33" s="195">
        <v>0</v>
      </c>
      <c r="R33" s="195">
        <v>0</v>
      </c>
      <c r="S33" s="195">
        <v>0</v>
      </c>
      <c r="T33" s="195">
        <v>0</v>
      </c>
      <c r="U33" s="195">
        <v>0</v>
      </c>
      <c r="V33" s="195">
        <v>0</v>
      </c>
    </row>
    <row r="34" spans="1:22">
      <c r="A34" s="1246"/>
      <c r="B34" s="246" t="s">
        <v>154</v>
      </c>
      <c r="C34" s="195">
        <v>110</v>
      </c>
      <c r="D34" s="195">
        <v>0</v>
      </c>
      <c r="E34" s="195">
        <v>0</v>
      </c>
      <c r="F34" s="195">
        <v>0</v>
      </c>
      <c r="G34" s="195">
        <v>0</v>
      </c>
      <c r="H34" s="195">
        <v>0</v>
      </c>
      <c r="I34" s="195">
        <v>0</v>
      </c>
      <c r="J34" s="195">
        <v>27</v>
      </c>
      <c r="K34" s="195">
        <v>0</v>
      </c>
      <c r="L34" s="195">
        <v>26</v>
      </c>
      <c r="M34" s="195">
        <v>26</v>
      </c>
      <c r="N34" s="195">
        <v>0</v>
      </c>
      <c r="O34" s="195">
        <v>0</v>
      </c>
      <c r="P34" s="195">
        <v>0</v>
      </c>
      <c r="Q34" s="195">
        <v>0</v>
      </c>
      <c r="R34" s="195">
        <v>0</v>
      </c>
      <c r="S34" s="195">
        <v>0</v>
      </c>
      <c r="T34" s="195">
        <v>0</v>
      </c>
      <c r="U34" s="195">
        <v>0</v>
      </c>
      <c r="V34" s="195">
        <v>0</v>
      </c>
    </row>
    <row r="35" spans="1:22">
      <c r="A35" s="1246"/>
      <c r="B35" s="246" t="s">
        <v>155</v>
      </c>
      <c r="C35" s="195">
        <v>120</v>
      </c>
      <c r="D35" s="195">
        <v>25</v>
      </c>
      <c r="E35" s="195">
        <v>3</v>
      </c>
      <c r="F35" s="195">
        <v>1.5</v>
      </c>
      <c r="G35" s="195">
        <v>0</v>
      </c>
      <c r="H35" s="195">
        <v>0</v>
      </c>
      <c r="I35" s="195">
        <v>150</v>
      </c>
      <c r="J35" s="195">
        <v>22</v>
      </c>
      <c r="K35" s="195">
        <v>0</v>
      </c>
      <c r="L35" s="195">
        <v>10</v>
      </c>
      <c r="M35" s="212"/>
      <c r="N35" s="195">
        <v>1</v>
      </c>
      <c r="O35" s="195">
        <v>0</v>
      </c>
      <c r="P35" s="195">
        <v>0</v>
      </c>
      <c r="Q35" s="195">
        <v>5</v>
      </c>
      <c r="R35" s="195">
        <v>0</v>
      </c>
      <c r="S35" s="195">
        <v>1</v>
      </c>
      <c r="T35" s="195">
        <v>6</v>
      </c>
      <c r="U35" s="195"/>
      <c r="V35" s="195"/>
    </row>
    <row r="36" spans="1:22">
      <c r="A36" s="1246"/>
      <c r="B36" s="246" t="s">
        <v>156</v>
      </c>
      <c r="C36" s="195">
        <v>120</v>
      </c>
      <c r="D36" s="195">
        <v>45</v>
      </c>
      <c r="E36" s="195">
        <v>4.5</v>
      </c>
      <c r="F36" s="195">
        <v>1.5</v>
      </c>
      <c r="G36" s="195">
        <v>0</v>
      </c>
      <c r="H36" s="195">
        <v>0</v>
      </c>
      <c r="I36" s="195">
        <v>140</v>
      </c>
      <c r="J36" s="195">
        <v>18</v>
      </c>
      <c r="K36" s="195">
        <v>0</v>
      </c>
      <c r="L36" s="195">
        <v>10</v>
      </c>
      <c r="M36" s="195"/>
      <c r="N36" s="195">
        <v>1</v>
      </c>
      <c r="O36" s="195">
        <v>0</v>
      </c>
      <c r="P36" s="195">
        <v>0</v>
      </c>
      <c r="Q36" s="195">
        <v>0</v>
      </c>
      <c r="R36" s="195">
        <v>0</v>
      </c>
      <c r="S36" s="195">
        <v>1</v>
      </c>
      <c r="T36" s="195">
        <v>6</v>
      </c>
      <c r="U36" s="195"/>
      <c r="V36" s="195"/>
    </row>
    <row r="37" spans="1:22">
      <c r="A37" s="1246"/>
      <c r="B37" s="246" t="s">
        <v>157</v>
      </c>
      <c r="C37" s="195">
        <v>140</v>
      </c>
      <c r="D37" s="195">
        <v>70</v>
      </c>
      <c r="E37" s="195">
        <v>8</v>
      </c>
      <c r="F37" s="195">
        <v>3</v>
      </c>
      <c r="G37" s="195">
        <v>0</v>
      </c>
      <c r="H37" s="195">
        <v>0</v>
      </c>
      <c r="I37" s="195">
        <v>100</v>
      </c>
      <c r="J37" s="195">
        <v>16</v>
      </c>
      <c r="K37" s="195">
        <v>1</v>
      </c>
      <c r="L37" s="195">
        <v>14</v>
      </c>
      <c r="M37" s="195">
        <v>13</v>
      </c>
      <c r="N37" s="195">
        <v>3</v>
      </c>
      <c r="O37" s="195">
        <v>0</v>
      </c>
      <c r="P37" s="195">
        <v>0</v>
      </c>
      <c r="Q37" s="195">
        <v>26</v>
      </c>
      <c r="R37" s="195">
        <v>2</v>
      </c>
      <c r="S37" s="195">
        <v>1</v>
      </c>
      <c r="T37" s="195">
        <v>6</v>
      </c>
      <c r="U37" s="195">
        <v>102</v>
      </c>
      <c r="V37" s="195">
        <v>2</v>
      </c>
    </row>
    <row r="38" spans="1:22" ht="14.25" customHeight="1">
      <c r="A38" s="1246"/>
      <c r="B38" s="246" t="s">
        <v>158</v>
      </c>
      <c r="C38" s="195">
        <v>190</v>
      </c>
      <c r="D38" s="195">
        <v>160</v>
      </c>
      <c r="E38" s="195">
        <v>18</v>
      </c>
      <c r="F38" s="195">
        <v>3</v>
      </c>
      <c r="G38" s="195">
        <v>0</v>
      </c>
      <c r="H38" s="195">
        <v>0</v>
      </c>
      <c r="I38" s="195">
        <v>130</v>
      </c>
      <c r="J38" s="195">
        <v>6</v>
      </c>
      <c r="K38" s="195">
        <v>2</v>
      </c>
      <c r="L38" s="195">
        <v>3</v>
      </c>
      <c r="M38" s="195">
        <v>2</v>
      </c>
      <c r="N38" s="195">
        <v>6</v>
      </c>
      <c r="O38" s="195">
        <v>0</v>
      </c>
      <c r="P38" s="195">
        <v>0</v>
      </c>
      <c r="Q38" s="195">
        <v>21</v>
      </c>
      <c r="R38" s="195">
        <v>2</v>
      </c>
      <c r="S38" s="195">
        <v>1</v>
      </c>
      <c r="T38" s="195">
        <v>6</v>
      </c>
      <c r="U38" s="195">
        <v>159</v>
      </c>
      <c r="V38" s="195">
        <v>4</v>
      </c>
    </row>
    <row r="39" spans="1:22" ht="14.25" customHeight="1">
      <c r="A39" s="1246"/>
      <c r="B39" s="246" t="s">
        <v>159</v>
      </c>
      <c r="C39" s="195">
        <v>130</v>
      </c>
      <c r="D39" s="195">
        <v>60</v>
      </c>
      <c r="E39" s="195">
        <v>6</v>
      </c>
      <c r="F39" s="195">
        <v>2.5</v>
      </c>
      <c r="G39" s="195">
        <v>0</v>
      </c>
      <c r="H39" s="195">
        <v>0</v>
      </c>
      <c r="I39" s="195">
        <v>65</v>
      </c>
      <c r="J39" s="195">
        <v>18</v>
      </c>
      <c r="K39" s="195">
        <v>1</v>
      </c>
      <c r="L39" s="195">
        <v>15</v>
      </c>
      <c r="M39" s="195">
        <v>13</v>
      </c>
      <c r="N39" s="195">
        <v>2</v>
      </c>
      <c r="O39" s="195">
        <v>0</v>
      </c>
      <c r="P39" s="195">
        <v>0</v>
      </c>
      <c r="Q39" s="195">
        <v>27</v>
      </c>
      <c r="R39" s="195">
        <v>2</v>
      </c>
      <c r="S39" s="195">
        <v>0</v>
      </c>
      <c r="T39" s="195">
        <v>0</v>
      </c>
      <c r="U39" s="195">
        <v>83</v>
      </c>
      <c r="V39" s="195">
        <v>2</v>
      </c>
    </row>
    <row r="40" spans="1:22">
      <c r="A40" s="1246"/>
      <c r="B40" s="246" t="s">
        <v>160</v>
      </c>
      <c r="C40" s="195">
        <v>140</v>
      </c>
      <c r="D40" s="195">
        <v>50</v>
      </c>
      <c r="E40" s="195">
        <v>5</v>
      </c>
      <c r="F40" s="195">
        <v>4.5</v>
      </c>
      <c r="G40" s="195">
        <v>0</v>
      </c>
      <c r="H40" s="195">
        <v>0</v>
      </c>
      <c r="I40" s="195">
        <v>0</v>
      </c>
      <c r="J40" s="195">
        <v>22</v>
      </c>
      <c r="K40" s="195">
        <v>0</v>
      </c>
      <c r="L40" s="195">
        <v>14</v>
      </c>
      <c r="M40" s="195">
        <v>14</v>
      </c>
      <c r="N40" s="195">
        <v>1</v>
      </c>
      <c r="O40" s="195">
        <v>0</v>
      </c>
      <c r="P40" s="195">
        <v>0</v>
      </c>
      <c r="Q40" s="195">
        <v>1</v>
      </c>
      <c r="R40" s="195">
        <v>0</v>
      </c>
      <c r="S40" s="195">
        <v>1</v>
      </c>
      <c r="T40" s="195">
        <v>6</v>
      </c>
      <c r="U40" s="195">
        <v>0</v>
      </c>
      <c r="V40" s="195">
        <v>0</v>
      </c>
    </row>
    <row r="41" spans="1:22">
      <c r="A41" s="1246"/>
      <c r="B41" s="246" t="s">
        <v>161</v>
      </c>
      <c r="C41" s="195">
        <v>130</v>
      </c>
      <c r="D41" s="195">
        <v>50</v>
      </c>
      <c r="E41" s="195">
        <v>5</v>
      </c>
      <c r="F41" s="195">
        <v>4.5</v>
      </c>
      <c r="G41" s="195">
        <v>0</v>
      </c>
      <c r="H41" s="195">
        <v>0</v>
      </c>
      <c r="I41" s="195">
        <v>0</v>
      </c>
      <c r="J41" s="195">
        <v>22</v>
      </c>
      <c r="K41" s="195">
        <v>0</v>
      </c>
      <c r="L41" s="195">
        <v>14</v>
      </c>
      <c r="M41" s="195">
        <v>14</v>
      </c>
      <c r="N41" s="195">
        <v>0</v>
      </c>
      <c r="O41" s="195">
        <v>0</v>
      </c>
      <c r="P41" s="195">
        <v>0</v>
      </c>
      <c r="Q41" s="195">
        <v>1</v>
      </c>
      <c r="R41" s="195">
        <v>0</v>
      </c>
      <c r="S41" s="195">
        <v>0</v>
      </c>
      <c r="T41" s="195">
        <v>0</v>
      </c>
      <c r="U41" s="195">
        <v>0</v>
      </c>
      <c r="V41" s="195">
        <v>0</v>
      </c>
    </row>
    <row r="42" spans="1:22">
      <c r="A42" s="1246"/>
      <c r="B42" s="246" t="s">
        <v>162</v>
      </c>
      <c r="C42" s="195">
        <v>80</v>
      </c>
      <c r="D42" s="195">
        <v>0</v>
      </c>
      <c r="E42" s="195">
        <v>0</v>
      </c>
      <c r="F42" s="195">
        <v>0</v>
      </c>
      <c r="G42" s="195">
        <v>0</v>
      </c>
      <c r="H42" s="195">
        <v>0</v>
      </c>
      <c r="I42" s="195">
        <v>10</v>
      </c>
      <c r="J42" s="195">
        <v>21</v>
      </c>
      <c r="K42" s="195">
        <v>1</v>
      </c>
      <c r="L42" s="195">
        <v>18</v>
      </c>
      <c r="M42" s="195">
        <v>11</v>
      </c>
      <c r="N42" s="195">
        <v>0</v>
      </c>
      <c r="O42" s="195">
        <v>0</v>
      </c>
      <c r="P42" s="195">
        <v>0</v>
      </c>
      <c r="Q42" s="195">
        <v>6</v>
      </c>
      <c r="R42" s="195">
        <v>0</v>
      </c>
      <c r="S42" s="195">
        <v>0</v>
      </c>
      <c r="T42" s="195">
        <v>0</v>
      </c>
      <c r="U42" s="195">
        <v>53</v>
      </c>
      <c r="V42" s="195">
        <v>2</v>
      </c>
    </row>
    <row r="43" spans="1:22">
      <c r="A43" s="1246"/>
      <c r="B43" s="246" t="s">
        <v>163</v>
      </c>
      <c r="C43" s="195">
        <v>280</v>
      </c>
      <c r="D43" s="195">
        <v>160</v>
      </c>
      <c r="E43" s="195">
        <v>18</v>
      </c>
      <c r="F43" s="195">
        <v>1.5</v>
      </c>
      <c r="G43" s="195">
        <v>0</v>
      </c>
      <c r="H43" s="195">
        <v>0</v>
      </c>
      <c r="I43" s="195">
        <v>0</v>
      </c>
      <c r="J43" s="195">
        <v>25</v>
      </c>
      <c r="K43" s="195">
        <v>3</v>
      </c>
      <c r="L43" s="195">
        <v>20</v>
      </c>
      <c r="M43" s="195">
        <v>0</v>
      </c>
      <c r="N43" s="195">
        <v>4</v>
      </c>
      <c r="O43" s="195">
        <v>0</v>
      </c>
      <c r="P43" s="195">
        <v>0</v>
      </c>
      <c r="Q43" s="195">
        <v>24</v>
      </c>
      <c r="R43" s="195">
        <v>2</v>
      </c>
      <c r="S43" s="195">
        <v>1</v>
      </c>
      <c r="T43" s="195">
        <v>6</v>
      </c>
      <c r="U43" s="195">
        <v>124</v>
      </c>
      <c r="V43" s="195">
        <v>2</v>
      </c>
    </row>
    <row r="44" spans="1:22">
      <c r="A44" s="1246"/>
      <c r="B44" s="246" t="s">
        <v>422</v>
      </c>
      <c r="C44" s="254">
        <v>90</v>
      </c>
      <c r="D44" s="254">
        <v>0</v>
      </c>
      <c r="E44" s="254">
        <v>0</v>
      </c>
      <c r="F44" s="254">
        <v>0</v>
      </c>
      <c r="G44" s="254">
        <v>0</v>
      </c>
      <c r="H44" s="254">
        <v>0</v>
      </c>
      <c r="I44" s="254">
        <v>0</v>
      </c>
      <c r="J44" s="254">
        <v>17</v>
      </c>
      <c r="K44" s="195">
        <v>0</v>
      </c>
      <c r="L44" s="254">
        <v>9</v>
      </c>
      <c r="M44" s="254">
        <v>0</v>
      </c>
      <c r="N44" s="254">
        <v>0</v>
      </c>
      <c r="O44" s="195">
        <v>0</v>
      </c>
      <c r="P44" s="195">
        <v>0</v>
      </c>
      <c r="Q44" s="254">
        <v>170</v>
      </c>
      <c r="R44" s="254">
        <v>15</v>
      </c>
      <c r="S44" s="254">
        <v>6</v>
      </c>
      <c r="T44" s="254">
        <v>35</v>
      </c>
      <c r="U44" s="254">
        <v>0</v>
      </c>
      <c r="V44" s="254">
        <v>0</v>
      </c>
    </row>
    <row r="45" spans="1:22" ht="16.3" thickBot="1">
      <c r="A45" s="1247"/>
      <c r="B45" s="246" t="s">
        <v>423</v>
      </c>
      <c r="C45" s="254">
        <v>80</v>
      </c>
      <c r="D45" s="254">
        <v>50</v>
      </c>
      <c r="E45" s="254">
        <v>6</v>
      </c>
      <c r="F45" s="254">
        <v>3.5</v>
      </c>
      <c r="G45" s="254">
        <v>0</v>
      </c>
      <c r="H45" s="254">
        <v>20</v>
      </c>
      <c r="I45" s="254">
        <v>5</v>
      </c>
      <c r="J45" s="254">
        <v>6</v>
      </c>
      <c r="K45" s="254">
        <v>0</v>
      </c>
      <c r="L45" s="254">
        <v>3</v>
      </c>
      <c r="M45" s="254">
        <v>2</v>
      </c>
      <c r="N45" s="254">
        <v>1</v>
      </c>
      <c r="O45" s="195">
        <v>0</v>
      </c>
      <c r="P45" s="195">
        <v>0</v>
      </c>
      <c r="Q45" s="254">
        <v>20</v>
      </c>
      <c r="R45" s="254">
        <v>2</v>
      </c>
      <c r="S45" s="254">
        <v>0</v>
      </c>
      <c r="T45" s="254">
        <v>0</v>
      </c>
      <c r="U45" s="254">
        <v>26</v>
      </c>
      <c r="V45" s="254">
        <v>0</v>
      </c>
    </row>
    <row r="46" spans="1:22">
      <c r="B46" s="1234" t="s">
        <v>168</v>
      </c>
      <c r="C46" s="1235"/>
      <c r="D46" s="1235"/>
      <c r="E46" s="1235"/>
      <c r="F46" s="1235"/>
      <c r="G46" s="1235"/>
      <c r="H46" s="1235"/>
      <c r="I46" s="1235"/>
      <c r="J46" s="1235"/>
      <c r="K46" s="1235"/>
      <c r="L46" s="1235"/>
      <c r="M46" s="1235"/>
      <c r="N46" s="1235"/>
      <c r="O46" s="1235"/>
      <c r="P46" s="1235"/>
      <c r="Q46" s="1235"/>
      <c r="R46" s="1235"/>
      <c r="S46" s="1235"/>
      <c r="T46" s="1235"/>
      <c r="U46" s="1235"/>
      <c r="V46" s="1236"/>
    </row>
    <row r="47" spans="1:22">
      <c r="B47" s="1237"/>
      <c r="C47" s="1238"/>
      <c r="D47" s="1238"/>
      <c r="E47" s="1238"/>
      <c r="F47" s="1238"/>
      <c r="G47" s="1238"/>
      <c r="H47" s="1238"/>
      <c r="I47" s="1238"/>
      <c r="J47" s="1238"/>
      <c r="K47" s="1238"/>
      <c r="L47" s="1238"/>
      <c r="M47" s="1238"/>
      <c r="N47" s="1238"/>
      <c r="O47" s="1238"/>
      <c r="P47" s="1238"/>
      <c r="Q47" s="1238"/>
      <c r="R47" s="1238"/>
      <c r="S47" s="1238"/>
      <c r="T47" s="1238"/>
      <c r="U47" s="1238"/>
      <c r="V47" s="1239"/>
    </row>
    <row r="48" spans="1:22">
      <c r="B48" s="1240"/>
      <c r="C48" s="1241"/>
      <c r="D48" s="1241"/>
      <c r="E48" s="1241"/>
      <c r="F48" s="1241"/>
      <c r="G48" s="1241"/>
      <c r="H48" s="1241"/>
      <c r="I48" s="1241"/>
      <c r="J48" s="1241"/>
      <c r="K48" s="1241"/>
      <c r="L48" s="1241"/>
      <c r="M48" s="1241"/>
      <c r="N48" s="1241"/>
      <c r="O48" s="1241"/>
      <c r="P48" s="1241"/>
      <c r="Q48" s="1241"/>
      <c r="R48" s="1241"/>
      <c r="S48" s="1241"/>
      <c r="T48" s="1241"/>
      <c r="U48" s="1241"/>
      <c r="V48" s="1242"/>
    </row>
    <row r="49" spans="2:22">
      <c r="B49" s="195"/>
      <c r="C49" s="195"/>
      <c r="D49" s="195"/>
      <c r="E49" s="195"/>
      <c r="F49" s="195"/>
      <c r="G49" s="195"/>
      <c r="H49" s="195"/>
      <c r="I49" s="195"/>
      <c r="J49" s="195"/>
      <c r="K49" s="195"/>
      <c r="L49" s="195"/>
      <c r="M49" s="195"/>
      <c r="N49" s="195"/>
      <c r="O49" s="195"/>
      <c r="P49" s="195"/>
      <c r="Q49" s="195"/>
      <c r="R49" s="188"/>
      <c r="S49" s="188"/>
      <c r="T49" s="188"/>
      <c r="U49" s="188"/>
      <c r="V49" s="188"/>
    </row>
    <row r="50" spans="2:22">
      <c r="B50" s="191" t="s">
        <v>424</v>
      </c>
      <c r="C50" s="191">
        <f>SUM(AVERAGE(C4:C19), AVERAGE(C24:C43),C44:C45)</f>
        <v>861.375</v>
      </c>
      <c r="D50" s="191">
        <f t="shared" ref="D50:V50" si="0">SUM(AVERAGE(D4:D19), AVERAGE(D24:D43),D44:D45)</f>
        <v>334.375</v>
      </c>
      <c r="E50" s="191">
        <f t="shared" si="0"/>
        <v>37.825000000000003</v>
      </c>
      <c r="F50" s="191">
        <f t="shared" si="0"/>
        <v>22.024999999999999</v>
      </c>
      <c r="G50" s="191">
        <f t="shared" si="0"/>
        <v>0</v>
      </c>
      <c r="H50" s="191">
        <f t="shared" si="0"/>
        <v>189.4375</v>
      </c>
      <c r="I50" s="191">
        <f t="shared" si="0"/>
        <v>383.5</v>
      </c>
      <c r="J50" s="191">
        <f t="shared" si="0"/>
        <v>113.27500000000001</v>
      </c>
      <c r="K50" s="191">
        <f t="shared" si="0"/>
        <v>0.55000000000000004</v>
      </c>
      <c r="L50" s="191">
        <f t="shared" si="0"/>
        <v>89.362499999999997</v>
      </c>
      <c r="M50" s="191">
        <f t="shared" si="0"/>
        <v>47.441176470588232</v>
      </c>
      <c r="N50" s="191">
        <f t="shared" si="0"/>
        <v>14.574999999999999</v>
      </c>
      <c r="O50" s="191">
        <f t="shared" si="0"/>
        <v>1</v>
      </c>
      <c r="P50" s="191">
        <f t="shared" si="0"/>
        <v>6</v>
      </c>
      <c r="Q50" s="191">
        <f t="shared" si="0"/>
        <v>618.78750000000002</v>
      </c>
      <c r="R50" s="191">
        <f t="shared" si="0"/>
        <v>50.587499999999999</v>
      </c>
      <c r="S50" s="191">
        <f t="shared" si="0"/>
        <v>6.6749999999999998</v>
      </c>
      <c r="T50" s="191">
        <f t="shared" si="0"/>
        <v>38.825000000000003</v>
      </c>
      <c r="U50" s="191">
        <f t="shared" si="0"/>
        <v>652.06617647058829</v>
      </c>
      <c r="V50" s="191">
        <f t="shared" si="0"/>
        <v>12.474264705882353</v>
      </c>
    </row>
    <row r="51" spans="2:22" ht="31.75">
      <c r="B51" s="261" t="s">
        <v>425</v>
      </c>
      <c r="C51" s="191" t="str">
        <f>(MIN(C4:C19)+SUM(C44:C45)) &amp;" - "&amp; ((MAX(C4:C19)+MAX(C24:C43))+SUM(C44:C45))</f>
        <v>710 - 1030</v>
      </c>
      <c r="D51" s="191" t="str">
        <f t="shared" ref="D51:V51" si="1">(MIN(D4:D19)+SUM(D44:D45)) &amp;" - "&amp; ((MAX(D4:D19)+MAX(D24:D43))+SUM(D44:D45))</f>
        <v>265 - 445</v>
      </c>
      <c r="E51" s="191" t="str">
        <f t="shared" si="1"/>
        <v>31 - 51</v>
      </c>
      <c r="F51" s="191" t="str">
        <f t="shared" si="1"/>
        <v>18.5 - 25.5</v>
      </c>
      <c r="G51" s="191" t="str">
        <f t="shared" si="1"/>
        <v>0 - 0</v>
      </c>
      <c r="H51" s="191" t="str">
        <f t="shared" si="1"/>
        <v>160 - 200</v>
      </c>
      <c r="I51" s="191" t="str">
        <f t="shared" si="1"/>
        <v>285 - 505</v>
      </c>
      <c r="J51" s="191" t="str">
        <f t="shared" si="1"/>
        <v>92 - 131</v>
      </c>
      <c r="K51" s="191" t="str">
        <f t="shared" si="1"/>
        <v>0 - 3</v>
      </c>
      <c r="L51" s="191" t="str">
        <f t="shared" si="1"/>
        <v>73 - 108</v>
      </c>
      <c r="M51" s="191" t="str">
        <f t="shared" si="1"/>
        <v>33 - 69</v>
      </c>
      <c r="N51" s="191" t="str">
        <f t="shared" si="1"/>
        <v>12 - 20</v>
      </c>
      <c r="O51" s="191" t="str">
        <f t="shared" si="1"/>
        <v>1 - 1</v>
      </c>
      <c r="P51" s="191" t="str">
        <f t="shared" si="1"/>
        <v>6 - 6</v>
      </c>
      <c r="Q51" s="191" t="str">
        <f t="shared" si="1"/>
        <v>587 - 652</v>
      </c>
      <c r="R51" s="191" t="str">
        <f t="shared" si="1"/>
        <v>45 - 52</v>
      </c>
      <c r="S51" s="191" t="str">
        <f t="shared" si="1"/>
        <v>6 - 10</v>
      </c>
      <c r="T51" s="191" t="str">
        <f t="shared" si="1"/>
        <v>35 - 55</v>
      </c>
      <c r="U51" s="191" t="str">
        <f t="shared" si="1"/>
        <v>544 - 924</v>
      </c>
      <c r="V51" s="191" t="str">
        <f t="shared" si="1"/>
        <v>10 - 21</v>
      </c>
    </row>
    <row r="52" spans="2:22">
      <c r="B52" s="188"/>
      <c r="C52" s="188"/>
      <c r="D52" s="188"/>
      <c r="E52" s="188"/>
      <c r="F52" s="188"/>
      <c r="G52" s="188"/>
      <c r="H52" s="188"/>
      <c r="I52" s="188"/>
      <c r="J52" s="188"/>
      <c r="K52" s="188"/>
      <c r="L52" s="188"/>
      <c r="M52" s="188"/>
      <c r="N52" s="188"/>
      <c r="O52" s="188"/>
      <c r="P52" s="188"/>
      <c r="Q52" s="188"/>
      <c r="R52" s="188"/>
      <c r="S52" s="188"/>
      <c r="T52" s="188"/>
      <c r="U52" s="188"/>
      <c r="V52" s="188"/>
    </row>
    <row r="53" spans="2:22">
      <c r="B53" s="188"/>
      <c r="C53" s="188"/>
      <c r="D53" s="188"/>
      <c r="E53" s="188"/>
      <c r="F53" s="188"/>
      <c r="G53" s="188"/>
      <c r="H53" s="188"/>
      <c r="I53" s="188"/>
      <c r="J53" s="188"/>
      <c r="K53" s="188"/>
      <c r="L53" s="188"/>
      <c r="M53" s="188"/>
      <c r="N53" s="188"/>
      <c r="O53" s="188"/>
      <c r="P53" s="188"/>
      <c r="Q53" s="188"/>
      <c r="R53" s="188"/>
      <c r="S53" s="188"/>
      <c r="T53" s="188"/>
      <c r="U53" s="188"/>
      <c r="V53" s="188"/>
    </row>
    <row r="54" spans="2:22">
      <c r="B54" s="188"/>
      <c r="C54" s="188"/>
      <c r="D54" s="188"/>
      <c r="E54" s="188"/>
      <c r="F54" s="188"/>
      <c r="G54" s="188"/>
      <c r="H54" s="188"/>
      <c r="I54" s="188"/>
      <c r="J54" s="188"/>
      <c r="K54" s="188"/>
      <c r="L54" s="188"/>
      <c r="M54" s="188"/>
      <c r="N54" s="188"/>
      <c r="O54" s="188"/>
      <c r="P54" s="188"/>
      <c r="Q54" s="188"/>
      <c r="R54" s="188"/>
      <c r="S54" s="188"/>
      <c r="T54" s="188"/>
      <c r="U54" s="188"/>
      <c r="V54" s="188"/>
    </row>
    <row r="55" spans="2:22">
      <c r="B55" s="188"/>
      <c r="C55" s="188"/>
      <c r="D55" s="188"/>
      <c r="E55" s="188"/>
      <c r="F55" s="188"/>
      <c r="G55" s="188"/>
      <c r="H55" s="188"/>
      <c r="I55" s="188"/>
      <c r="J55" s="188"/>
      <c r="K55" s="188"/>
      <c r="L55" s="188"/>
      <c r="M55" s="188"/>
      <c r="N55" s="188"/>
      <c r="O55" s="188"/>
      <c r="P55" s="188"/>
      <c r="Q55" s="188"/>
      <c r="R55" s="188"/>
      <c r="S55" s="188"/>
      <c r="T55" s="188"/>
      <c r="U55" s="188"/>
      <c r="V55" s="188"/>
    </row>
    <row r="56" spans="2:22">
      <c r="B56" s="188"/>
      <c r="C56" s="188"/>
      <c r="D56" s="188"/>
      <c r="E56" s="188"/>
      <c r="F56" s="188"/>
      <c r="G56" s="188"/>
      <c r="H56" s="188"/>
      <c r="I56" s="188"/>
      <c r="J56" s="188"/>
      <c r="K56" s="188"/>
      <c r="L56" s="188"/>
      <c r="M56" s="188"/>
      <c r="N56" s="188"/>
      <c r="O56" s="188"/>
      <c r="P56" s="188"/>
      <c r="Q56" s="188"/>
      <c r="R56" s="188"/>
      <c r="S56" s="188"/>
      <c r="T56" s="188"/>
      <c r="U56" s="188"/>
      <c r="V56" s="188"/>
    </row>
    <row r="57" spans="2:22">
      <c r="B57" s="188"/>
      <c r="C57" s="188"/>
      <c r="D57" s="188"/>
      <c r="E57" s="188"/>
      <c r="F57" s="188"/>
      <c r="G57" s="188"/>
      <c r="H57" s="188"/>
      <c r="I57" s="188"/>
      <c r="J57" s="188"/>
      <c r="K57" s="188"/>
      <c r="L57" s="188"/>
      <c r="M57" s="188"/>
      <c r="N57" s="188"/>
      <c r="O57" s="188"/>
      <c r="P57" s="188"/>
      <c r="Q57" s="188"/>
      <c r="R57" s="188"/>
      <c r="S57" s="188"/>
      <c r="T57" s="188"/>
      <c r="U57" s="188"/>
      <c r="V57" s="188"/>
    </row>
    <row r="58" spans="2:22">
      <c r="B58" s="188"/>
      <c r="C58" s="188"/>
      <c r="D58" s="188"/>
      <c r="E58" s="188"/>
      <c r="F58" s="188"/>
      <c r="G58" s="188"/>
      <c r="H58" s="188"/>
      <c r="I58" s="188"/>
      <c r="J58" s="188"/>
      <c r="K58" s="188"/>
      <c r="L58" s="188"/>
      <c r="M58" s="188"/>
      <c r="N58" s="188"/>
      <c r="O58" s="188"/>
      <c r="P58" s="188"/>
      <c r="Q58" s="188"/>
      <c r="R58" s="188"/>
      <c r="S58" s="188"/>
      <c r="T58" s="188"/>
      <c r="U58" s="188"/>
      <c r="V58" s="188"/>
    </row>
    <row r="59" spans="2:22">
      <c r="B59" s="188"/>
      <c r="C59" s="188"/>
      <c r="D59" s="188"/>
      <c r="E59" s="188"/>
      <c r="F59" s="188"/>
      <c r="G59" s="188"/>
      <c r="H59" s="188"/>
      <c r="I59" s="188"/>
      <c r="J59" s="188"/>
      <c r="K59" s="188"/>
      <c r="L59" s="188"/>
      <c r="M59" s="188"/>
      <c r="N59" s="188"/>
      <c r="O59" s="188"/>
      <c r="P59" s="188"/>
      <c r="Q59" s="188"/>
      <c r="R59" s="188"/>
      <c r="S59" s="188"/>
      <c r="T59" s="188"/>
      <c r="U59" s="188"/>
      <c r="V59" s="188"/>
    </row>
    <row r="60" spans="2:22">
      <c r="B60" s="188"/>
      <c r="C60" s="188"/>
      <c r="D60" s="188"/>
      <c r="E60" s="188"/>
      <c r="F60" s="188"/>
      <c r="G60" s="188"/>
      <c r="H60" s="188"/>
      <c r="I60" s="188"/>
      <c r="J60" s="188"/>
      <c r="K60" s="188"/>
      <c r="L60" s="188"/>
      <c r="M60" s="188"/>
      <c r="N60" s="188"/>
      <c r="O60" s="188"/>
      <c r="P60" s="188"/>
      <c r="Q60" s="188"/>
      <c r="R60" s="188"/>
      <c r="S60" s="188"/>
      <c r="T60" s="188"/>
      <c r="U60" s="188"/>
      <c r="V60" s="188"/>
    </row>
    <row r="61" spans="2:22">
      <c r="B61" s="188"/>
      <c r="C61" s="188"/>
      <c r="D61" s="188"/>
      <c r="E61" s="188"/>
      <c r="F61" s="188"/>
      <c r="G61" s="188"/>
      <c r="H61" s="188"/>
      <c r="I61" s="188"/>
      <c r="J61" s="188"/>
      <c r="K61" s="188"/>
      <c r="L61" s="188"/>
      <c r="M61" s="188"/>
      <c r="N61" s="188"/>
      <c r="O61" s="188"/>
      <c r="P61" s="188"/>
      <c r="Q61" s="188"/>
      <c r="R61" s="188"/>
      <c r="S61" s="188"/>
      <c r="T61" s="188"/>
      <c r="U61" s="188"/>
      <c r="V61" s="188"/>
    </row>
    <row r="62" spans="2:22">
      <c r="B62" s="188"/>
      <c r="C62" s="188"/>
      <c r="D62" s="188"/>
      <c r="E62" s="188"/>
      <c r="F62" s="188"/>
      <c r="G62" s="188"/>
      <c r="H62" s="188"/>
      <c r="I62" s="188"/>
      <c r="J62" s="188"/>
      <c r="K62" s="188"/>
      <c r="L62" s="188"/>
      <c r="M62" s="188"/>
      <c r="N62" s="188"/>
      <c r="O62" s="188"/>
      <c r="P62" s="188"/>
      <c r="Q62" s="188"/>
      <c r="R62" s="188"/>
      <c r="S62" s="188"/>
      <c r="T62" s="188"/>
      <c r="U62" s="188"/>
      <c r="V62" s="188"/>
    </row>
    <row r="63" spans="2:22">
      <c r="B63" s="188"/>
      <c r="C63" s="188"/>
      <c r="D63" s="188"/>
      <c r="E63" s="188"/>
      <c r="F63" s="188"/>
      <c r="G63" s="188"/>
      <c r="H63" s="188"/>
      <c r="I63" s="188"/>
      <c r="J63" s="188"/>
      <c r="K63" s="188"/>
      <c r="L63" s="188"/>
      <c r="M63" s="188"/>
      <c r="N63" s="188"/>
      <c r="O63" s="188"/>
      <c r="P63" s="188"/>
      <c r="Q63" s="188"/>
      <c r="R63" s="188"/>
      <c r="S63" s="188"/>
      <c r="T63" s="188"/>
      <c r="U63" s="188"/>
      <c r="V63" s="188"/>
    </row>
    <row r="64" spans="2:22">
      <c r="B64" s="188"/>
      <c r="C64" s="188"/>
      <c r="D64" s="188"/>
      <c r="E64" s="188"/>
      <c r="F64" s="188"/>
      <c r="G64" s="188"/>
      <c r="H64" s="188"/>
      <c r="I64" s="188"/>
      <c r="J64" s="188"/>
      <c r="K64" s="188"/>
      <c r="L64" s="188"/>
      <c r="M64" s="188"/>
      <c r="N64" s="188"/>
      <c r="O64" s="188"/>
      <c r="P64" s="188"/>
      <c r="Q64" s="188"/>
      <c r="R64" s="188"/>
      <c r="S64" s="188"/>
      <c r="T64" s="188"/>
      <c r="U64" s="188"/>
      <c r="V64" s="188"/>
    </row>
    <row r="65" spans="1:22">
      <c r="B65" s="188"/>
      <c r="C65" s="188"/>
      <c r="D65" s="188"/>
      <c r="E65" s="188"/>
      <c r="F65" s="188"/>
      <c r="G65" s="188"/>
      <c r="H65" s="188"/>
      <c r="I65" s="188"/>
      <c r="J65" s="188"/>
      <c r="K65" s="188"/>
      <c r="L65" s="188"/>
      <c r="M65" s="188"/>
      <c r="N65" s="188"/>
      <c r="O65" s="188"/>
      <c r="P65" s="188"/>
      <c r="Q65" s="188"/>
      <c r="R65" s="188"/>
      <c r="S65" s="188"/>
      <c r="T65" s="188"/>
      <c r="U65" s="188"/>
      <c r="V65" s="188"/>
    </row>
    <row r="66" spans="1:22">
      <c r="B66" s="188"/>
      <c r="C66" s="188"/>
      <c r="D66" s="188"/>
      <c r="E66" s="188"/>
      <c r="F66" s="188"/>
      <c r="G66" s="188"/>
      <c r="H66" s="188"/>
      <c r="I66" s="188"/>
      <c r="J66" s="188"/>
      <c r="K66" s="188"/>
      <c r="L66" s="188"/>
      <c r="M66" s="188"/>
      <c r="N66" s="188"/>
      <c r="O66" s="188"/>
      <c r="P66" s="188"/>
      <c r="Q66" s="188"/>
      <c r="R66" s="188"/>
      <c r="S66" s="188"/>
      <c r="T66" s="188"/>
      <c r="U66" s="188"/>
      <c r="V66" s="188"/>
    </row>
    <row r="67" spans="1:22">
      <c r="B67" s="188"/>
      <c r="C67" s="188"/>
      <c r="D67" s="188"/>
      <c r="E67" s="188"/>
      <c r="F67" s="188"/>
      <c r="G67" s="188"/>
      <c r="H67" s="188"/>
      <c r="I67" s="188"/>
      <c r="J67" s="188"/>
      <c r="K67" s="188"/>
      <c r="L67" s="188"/>
      <c r="M67" s="188"/>
      <c r="N67" s="188"/>
      <c r="O67" s="188"/>
      <c r="P67" s="188"/>
      <c r="Q67" s="188"/>
      <c r="R67" s="188"/>
      <c r="S67" s="188"/>
      <c r="T67" s="188"/>
      <c r="U67" s="188"/>
      <c r="V67" s="188"/>
    </row>
    <row r="68" spans="1:22">
      <c r="B68" s="188"/>
      <c r="C68" s="188"/>
      <c r="D68" s="188"/>
      <c r="E68" s="188"/>
      <c r="F68" s="188"/>
      <c r="G68" s="188"/>
      <c r="H68" s="188"/>
      <c r="I68" s="188"/>
      <c r="J68" s="188"/>
      <c r="K68" s="188"/>
      <c r="L68" s="188"/>
      <c r="M68" s="188"/>
      <c r="N68" s="188"/>
      <c r="O68" s="188"/>
      <c r="P68" s="188"/>
      <c r="Q68" s="188"/>
      <c r="R68" s="188"/>
      <c r="S68" s="188"/>
      <c r="T68" s="188"/>
      <c r="U68" s="188"/>
      <c r="V68" s="188"/>
    </row>
    <row r="69" spans="1:22">
      <c r="B69" s="188"/>
      <c r="C69" s="188"/>
      <c r="D69" s="188"/>
      <c r="E69" s="188"/>
      <c r="F69" s="188"/>
      <c r="G69" s="188"/>
      <c r="H69" s="188"/>
      <c r="I69" s="188"/>
      <c r="J69" s="188"/>
      <c r="K69" s="188"/>
      <c r="L69" s="188"/>
      <c r="M69" s="188"/>
      <c r="N69" s="188"/>
      <c r="O69" s="188"/>
      <c r="P69" s="188"/>
      <c r="Q69" s="188"/>
      <c r="R69" s="188"/>
      <c r="S69" s="188"/>
      <c r="T69" s="188"/>
      <c r="U69" s="188"/>
      <c r="V69" s="188"/>
    </row>
    <row r="70" spans="1:22">
      <c r="B70" s="188"/>
      <c r="C70" s="188"/>
      <c r="D70" s="188"/>
      <c r="E70" s="188"/>
      <c r="F70" s="188"/>
      <c r="G70" s="188"/>
      <c r="H70" s="188"/>
      <c r="I70" s="188"/>
      <c r="J70" s="188"/>
      <c r="K70" s="188"/>
      <c r="L70" s="188"/>
      <c r="M70" s="188"/>
      <c r="N70" s="188"/>
      <c r="O70" s="188"/>
      <c r="P70" s="188"/>
      <c r="Q70" s="188"/>
      <c r="R70" s="188"/>
      <c r="S70" s="188"/>
      <c r="T70" s="188"/>
      <c r="U70" s="188"/>
      <c r="V70" s="188"/>
    </row>
    <row r="71" spans="1:22">
      <c r="B71" s="188"/>
      <c r="C71" s="188"/>
      <c r="D71" s="188"/>
      <c r="E71" s="188"/>
      <c r="F71" s="188"/>
      <c r="G71" s="188"/>
      <c r="H71" s="188"/>
      <c r="I71" s="188"/>
      <c r="J71" s="188"/>
      <c r="K71" s="188"/>
      <c r="L71" s="188"/>
      <c r="M71" s="188"/>
      <c r="N71" s="188"/>
      <c r="O71" s="188"/>
      <c r="P71" s="188"/>
      <c r="Q71" s="188"/>
      <c r="R71" s="188"/>
      <c r="S71" s="188"/>
      <c r="T71" s="188"/>
      <c r="U71" s="188"/>
      <c r="V71" s="188"/>
    </row>
    <row r="72" spans="1:22">
      <c r="B72" s="188"/>
      <c r="C72" s="188"/>
      <c r="D72" s="188"/>
      <c r="E72" s="188"/>
      <c r="F72" s="188"/>
      <c r="G72" s="188"/>
      <c r="H72" s="188"/>
      <c r="I72" s="188"/>
      <c r="J72" s="188"/>
      <c r="K72" s="188"/>
      <c r="L72" s="188"/>
      <c r="M72" s="188"/>
      <c r="N72" s="188"/>
      <c r="O72" s="188"/>
      <c r="P72" s="188"/>
      <c r="Q72" s="188"/>
      <c r="R72" s="188"/>
      <c r="S72" s="188"/>
      <c r="T72" s="188"/>
      <c r="U72" s="188"/>
      <c r="V72" s="188"/>
    </row>
    <row r="73" spans="1:22">
      <c r="B73" s="188"/>
      <c r="C73" s="188"/>
      <c r="D73" s="188"/>
      <c r="E73" s="188"/>
      <c r="F73" s="188"/>
      <c r="G73" s="188"/>
      <c r="H73" s="188"/>
      <c r="I73" s="188"/>
      <c r="J73" s="188"/>
      <c r="K73" s="188"/>
      <c r="L73" s="188"/>
      <c r="M73" s="188"/>
      <c r="N73" s="188"/>
      <c r="O73" s="188"/>
      <c r="P73" s="188"/>
      <c r="Q73" s="188"/>
      <c r="R73" s="188"/>
      <c r="S73" s="188"/>
      <c r="T73" s="188"/>
      <c r="U73" s="188"/>
      <c r="V73" s="188"/>
    </row>
    <row r="74" spans="1:22">
      <c r="B74" s="188"/>
      <c r="C74" s="188"/>
      <c r="D74" s="188"/>
      <c r="E74" s="188"/>
      <c r="F74" s="188"/>
      <c r="G74" s="188"/>
      <c r="H74" s="188"/>
      <c r="I74" s="188"/>
      <c r="J74" s="188"/>
      <c r="K74" s="188"/>
      <c r="L74" s="188"/>
      <c r="M74" s="188"/>
      <c r="N74" s="188"/>
      <c r="O74" s="188"/>
      <c r="P74" s="188"/>
      <c r="Q74" s="188"/>
      <c r="R74" s="188"/>
      <c r="S74" s="188"/>
      <c r="T74" s="188"/>
      <c r="U74" s="188"/>
      <c r="V74" s="188"/>
    </row>
    <row r="75" spans="1:22">
      <c r="B75" s="188"/>
      <c r="C75" s="188"/>
      <c r="D75" s="188"/>
      <c r="E75" s="188"/>
      <c r="F75" s="188"/>
      <c r="G75" s="188"/>
      <c r="H75" s="188"/>
      <c r="I75" s="188"/>
      <c r="J75" s="188"/>
      <c r="K75" s="188"/>
      <c r="L75" s="188"/>
      <c r="M75" s="188"/>
      <c r="N75" s="188"/>
      <c r="O75" s="188"/>
      <c r="P75" s="188"/>
      <c r="Q75" s="188"/>
      <c r="R75" s="188"/>
      <c r="S75" s="188"/>
      <c r="T75" s="188"/>
      <c r="U75" s="188"/>
      <c r="V75" s="188"/>
    </row>
    <row r="76" spans="1:22">
      <c r="B76" s="188"/>
      <c r="C76" s="188"/>
      <c r="D76" s="188"/>
      <c r="E76" s="188"/>
      <c r="F76" s="188"/>
      <c r="G76" s="188"/>
      <c r="H76" s="188"/>
      <c r="I76" s="188"/>
      <c r="J76" s="188"/>
      <c r="K76" s="188"/>
      <c r="L76" s="188"/>
      <c r="M76" s="188"/>
      <c r="N76" s="188"/>
      <c r="O76" s="188"/>
      <c r="P76" s="188"/>
      <c r="Q76" s="188"/>
      <c r="R76" s="188"/>
      <c r="S76" s="188"/>
      <c r="T76" s="188"/>
      <c r="U76" s="188"/>
      <c r="V76" s="188"/>
    </row>
    <row r="77" spans="1:22">
      <c r="B77" s="188"/>
      <c r="C77" s="188"/>
      <c r="D77" s="188"/>
      <c r="E77" s="188"/>
      <c r="F77" s="188"/>
      <c r="G77" s="188"/>
      <c r="H77" s="188"/>
      <c r="I77" s="188"/>
      <c r="J77" s="188"/>
      <c r="K77" s="188"/>
      <c r="L77" s="188"/>
      <c r="M77" s="188"/>
      <c r="N77" s="188"/>
      <c r="O77" s="188"/>
      <c r="P77" s="188"/>
      <c r="Q77" s="188"/>
      <c r="R77" s="188"/>
      <c r="S77" s="188"/>
      <c r="T77" s="188"/>
      <c r="U77" s="188"/>
      <c r="V77" s="188"/>
    </row>
    <row r="78" spans="1:22">
      <c r="B78" s="188"/>
      <c r="C78" s="188"/>
      <c r="D78" s="188"/>
      <c r="E78" s="188"/>
      <c r="F78" s="188"/>
      <c r="G78" s="188"/>
      <c r="H78" s="188"/>
      <c r="I78" s="188"/>
      <c r="J78" s="188"/>
      <c r="K78" s="188"/>
      <c r="L78" s="188"/>
      <c r="M78" s="188"/>
      <c r="N78" s="188"/>
      <c r="O78" s="188"/>
      <c r="P78" s="188"/>
      <c r="Q78" s="188"/>
      <c r="R78" s="188"/>
      <c r="S78" s="188"/>
      <c r="T78" s="188"/>
      <c r="U78" s="188"/>
      <c r="V78" s="188"/>
    </row>
    <row r="79" spans="1:22">
      <c r="B79" s="188"/>
      <c r="C79" s="188"/>
      <c r="D79" s="188"/>
      <c r="E79" s="188"/>
      <c r="F79" s="188"/>
      <c r="G79" s="188"/>
      <c r="H79" s="188"/>
      <c r="I79" s="188"/>
      <c r="J79" s="188"/>
      <c r="K79" s="188"/>
      <c r="L79" s="188"/>
      <c r="M79" s="188"/>
      <c r="N79" s="188"/>
      <c r="O79" s="188"/>
      <c r="P79" s="188"/>
      <c r="Q79" s="188"/>
      <c r="R79" s="188"/>
      <c r="S79" s="188"/>
      <c r="T79" s="188"/>
      <c r="U79" s="188"/>
      <c r="V79" s="188"/>
    </row>
    <row r="80" spans="1:22" s="248" customFormat="1">
      <c r="A80" s="179"/>
      <c r="B80" s="188"/>
      <c r="C80" s="188"/>
      <c r="D80" s="188"/>
      <c r="E80" s="188"/>
      <c r="F80" s="188"/>
      <c r="G80" s="188"/>
      <c r="H80" s="188"/>
      <c r="I80" s="188"/>
      <c r="J80" s="188"/>
      <c r="K80" s="188"/>
      <c r="L80" s="188"/>
      <c r="M80" s="188"/>
      <c r="N80" s="188"/>
      <c r="O80" s="188"/>
      <c r="P80" s="188"/>
      <c r="Q80" s="188"/>
      <c r="R80" s="188"/>
      <c r="S80" s="188"/>
      <c r="T80" s="188"/>
      <c r="U80" s="188"/>
      <c r="V80" s="188"/>
    </row>
    <row r="81" spans="1:22" s="212" customFormat="1">
      <c r="A81" s="179"/>
      <c r="B81" s="188"/>
      <c r="C81" s="188"/>
      <c r="D81" s="188"/>
      <c r="E81" s="188"/>
      <c r="F81" s="188"/>
      <c r="G81" s="188"/>
      <c r="H81" s="188"/>
      <c r="I81" s="188"/>
      <c r="J81" s="188"/>
      <c r="K81" s="188"/>
      <c r="L81" s="188"/>
      <c r="M81" s="188"/>
      <c r="N81" s="188"/>
      <c r="O81" s="188"/>
      <c r="P81" s="188"/>
      <c r="Q81" s="188"/>
      <c r="R81" s="188"/>
      <c r="S81" s="188"/>
      <c r="T81" s="188"/>
      <c r="U81" s="188"/>
      <c r="V81" s="188"/>
    </row>
    <row r="82" spans="1:22">
      <c r="B82" s="188"/>
      <c r="C82" s="188"/>
      <c r="D82" s="188"/>
      <c r="E82" s="188"/>
      <c r="F82" s="188"/>
      <c r="G82" s="188"/>
      <c r="H82" s="188"/>
      <c r="I82" s="188"/>
      <c r="J82" s="188"/>
      <c r="K82" s="188"/>
      <c r="L82" s="188"/>
      <c r="M82" s="188"/>
      <c r="N82" s="188"/>
      <c r="O82" s="188"/>
      <c r="P82" s="188"/>
      <c r="Q82" s="188"/>
      <c r="R82" s="188"/>
      <c r="S82" s="188"/>
      <c r="T82" s="188"/>
      <c r="U82" s="188"/>
      <c r="V82" s="188"/>
    </row>
    <row r="83" spans="1:22">
      <c r="B83" s="188"/>
      <c r="C83" s="188"/>
      <c r="D83" s="188"/>
      <c r="E83" s="188"/>
      <c r="F83" s="188"/>
      <c r="G83" s="188"/>
      <c r="H83" s="188"/>
      <c r="I83" s="188"/>
      <c r="J83" s="188"/>
      <c r="K83" s="188"/>
      <c r="L83" s="188"/>
      <c r="M83" s="188"/>
      <c r="N83" s="188"/>
      <c r="O83" s="188"/>
      <c r="P83" s="188"/>
      <c r="Q83" s="188"/>
      <c r="R83" s="188"/>
      <c r="S83" s="188"/>
      <c r="T83" s="188"/>
      <c r="U83" s="188"/>
      <c r="V83" s="188"/>
    </row>
    <row r="84" spans="1:22">
      <c r="B84" s="188"/>
      <c r="C84" s="188"/>
      <c r="D84" s="188"/>
      <c r="E84" s="188"/>
      <c r="F84" s="188"/>
      <c r="G84" s="188"/>
      <c r="H84" s="188"/>
      <c r="I84" s="188"/>
      <c r="J84" s="188"/>
      <c r="K84" s="188"/>
      <c r="L84" s="188"/>
      <c r="M84" s="188"/>
      <c r="N84" s="188"/>
      <c r="O84" s="188"/>
      <c r="P84" s="188"/>
      <c r="Q84" s="188"/>
      <c r="R84" s="188"/>
      <c r="S84" s="188"/>
      <c r="T84" s="188"/>
      <c r="U84" s="188"/>
      <c r="V84" s="188"/>
    </row>
    <row r="85" spans="1:22">
      <c r="B85" s="188"/>
      <c r="C85" s="188"/>
      <c r="D85" s="188"/>
      <c r="E85" s="188"/>
      <c r="F85" s="188"/>
      <c r="G85" s="188"/>
      <c r="H85" s="188"/>
      <c r="I85" s="188"/>
      <c r="J85" s="188"/>
      <c r="K85" s="188"/>
      <c r="L85" s="188"/>
      <c r="M85" s="188"/>
      <c r="N85" s="188"/>
      <c r="O85" s="188"/>
      <c r="P85" s="188"/>
      <c r="Q85" s="188"/>
      <c r="R85" s="188"/>
      <c r="S85" s="188"/>
      <c r="T85" s="188"/>
      <c r="U85" s="188"/>
      <c r="V85" s="188"/>
    </row>
    <row r="86" spans="1:22">
      <c r="B86" s="188"/>
      <c r="C86" s="188"/>
      <c r="D86" s="188"/>
      <c r="E86" s="188"/>
      <c r="F86" s="188"/>
      <c r="G86" s="188"/>
      <c r="H86" s="188"/>
      <c r="I86" s="188"/>
      <c r="J86" s="188"/>
      <c r="K86" s="188"/>
      <c r="L86" s="188"/>
      <c r="M86" s="188"/>
      <c r="N86" s="188"/>
      <c r="O86" s="188"/>
      <c r="P86" s="188"/>
      <c r="Q86" s="188"/>
      <c r="R86" s="188"/>
      <c r="S86" s="188"/>
      <c r="T86" s="188"/>
      <c r="U86" s="188"/>
      <c r="V86" s="188"/>
    </row>
    <row r="87" spans="1:22">
      <c r="B87" s="188"/>
      <c r="C87" s="188"/>
      <c r="D87" s="188"/>
      <c r="E87" s="188"/>
      <c r="F87" s="188"/>
      <c r="G87" s="188"/>
      <c r="H87" s="188"/>
      <c r="I87" s="188"/>
      <c r="J87" s="188"/>
      <c r="K87" s="188"/>
      <c r="L87" s="188"/>
      <c r="M87" s="188"/>
      <c r="N87" s="188"/>
      <c r="O87" s="188"/>
      <c r="P87" s="188"/>
      <c r="Q87" s="188"/>
      <c r="R87" s="188"/>
      <c r="S87" s="188"/>
      <c r="T87" s="188"/>
      <c r="U87" s="188"/>
      <c r="V87" s="188"/>
    </row>
    <row r="88" spans="1:22">
      <c r="B88" s="188"/>
      <c r="C88" s="188"/>
      <c r="D88" s="188"/>
      <c r="E88" s="188"/>
      <c r="F88" s="188"/>
      <c r="G88" s="188"/>
      <c r="H88" s="188"/>
      <c r="I88" s="188"/>
      <c r="J88" s="188"/>
      <c r="K88" s="188"/>
      <c r="L88" s="188"/>
      <c r="M88" s="188"/>
      <c r="N88" s="188"/>
      <c r="O88" s="188"/>
      <c r="P88" s="188"/>
      <c r="Q88" s="188"/>
      <c r="R88" s="188"/>
      <c r="S88" s="188"/>
      <c r="T88" s="188"/>
      <c r="U88" s="188"/>
      <c r="V88" s="188"/>
    </row>
    <row r="89" spans="1:22">
      <c r="B89" s="188"/>
      <c r="C89" s="188"/>
      <c r="D89" s="188"/>
      <c r="E89" s="188"/>
      <c r="F89" s="188"/>
      <c r="G89" s="188"/>
      <c r="H89" s="188"/>
      <c r="I89" s="188"/>
      <c r="J89" s="188"/>
      <c r="K89" s="188"/>
      <c r="L89" s="188"/>
      <c r="M89" s="188"/>
      <c r="N89" s="188"/>
      <c r="O89" s="188"/>
      <c r="P89" s="188"/>
      <c r="Q89" s="188"/>
      <c r="R89" s="188"/>
      <c r="S89" s="188"/>
      <c r="T89" s="188"/>
      <c r="U89" s="188"/>
      <c r="V89" s="188"/>
    </row>
    <row r="90" spans="1:22">
      <c r="B90" s="188"/>
      <c r="C90" s="188"/>
      <c r="D90" s="188"/>
      <c r="E90" s="188"/>
      <c r="F90" s="188"/>
      <c r="G90" s="188"/>
      <c r="H90" s="188"/>
      <c r="I90" s="188"/>
      <c r="J90" s="188"/>
      <c r="K90" s="188"/>
      <c r="L90" s="188"/>
      <c r="M90" s="188"/>
      <c r="N90" s="188"/>
      <c r="O90" s="188"/>
      <c r="P90" s="188"/>
      <c r="Q90" s="188"/>
      <c r="R90" s="188"/>
      <c r="S90" s="188"/>
      <c r="T90" s="188"/>
      <c r="U90" s="188"/>
      <c r="V90" s="188"/>
    </row>
    <row r="91" spans="1:22">
      <c r="B91" s="188"/>
      <c r="C91" s="188"/>
      <c r="D91" s="188"/>
      <c r="E91" s="188"/>
      <c r="F91" s="188"/>
      <c r="G91" s="188"/>
      <c r="H91" s="188"/>
      <c r="I91" s="188"/>
      <c r="J91" s="188"/>
      <c r="K91" s="188"/>
      <c r="L91" s="188"/>
      <c r="M91" s="188"/>
      <c r="N91" s="188"/>
      <c r="O91" s="188"/>
      <c r="P91" s="188"/>
      <c r="Q91" s="188"/>
      <c r="R91" s="188"/>
      <c r="S91" s="188"/>
      <c r="T91" s="188"/>
      <c r="U91" s="188"/>
      <c r="V91" s="188"/>
    </row>
    <row r="92" spans="1:22">
      <c r="B92" s="188"/>
      <c r="C92" s="188"/>
      <c r="D92" s="188"/>
      <c r="E92" s="188"/>
      <c r="F92" s="188"/>
      <c r="G92" s="188"/>
      <c r="H92" s="188"/>
      <c r="I92" s="188"/>
      <c r="J92" s="188"/>
      <c r="K92" s="188"/>
      <c r="L92" s="188"/>
      <c r="M92" s="188"/>
      <c r="N92" s="188"/>
      <c r="O92" s="188"/>
      <c r="P92" s="188"/>
      <c r="Q92" s="188"/>
      <c r="R92" s="188"/>
      <c r="S92" s="188"/>
      <c r="T92" s="188"/>
      <c r="U92" s="188"/>
      <c r="V92" s="188"/>
    </row>
    <row r="93" spans="1:22">
      <c r="B93" s="188"/>
      <c r="C93" s="188"/>
      <c r="D93" s="188"/>
      <c r="E93" s="188"/>
      <c r="F93" s="188"/>
      <c r="G93" s="188"/>
      <c r="H93" s="188"/>
      <c r="I93" s="188"/>
      <c r="J93" s="188"/>
      <c r="K93" s="188"/>
      <c r="L93" s="188"/>
      <c r="M93" s="188"/>
      <c r="N93" s="188"/>
      <c r="O93" s="188"/>
      <c r="P93" s="188"/>
      <c r="Q93" s="188"/>
      <c r="R93" s="188"/>
      <c r="S93" s="188"/>
      <c r="T93" s="188"/>
      <c r="U93" s="188"/>
      <c r="V93" s="188"/>
    </row>
    <row r="94" spans="1:22">
      <c r="B94" s="188"/>
      <c r="C94" s="188"/>
      <c r="D94" s="188"/>
      <c r="E94" s="188"/>
      <c r="F94" s="188"/>
      <c r="G94" s="188"/>
      <c r="H94" s="188"/>
      <c r="I94" s="188"/>
      <c r="J94" s="188"/>
      <c r="K94" s="188"/>
      <c r="L94" s="188"/>
      <c r="M94" s="188"/>
      <c r="N94" s="188"/>
      <c r="O94" s="188"/>
      <c r="P94" s="188"/>
      <c r="Q94" s="188"/>
      <c r="R94" s="188"/>
      <c r="S94" s="188"/>
      <c r="T94" s="188"/>
      <c r="U94" s="188"/>
      <c r="V94" s="188"/>
    </row>
    <row r="95" spans="1:22">
      <c r="B95" s="188"/>
      <c r="C95" s="188"/>
      <c r="D95" s="188"/>
      <c r="E95" s="188"/>
      <c r="F95" s="188"/>
      <c r="G95" s="188"/>
      <c r="H95" s="188"/>
      <c r="I95" s="188"/>
      <c r="J95" s="188"/>
      <c r="K95" s="188"/>
      <c r="L95" s="188"/>
      <c r="M95" s="188"/>
      <c r="N95" s="188"/>
      <c r="O95" s="188"/>
      <c r="P95" s="188"/>
      <c r="Q95" s="188"/>
      <c r="R95" s="188"/>
      <c r="S95" s="188"/>
      <c r="T95" s="188"/>
      <c r="U95" s="188"/>
      <c r="V95" s="188"/>
    </row>
    <row r="96" spans="1:22">
      <c r="B96" s="188"/>
      <c r="C96" s="188"/>
      <c r="D96" s="188"/>
      <c r="E96" s="188"/>
      <c r="F96" s="188"/>
      <c r="G96" s="188"/>
      <c r="H96" s="188"/>
      <c r="I96" s="188"/>
      <c r="J96" s="188"/>
      <c r="K96" s="188"/>
      <c r="L96" s="188"/>
      <c r="M96" s="188"/>
      <c r="N96" s="188"/>
      <c r="O96" s="188"/>
      <c r="P96" s="188"/>
      <c r="Q96" s="188"/>
      <c r="R96" s="188"/>
      <c r="S96" s="188"/>
      <c r="T96" s="188"/>
      <c r="U96" s="188"/>
      <c r="V96" s="188"/>
    </row>
    <row r="97" spans="1:22">
      <c r="B97" s="188"/>
      <c r="C97" s="188"/>
      <c r="D97" s="188"/>
      <c r="E97" s="188"/>
      <c r="F97" s="188"/>
      <c r="G97" s="188"/>
      <c r="H97" s="188"/>
      <c r="I97" s="188"/>
      <c r="J97" s="188"/>
      <c r="K97" s="188"/>
      <c r="L97" s="188"/>
      <c r="M97" s="188"/>
      <c r="N97" s="188"/>
      <c r="O97" s="188"/>
      <c r="P97" s="188"/>
      <c r="Q97" s="188"/>
      <c r="R97" s="188"/>
      <c r="S97" s="188"/>
      <c r="T97" s="188"/>
      <c r="U97" s="188"/>
      <c r="V97" s="188"/>
    </row>
    <row r="98" spans="1:22">
      <c r="B98" s="188"/>
      <c r="C98" s="188"/>
      <c r="D98" s="188"/>
      <c r="E98" s="188"/>
      <c r="F98" s="188"/>
      <c r="G98" s="188"/>
      <c r="H98" s="188"/>
      <c r="I98" s="188"/>
      <c r="J98" s="188"/>
      <c r="K98" s="188"/>
      <c r="L98" s="188"/>
      <c r="M98" s="188"/>
      <c r="N98" s="188"/>
      <c r="O98" s="188"/>
      <c r="P98" s="188"/>
      <c r="Q98" s="188"/>
      <c r="R98" s="188"/>
      <c r="S98" s="188"/>
      <c r="T98" s="188"/>
      <c r="U98" s="188"/>
      <c r="V98" s="188"/>
    </row>
    <row r="99" spans="1:22">
      <c r="B99" s="188"/>
      <c r="C99" s="188"/>
      <c r="D99" s="188"/>
      <c r="E99" s="188"/>
      <c r="F99" s="188"/>
      <c r="G99" s="188"/>
      <c r="H99" s="188"/>
      <c r="I99" s="188"/>
      <c r="J99" s="188"/>
      <c r="K99" s="188"/>
      <c r="L99" s="188"/>
      <c r="M99" s="188"/>
      <c r="N99" s="188"/>
      <c r="O99" s="188"/>
      <c r="P99" s="188"/>
      <c r="Q99" s="188"/>
      <c r="R99" s="188"/>
      <c r="S99" s="188"/>
      <c r="T99" s="188"/>
      <c r="U99" s="188"/>
      <c r="V99" s="188"/>
    </row>
    <row r="100" spans="1:22">
      <c r="B100" s="188"/>
      <c r="C100" s="188"/>
      <c r="D100" s="188"/>
      <c r="E100" s="188"/>
      <c r="F100" s="188"/>
      <c r="G100" s="188"/>
      <c r="H100" s="188"/>
      <c r="I100" s="188"/>
      <c r="J100" s="188"/>
      <c r="K100" s="188"/>
      <c r="L100" s="188"/>
      <c r="M100" s="188"/>
      <c r="N100" s="188"/>
      <c r="O100" s="188"/>
      <c r="P100" s="188"/>
      <c r="Q100" s="188"/>
      <c r="R100" s="188"/>
      <c r="S100" s="188"/>
      <c r="T100" s="188"/>
      <c r="U100" s="188"/>
      <c r="V100" s="188"/>
    </row>
    <row r="101" spans="1:22">
      <c r="B101" s="188"/>
      <c r="C101" s="188"/>
      <c r="D101" s="188"/>
      <c r="E101" s="188"/>
      <c r="F101" s="188"/>
      <c r="G101" s="188"/>
      <c r="H101" s="188"/>
      <c r="I101" s="188"/>
      <c r="J101" s="188"/>
      <c r="K101" s="188"/>
      <c r="L101" s="188"/>
      <c r="M101" s="188"/>
      <c r="N101" s="188"/>
      <c r="O101" s="188"/>
      <c r="P101" s="188"/>
      <c r="Q101" s="188"/>
      <c r="R101" s="188"/>
      <c r="S101" s="188"/>
      <c r="T101" s="188"/>
      <c r="U101" s="188"/>
      <c r="V101" s="188"/>
    </row>
    <row r="102" spans="1:22">
      <c r="B102" s="188"/>
      <c r="C102" s="188"/>
      <c r="D102" s="188"/>
      <c r="E102" s="188"/>
      <c r="F102" s="188"/>
      <c r="G102" s="188"/>
      <c r="H102" s="188"/>
      <c r="I102" s="188"/>
      <c r="J102" s="188"/>
      <c r="K102" s="188"/>
      <c r="L102" s="188"/>
      <c r="M102" s="188"/>
      <c r="N102" s="188"/>
      <c r="O102" s="188"/>
      <c r="P102" s="188"/>
      <c r="Q102" s="188"/>
      <c r="R102" s="188"/>
      <c r="S102" s="188"/>
      <c r="T102" s="188"/>
      <c r="U102" s="188"/>
      <c r="V102" s="188"/>
    </row>
    <row r="103" spans="1:22">
      <c r="B103" s="191"/>
      <c r="C103" s="191"/>
      <c r="D103" s="191"/>
      <c r="E103" s="191"/>
      <c r="F103" s="191"/>
      <c r="G103" s="191"/>
      <c r="H103" s="191"/>
      <c r="I103" s="191"/>
      <c r="J103" s="191"/>
      <c r="K103" s="191"/>
      <c r="L103" s="191"/>
      <c r="M103" s="191"/>
      <c r="N103" s="191"/>
      <c r="O103" s="191"/>
      <c r="P103" s="191"/>
      <c r="Q103" s="191"/>
      <c r="R103" s="188"/>
      <c r="S103" s="188"/>
      <c r="T103" s="188"/>
      <c r="U103" s="188"/>
      <c r="V103" s="188"/>
    </row>
    <row r="104" spans="1:22">
      <c r="B104" s="188"/>
      <c r="C104" s="188"/>
      <c r="D104" s="188"/>
      <c r="E104" s="188"/>
      <c r="F104" s="188"/>
      <c r="G104" s="188"/>
      <c r="H104" s="188"/>
      <c r="I104" s="188"/>
      <c r="J104" s="188"/>
      <c r="K104" s="188"/>
      <c r="L104" s="188"/>
      <c r="M104" s="188"/>
      <c r="N104" s="188"/>
      <c r="O104" s="188"/>
      <c r="P104" s="188"/>
      <c r="Q104" s="188"/>
      <c r="R104" s="188"/>
      <c r="S104" s="188"/>
      <c r="T104" s="188"/>
      <c r="U104" s="188"/>
      <c r="V104" s="188"/>
    </row>
    <row r="105" spans="1:22">
      <c r="B105" s="188"/>
      <c r="C105" s="191"/>
      <c r="D105" s="191"/>
      <c r="E105" s="191"/>
      <c r="F105" s="191"/>
      <c r="G105" s="191"/>
      <c r="H105" s="191"/>
      <c r="I105" s="191"/>
      <c r="J105" s="191"/>
      <c r="K105" s="191"/>
      <c r="L105" s="191"/>
      <c r="M105" s="191"/>
      <c r="N105" s="191"/>
      <c r="O105" s="191"/>
      <c r="P105" s="191"/>
      <c r="Q105" s="191"/>
      <c r="R105" s="197"/>
      <c r="S105" s="197"/>
      <c r="T105" s="197"/>
      <c r="U105" s="197"/>
      <c r="V105" s="197"/>
    </row>
    <row r="106" spans="1:22">
      <c r="A106" s="248"/>
      <c r="B106" s="188"/>
      <c r="C106" s="188"/>
      <c r="D106" s="188"/>
      <c r="E106" s="188"/>
      <c r="F106" s="188"/>
      <c r="G106" s="188"/>
      <c r="H106" s="188"/>
      <c r="I106" s="188"/>
      <c r="J106" s="188"/>
      <c r="K106" s="188"/>
      <c r="L106" s="188"/>
      <c r="M106" s="188"/>
      <c r="N106" s="188"/>
      <c r="O106" s="188"/>
      <c r="P106" s="188"/>
      <c r="Q106" s="188"/>
      <c r="R106" s="195"/>
      <c r="S106" s="195"/>
      <c r="T106" s="195"/>
      <c r="U106" s="195"/>
      <c r="V106" s="195"/>
    </row>
    <row r="107" spans="1:22">
      <c r="A107" s="212"/>
      <c r="B107" s="188"/>
      <c r="C107" s="191"/>
      <c r="D107" s="191"/>
      <c r="E107" s="191"/>
      <c r="F107" s="191"/>
      <c r="G107" s="191"/>
      <c r="H107" s="191"/>
      <c r="I107" s="191"/>
      <c r="J107" s="191"/>
      <c r="K107" s="191"/>
      <c r="L107" s="191"/>
      <c r="M107" s="191"/>
      <c r="N107" s="191"/>
      <c r="O107" s="191"/>
      <c r="P107" s="191"/>
      <c r="Q107" s="191"/>
      <c r="R107" s="188"/>
      <c r="S107" s="188"/>
      <c r="T107" s="188"/>
      <c r="U107" s="188"/>
      <c r="V107" s="188"/>
    </row>
    <row r="108" spans="1:22">
      <c r="B108" s="188"/>
      <c r="C108" s="188"/>
      <c r="D108" s="188"/>
      <c r="E108" s="188"/>
      <c r="F108" s="188"/>
      <c r="G108" s="188"/>
      <c r="H108" s="188"/>
      <c r="I108" s="188"/>
      <c r="J108" s="188"/>
      <c r="K108" s="188"/>
      <c r="L108" s="188"/>
      <c r="M108" s="188"/>
      <c r="N108" s="188"/>
      <c r="O108" s="188"/>
      <c r="P108" s="188"/>
      <c r="Q108" s="188"/>
      <c r="R108" s="188"/>
      <c r="S108" s="188"/>
      <c r="T108" s="188"/>
      <c r="U108" s="188"/>
      <c r="V108" s="188"/>
    </row>
    <row r="109" spans="1:22">
      <c r="B109" s="188"/>
      <c r="C109" s="191"/>
      <c r="D109" s="191"/>
      <c r="E109" s="191"/>
      <c r="F109" s="191"/>
      <c r="G109" s="191"/>
      <c r="H109" s="191"/>
      <c r="I109" s="191"/>
      <c r="J109" s="191"/>
      <c r="K109" s="191"/>
      <c r="L109" s="191"/>
      <c r="M109" s="191"/>
      <c r="N109" s="191"/>
      <c r="O109" s="191"/>
      <c r="P109" s="191"/>
      <c r="Q109" s="191"/>
      <c r="R109" s="188"/>
      <c r="S109" s="188"/>
      <c r="T109" s="188"/>
      <c r="U109" s="188"/>
      <c r="V109" s="188"/>
    </row>
    <row r="110" spans="1:22">
      <c r="B110" s="188"/>
      <c r="C110" s="188"/>
      <c r="D110" s="188"/>
      <c r="E110" s="188"/>
      <c r="F110" s="188"/>
      <c r="G110" s="188"/>
      <c r="H110" s="188"/>
      <c r="I110" s="188"/>
      <c r="J110" s="188"/>
      <c r="K110" s="188"/>
      <c r="L110" s="188"/>
      <c r="M110" s="188"/>
      <c r="N110" s="188"/>
      <c r="O110" s="188"/>
      <c r="P110" s="188"/>
      <c r="Q110" s="188"/>
      <c r="R110" s="188"/>
      <c r="S110" s="188"/>
      <c r="T110" s="188"/>
      <c r="U110" s="188"/>
      <c r="V110" s="188"/>
    </row>
    <row r="111" spans="1:22">
      <c r="B111" s="188"/>
      <c r="C111" s="188"/>
      <c r="D111" s="188"/>
      <c r="E111" s="188"/>
      <c r="F111" s="188"/>
      <c r="G111" s="188"/>
      <c r="H111" s="188"/>
      <c r="I111" s="188"/>
      <c r="J111" s="188"/>
      <c r="K111" s="188"/>
      <c r="L111" s="188"/>
      <c r="M111" s="188"/>
      <c r="N111" s="188"/>
      <c r="O111" s="188"/>
      <c r="P111" s="188"/>
      <c r="Q111" s="188"/>
      <c r="R111" s="188"/>
      <c r="S111" s="188"/>
      <c r="T111" s="188"/>
      <c r="U111" s="188"/>
      <c r="V111" s="188"/>
    </row>
    <row r="112" spans="1:22">
      <c r="B112" s="188"/>
      <c r="C112" s="188"/>
      <c r="D112" s="188"/>
      <c r="E112" s="188"/>
      <c r="F112" s="188"/>
      <c r="G112" s="188"/>
      <c r="H112" s="188"/>
      <c r="I112" s="188"/>
      <c r="J112" s="188"/>
      <c r="K112" s="188"/>
      <c r="L112" s="188"/>
      <c r="M112" s="188"/>
      <c r="N112" s="188"/>
      <c r="O112" s="188"/>
      <c r="P112" s="188"/>
      <c r="Q112" s="188"/>
      <c r="R112" s="188"/>
      <c r="S112" s="188"/>
      <c r="T112" s="188"/>
      <c r="U112" s="188"/>
      <c r="V112" s="188"/>
    </row>
    <row r="113" spans="2:22">
      <c r="B113" s="188"/>
      <c r="C113" s="188"/>
      <c r="D113" s="188"/>
      <c r="E113" s="188"/>
      <c r="F113" s="188"/>
      <c r="G113" s="188"/>
      <c r="H113" s="188"/>
      <c r="I113" s="188"/>
      <c r="J113" s="188"/>
      <c r="K113" s="188"/>
      <c r="L113" s="188"/>
      <c r="M113" s="188"/>
      <c r="N113" s="188"/>
      <c r="O113" s="188"/>
      <c r="P113" s="188"/>
      <c r="Q113" s="188"/>
      <c r="R113" s="188"/>
      <c r="S113" s="188"/>
      <c r="T113" s="188"/>
      <c r="U113" s="188"/>
      <c r="V113" s="188"/>
    </row>
    <row r="114" spans="2:22">
      <c r="B114" s="188"/>
      <c r="C114" s="188"/>
      <c r="D114" s="188"/>
      <c r="E114" s="188"/>
      <c r="F114" s="188"/>
      <c r="G114" s="188"/>
      <c r="H114" s="188"/>
      <c r="I114" s="188"/>
      <c r="J114" s="188"/>
      <c r="K114" s="188"/>
      <c r="L114" s="188"/>
      <c r="M114" s="188"/>
      <c r="N114" s="188"/>
      <c r="O114" s="188"/>
      <c r="P114" s="188"/>
      <c r="Q114" s="188"/>
      <c r="R114" s="188"/>
      <c r="S114" s="188"/>
      <c r="T114" s="188"/>
      <c r="U114" s="188"/>
      <c r="V114" s="188"/>
    </row>
  </sheetData>
  <mergeCells count="7">
    <mergeCell ref="A1:V1"/>
    <mergeCell ref="A2:V2"/>
    <mergeCell ref="B46:V48"/>
    <mergeCell ref="A21:V21"/>
    <mergeCell ref="A22:V22"/>
    <mergeCell ref="A24:A45"/>
    <mergeCell ref="A4:A19"/>
  </mergeCells>
  <pageMargins left="0.7" right="0.7" top="0.75" bottom="0.75" header="0.3" footer="0.3"/>
  <pageSetup scale="47" fitToHeight="0" orientation="landscape" r:id="rId1"/>
  <headerFooter>
    <oddHeader>&amp;LRita's Nutrition Supplement&amp;RUpdated:  8/23/16</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7300A-ACDD-433A-9AAD-41E399CC44BF}">
  <sheetPr>
    <tabColor rgb="FF92D050"/>
    <pageSetUpPr fitToPage="1"/>
  </sheetPr>
  <dimension ref="A1:V113"/>
  <sheetViews>
    <sheetView zoomScale="80" zoomScaleNormal="80" zoomScalePageLayoutView="80" workbookViewId="0">
      <pane ySplit="3" topLeftCell="A62" activePane="bottomLeft" state="frozen"/>
      <selection pane="bottomLeft" activeCell="C64" sqref="C64"/>
    </sheetView>
    <sheetView topLeftCell="A79" workbookViewId="1">
      <selection activeCell="B103" sqref="A103:XFD105"/>
    </sheetView>
    <sheetView workbookViewId="2">
      <selection sqref="A1:V1"/>
    </sheetView>
  </sheetViews>
  <sheetFormatPr defaultColWidth="9.15234375" defaultRowHeight="12.9"/>
  <cols>
    <col min="1" max="1" width="9.15234375" style="373"/>
    <col min="2" max="2" width="35.3046875" style="373" customWidth="1"/>
    <col min="3" max="3" width="15" style="373" customWidth="1"/>
    <col min="4" max="4" width="10.53515625" style="373" customWidth="1"/>
    <col min="5" max="5" width="9.3828125" style="373" bestFit="1" customWidth="1"/>
    <col min="6" max="6" width="13" style="373" customWidth="1"/>
    <col min="7" max="7" width="9.3828125" style="373" bestFit="1" customWidth="1"/>
    <col min="8" max="8" width="15.15234375" style="373" customWidth="1"/>
    <col min="9" max="9" width="9.3828125" style="373" bestFit="1" customWidth="1"/>
    <col min="10" max="10" width="17.15234375" style="373" customWidth="1"/>
    <col min="11" max="15" width="9.3828125" style="373" bestFit="1" customWidth="1"/>
    <col min="16" max="16" width="11.3046875" style="373" customWidth="1"/>
    <col min="17" max="17" width="11" style="373" customWidth="1"/>
    <col min="18" max="20" width="10.84375" style="373" bestFit="1" customWidth="1"/>
    <col min="21" max="21" width="13.69140625" style="373" customWidth="1"/>
    <col min="22" max="22" width="14.3046875" style="373" customWidth="1"/>
    <col min="23" max="16384" width="9.15234375" style="373"/>
  </cols>
  <sheetData>
    <row r="1" spans="1:22" s="465" customFormat="1" ht="22.5" customHeight="1">
      <c r="A1" s="1250" t="s">
        <v>426</v>
      </c>
      <c r="B1" s="1251"/>
      <c r="C1" s="1251"/>
      <c r="D1" s="1251"/>
      <c r="E1" s="1251"/>
      <c r="F1" s="1251"/>
      <c r="G1" s="1251"/>
      <c r="H1" s="1251"/>
      <c r="I1" s="1251"/>
      <c r="J1" s="1251"/>
      <c r="K1" s="1251"/>
      <c r="L1" s="1251"/>
      <c r="M1" s="1251"/>
      <c r="N1" s="1251"/>
      <c r="O1" s="1251"/>
      <c r="P1" s="1251"/>
      <c r="Q1" s="1251"/>
      <c r="R1" s="1251"/>
      <c r="S1" s="1251"/>
      <c r="T1" s="1251"/>
      <c r="U1" s="1251"/>
      <c r="V1" s="1251"/>
    </row>
    <row r="2" spans="1:22" s="465" customFormat="1" ht="18.75" customHeight="1">
      <c r="A2" s="1250" t="s">
        <v>427</v>
      </c>
      <c r="B2" s="1251"/>
      <c r="C2" s="1251"/>
      <c r="D2" s="1251"/>
      <c r="E2" s="1251"/>
      <c r="F2" s="1251"/>
      <c r="G2" s="1251"/>
      <c r="H2" s="1251"/>
      <c r="I2" s="1251"/>
      <c r="J2" s="1251"/>
      <c r="K2" s="1251"/>
      <c r="L2" s="1251"/>
      <c r="M2" s="1251"/>
      <c r="N2" s="1251"/>
      <c r="O2" s="1251"/>
      <c r="P2" s="1251"/>
      <c r="Q2" s="1251"/>
      <c r="R2" s="1251"/>
      <c r="S2" s="1251"/>
      <c r="T2" s="1251"/>
      <c r="U2" s="1251"/>
      <c r="V2" s="1251"/>
    </row>
    <row r="3" spans="1:22" s="465" customFormat="1" ht="36.9">
      <c r="A3" s="490"/>
      <c r="B3" s="489" t="s">
        <v>3</v>
      </c>
      <c r="C3" s="488" t="s">
        <v>4</v>
      </c>
      <c r="D3" s="488" t="s">
        <v>5</v>
      </c>
      <c r="E3" s="488" t="s">
        <v>6</v>
      </c>
      <c r="F3" s="488" t="s">
        <v>7</v>
      </c>
      <c r="G3" s="488" t="s">
        <v>8</v>
      </c>
      <c r="H3" s="488" t="s">
        <v>9</v>
      </c>
      <c r="I3" s="488" t="s">
        <v>10</v>
      </c>
      <c r="J3" s="488" t="s">
        <v>11</v>
      </c>
      <c r="K3" s="488" t="s">
        <v>12</v>
      </c>
      <c r="L3" s="488" t="s">
        <v>13</v>
      </c>
      <c r="M3" s="488" t="s">
        <v>14</v>
      </c>
      <c r="N3" s="488" t="s">
        <v>15</v>
      </c>
      <c r="O3" s="487" t="s">
        <v>16</v>
      </c>
      <c r="P3" s="487" t="s">
        <v>17</v>
      </c>
      <c r="Q3" s="487" t="s">
        <v>18</v>
      </c>
      <c r="R3" s="487" t="s">
        <v>19</v>
      </c>
      <c r="S3" s="487" t="s">
        <v>20</v>
      </c>
      <c r="T3" s="487" t="s">
        <v>21</v>
      </c>
      <c r="U3" s="487" t="s">
        <v>22</v>
      </c>
      <c r="V3" s="487" t="s">
        <v>23</v>
      </c>
    </row>
    <row r="4" spans="1:22" s="574" customFormat="1" ht="18.45">
      <c r="A4" s="603"/>
      <c r="B4" s="486" t="s">
        <v>25</v>
      </c>
      <c r="C4" s="535"/>
      <c r="D4" s="535"/>
      <c r="E4" s="535"/>
      <c r="F4" s="535"/>
      <c r="G4" s="535"/>
      <c r="H4" s="535"/>
      <c r="I4" s="535"/>
      <c r="J4" s="535"/>
      <c r="K4" s="535"/>
      <c r="L4" s="535"/>
      <c r="M4" s="535"/>
      <c r="N4" s="535"/>
      <c r="O4" s="535"/>
      <c r="P4" s="535"/>
      <c r="Q4" s="535"/>
      <c r="R4" s="535"/>
      <c r="S4" s="535"/>
      <c r="T4" s="535"/>
      <c r="U4" s="535"/>
      <c r="V4" s="535"/>
    </row>
    <row r="5" spans="1:22" s="574" customFormat="1" ht="15" customHeight="1">
      <c r="A5" s="1258" t="s">
        <v>24</v>
      </c>
      <c r="B5" s="485" t="s">
        <v>26</v>
      </c>
      <c r="C5" s="1138"/>
      <c r="D5" s="1138"/>
      <c r="E5" s="1138"/>
      <c r="F5" s="1138"/>
      <c r="G5" s="1138"/>
      <c r="H5" s="1138"/>
      <c r="I5" s="1138"/>
      <c r="J5" s="1138"/>
      <c r="K5" s="1138"/>
      <c r="L5" s="1138"/>
      <c r="M5" s="1138"/>
      <c r="N5" s="1138"/>
      <c r="O5" s="1138"/>
      <c r="P5" s="1138"/>
      <c r="Q5" s="1138"/>
      <c r="R5" s="1139"/>
      <c r="S5" s="1139"/>
      <c r="T5" s="1139"/>
      <c r="U5" s="1139"/>
      <c r="V5" s="1140"/>
    </row>
    <row r="6" spans="1:22" s="574" customFormat="1" ht="15" customHeight="1">
      <c r="A6" s="1259"/>
      <c r="B6" s="484" t="s">
        <v>29</v>
      </c>
      <c r="C6" s="535"/>
      <c r="D6" s="535"/>
      <c r="E6" s="535"/>
      <c r="F6" s="535"/>
      <c r="G6" s="535"/>
      <c r="H6" s="535"/>
      <c r="I6" s="535"/>
      <c r="J6" s="535"/>
      <c r="K6" s="535"/>
      <c r="L6" s="535"/>
      <c r="M6" s="535"/>
      <c r="N6" s="535"/>
      <c r="O6" s="535"/>
      <c r="P6" s="535"/>
      <c r="Q6" s="535"/>
      <c r="R6" s="535"/>
      <c r="S6" s="535"/>
      <c r="T6" s="535"/>
      <c r="U6" s="535"/>
      <c r="V6" s="535"/>
    </row>
    <row r="7" spans="1:22" s="574" customFormat="1" ht="15" customHeight="1">
      <c r="A7" s="1259"/>
      <c r="B7" s="484" t="s">
        <v>30</v>
      </c>
      <c r="C7" s="535"/>
      <c r="D7" s="535"/>
      <c r="E7" s="535"/>
      <c r="F7" s="535"/>
      <c r="G7" s="535"/>
      <c r="H7" s="535"/>
      <c r="I7" s="535"/>
      <c r="J7" s="535"/>
      <c r="K7" s="535"/>
      <c r="L7" s="535"/>
      <c r="M7" s="535"/>
      <c r="N7" s="535"/>
      <c r="O7" s="535"/>
      <c r="P7" s="535"/>
      <c r="Q7" s="535"/>
      <c r="R7" s="535"/>
      <c r="S7" s="535"/>
      <c r="T7" s="535"/>
      <c r="U7" s="535"/>
      <c r="V7" s="535"/>
    </row>
    <row r="8" spans="1:22" s="465" customFormat="1" ht="15" customHeight="1">
      <c r="A8" s="1259"/>
      <c r="B8" s="484" t="s">
        <v>300</v>
      </c>
      <c r="C8" s="534"/>
      <c r="D8" s="534"/>
      <c r="E8" s="534"/>
      <c r="F8" s="534"/>
      <c r="G8" s="534"/>
      <c r="H8" s="534"/>
      <c r="I8" s="534"/>
      <c r="J8" s="534"/>
      <c r="K8" s="534"/>
      <c r="L8" s="534"/>
      <c r="M8" s="534"/>
      <c r="N8" s="534"/>
      <c r="O8" s="534"/>
      <c r="P8" s="534"/>
      <c r="Q8" s="534"/>
      <c r="R8" s="534"/>
      <c r="S8" s="534"/>
      <c r="T8" s="534"/>
      <c r="U8" s="534"/>
      <c r="V8" s="534"/>
    </row>
    <row r="9" spans="1:22" s="465" customFormat="1" ht="15" customHeight="1">
      <c r="A9" s="1259"/>
      <c r="B9" s="484" t="s">
        <v>301</v>
      </c>
      <c r="C9" s="534"/>
      <c r="D9" s="534"/>
      <c r="E9" s="534"/>
      <c r="F9" s="534"/>
      <c r="G9" s="534"/>
      <c r="H9" s="534"/>
      <c r="I9" s="534"/>
      <c r="J9" s="534"/>
      <c r="K9" s="534"/>
      <c r="L9" s="534"/>
      <c r="M9" s="534"/>
      <c r="N9" s="534"/>
      <c r="O9" s="534"/>
      <c r="P9" s="534"/>
      <c r="Q9" s="534"/>
      <c r="R9" s="534"/>
      <c r="S9" s="534"/>
      <c r="T9" s="534"/>
      <c r="U9" s="534"/>
      <c r="V9" s="534"/>
    </row>
    <row r="10" spans="1:22" s="574" customFormat="1" ht="15" customHeight="1">
      <c r="A10" s="1259"/>
      <c r="B10" s="484" t="s">
        <v>302</v>
      </c>
      <c r="C10" s="535"/>
      <c r="D10" s="535"/>
      <c r="E10" s="535"/>
      <c r="F10" s="535"/>
      <c r="G10" s="535"/>
      <c r="H10" s="535"/>
      <c r="I10" s="535"/>
      <c r="J10" s="535"/>
      <c r="K10" s="535"/>
      <c r="L10" s="535"/>
      <c r="M10" s="535"/>
      <c r="N10" s="535"/>
      <c r="O10" s="535"/>
      <c r="P10" s="535"/>
      <c r="Q10" s="535"/>
      <c r="R10" s="535"/>
      <c r="S10" s="535"/>
      <c r="T10" s="535"/>
      <c r="U10" s="535"/>
      <c r="V10" s="535"/>
    </row>
    <row r="11" spans="1:22" s="574" customFormat="1" ht="15" customHeight="1">
      <c r="A11" s="1259"/>
      <c r="B11" s="484" t="s">
        <v>31</v>
      </c>
      <c r="C11" s="1141"/>
      <c r="D11" s="1141"/>
      <c r="E11" s="1141"/>
      <c r="F11" s="1141"/>
      <c r="G11" s="1141"/>
      <c r="H11" s="1141"/>
      <c r="I11" s="1141"/>
      <c r="J11" s="1141"/>
      <c r="K11" s="1141"/>
      <c r="L11" s="1141"/>
      <c r="M11" s="1141"/>
      <c r="N11" s="1141"/>
      <c r="O11" s="1141"/>
      <c r="P11" s="1141"/>
      <c r="Q11" s="1141"/>
      <c r="R11" s="1142"/>
      <c r="S11" s="1142"/>
      <c r="T11" s="1142"/>
      <c r="U11" s="1142"/>
      <c r="V11" s="1143"/>
    </row>
    <row r="12" spans="1:22" s="574" customFormat="1" ht="15" customHeight="1">
      <c r="A12" s="1259"/>
      <c r="B12" s="484" t="s">
        <v>32</v>
      </c>
      <c r="C12" s="1141"/>
      <c r="D12" s="1141"/>
      <c r="E12" s="1141"/>
      <c r="F12" s="1141"/>
      <c r="G12" s="1141"/>
      <c r="H12" s="1141"/>
      <c r="I12" s="1141"/>
      <c r="J12" s="1141"/>
      <c r="K12" s="1141"/>
      <c r="L12" s="1141"/>
      <c r="M12" s="1141"/>
      <c r="N12" s="1141"/>
      <c r="O12" s="1141"/>
      <c r="P12" s="1141"/>
      <c r="Q12" s="1141"/>
      <c r="R12" s="1142"/>
      <c r="S12" s="1142"/>
      <c r="T12" s="1142"/>
      <c r="U12" s="1142"/>
      <c r="V12" s="1143"/>
    </row>
    <row r="13" spans="1:22" s="574" customFormat="1" ht="15" customHeight="1">
      <c r="A13" s="1259"/>
      <c r="B13" s="484" t="s">
        <v>33</v>
      </c>
      <c r="C13" s="1141"/>
      <c r="D13" s="1141"/>
      <c r="E13" s="1141"/>
      <c r="F13" s="1141"/>
      <c r="G13" s="1141"/>
      <c r="H13" s="1141"/>
      <c r="I13" s="1141"/>
      <c r="J13" s="1141"/>
      <c r="K13" s="1141"/>
      <c r="L13" s="1141"/>
      <c r="M13" s="1141"/>
      <c r="N13" s="1141"/>
      <c r="O13" s="1141"/>
      <c r="P13" s="1141"/>
      <c r="Q13" s="1141"/>
      <c r="R13" s="1142"/>
      <c r="S13" s="1142"/>
      <c r="T13" s="1142"/>
      <c r="U13" s="1142"/>
      <c r="V13" s="1143"/>
    </row>
    <row r="14" spans="1:22" s="574" customFormat="1" ht="15" customHeight="1">
      <c r="A14" s="1259"/>
      <c r="B14" s="484" t="s">
        <v>34</v>
      </c>
      <c r="C14" s="1141"/>
      <c r="D14" s="1141"/>
      <c r="E14" s="1141"/>
      <c r="F14" s="1141"/>
      <c r="G14" s="1141"/>
      <c r="H14" s="1141"/>
      <c r="I14" s="1141"/>
      <c r="J14" s="1141"/>
      <c r="K14" s="1141"/>
      <c r="L14" s="1141"/>
      <c r="M14" s="1141"/>
      <c r="N14" s="1144"/>
      <c r="O14" s="1144"/>
      <c r="P14" s="1144"/>
      <c r="Q14" s="1144"/>
      <c r="R14" s="1142"/>
      <c r="S14" s="1142"/>
      <c r="T14" s="1142"/>
      <c r="U14" s="1142"/>
      <c r="V14" s="1143"/>
    </row>
    <row r="15" spans="1:22" s="574" customFormat="1" ht="15" customHeight="1">
      <c r="A15" s="1259"/>
      <c r="B15" s="484" t="s">
        <v>35</v>
      </c>
      <c r="C15" s="1142"/>
      <c r="D15" s="1142"/>
      <c r="E15" s="1142"/>
      <c r="F15" s="1142"/>
      <c r="G15" s="1142"/>
      <c r="H15" s="1142"/>
      <c r="I15" s="1142"/>
      <c r="J15" s="1142"/>
      <c r="K15" s="1142"/>
      <c r="L15" s="1142"/>
      <c r="M15" s="1142"/>
      <c r="N15" s="1142"/>
      <c r="O15" s="1142"/>
      <c r="P15" s="1142"/>
      <c r="Q15" s="1142"/>
      <c r="R15" s="1142"/>
      <c r="S15" s="1142"/>
      <c r="T15" s="1142"/>
      <c r="U15" s="1142"/>
      <c r="V15" s="1143"/>
    </row>
    <row r="16" spans="1:22" s="574" customFormat="1" ht="15" customHeight="1">
      <c r="A16" s="1260"/>
      <c r="B16" s="484" t="s">
        <v>317</v>
      </c>
      <c r="C16" s="1141"/>
      <c r="D16" s="1141"/>
      <c r="E16" s="1141"/>
      <c r="F16" s="1141"/>
      <c r="G16" s="1141"/>
      <c r="H16" s="1141"/>
      <c r="I16" s="1141"/>
      <c r="J16" s="1141"/>
      <c r="K16" s="1141"/>
      <c r="L16" s="1141"/>
      <c r="M16" s="1141"/>
      <c r="N16" s="1144"/>
      <c r="O16" s="1144"/>
      <c r="P16" s="1144"/>
      <c r="Q16" s="1144"/>
      <c r="R16" s="1142"/>
      <c r="S16" s="1142"/>
      <c r="T16" s="1142"/>
      <c r="U16" s="1142"/>
      <c r="V16" s="1143"/>
    </row>
    <row r="17" spans="1:22" s="574" customFormat="1" ht="15" customHeight="1">
      <c r="A17" s="621"/>
      <c r="B17" s="484" t="s">
        <v>304</v>
      </c>
      <c r="C17" s="1141"/>
      <c r="D17" s="1141"/>
      <c r="E17" s="1141"/>
      <c r="F17" s="1141"/>
      <c r="G17" s="1141"/>
      <c r="H17" s="1141"/>
      <c r="I17" s="1141"/>
      <c r="J17" s="1141"/>
      <c r="K17" s="1141"/>
      <c r="L17" s="1141"/>
      <c r="M17" s="1141"/>
      <c r="N17" s="1144"/>
      <c r="O17" s="1144"/>
      <c r="P17" s="1144"/>
      <c r="Q17" s="1144"/>
      <c r="R17" s="1142"/>
      <c r="S17" s="1142"/>
      <c r="T17" s="1142"/>
      <c r="U17" s="1142"/>
      <c r="V17" s="1143"/>
    </row>
    <row r="18" spans="1:22" s="574" customFormat="1" ht="15" customHeight="1">
      <c r="A18" s="602"/>
      <c r="B18" s="484" t="s">
        <v>36</v>
      </c>
      <c r="C18" s="1141"/>
      <c r="D18" s="1141"/>
      <c r="E18" s="1141"/>
      <c r="F18" s="1141"/>
      <c r="G18" s="1141"/>
      <c r="H18" s="1141"/>
      <c r="I18" s="1141"/>
      <c r="J18" s="1141"/>
      <c r="K18" s="1141"/>
      <c r="L18" s="1141"/>
      <c r="M18" s="1141"/>
      <c r="N18" s="1144"/>
      <c r="O18" s="1144"/>
      <c r="P18" s="1144"/>
      <c r="Q18" s="1144"/>
      <c r="R18" s="1142"/>
      <c r="S18" s="1142"/>
      <c r="T18" s="1142"/>
      <c r="U18" s="1142"/>
      <c r="V18" s="1143"/>
    </row>
    <row r="19" spans="1:22" s="574" customFormat="1" ht="15" customHeight="1">
      <c r="A19" s="602"/>
      <c r="B19" s="484" t="s">
        <v>37</v>
      </c>
      <c r="C19" s="1142"/>
      <c r="D19" s="1142"/>
      <c r="E19" s="1142"/>
      <c r="F19" s="1142"/>
      <c r="G19" s="1142"/>
      <c r="H19" s="1142"/>
      <c r="I19" s="1142"/>
      <c r="J19" s="1142"/>
      <c r="K19" s="1142"/>
      <c r="L19" s="1142"/>
      <c r="M19" s="1142"/>
      <c r="N19" s="1142"/>
      <c r="O19" s="1142"/>
      <c r="P19" s="1142"/>
      <c r="Q19" s="1142"/>
      <c r="R19" s="1142"/>
      <c r="S19" s="1142"/>
      <c r="T19" s="1142"/>
      <c r="U19" s="1142"/>
      <c r="V19" s="1143"/>
    </row>
    <row r="20" spans="1:22" s="465" customFormat="1" ht="15" customHeight="1">
      <c r="A20" s="589"/>
      <c r="B20" s="484" t="s">
        <v>39</v>
      </c>
      <c r="C20" s="598">
        <v>229.10400000000001</v>
      </c>
      <c r="D20" s="598">
        <v>0</v>
      </c>
      <c r="E20" s="598">
        <v>0</v>
      </c>
      <c r="F20" s="598">
        <v>0</v>
      </c>
      <c r="G20" s="598">
        <v>0</v>
      </c>
      <c r="H20" s="598">
        <v>0</v>
      </c>
      <c r="I20" s="598">
        <v>26.896000000000001</v>
      </c>
      <c r="J20" s="598">
        <v>57.709000000000003</v>
      </c>
      <c r="K20" s="598">
        <v>0.22500000000000001</v>
      </c>
      <c r="L20" s="598">
        <v>55.917999999999999</v>
      </c>
      <c r="M20" s="598">
        <v>54.662999999999997</v>
      </c>
      <c r="N20" s="481">
        <v>0.14000000000000001</v>
      </c>
      <c r="O20" s="481">
        <v>0</v>
      </c>
      <c r="P20" s="481">
        <v>0</v>
      </c>
      <c r="Q20" s="481">
        <v>7.7910000000000004</v>
      </c>
      <c r="R20" s="476">
        <v>0.59899999999999998</v>
      </c>
      <c r="S20" s="476">
        <v>4.9000000000000002E-2</v>
      </c>
      <c r="T20" s="476">
        <v>0.27200000000000002</v>
      </c>
      <c r="U20" s="476">
        <v>0.94</v>
      </c>
      <c r="V20" s="483">
        <v>0.02</v>
      </c>
    </row>
    <row r="21" spans="1:22" s="465" customFormat="1" ht="15" customHeight="1">
      <c r="A21" s="589"/>
      <c r="B21" s="484" t="s">
        <v>40</v>
      </c>
      <c r="C21" s="515">
        <v>240.733</v>
      </c>
      <c r="D21" s="515">
        <v>0</v>
      </c>
      <c r="E21" s="515">
        <v>0</v>
      </c>
      <c r="F21" s="515">
        <v>0</v>
      </c>
      <c r="G21" s="515">
        <v>0</v>
      </c>
      <c r="H21" s="515">
        <v>0</v>
      </c>
      <c r="I21" s="515">
        <v>36.457999999999998</v>
      </c>
      <c r="J21" s="515">
        <v>61.042000000000002</v>
      </c>
      <c r="K21" s="515">
        <v>1.2999999999999999E-2</v>
      </c>
      <c r="L21" s="515">
        <v>59.2</v>
      </c>
      <c r="M21" s="515">
        <v>55.731999999999999</v>
      </c>
      <c r="N21" s="515">
        <v>0</v>
      </c>
      <c r="O21" s="515">
        <v>0</v>
      </c>
      <c r="P21" s="515">
        <v>0</v>
      </c>
      <c r="Q21" s="515">
        <v>6.5049999999999999</v>
      </c>
      <c r="R21" s="515">
        <v>0.5</v>
      </c>
      <c r="S21" s="515">
        <v>1.4999999999999999E-2</v>
      </c>
      <c r="T21" s="515">
        <v>8.2000000000000003E-2</v>
      </c>
      <c r="U21" s="515">
        <v>0.621</v>
      </c>
      <c r="V21" s="515">
        <v>1.2999999999999999E-2</v>
      </c>
    </row>
    <row r="22" spans="1:22" s="465" customFormat="1" ht="15" hidden="1" customHeight="1">
      <c r="A22" s="589"/>
      <c r="B22" s="484" t="s">
        <v>41</v>
      </c>
      <c r="C22" s="476"/>
      <c r="D22" s="476"/>
      <c r="E22" s="476"/>
      <c r="F22" s="476"/>
      <c r="G22" s="476"/>
      <c r="H22" s="476"/>
      <c r="I22" s="476"/>
      <c r="J22" s="476"/>
      <c r="K22" s="476"/>
      <c r="L22" s="476"/>
      <c r="M22" s="476"/>
      <c r="N22" s="476"/>
      <c r="O22" s="476"/>
      <c r="P22" s="476"/>
      <c r="Q22" s="476"/>
      <c r="R22" s="476"/>
      <c r="S22" s="476"/>
      <c r="T22" s="476"/>
      <c r="U22" s="476"/>
      <c r="V22" s="483"/>
    </row>
    <row r="23" spans="1:22" s="465" customFormat="1" ht="15" customHeight="1">
      <c r="A23" s="589"/>
      <c r="B23" s="484" t="s">
        <v>306</v>
      </c>
      <c r="C23" s="476">
        <v>294.79599999999999</v>
      </c>
      <c r="D23" s="476">
        <v>0.59399999999999997</v>
      </c>
      <c r="E23" s="476">
        <v>6.6000000000000003E-2</v>
      </c>
      <c r="F23" s="476">
        <v>0</v>
      </c>
      <c r="G23" s="476">
        <v>0</v>
      </c>
      <c r="H23" s="476">
        <v>0</v>
      </c>
      <c r="I23" s="476">
        <v>30.084</v>
      </c>
      <c r="J23" s="476">
        <v>73.641000000000005</v>
      </c>
      <c r="K23" s="476">
        <v>0</v>
      </c>
      <c r="L23" s="476">
        <v>67.811000000000007</v>
      </c>
      <c r="M23" s="476">
        <v>67.811000000000007</v>
      </c>
      <c r="N23" s="476">
        <v>0.52800000000000002</v>
      </c>
      <c r="O23" s="476">
        <v>0</v>
      </c>
      <c r="P23" s="476">
        <v>0</v>
      </c>
      <c r="Q23" s="476">
        <v>6.3789999999999996</v>
      </c>
      <c r="R23" s="476">
        <v>0.49099999999999999</v>
      </c>
      <c r="S23" s="476">
        <v>1.2999999999999999E-2</v>
      </c>
      <c r="T23" s="476">
        <v>7.3999999999999996E-2</v>
      </c>
      <c r="U23" s="476">
        <v>1.181</v>
      </c>
      <c r="V23" s="483">
        <v>2.5000000000000001E-2</v>
      </c>
    </row>
    <row r="24" spans="1:22" s="465" customFormat="1" ht="15" customHeight="1">
      <c r="A24" s="589"/>
      <c r="B24" s="484" t="s">
        <v>42</v>
      </c>
      <c r="C24" s="598">
        <v>262.97899999999998</v>
      </c>
      <c r="D24" s="598">
        <v>0.10199999999999999</v>
      </c>
      <c r="E24" s="598">
        <v>1.0999999999999999E-2</v>
      </c>
      <c r="F24" s="598">
        <v>6.0000000000000001E-3</v>
      </c>
      <c r="G24" s="598">
        <v>0</v>
      </c>
      <c r="H24" s="598">
        <v>0</v>
      </c>
      <c r="I24" s="598">
        <v>27.562999999999999</v>
      </c>
      <c r="J24" s="598">
        <v>66.436999999999998</v>
      </c>
      <c r="K24" s="598">
        <v>0.17499999999999999</v>
      </c>
      <c r="L24" s="598">
        <v>63.679000000000002</v>
      </c>
      <c r="M24" s="598">
        <v>62.514000000000003</v>
      </c>
      <c r="N24" s="481">
        <v>0.153</v>
      </c>
      <c r="O24" s="481">
        <v>0.69</v>
      </c>
      <c r="P24" s="481">
        <v>0.34499999999999997</v>
      </c>
      <c r="Q24" s="481">
        <v>7.758</v>
      </c>
      <c r="R24" s="476">
        <v>0.59699999999999998</v>
      </c>
      <c r="S24" s="476">
        <v>5.3999999999999999E-2</v>
      </c>
      <c r="T24" s="476">
        <v>0.30099999999999999</v>
      </c>
      <c r="U24" s="476">
        <v>39.08</v>
      </c>
      <c r="V24" s="483">
        <v>0.83099999999999996</v>
      </c>
    </row>
    <row r="25" spans="1:22" s="465" customFormat="1" ht="15" customHeight="1">
      <c r="A25" s="589"/>
      <c r="B25" s="484" t="s">
        <v>45</v>
      </c>
      <c r="C25" s="598">
        <v>224.94200000000001</v>
      </c>
      <c r="D25" s="598">
        <v>0</v>
      </c>
      <c r="E25" s="598">
        <v>0</v>
      </c>
      <c r="F25" s="598">
        <v>0</v>
      </c>
      <c r="G25" s="598">
        <v>0</v>
      </c>
      <c r="H25" s="598">
        <v>0</v>
      </c>
      <c r="I25" s="598">
        <v>27.329000000000001</v>
      </c>
      <c r="J25" s="598">
        <v>56.692999999999998</v>
      </c>
      <c r="K25" s="598">
        <v>0</v>
      </c>
      <c r="L25" s="598">
        <v>54.404000000000003</v>
      </c>
      <c r="M25" s="598">
        <v>54.19</v>
      </c>
      <c r="N25" s="481">
        <v>6.0000000000000001E-3</v>
      </c>
      <c r="O25" s="481">
        <v>6.0000000000000001E-3</v>
      </c>
      <c r="P25" s="481">
        <v>0.436</v>
      </c>
      <c r="Q25" s="481">
        <v>6.9589999999999996</v>
      </c>
      <c r="R25" s="476">
        <v>0.53500000000000003</v>
      </c>
      <c r="S25" s="476">
        <v>2.1999999999999999E-2</v>
      </c>
      <c r="T25" s="476">
        <v>0.124</v>
      </c>
      <c r="U25" s="476">
        <v>8.0619999999999994</v>
      </c>
      <c r="V25" s="476">
        <v>0.17199999999999999</v>
      </c>
    </row>
    <row r="26" spans="1:22" s="465" customFormat="1" ht="15" customHeight="1">
      <c r="A26" s="589"/>
      <c r="B26" s="484" t="s">
        <v>46</v>
      </c>
      <c r="C26" s="598">
        <v>220.49600000000001</v>
      </c>
      <c r="D26" s="598">
        <v>0</v>
      </c>
      <c r="E26" s="598">
        <v>1.7999999999999999E-2</v>
      </c>
      <c r="F26" s="598">
        <v>0</v>
      </c>
      <c r="G26" s="598">
        <v>0</v>
      </c>
      <c r="H26" s="598">
        <v>0</v>
      </c>
      <c r="I26" s="598">
        <v>55.125999999999998</v>
      </c>
      <c r="J26" s="598">
        <v>55.962000000000003</v>
      </c>
      <c r="K26" s="598">
        <v>5.0999999999999997E-2</v>
      </c>
      <c r="L26" s="598">
        <v>52.615000000000002</v>
      </c>
      <c r="M26" s="598">
        <v>52.466000000000001</v>
      </c>
      <c r="N26" s="481">
        <v>5.8999999999999997E-2</v>
      </c>
      <c r="O26" s="481">
        <v>0</v>
      </c>
      <c r="P26" s="481">
        <v>0</v>
      </c>
      <c r="Q26" s="481">
        <v>7.085</v>
      </c>
      <c r="R26" s="476">
        <v>0.54500000000000004</v>
      </c>
      <c r="S26" s="476">
        <v>2.1000000000000001E-2</v>
      </c>
      <c r="T26" s="476">
        <v>0.11600000000000001</v>
      </c>
      <c r="U26" s="476">
        <v>9.3079999999999998</v>
      </c>
      <c r="V26" s="483">
        <v>0.19800000000000001</v>
      </c>
    </row>
    <row r="27" spans="1:22" s="465" customFormat="1" ht="15" customHeight="1">
      <c r="A27" s="589"/>
      <c r="B27" s="484" t="s">
        <v>307</v>
      </c>
      <c r="C27" s="571"/>
      <c r="D27" s="571"/>
      <c r="E27" s="571"/>
      <c r="F27" s="571"/>
      <c r="G27" s="571"/>
      <c r="H27" s="571"/>
      <c r="I27" s="571"/>
      <c r="J27" s="571"/>
      <c r="K27" s="571"/>
      <c r="L27" s="571"/>
      <c r="M27" s="571"/>
      <c r="N27" s="597"/>
      <c r="O27" s="597"/>
      <c r="P27" s="597"/>
      <c r="Q27" s="597"/>
      <c r="R27" s="1142"/>
      <c r="S27" s="1142"/>
      <c r="T27" s="1142"/>
      <c r="U27" s="1142"/>
      <c r="V27" s="1145"/>
    </row>
    <row r="28" spans="1:22" s="465" customFormat="1" ht="15" customHeight="1">
      <c r="A28" s="589"/>
      <c r="B28" s="484" t="s">
        <v>308</v>
      </c>
      <c r="C28" s="512">
        <v>231.88900000000001</v>
      </c>
      <c r="D28" s="512">
        <v>0</v>
      </c>
      <c r="E28" s="512">
        <v>0</v>
      </c>
      <c r="F28" s="512">
        <v>0</v>
      </c>
      <c r="G28" s="512">
        <v>0</v>
      </c>
      <c r="H28" s="512">
        <v>0</v>
      </c>
      <c r="I28" s="512">
        <v>28.498999999999999</v>
      </c>
      <c r="J28" s="512">
        <v>57.606000000000002</v>
      </c>
      <c r="K28" s="512">
        <v>0</v>
      </c>
      <c r="L28" s="512">
        <v>57.207000000000001</v>
      </c>
      <c r="M28" s="512">
        <v>57.207000000000001</v>
      </c>
      <c r="N28" s="512">
        <v>0</v>
      </c>
      <c r="O28" s="512">
        <v>0</v>
      </c>
      <c r="P28" s="512">
        <v>0</v>
      </c>
      <c r="Q28" s="512">
        <v>6.5970000000000004</v>
      </c>
      <c r="R28" s="512">
        <v>0.50700000000000001</v>
      </c>
      <c r="S28" s="512">
        <v>1.2E-2</v>
      </c>
      <c r="T28" s="512">
        <v>6.7000000000000004E-2</v>
      </c>
      <c r="U28" s="512">
        <v>4.2930000000000001</v>
      </c>
      <c r="V28" s="512">
        <v>9.0999999999999998E-2</v>
      </c>
    </row>
    <row r="29" spans="1:22" s="465" customFormat="1" ht="15" customHeight="1">
      <c r="A29" s="589"/>
      <c r="B29" s="484" t="s">
        <v>48</v>
      </c>
      <c r="C29" s="598">
        <v>190.48699999999999</v>
      </c>
      <c r="D29" s="598">
        <v>0.38200000000000001</v>
      </c>
      <c r="E29" s="598">
        <v>4.2000000000000003E-2</v>
      </c>
      <c r="F29" s="598">
        <v>1E-3</v>
      </c>
      <c r="G29" s="598">
        <v>0</v>
      </c>
      <c r="H29" s="598">
        <v>0</v>
      </c>
      <c r="I29" s="598">
        <v>10.025</v>
      </c>
      <c r="J29" s="598">
        <v>49.674999999999997</v>
      </c>
      <c r="K29" s="598">
        <v>0.13200000000000001</v>
      </c>
      <c r="L29" s="598">
        <v>47.453000000000003</v>
      </c>
      <c r="M29" s="598">
        <v>47.027000000000001</v>
      </c>
      <c r="N29" s="481">
        <v>0.112</v>
      </c>
      <c r="O29" s="481">
        <v>0</v>
      </c>
      <c r="P29" s="481">
        <v>0</v>
      </c>
      <c r="Q29" s="481">
        <v>10.130000000000001</v>
      </c>
      <c r="R29" s="476">
        <v>0.77900000000000003</v>
      </c>
      <c r="S29" s="476">
        <v>3.5999999999999997E-2</v>
      </c>
      <c r="T29" s="476">
        <v>0.19900000000000001</v>
      </c>
      <c r="U29" s="476">
        <v>28.628</v>
      </c>
      <c r="V29" s="476">
        <v>0.60899999999999999</v>
      </c>
    </row>
    <row r="30" spans="1:22" s="465" customFormat="1" ht="15" customHeight="1">
      <c r="A30" s="589"/>
      <c r="B30" s="484" t="s">
        <v>50</v>
      </c>
      <c r="C30" s="598">
        <v>247.96600000000001</v>
      </c>
      <c r="D30" s="598">
        <v>0.153</v>
      </c>
      <c r="E30" s="598">
        <v>1.7000000000000001E-2</v>
      </c>
      <c r="F30" s="598">
        <v>0.04</v>
      </c>
      <c r="G30" s="598">
        <v>0</v>
      </c>
      <c r="H30" s="598">
        <v>0</v>
      </c>
      <c r="I30" s="598">
        <v>37.332000000000001</v>
      </c>
      <c r="J30" s="598">
        <v>63.057000000000002</v>
      </c>
      <c r="K30" s="598">
        <v>0.115</v>
      </c>
      <c r="L30" s="598">
        <v>60.173000000000002</v>
      </c>
      <c r="M30" s="598">
        <v>59.249000000000002</v>
      </c>
      <c r="N30" s="481">
        <v>3.5000000000000003E-2</v>
      </c>
      <c r="O30" s="481">
        <v>0</v>
      </c>
      <c r="P30" s="481">
        <v>0</v>
      </c>
      <c r="Q30" s="481">
        <v>8.3049999999999997</v>
      </c>
      <c r="R30" s="476">
        <v>0.63900000000000001</v>
      </c>
      <c r="S30" s="476">
        <v>7.6999999999999999E-2</v>
      </c>
      <c r="T30" s="476">
        <v>0.42899999999999999</v>
      </c>
      <c r="U30" s="476">
        <v>18.071999999999999</v>
      </c>
      <c r="V30" s="483">
        <v>0.38500000000000001</v>
      </c>
    </row>
    <row r="31" spans="1:22" s="465" customFormat="1" ht="15" customHeight="1">
      <c r="A31" s="589"/>
      <c r="B31" s="484" t="s">
        <v>51</v>
      </c>
      <c r="C31" s="598">
        <v>247.24199999999999</v>
      </c>
      <c r="D31" s="598">
        <v>7.6999999999999999E-2</v>
      </c>
      <c r="E31" s="598">
        <v>8.9999999999999993E-3</v>
      </c>
      <c r="F31" s="598">
        <v>2E-3</v>
      </c>
      <c r="G31" s="598">
        <v>0</v>
      </c>
      <c r="H31" s="598">
        <v>0</v>
      </c>
      <c r="I31" s="598">
        <v>37.304000000000002</v>
      </c>
      <c r="J31" s="598">
        <v>62.795999999999999</v>
      </c>
      <c r="K31" s="598">
        <v>5.8000000000000003E-2</v>
      </c>
      <c r="L31" s="598">
        <v>58.722999999999999</v>
      </c>
      <c r="M31" s="598">
        <v>57.353000000000002</v>
      </c>
      <c r="N31" s="481">
        <v>1.9E-2</v>
      </c>
      <c r="O31" s="481">
        <v>0</v>
      </c>
      <c r="P31" s="481">
        <v>0</v>
      </c>
      <c r="Q31" s="481">
        <v>7.4119999999999999</v>
      </c>
      <c r="R31" s="476">
        <v>0.56999999999999995</v>
      </c>
      <c r="S31" s="476">
        <v>4.5999999999999999E-2</v>
      </c>
      <c r="T31" s="476">
        <v>0.25700000000000001</v>
      </c>
      <c r="U31" s="476">
        <v>9.3800000000000008</v>
      </c>
      <c r="V31" s="483">
        <v>0.2</v>
      </c>
    </row>
    <row r="32" spans="1:22" s="465" customFormat="1" ht="15" customHeight="1">
      <c r="A32" s="589"/>
      <c r="B32" s="484" t="s">
        <v>52</v>
      </c>
      <c r="C32" s="598">
        <v>226.244</v>
      </c>
      <c r="D32" s="598">
        <v>7.0999999999999994E-2</v>
      </c>
      <c r="E32" s="598">
        <v>8.0000000000000002E-3</v>
      </c>
      <c r="F32" s="598">
        <v>1.7999999999999999E-2</v>
      </c>
      <c r="G32" s="598">
        <v>0</v>
      </c>
      <c r="H32" s="598">
        <v>0</v>
      </c>
      <c r="I32" s="598">
        <v>31.948</v>
      </c>
      <c r="J32" s="598">
        <v>57.183</v>
      </c>
      <c r="K32" s="598">
        <v>0.17499999999999999</v>
      </c>
      <c r="L32" s="598">
        <v>54.877000000000002</v>
      </c>
      <c r="M32" s="598">
        <v>53.768000000000001</v>
      </c>
      <c r="N32" s="481">
        <v>9.1999999999999998E-2</v>
      </c>
      <c r="O32" s="481">
        <v>0</v>
      </c>
      <c r="P32" s="481">
        <v>0</v>
      </c>
      <c r="Q32" s="481">
        <v>8.0909999999999993</v>
      </c>
      <c r="R32" s="476">
        <v>0.622</v>
      </c>
      <c r="S32" s="476">
        <v>6.0999999999999999E-2</v>
      </c>
      <c r="T32" s="476">
        <v>0.33800000000000002</v>
      </c>
      <c r="U32" s="476">
        <v>8.8529999999999998</v>
      </c>
      <c r="V32" s="483">
        <v>0.188</v>
      </c>
    </row>
    <row r="33" spans="1:22" s="465" customFormat="1" ht="15" customHeight="1">
      <c r="A33" s="589"/>
      <c r="B33" s="484" t="s">
        <v>53</v>
      </c>
      <c r="C33" s="598">
        <v>249.27699999999999</v>
      </c>
      <c r="D33" s="598">
        <v>6.6000000000000003E-2</v>
      </c>
      <c r="E33" s="598">
        <v>7.0000000000000001E-3</v>
      </c>
      <c r="F33" s="598">
        <v>2E-3</v>
      </c>
      <c r="G33" s="598">
        <v>0</v>
      </c>
      <c r="H33" s="598">
        <v>0</v>
      </c>
      <c r="I33" s="598">
        <v>35.704000000000001</v>
      </c>
      <c r="J33" s="598">
        <v>62.86</v>
      </c>
      <c r="K33" s="598">
        <v>0.08</v>
      </c>
      <c r="L33" s="598">
        <v>60.54</v>
      </c>
      <c r="M33" s="598">
        <v>59.621000000000002</v>
      </c>
      <c r="N33" s="481">
        <v>3.6999999999999998E-2</v>
      </c>
      <c r="O33" s="481">
        <v>0</v>
      </c>
      <c r="P33" s="481">
        <v>0</v>
      </c>
      <c r="Q33" s="481">
        <v>8.1340000000000003</v>
      </c>
      <c r="R33" s="476">
        <v>0.626</v>
      </c>
      <c r="S33" s="476">
        <v>0.192</v>
      </c>
      <c r="T33" s="476">
        <v>1.0669999999999999</v>
      </c>
      <c r="U33" s="476">
        <v>14.794</v>
      </c>
      <c r="V33" s="483">
        <v>0.315</v>
      </c>
    </row>
    <row r="34" spans="1:22" s="465" customFormat="1" ht="15" customHeight="1">
      <c r="A34" s="589"/>
      <c r="B34" s="484" t="s">
        <v>54</v>
      </c>
      <c r="C34" s="598">
        <v>251.483</v>
      </c>
      <c r="D34" s="598">
        <v>0.11700000000000001</v>
      </c>
      <c r="E34" s="598">
        <v>1.2999999999999999E-2</v>
      </c>
      <c r="F34" s="598">
        <v>2.1000000000000001E-2</v>
      </c>
      <c r="G34" s="598">
        <v>0</v>
      </c>
      <c r="H34" s="598">
        <v>0</v>
      </c>
      <c r="I34" s="598">
        <v>37.072000000000003</v>
      </c>
      <c r="J34" s="598">
        <v>63.683</v>
      </c>
      <c r="K34" s="598">
        <v>0.14399999999999999</v>
      </c>
      <c r="L34" s="598">
        <v>61.298000000000002</v>
      </c>
      <c r="M34" s="598">
        <v>60.415999999999997</v>
      </c>
      <c r="N34" s="481">
        <v>9.4E-2</v>
      </c>
      <c r="O34" s="481">
        <v>0</v>
      </c>
      <c r="P34" s="481">
        <v>0</v>
      </c>
      <c r="Q34" s="481">
        <v>8.3330000000000002</v>
      </c>
      <c r="R34" s="476">
        <v>0.64100000000000001</v>
      </c>
      <c r="S34" s="476">
        <v>9.1999999999999998E-2</v>
      </c>
      <c r="T34" s="476">
        <v>0.51300000000000001</v>
      </c>
      <c r="U34" s="476">
        <v>14.553000000000001</v>
      </c>
      <c r="V34" s="483">
        <v>0.31</v>
      </c>
    </row>
    <row r="35" spans="1:22" s="465" customFormat="1" ht="15" customHeight="1">
      <c r="A35" s="589"/>
      <c r="B35" s="484" t="s">
        <v>55</v>
      </c>
      <c r="C35" s="598">
        <v>323.74599999999998</v>
      </c>
      <c r="D35" s="598">
        <v>0.221</v>
      </c>
      <c r="E35" s="598">
        <v>2.5000000000000001E-2</v>
      </c>
      <c r="F35" s="598">
        <v>1.4E-2</v>
      </c>
      <c r="G35" s="598">
        <v>0</v>
      </c>
      <c r="H35" s="598">
        <v>0</v>
      </c>
      <c r="I35" s="598">
        <v>770.15300000000002</v>
      </c>
      <c r="J35" s="598">
        <v>77.528000000000006</v>
      </c>
      <c r="K35" s="598">
        <v>0.217</v>
      </c>
      <c r="L35" s="598">
        <v>36.319000000000003</v>
      </c>
      <c r="M35" s="598">
        <v>35.957999999999998</v>
      </c>
      <c r="N35" s="481">
        <v>8.3000000000000004E-2</v>
      </c>
      <c r="O35" s="481">
        <v>0</v>
      </c>
      <c r="P35" s="481">
        <v>0</v>
      </c>
      <c r="Q35" s="481">
        <v>9.0329999999999995</v>
      </c>
      <c r="R35" s="476">
        <v>0.69499999999999995</v>
      </c>
      <c r="S35" s="476">
        <v>0.04</v>
      </c>
      <c r="T35" s="476">
        <v>0.224</v>
      </c>
      <c r="U35" s="476">
        <v>15.683999999999999</v>
      </c>
      <c r="V35" s="483">
        <v>0.33400000000000002</v>
      </c>
    </row>
    <row r="36" spans="1:22" s="465" customFormat="1" ht="15" customHeight="1">
      <c r="A36" s="589"/>
      <c r="B36" s="484" t="s">
        <v>336</v>
      </c>
      <c r="C36" s="512">
        <v>229.98699999999999</v>
      </c>
      <c r="D36" s="512">
        <v>0</v>
      </c>
      <c r="E36" s="512">
        <v>0</v>
      </c>
      <c r="F36" s="512">
        <v>0</v>
      </c>
      <c r="G36" s="512">
        <v>0</v>
      </c>
      <c r="H36" s="512">
        <v>0</v>
      </c>
      <c r="I36" s="512">
        <v>28.760999999999999</v>
      </c>
      <c r="J36" s="512">
        <v>60.146000000000001</v>
      </c>
      <c r="K36" s="512">
        <v>0</v>
      </c>
      <c r="L36" s="512">
        <v>58.093000000000004</v>
      </c>
      <c r="M36" s="512">
        <v>25.686</v>
      </c>
      <c r="N36" s="512">
        <v>0</v>
      </c>
      <c r="O36" s="512">
        <v>0</v>
      </c>
      <c r="P36" s="512">
        <v>0</v>
      </c>
      <c r="Q36" s="512">
        <v>6.5640000000000001</v>
      </c>
      <c r="R36" s="512">
        <v>0.505</v>
      </c>
      <c r="S36" s="512">
        <v>1.2E-2</v>
      </c>
      <c r="T36" s="512">
        <v>6.8000000000000005E-2</v>
      </c>
      <c r="U36" s="512">
        <v>0.51500000000000001</v>
      </c>
      <c r="V36" s="512">
        <v>1.0999999999999999E-2</v>
      </c>
    </row>
    <row r="37" spans="1:22" s="574" customFormat="1" ht="18.649999999999999" customHeight="1">
      <c r="A37" s="602"/>
      <c r="B37" s="484" t="s">
        <v>310</v>
      </c>
      <c r="C37" s="535"/>
      <c r="D37" s="535"/>
      <c r="E37" s="535"/>
      <c r="F37" s="535"/>
      <c r="G37" s="535"/>
      <c r="H37" s="535"/>
      <c r="I37" s="535"/>
      <c r="J37" s="535"/>
      <c r="K37" s="535"/>
      <c r="L37" s="535"/>
      <c r="M37" s="535"/>
      <c r="N37" s="535"/>
      <c r="O37" s="535"/>
      <c r="P37" s="535"/>
      <c r="Q37" s="535"/>
      <c r="R37" s="535"/>
      <c r="S37" s="535"/>
      <c r="T37" s="535"/>
      <c r="U37" s="535"/>
      <c r="V37" s="535"/>
    </row>
    <row r="38" spans="1:22" s="465" customFormat="1" ht="18.649999999999999" customHeight="1">
      <c r="A38" s="589"/>
      <c r="B38" s="484" t="s">
        <v>311</v>
      </c>
      <c r="C38" s="511">
        <v>212.291</v>
      </c>
      <c r="D38" s="511">
        <v>0</v>
      </c>
      <c r="E38" s="511">
        <v>0</v>
      </c>
      <c r="F38" s="511">
        <v>0</v>
      </c>
      <c r="G38" s="511">
        <v>0</v>
      </c>
      <c r="H38" s="511">
        <v>0</v>
      </c>
      <c r="I38" s="511">
        <v>32.960999999999999</v>
      </c>
      <c r="J38" s="511">
        <v>54.226999999999997</v>
      </c>
      <c r="K38" s="511">
        <v>0.13900000000000001</v>
      </c>
      <c r="L38" s="511">
        <v>52.68</v>
      </c>
      <c r="M38" s="511">
        <v>52.186999999999998</v>
      </c>
      <c r="N38" s="511">
        <v>9.8000000000000004E-2</v>
      </c>
      <c r="O38" s="511">
        <v>0</v>
      </c>
      <c r="P38" s="511">
        <v>0</v>
      </c>
      <c r="Q38" s="511">
        <v>7.0419999999999998</v>
      </c>
      <c r="R38" s="511">
        <v>0.54200000000000004</v>
      </c>
      <c r="S38" s="511">
        <v>5.2999999999999999E-2</v>
      </c>
      <c r="T38" s="511">
        <v>0.29499999999999998</v>
      </c>
      <c r="U38" s="511">
        <v>0.88600000000000001</v>
      </c>
      <c r="V38" s="511">
        <v>1.9E-2</v>
      </c>
    </row>
    <row r="39" spans="1:22" s="465" customFormat="1" ht="18.649999999999999" customHeight="1">
      <c r="A39" s="589"/>
      <c r="B39" s="484" t="s">
        <v>58</v>
      </c>
      <c r="C39" s="598">
        <v>243.51499999999999</v>
      </c>
      <c r="D39" s="598">
        <v>5.41</v>
      </c>
      <c r="E39" s="598">
        <v>0.60099999999999998</v>
      </c>
      <c r="F39" s="598">
        <v>0</v>
      </c>
      <c r="G39" s="598">
        <v>0</v>
      </c>
      <c r="H39" s="598">
        <v>0</v>
      </c>
      <c r="I39" s="598">
        <v>35.895000000000003</v>
      </c>
      <c r="J39" s="598">
        <v>61.735999999999997</v>
      </c>
      <c r="K39" s="598">
        <v>0.115</v>
      </c>
      <c r="L39" s="598">
        <v>59.223999999999997</v>
      </c>
      <c r="M39" s="598">
        <v>58.723999999999997</v>
      </c>
      <c r="N39" s="481">
        <v>0.39</v>
      </c>
      <c r="O39" s="481">
        <v>0</v>
      </c>
      <c r="P39" s="481">
        <v>0</v>
      </c>
      <c r="Q39" s="481">
        <v>9.5790000000000006</v>
      </c>
      <c r="R39" s="476">
        <v>0.73699999999999999</v>
      </c>
      <c r="S39" s="476">
        <v>5.3999999999999999E-2</v>
      </c>
      <c r="T39" s="476">
        <v>0.29799999999999999</v>
      </c>
      <c r="U39" s="476">
        <v>1.0069999999999999</v>
      </c>
      <c r="V39" s="483">
        <v>2.1000000000000001E-2</v>
      </c>
    </row>
    <row r="40" spans="1:22" s="465" customFormat="1" ht="15" customHeight="1">
      <c r="A40" s="589"/>
      <c r="B40" s="484" t="s">
        <v>59</v>
      </c>
      <c r="C40" s="598">
        <v>223.75899999999999</v>
      </c>
      <c r="D40" s="598">
        <v>0</v>
      </c>
      <c r="E40" s="598">
        <v>0</v>
      </c>
      <c r="F40" s="598">
        <v>0</v>
      </c>
      <c r="G40" s="598">
        <v>0</v>
      </c>
      <c r="H40" s="598">
        <v>0</v>
      </c>
      <c r="I40" s="598">
        <v>35.042000000000002</v>
      </c>
      <c r="J40" s="598">
        <v>55.856999999999999</v>
      </c>
      <c r="K40" s="598">
        <v>5.5E-2</v>
      </c>
      <c r="L40" s="598">
        <v>53.948</v>
      </c>
      <c r="M40" s="598">
        <v>53.02</v>
      </c>
      <c r="N40" s="481">
        <v>3.9E-2</v>
      </c>
      <c r="O40" s="481">
        <v>0</v>
      </c>
      <c r="P40" s="481">
        <v>0</v>
      </c>
      <c r="Q40" s="481">
        <v>8.1489999999999991</v>
      </c>
      <c r="R40" s="476">
        <v>0.627</v>
      </c>
      <c r="S40" s="476">
        <v>0.27900000000000003</v>
      </c>
      <c r="T40" s="476">
        <v>1.5529999999999999</v>
      </c>
      <c r="U40" s="476">
        <v>12.34</v>
      </c>
      <c r="V40" s="483">
        <v>0.26300000000000001</v>
      </c>
    </row>
    <row r="41" spans="1:22" s="574" customFormat="1" ht="15" customHeight="1">
      <c r="A41" s="602"/>
      <c r="B41" s="484" t="s">
        <v>60</v>
      </c>
      <c r="C41" s="1142"/>
      <c r="D41" s="1142"/>
      <c r="E41" s="1142"/>
      <c r="F41" s="1142"/>
      <c r="G41" s="1142"/>
      <c r="H41" s="1142"/>
      <c r="I41" s="1142"/>
      <c r="J41" s="1142"/>
      <c r="K41" s="1142"/>
      <c r="L41" s="1142"/>
      <c r="M41" s="1142"/>
      <c r="N41" s="1146"/>
      <c r="O41" s="1146"/>
      <c r="P41" s="1146"/>
      <c r="Q41" s="1146"/>
      <c r="R41" s="1142"/>
      <c r="S41" s="1142"/>
      <c r="T41" s="1142"/>
      <c r="U41" s="1142"/>
      <c r="V41" s="1143"/>
    </row>
    <row r="42" spans="1:22" s="574" customFormat="1" ht="15" customHeight="1">
      <c r="A42" s="602"/>
      <c r="B42" s="484" t="s">
        <v>61</v>
      </c>
      <c r="C42" s="673" t="s">
        <v>428</v>
      </c>
      <c r="D42" s="673"/>
      <c r="E42" s="673"/>
      <c r="F42" s="673"/>
      <c r="G42" s="673"/>
      <c r="H42" s="673"/>
      <c r="I42" s="673"/>
      <c r="J42" s="673"/>
      <c r="K42" s="673"/>
      <c r="L42" s="673"/>
      <c r="M42" s="673"/>
      <c r="N42" s="673"/>
      <c r="O42" s="1147"/>
      <c r="P42" s="1147"/>
      <c r="Q42" s="1147"/>
      <c r="R42" s="1147"/>
      <c r="S42" s="1147"/>
      <c r="T42" s="1147"/>
      <c r="U42" s="1147"/>
      <c r="V42" s="1147"/>
    </row>
    <row r="43" spans="1:22" s="574" customFormat="1" ht="15" customHeight="1">
      <c r="A43" s="602"/>
      <c r="B43" s="484" t="s">
        <v>312</v>
      </c>
      <c r="C43" s="552"/>
      <c r="D43" s="552"/>
      <c r="E43" s="552"/>
      <c r="F43" s="552"/>
      <c r="G43" s="552"/>
      <c r="H43" s="552"/>
      <c r="I43" s="552"/>
      <c r="J43" s="552"/>
      <c r="K43" s="552"/>
      <c r="L43" s="552"/>
      <c r="M43" s="552"/>
      <c r="N43" s="552"/>
      <c r="O43" s="1135"/>
      <c r="P43" s="1135"/>
      <c r="Q43" s="1135"/>
      <c r="R43" s="1135"/>
      <c r="S43" s="1135"/>
      <c r="T43" s="1135"/>
      <c r="U43" s="1135"/>
      <c r="V43" s="1148"/>
    </row>
    <row r="44" spans="1:22" s="574" customFormat="1" ht="15" customHeight="1">
      <c r="A44" s="602"/>
      <c r="B44" s="484" t="s">
        <v>64</v>
      </c>
      <c r="C44" s="1142"/>
      <c r="D44" s="1142"/>
      <c r="E44" s="1142"/>
      <c r="F44" s="1142"/>
      <c r="G44" s="1142"/>
      <c r="H44" s="1142"/>
      <c r="I44" s="1142"/>
      <c r="J44" s="1142"/>
      <c r="K44" s="1142"/>
      <c r="L44" s="1142"/>
      <c r="M44" s="1142"/>
      <c r="N44" s="1146"/>
      <c r="O44" s="1146"/>
      <c r="P44" s="1146"/>
      <c r="Q44" s="1146"/>
      <c r="R44" s="1142"/>
      <c r="S44" s="1142"/>
      <c r="T44" s="1142"/>
      <c r="U44" s="1142"/>
      <c r="V44" s="1143"/>
    </row>
    <row r="45" spans="1:22" s="574" customFormat="1" ht="15" customHeight="1">
      <c r="A45" s="602"/>
      <c r="B45" s="484" t="s">
        <v>313</v>
      </c>
      <c r="C45" s="1142"/>
      <c r="D45" s="1142"/>
      <c r="E45" s="1142"/>
      <c r="F45" s="1142"/>
      <c r="G45" s="1142"/>
      <c r="H45" s="1142"/>
      <c r="I45" s="1142"/>
      <c r="J45" s="1142"/>
      <c r="K45" s="1142"/>
      <c r="L45" s="1142"/>
      <c r="M45" s="1142"/>
      <c r="N45" s="1146"/>
      <c r="O45" s="1146"/>
      <c r="P45" s="1146"/>
      <c r="Q45" s="1146"/>
      <c r="R45" s="1142"/>
      <c r="S45" s="1142"/>
      <c r="T45" s="1142"/>
      <c r="U45" s="1142"/>
      <c r="V45" s="1143"/>
    </row>
    <row r="46" spans="1:22" s="574" customFormat="1" ht="15" customHeight="1">
      <c r="A46" s="602"/>
      <c r="B46" s="484" t="s">
        <v>65</v>
      </c>
      <c r="C46" s="1142"/>
      <c r="D46" s="1142"/>
      <c r="E46" s="1142"/>
      <c r="F46" s="1142"/>
      <c r="G46" s="1142"/>
      <c r="H46" s="1142"/>
      <c r="I46" s="1142"/>
      <c r="J46" s="1142"/>
      <c r="K46" s="1142"/>
      <c r="L46" s="1142"/>
      <c r="M46" s="1142"/>
      <c r="N46" s="1146"/>
      <c r="O46" s="1146"/>
      <c r="P46" s="1146"/>
      <c r="Q46" s="1146"/>
      <c r="R46" s="1142"/>
      <c r="S46" s="1142"/>
      <c r="T46" s="1142"/>
      <c r="U46" s="1142"/>
      <c r="V46" s="1143"/>
    </row>
    <row r="47" spans="1:22" s="574" customFormat="1" ht="15" customHeight="1">
      <c r="A47" s="602"/>
      <c r="B47" s="484" t="s">
        <v>314</v>
      </c>
      <c r="C47" s="535"/>
      <c r="D47" s="535"/>
      <c r="E47" s="535"/>
      <c r="F47" s="535"/>
      <c r="G47" s="535"/>
      <c r="H47" s="535"/>
      <c r="I47" s="535"/>
      <c r="J47" s="535"/>
      <c r="K47" s="535"/>
      <c r="L47" s="535"/>
      <c r="M47" s="535"/>
      <c r="N47" s="535"/>
      <c r="O47" s="535"/>
      <c r="P47" s="535"/>
      <c r="Q47" s="535"/>
      <c r="R47" s="535"/>
      <c r="S47" s="535"/>
      <c r="T47" s="535"/>
      <c r="U47" s="535"/>
      <c r="V47" s="535"/>
    </row>
    <row r="48" spans="1:22" s="465" customFormat="1" ht="15" customHeight="1">
      <c r="A48" s="589"/>
      <c r="B48" s="484" t="s">
        <v>66</v>
      </c>
      <c r="C48" s="571" t="s">
        <v>429</v>
      </c>
      <c r="D48" s="571"/>
      <c r="E48" s="571"/>
      <c r="F48" s="571"/>
      <c r="G48" s="571"/>
      <c r="H48" s="571"/>
      <c r="I48" s="571"/>
      <c r="J48" s="571"/>
      <c r="K48" s="571"/>
      <c r="L48" s="571"/>
      <c r="M48" s="571"/>
      <c r="N48" s="597"/>
      <c r="O48" s="597"/>
      <c r="P48" s="597"/>
      <c r="Q48" s="597"/>
      <c r="R48" s="572"/>
      <c r="S48" s="572"/>
      <c r="T48" s="572"/>
      <c r="U48" s="572"/>
      <c r="V48" s="573"/>
    </row>
    <row r="49" spans="1:22" s="465" customFormat="1" ht="15" customHeight="1">
      <c r="A49" s="589"/>
      <c r="B49" s="484" t="s">
        <v>67</v>
      </c>
      <c r="C49" s="571" t="s">
        <v>429</v>
      </c>
      <c r="D49" s="571"/>
      <c r="E49" s="571"/>
      <c r="F49" s="571"/>
      <c r="G49" s="571"/>
      <c r="H49" s="571"/>
      <c r="I49" s="571"/>
      <c r="J49" s="571"/>
      <c r="K49" s="571"/>
      <c r="L49" s="571"/>
      <c r="M49" s="571"/>
      <c r="N49" s="597"/>
      <c r="O49" s="597"/>
      <c r="P49" s="597"/>
      <c r="Q49" s="597"/>
      <c r="R49" s="572"/>
      <c r="S49" s="572"/>
      <c r="T49" s="572"/>
      <c r="U49" s="572"/>
      <c r="V49" s="573"/>
    </row>
    <row r="50" spans="1:22" s="465" customFormat="1" ht="15" customHeight="1">
      <c r="A50" s="589"/>
      <c r="B50" s="484" t="s">
        <v>68</v>
      </c>
      <c r="C50" s="571" t="s">
        <v>429</v>
      </c>
      <c r="D50" s="571"/>
      <c r="E50" s="571"/>
      <c r="F50" s="571"/>
      <c r="G50" s="571"/>
      <c r="H50" s="571"/>
      <c r="I50" s="571"/>
      <c r="J50" s="571"/>
      <c r="K50" s="571"/>
      <c r="L50" s="571"/>
      <c r="M50" s="571"/>
      <c r="N50" s="597"/>
      <c r="O50" s="597"/>
      <c r="P50" s="597"/>
      <c r="Q50" s="597"/>
      <c r="R50" s="572"/>
      <c r="S50" s="572"/>
      <c r="T50" s="572"/>
      <c r="U50" s="572"/>
      <c r="V50" s="573"/>
    </row>
    <row r="51" spans="1:22" s="465" customFormat="1" ht="15" customHeight="1">
      <c r="A51" s="589"/>
      <c r="B51" s="484" t="s">
        <v>69</v>
      </c>
      <c r="C51" s="571" t="s">
        <v>430</v>
      </c>
      <c r="D51" s="571"/>
      <c r="E51" s="571"/>
      <c r="F51" s="571"/>
      <c r="G51" s="571"/>
      <c r="H51" s="571"/>
      <c r="I51" s="571"/>
      <c r="J51" s="571"/>
      <c r="K51" s="571"/>
      <c r="L51" s="571"/>
      <c r="M51" s="571"/>
      <c r="N51" s="597"/>
      <c r="O51" s="597"/>
      <c r="P51" s="597"/>
      <c r="Q51" s="597"/>
      <c r="R51" s="572"/>
      <c r="S51" s="572"/>
      <c r="T51" s="572"/>
      <c r="U51" s="572"/>
      <c r="V51" s="573"/>
    </row>
    <row r="52" spans="1:22" s="465" customFormat="1" ht="15" customHeight="1">
      <c r="A52" s="589"/>
      <c r="B52" s="484" t="s">
        <v>71</v>
      </c>
      <c r="C52" s="571"/>
      <c r="D52" s="571"/>
      <c r="E52" s="571"/>
      <c r="F52" s="571"/>
      <c r="G52" s="571"/>
      <c r="H52" s="571"/>
      <c r="I52" s="571"/>
      <c r="J52" s="571"/>
      <c r="K52" s="571"/>
      <c r="L52" s="571"/>
      <c r="M52" s="571"/>
      <c r="N52" s="597"/>
      <c r="O52" s="597"/>
      <c r="P52" s="597"/>
      <c r="Q52" s="597"/>
      <c r="R52" s="572"/>
      <c r="S52" s="572"/>
      <c r="T52" s="572"/>
      <c r="U52" s="572"/>
      <c r="V52" s="573"/>
    </row>
    <row r="53" spans="1:22" s="465" customFormat="1" ht="15" customHeight="1">
      <c r="A53" s="589"/>
      <c r="B53" s="484" t="s">
        <v>72</v>
      </c>
      <c r="C53" s="579">
        <v>279.41199999999998</v>
      </c>
      <c r="D53" s="579">
        <v>0</v>
      </c>
      <c r="E53" s="579">
        <v>0</v>
      </c>
      <c r="F53" s="579">
        <v>0</v>
      </c>
      <c r="G53" s="579">
        <v>0</v>
      </c>
      <c r="H53" s="579">
        <v>0</v>
      </c>
      <c r="I53" s="579">
        <v>62.802</v>
      </c>
      <c r="J53" s="579">
        <v>71.161000000000001</v>
      </c>
      <c r="K53" s="579">
        <v>2.1999999999999999E-2</v>
      </c>
      <c r="L53" s="579">
        <v>69.242999999999995</v>
      </c>
      <c r="M53" s="579">
        <v>69.242999999999995</v>
      </c>
      <c r="N53" s="575">
        <v>0.26500000000000001</v>
      </c>
      <c r="O53" s="575">
        <v>0</v>
      </c>
      <c r="P53" s="575">
        <v>0</v>
      </c>
      <c r="Q53" s="575">
        <v>7.5259999999999998</v>
      </c>
      <c r="R53" s="578">
        <v>0.57899999999999996</v>
      </c>
      <c r="S53" s="578">
        <v>6.9000000000000006E-2</v>
      </c>
      <c r="T53" s="578">
        <v>0.38300000000000001</v>
      </c>
      <c r="U53" s="578">
        <v>1.014</v>
      </c>
      <c r="V53" s="599">
        <v>2.1999999999999999E-2</v>
      </c>
    </row>
    <row r="54" spans="1:22" s="465" customFormat="1" ht="15" hidden="1" customHeight="1">
      <c r="A54" s="589"/>
      <c r="B54" s="484" t="s">
        <v>345</v>
      </c>
      <c r="C54" s="579"/>
      <c r="D54" s="579"/>
      <c r="E54" s="579"/>
      <c r="F54" s="579"/>
      <c r="G54" s="579"/>
      <c r="H54" s="579"/>
      <c r="I54" s="579"/>
      <c r="J54" s="579"/>
      <c r="K54" s="579"/>
      <c r="L54" s="579"/>
      <c r="M54" s="579"/>
      <c r="N54" s="575"/>
      <c r="O54" s="575"/>
      <c r="P54" s="575"/>
      <c r="Q54" s="575"/>
      <c r="R54" s="578"/>
      <c r="S54" s="578"/>
      <c r="T54" s="578"/>
      <c r="U54" s="578"/>
      <c r="V54" s="599"/>
    </row>
    <row r="55" spans="1:22" s="465" customFormat="1" ht="15" customHeight="1">
      <c r="A55" s="589"/>
      <c r="B55" s="484" t="s">
        <v>73</v>
      </c>
      <c r="C55" s="673" t="s">
        <v>428</v>
      </c>
      <c r="D55" s="673"/>
      <c r="E55" s="673"/>
      <c r="F55" s="673"/>
      <c r="G55" s="673"/>
      <c r="H55" s="673"/>
      <c r="I55" s="673"/>
      <c r="J55" s="673"/>
      <c r="K55" s="673"/>
      <c r="L55" s="673"/>
      <c r="M55" s="673"/>
      <c r="N55" s="673"/>
      <c r="O55" s="1147"/>
      <c r="P55" s="1147"/>
      <c r="Q55" s="1147"/>
      <c r="R55" s="1147"/>
      <c r="S55" s="1147"/>
      <c r="T55" s="1147"/>
      <c r="U55" s="1147"/>
      <c r="V55" s="1147"/>
    </row>
    <row r="56" spans="1:22" s="465" customFormat="1" ht="15" customHeight="1">
      <c r="A56" s="589"/>
      <c r="B56" s="484" t="s">
        <v>75</v>
      </c>
      <c r="C56" s="577" t="s">
        <v>429</v>
      </c>
      <c r="D56" s="577"/>
      <c r="E56" s="577"/>
      <c r="F56" s="577"/>
      <c r="G56" s="577"/>
      <c r="H56" s="577"/>
      <c r="I56" s="577"/>
      <c r="J56" s="577"/>
      <c r="K56" s="577"/>
      <c r="L56" s="577"/>
      <c r="M56" s="577"/>
      <c r="N56" s="592"/>
      <c r="O56" s="592"/>
      <c r="P56" s="592"/>
      <c r="Q56" s="592"/>
      <c r="R56" s="587"/>
      <c r="S56" s="587"/>
      <c r="T56" s="587"/>
      <c r="U56" s="587"/>
      <c r="V56" s="587"/>
    </row>
    <row r="57" spans="1:22" s="465" customFormat="1" ht="15" customHeight="1">
      <c r="A57" s="589"/>
      <c r="B57" s="484" t="s">
        <v>76</v>
      </c>
      <c r="C57" s="577"/>
      <c r="D57" s="577"/>
      <c r="E57" s="577"/>
      <c r="F57" s="577"/>
      <c r="G57" s="577"/>
      <c r="H57" s="577"/>
      <c r="I57" s="577"/>
      <c r="J57" s="577"/>
      <c r="K57" s="577"/>
      <c r="L57" s="577"/>
      <c r="M57" s="577"/>
      <c r="N57" s="592"/>
      <c r="O57" s="592"/>
      <c r="P57" s="592"/>
      <c r="Q57" s="592"/>
      <c r="R57" s="587"/>
      <c r="S57" s="587"/>
      <c r="T57" s="587"/>
      <c r="U57" s="587"/>
      <c r="V57" s="601"/>
    </row>
    <row r="58" spans="1:22" s="465" customFormat="1" ht="15" customHeight="1">
      <c r="A58" s="589"/>
      <c r="B58" s="484" t="s">
        <v>78</v>
      </c>
      <c r="C58" s="577"/>
      <c r="D58" s="577"/>
      <c r="E58" s="577"/>
      <c r="F58" s="577"/>
      <c r="G58" s="577"/>
      <c r="H58" s="577"/>
      <c r="I58" s="577"/>
      <c r="J58" s="577"/>
      <c r="K58" s="577"/>
      <c r="L58" s="577"/>
      <c r="M58" s="577"/>
      <c r="N58" s="592"/>
      <c r="O58" s="592"/>
      <c r="P58" s="592"/>
      <c r="Q58" s="592"/>
      <c r="R58" s="587"/>
      <c r="S58" s="587"/>
      <c r="T58" s="587"/>
      <c r="U58" s="587"/>
      <c r="V58" s="601"/>
    </row>
    <row r="59" spans="1:22" s="465" customFormat="1" ht="15" customHeight="1">
      <c r="A59" s="589"/>
      <c r="B59" s="484" t="s">
        <v>324</v>
      </c>
      <c r="C59" s="577"/>
      <c r="D59" s="577"/>
      <c r="E59" s="577"/>
      <c r="F59" s="577"/>
      <c r="G59" s="577"/>
      <c r="H59" s="577"/>
      <c r="I59" s="577"/>
      <c r="J59" s="577"/>
      <c r="K59" s="577"/>
      <c r="L59" s="577"/>
      <c r="M59" s="577"/>
      <c r="N59" s="592"/>
      <c r="O59" s="592"/>
      <c r="P59" s="592"/>
      <c r="Q59" s="592"/>
      <c r="R59" s="587"/>
      <c r="S59" s="587"/>
      <c r="T59" s="587"/>
      <c r="U59" s="587"/>
      <c r="V59" s="601"/>
    </row>
    <row r="60" spans="1:22" s="465" customFormat="1" ht="15" customHeight="1">
      <c r="A60" s="590"/>
      <c r="B60" s="486" t="s">
        <v>180</v>
      </c>
      <c r="C60" s="585">
        <v>235.05199999999999</v>
      </c>
      <c r="D60" s="585">
        <v>0</v>
      </c>
      <c r="E60" s="585">
        <v>0</v>
      </c>
      <c r="F60" s="585">
        <v>0</v>
      </c>
      <c r="G60" s="585">
        <v>0</v>
      </c>
      <c r="H60" s="585">
        <v>0</v>
      </c>
      <c r="I60" s="585">
        <v>106.051</v>
      </c>
      <c r="J60" s="585">
        <v>60.137999999999998</v>
      </c>
      <c r="K60" s="585">
        <v>2.1999999999999999E-2</v>
      </c>
      <c r="L60" s="585">
        <v>54.720999999999997</v>
      </c>
      <c r="M60" s="585">
        <v>54.720999999999997</v>
      </c>
      <c r="N60" s="585">
        <v>3.0000000000000001E-3</v>
      </c>
      <c r="O60" s="585">
        <v>0</v>
      </c>
      <c r="P60" s="585">
        <v>0</v>
      </c>
      <c r="Q60" s="585">
        <v>8.1579999999999995</v>
      </c>
      <c r="R60" s="585">
        <v>0.628</v>
      </c>
      <c r="S60" s="585">
        <v>0.55200000000000005</v>
      </c>
      <c r="T60" s="585">
        <v>3.0649999999999999</v>
      </c>
      <c r="U60" s="585">
        <v>21.021999999999998</v>
      </c>
      <c r="V60" s="600">
        <v>0.44700000000000001</v>
      </c>
    </row>
    <row r="61" spans="1:22" s="465" customFormat="1" ht="15" customHeight="1" thickBot="1">
      <c r="A61" s="591"/>
      <c r="B61" s="482" t="s">
        <v>315</v>
      </c>
      <c r="C61" s="673" t="s">
        <v>428</v>
      </c>
      <c r="D61" s="673"/>
      <c r="E61" s="673"/>
      <c r="F61" s="673"/>
      <c r="G61" s="673"/>
      <c r="H61" s="673"/>
      <c r="I61" s="673"/>
      <c r="J61" s="673"/>
      <c r="K61" s="673"/>
      <c r="L61" s="673"/>
      <c r="M61" s="673"/>
      <c r="N61" s="673"/>
      <c r="O61" s="1147"/>
      <c r="P61" s="1147"/>
      <c r="Q61" s="1147"/>
      <c r="R61" s="1147"/>
      <c r="S61" s="1147"/>
      <c r="T61" s="1147"/>
      <c r="U61" s="1147"/>
      <c r="V61" s="1147"/>
    </row>
    <row r="62" spans="1:22" s="465" customFormat="1" ht="15" customHeight="1">
      <c r="A62" s="1252" t="s">
        <v>92</v>
      </c>
      <c r="B62" s="479" t="s">
        <v>94</v>
      </c>
      <c r="C62" s="571" t="s">
        <v>430</v>
      </c>
      <c r="D62" s="571"/>
      <c r="E62" s="571"/>
      <c r="F62" s="571"/>
      <c r="G62" s="571"/>
      <c r="H62" s="571"/>
      <c r="I62" s="571"/>
      <c r="J62" s="571"/>
      <c r="K62" s="571"/>
      <c r="L62" s="571"/>
      <c r="M62" s="571"/>
      <c r="N62" s="597"/>
      <c r="O62" s="597"/>
      <c r="P62" s="597"/>
      <c r="Q62" s="597"/>
      <c r="R62" s="572"/>
      <c r="S62" s="572"/>
      <c r="T62" s="572"/>
      <c r="U62" s="572"/>
      <c r="V62" s="572"/>
    </row>
    <row r="63" spans="1:22" s="465" customFormat="1" ht="15" customHeight="1">
      <c r="A63" s="1253"/>
      <c r="B63" s="478" t="s">
        <v>93</v>
      </c>
      <c r="C63" s="572" t="s">
        <v>430</v>
      </c>
      <c r="D63" s="572"/>
      <c r="E63" s="572"/>
      <c r="F63" s="572"/>
      <c r="G63" s="572"/>
      <c r="H63" s="572"/>
      <c r="I63" s="572"/>
      <c r="J63" s="572"/>
      <c r="K63" s="572"/>
      <c r="L63" s="572"/>
      <c r="M63" s="572"/>
      <c r="N63" s="572"/>
      <c r="O63" s="572"/>
      <c r="P63" s="572"/>
      <c r="Q63" s="572"/>
      <c r="R63" s="572"/>
      <c r="S63" s="572"/>
      <c r="T63" s="572"/>
      <c r="U63" s="572"/>
      <c r="V63" s="572"/>
    </row>
    <row r="64" spans="1:22" s="465" customFormat="1" ht="15" customHeight="1">
      <c r="A64" s="1253"/>
      <c r="B64" s="478" t="s">
        <v>95</v>
      </c>
      <c r="C64" s="571" t="s">
        <v>430</v>
      </c>
      <c r="D64" s="571"/>
      <c r="E64" s="571"/>
      <c r="F64" s="571"/>
      <c r="G64" s="571"/>
      <c r="H64" s="571"/>
      <c r="I64" s="571"/>
      <c r="J64" s="571"/>
      <c r="K64" s="571"/>
      <c r="L64" s="571"/>
      <c r="M64" s="571"/>
      <c r="N64" s="597"/>
      <c r="O64" s="597"/>
      <c r="P64" s="597"/>
      <c r="Q64" s="597"/>
      <c r="R64" s="572"/>
      <c r="S64" s="572"/>
      <c r="T64" s="572"/>
      <c r="U64" s="572"/>
      <c r="V64" s="572"/>
    </row>
    <row r="65" spans="1:22" s="465" customFormat="1" ht="15" customHeight="1">
      <c r="A65" s="1253"/>
      <c r="B65" s="478" t="s">
        <v>182</v>
      </c>
      <c r="C65" s="571" t="s">
        <v>430</v>
      </c>
      <c r="D65" s="571"/>
      <c r="E65" s="571"/>
      <c r="F65" s="571"/>
      <c r="G65" s="571"/>
      <c r="H65" s="571"/>
      <c r="I65" s="571"/>
      <c r="J65" s="571"/>
      <c r="K65" s="571"/>
      <c r="L65" s="571"/>
      <c r="M65" s="571"/>
      <c r="N65" s="597"/>
      <c r="O65" s="597"/>
      <c r="P65" s="597"/>
      <c r="Q65" s="597"/>
      <c r="R65" s="572"/>
      <c r="S65" s="572"/>
      <c r="T65" s="572"/>
      <c r="U65" s="572"/>
      <c r="V65" s="572"/>
    </row>
    <row r="66" spans="1:22" s="465" customFormat="1" ht="15" customHeight="1">
      <c r="A66" s="1253"/>
      <c r="B66" s="478" t="s">
        <v>98</v>
      </c>
      <c r="C66" s="571" t="s">
        <v>430</v>
      </c>
      <c r="D66" s="571"/>
      <c r="E66" s="571"/>
      <c r="F66" s="571"/>
      <c r="G66" s="571"/>
      <c r="H66" s="571"/>
      <c r="I66" s="571"/>
      <c r="J66" s="571"/>
      <c r="K66" s="571"/>
      <c r="L66" s="571"/>
      <c r="M66" s="571"/>
      <c r="N66" s="597"/>
      <c r="O66" s="597"/>
      <c r="P66" s="597"/>
      <c r="Q66" s="597"/>
      <c r="R66" s="572"/>
      <c r="S66" s="572"/>
      <c r="T66" s="572"/>
      <c r="U66" s="572"/>
      <c r="V66" s="572"/>
    </row>
    <row r="67" spans="1:22" s="465" customFormat="1" ht="15" customHeight="1">
      <c r="A67" s="1253"/>
      <c r="B67" s="478" t="s">
        <v>99</v>
      </c>
      <c r="C67" s="572" t="s">
        <v>430</v>
      </c>
      <c r="D67" s="572"/>
      <c r="E67" s="572"/>
      <c r="F67" s="572"/>
      <c r="G67" s="572"/>
      <c r="H67" s="572"/>
      <c r="I67" s="572"/>
      <c r="J67" s="572"/>
      <c r="K67" s="572"/>
      <c r="L67" s="572"/>
      <c r="M67" s="572"/>
      <c r="N67" s="572"/>
      <c r="O67" s="572"/>
      <c r="P67" s="572"/>
      <c r="Q67" s="572"/>
      <c r="R67" s="572"/>
      <c r="S67" s="572"/>
      <c r="T67" s="572"/>
      <c r="U67" s="572"/>
      <c r="V67" s="572"/>
    </row>
    <row r="68" spans="1:22" s="465" customFormat="1" ht="15" customHeight="1">
      <c r="A68" s="1253"/>
      <c r="B68" s="478" t="s">
        <v>100</v>
      </c>
      <c r="C68" s="572" t="s">
        <v>430</v>
      </c>
      <c r="D68" s="572"/>
      <c r="E68" s="572"/>
      <c r="F68" s="572"/>
      <c r="G68" s="572"/>
      <c r="H68" s="572"/>
      <c r="I68" s="572"/>
      <c r="J68" s="572"/>
      <c r="K68" s="572"/>
      <c r="L68" s="572"/>
      <c r="M68" s="572"/>
      <c r="N68" s="572"/>
      <c r="O68" s="572"/>
      <c r="P68" s="572"/>
      <c r="Q68" s="572"/>
      <c r="R68" s="572"/>
      <c r="S68" s="572"/>
      <c r="T68" s="572"/>
      <c r="U68" s="572"/>
      <c r="V68" s="572"/>
    </row>
    <row r="69" spans="1:22" s="465" customFormat="1" ht="15" customHeight="1">
      <c r="A69" s="1253"/>
      <c r="B69" s="478" t="s">
        <v>101</v>
      </c>
      <c r="C69" s="572" t="s">
        <v>430</v>
      </c>
      <c r="D69" s="572"/>
      <c r="E69" s="572"/>
      <c r="F69" s="572"/>
      <c r="G69" s="572"/>
      <c r="H69" s="572"/>
      <c r="I69" s="572"/>
      <c r="J69" s="572"/>
      <c r="K69" s="572"/>
      <c r="L69" s="572"/>
      <c r="M69" s="572"/>
      <c r="N69" s="572"/>
      <c r="O69" s="572"/>
      <c r="P69" s="572"/>
      <c r="Q69" s="572"/>
      <c r="R69" s="572"/>
      <c r="S69" s="572"/>
      <c r="T69" s="572"/>
      <c r="U69" s="572"/>
      <c r="V69" s="572"/>
    </row>
    <row r="70" spans="1:22" s="465" customFormat="1" ht="15" customHeight="1">
      <c r="A70" s="1253"/>
      <c r="B70" s="478" t="s">
        <v>102</v>
      </c>
      <c r="C70" s="673" t="s">
        <v>428</v>
      </c>
      <c r="D70" s="673"/>
      <c r="E70" s="673"/>
      <c r="F70" s="673"/>
      <c r="G70" s="673"/>
      <c r="H70" s="673"/>
      <c r="I70" s="673"/>
      <c r="J70" s="673"/>
      <c r="K70" s="673"/>
      <c r="L70" s="673"/>
      <c r="M70" s="673"/>
      <c r="N70" s="673"/>
      <c r="O70" s="1147"/>
      <c r="P70" s="1147"/>
      <c r="Q70" s="1147"/>
      <c r="R70" s="1147"/>
      <c r="S70" s="1147"/>
      <c r="T70" s="1147"/>
      <c r="U70" s="1147"/>
      <c r="V70" s="1147"/>
    </row>
    <row r="71" spans="1:22" s="465" customFormat="1" ht="15" customHeight="1">
      <c r="A71" s="1253"/>
      <c r="B71" s="478" t="s">
        <v>104</v>
      </c>
      <c r="C71" s="673" t="s">
        <v>428</v>
      </c>
      <c r="D71" s="673"/>
      <c r="E71" s="673"/>
      <c r="F71" s="673"/>
      <c r="G71" s="673"/>
      <c r="H71" s="673"/>
      <c r="I71" s="673"/>
      <c r="J71" s="673"/>
      <c r="K71" s="673"/>
      <c r="L71" s="673"/>
      <c r="M71" s="673"/>
      <c r="N71" s="673"/>
      <c r="O71" s="1147"/>
      <c r="P71" s="1147"/>
      <c r="Q71" s="1147"/>
      <c r="R71" s="1147"/>
      <c r="S71" s="1147"/>
      <c r="T71" s="1147"/>
      <c r="U71" s="1147"/>
      <c r="V71" s="1147"/>
    </row>
    <row r="72" spans="1:22" s="465" customFormat="1" ht="18.45">
      <c r="A72" s="1253"/>
      <c r="B72" s="478" t="s">
        <v>103</v>
      </c>
      <c r="C72" s="571"/>
      <c r="D72" s="571"/>
      <c r="E72" s="571"/>
      <c r="F72" s="571"/>
      <c r="G72" s="571"/>
      <c r="H72" s="571"/>
      <c r="I72" s="571"/>
      <c r="J72" s="571"/>
      <c r="K72" s="571"/>
      <c r="L72" s="571"/>
      <c r="M72" s="571"/>
      <c r="N72" s="597"/>
      <c r="O72" s="597"/>
      <c r="P72" s="597"/>
      <c r="Q72" s="597"/>
      <c r="R72" s="572"/>
      <c r="S72" s="572"/>
      <c r="T72" s="572"/>
      <c r="U72" s="572"/>
      <c r="V72" s="572"/>
    </row>
    <row r="73" spans="1:22" s="465" customFormat="1" ht="18.45">
      <c r="A73" s="1253"/>
      <c r="B73" s="478" t="s">
        <v>318</v>
      </c>
      <c r="C73" s="557">
        <v>300.72300000000001</v>
      </c>
      <c r="D73" s="557">
        <v>2.407</v>
      </c>
      <c r="E73" s="557">
        <v>2.8210000000000002</v>
      </c>
      <c r="F73" s="557">
        <v>2.5259999999999998</v>
      </c>
      <c r="G73" s="557">
        <v>0</v>
      </c>
      <c r="H73" s="557">
        <v>0</v>
      </c>
      <c r="I73" s="557">
        <v>73.369</v>
      </c>
      <c r="J73" s="557">
        <v>70.427000000000007</v>
      </c>
      <c r="K73" s="557">
        <v>0.78200000000000003</v>
      </c>
      <c r="L73" s="557">
        <v>66.052000000000007</v>
      </c>
      <c r="M73" s="557">
        <v>65.697000000000003</v>
      </c>
      <c r="N73" s="557">
        <v>0.70899999999999996</v>
      </c>
      <c r="O73" s="557">
        <v>4.0000000000000001E-3</v>
      </c>
      <c r="P73" s="557">
        <v>1.7999999999999999E-2</v>
      </c>
      <c r="Q73" s="557">
        <v>11.961</v>
      </c>
      <c r="R73" s="557">
        <v>0.92</v>
      </c>
      <c r="S73" s="557">
        <v>0.52300000000000002</v>
      </c>
      <c r="T73" s="557">
        <v>2.9060000000000001</v>
      </c>
      <c r="U73" s="557">
        <v>63.695</v>
      </c>
      <c r="V73" s="557">
        <v>1.355</v>
      </c>
    </row>
    <row r="74" spans="1:22" s="465" customFormat="1" ht="15" customHeight="1">
      <c r="A74" s="1253"/>
      <c r="B74" s="478" t="s">
        <v>105</v>
      </c>
      <c r="C74" s="578">
        <v>362.08499999999998</v>
      </c>
      <c r="D74" s="578">
        <v>23.571999999999999</v>
      </c>
      <c r="E74" s="578">
        <v>5.1980000000000004</v>
      </c>
      <c r="F74" s="578">
        <v>3.5470000000000002</v>
      </c>
      <c r="G74" s="578">
        <v>3.4000000000000002E-2</v>
      </c>
      <c r="H74" s="578">
        <v>2.0699999999999998</v>
      </c>
      <c r="I74" s="578">
        <v>93.59</v>
      </c>
      <c r="J74" s="578">
        <v>83.424000000000007</v>
      </c>
      <c r="K74" s="578">
        <v>1.45</v>
      </c>
      <c r="L74" s="578">
        <v>74.256</v>
      </c>
      <c r="M74" s="578">
        <v>68.281000000000006</v>
      </c>
      <c r="N74" s="578">
        <v>1.573</v>
      </c>
      <c r="O74" s="578">
        <v>8.9999999999999993E-3</v>
      </c>
      <c r="P74" s="578">
        <v>4.7E-2</v>
      </c>
      <c r="Q74" s="578">
        <v>15.839</v>
      </c>
      <c r="R74" s="578">
        <v>1.218</v>
      </c>
      <c r="S74" s="578">
        <v>0.80800000000000005</v>
      </c>
      <c r="T74" s="578">
        <v>4.4880000000000004</v>
      </c>
      <c r="U74" s="578">
        <v>126.242</v>
      </c>
      <c r="V74" s="578">
        <v>2.6859999999999999</v>
      </c>
    </row>
    <row r="75" spans="1:22" s="465" customFormat="1" ht="15" customHeight="1">
      <c r="A75" s="1253"/>
      <c r="B75" s="478" t="s">
        <v>319</v>
      </c>
      <c r="C75" s="579">
        <v>368.45</v>
      </c>
      <c r="D75" s="579">
        <v>52.195999999999998</v>
      </c>
      <c r="E75" s="579">
        <v>8.4410000000000007</v>
      </c>
      <c r="F75" s="579">
        <v>3.4119999999999999</v>
      </c>
      <c r="G75" s="579">
        <v>0</v>
      </c>
      <c r="H75" s="579">
        <v>0</v>
      </c>
      <c r="I75" s="579">
        <v>104.961</v>
      </c>
      <c r="J75" s="579">
        <v>72.668000000000006</v>
      </c>
      <c r="K75" s="579">
        <v>0.67500000000000004</v>
      </c>
      <c r="L75" s="579">
        <v>68.94</v>
      </c>
      <c r="M75" s="579">
        <v>68.501999999999995</v>
      </c>
      <c r="N75" s="575">
        <v>2.1509999999999998</v>
      </c>
      <c r="O75" s="575">
        <v>0</v>
      </c>
      <c r="P75" s="575">
        <v>0</v>
      </c>
      <c r="Q75" s="575">
        <v>15.026</v>
      </c>
      <c r="R75" s="578">
        <v>1.1559999999999999</v>
      </c>
      <c r="S75" s="578">
        <v>0.65500000000000003</v>
      </c>
      <c r="T75" s="578">
        <v>3.6389999999999998</v>
      </c>
      <c r="U75" s="578">
        <v>71.531000000000006</v>
      </c>
      <c r="V75" s="578">
        <v>1.522</v>
      </c>
    </row>
    <row r="76" spans="1:22" s="465" customFormat="1" ht="15" customHeight="1">
      <c r="A76" s="1253"/>
      <c r="B76" s="478" t="s">
        <v>108</v>
      </c>
      <c r="C76" s="578">
        <v>260.74</v>
      </c>
      <c r="D76" s="578">
        <v>19.350999999999999</v>
      </c>
      <c r="E76" s="578">
        <v>4.8499999999999996</v>
      </c>
      <c r="F76" s="578">
        <v>3.794</v>
      </c>
      <c r="G76" s="578">
        <v>0</v>
      </c>
      <c r="H76" s="578">
        <v>0</v>
      </c>
      <c r="I76" s="578">
        <v>53.223999999999997</v>
      </c>
      <c r="J76" s="578">
        <v>65.739000000000004</v>
      </c>
      <c r="K76" s="578">
        <v>0.60699999999999998</v>
      </c>
      <c r="L76" s="578">
        <v>61.966000000000001</v>
      </c>
      <c r="M76" s="578">
        <v>57.070999999999998</v>
      </c>
      <c r="N76" s="578">
        <v>0.63300000000000001</v>
      </c>
      <c r="O76" s="578">
        <v>1.7999999999999999E-2</v>
      </c>
      <c r="P76" s="578">
        <v>9.0999999999999998E-2</v>
      </c>
      <c r="Q76" s="578">
        <v>9.9529999999999994</v>
      </c>
      <c r="R76" s="578">
        <v>0.76600000000000001</v>
      </c>
      <c r="S76" s="578">
        <v>0.73099999999999998</v>
      </c>
      <c r="T76" s="578">
        <v>4.0609999999999999</v>
      </c>
      <c r="U76" s="578">
        <v>40.783000000000001</v>
      </c>
      <c r="V76" s="578">
        <v>0.86799999999999999</v>
      </c>
    </row>
    <row r="77" spans="1:22" s="465" customFormat="1" ht="15" customHeight="1">
      <c r="A77" s="1253"/>
      <c r="B77" s="478" t="s">
        <v>109</v>
      </c>
      <c r="C77" s="579">
        <v>282.65499999999997</v>
      </c>
      <c r="D77" s="579">
        <v>7.3620000000000001</v>
      </c>
      <c r="E77" s="579">
        <v>3.536</v>
      </c>
      <c r="F77" s="579">
        <v>2.7730000000000001</v>
      </c>
      <c r="G77" s="579">
        <v>0</v>
      </c>
      <c r="H77" s="579">
        <v>2.8000000000000001E-2</v>
      </c>
      <c r="I77" s="579">
        <v>68.135000000000005</v>
      </c>
      <c r="J77" s="579">
        <v>63.46</v>
      </c>
      <c r="K77" s="579">
        <v>8.5000000000000006E-2</v>
      </c>
      <c r="L77" s="579">
        <v>59.277000000000001</v>
      </c>
      <c r="M77" s="579">
        <v>59.113999999999997</v>
      </c>
      <c r="N77" s="575">
        <v>0.42499999999999999</v>
      </c>
      <c r="O77" s="575">
        <v>0</v>
      </c>
      <c r="P77" s="575">
        <v>0</v>
      </c>
      <c r="Q77" s="575">
        <v>8.9459999999999997</v>
      </c>
      <c r="R77" s="578">
        <v>0.68799999999999994</v>
      </c>
      <c r="S77" s="578">
        <v>0.245</v>
      </c>
      <c r="T77" s="578">
        <v>1.3620000000000001</v>
      </c>
      <c r="U77" s="578">
        <v>12.903</v>
      </c>
      <c r="V77" s="578">
        <v>0.27500000000000002</v>
      </c>
    </row>
    <row r="78" spans="1:22" s="465" customFormat="1" ht="15" customHeight="1">
      <c r="A78" s="1253"/>
      <c r="B78" s="478" t="s">
        <v>111</v>
      </c>
      <c r="C78" s="579">
        <v>268.755</v>
      </c>
      <c r="D78" s="579">
        <v>9.4770000000000003</v>
      </c>
      <c r="E78" s="579">
        <v>3.75</v>
      </c>
      <c r="F78" s="579">
        <v>3.181</v>
      </c>
      <c r="G78" s="579">
        <v>2.1999999999999999E-2</v>
      </c>
      <c r="H78" s="579">
        <v>2.609</v>
      </c>
      <c r="I78" s="579">
        <v>62.694000000000003</v>
      </c>
      <c r="J78" s="579">
        <v>58.753999999999998</v>
      </c>
      <c r="K78" s="579">
        <v>0.41099999999999998</v>
      </c>
      <c r="L78" s="579">
        <v>53.683</v>
      </c>
      <c r="M78" s="579">
        <v>53.063000000000002</v>
      </c>
      <c r="N78" s="575">
        <v>0.54500000000000004</v>
      </c>
      <c r="O78" s="575">
        <v>0</v>
      </c>
      <c r="P78" s="575">
        <v>0</v>
      </c>
      <c r="Q78" s="575">
        <v>15.916</v>
      </c>
      <c r="R78" s="578">
        <v>1.224</v>
      </c>
      <c r="S78" s="578">
        <v>0.20200000000000001</v>
      </c>
      <c r="T78" s="578">
        <v>1.123</v>
      </c>
      <c r="U78" s="578">
        <v>35.097999999999999</v>
      </c>
      <c r="V78" s="578">
        <v>0.747</v>
      </c>
    </row>
    <row r="79" spans="1:22" s="465" customFormat="1" ht="15" customHeight="1">
      <c r="A79" s="1253"/>
      <c r="B79" s="478" t="s">
        <v>112</v>
      </c>
      <c r="C79" s="577" t="s">
        <v>430</v>
      </c>
      <c r="D79" s="577"/>
      <c r="E79" s="577"/>
      <c r="F79" s="577"/>
      <c r="G79" s="577"/>
      <c r="H79" s="577"/>
      <c r="I79" s="577"/>
      <c r="J79" s="577"/>
      <c r="K79" s="577"/>
      <c r="L79" s="577"/>
      <c r="M79" s="577"/>
      <c r="N79" s="592"/>
      <c r="O79" s="592"/>
      <c r="P79" s="592"/>
      <c r="Q79" s="592"/>
      <c r="R79" s="587"/>
      <c r="S79" s="587"/>
      <c r="T79" s="587"/>
      <c r="U79" s="587"/>
      <c r="V79" s="587"/>
    </row>
    <row r="80" spans="1:22" s="465" customFormat="1" ht="15" customHeight="1">
      <c r="A80" s="1253"/>
      <c r="B80" s="478" t="s">
        <v>321</v>
      </c>
      <c r="C80" s="577"/>
      <c r="D80" s="577"/>
      <c r="E80" s="577"/>
      <c r="F80" s="577"/>
      <c r="G80" s="577"/>
      <c r="H80" s="577"/>
      <c r="I80" s="577"/>
      <c r="J80" s="577"/>
      <c r="K80" s="577"/>
      <c r="L80" s="577"/>
      <c r="M80" s="577"/>
      <c r="N80" s="592"/>
      <c r="O80" s="592"/>
      <c r="P80" s="592"/>
      <c r="Q80" s="592"/>
      <c r="R80" s="587"/>
      <c r="S80" s="587"/>
      <c r="T80" s="587"/>
      <c r="U80" s="587"/>
      <c r="V80" s="587"/>
    </row>
    <row r="81" spans="1:22" s="465" customFormat="1" ht="15" customHeight="1">
      <c r="A81" s="1253"/>
      <c r="B81" s="478" t="s">
        <v>115</v>
      </c>
      <c r="C81" s="577" t="s">
        <v>430</v>
      </c>
      <c r="D81" s="577"/>
      <c r="E81" s="577"/>
      <c r="F81" s="577"/>
      <c r="G81" s="577"/>
      <c r="H81" s="577"/>
      <c r="I81" s="577"/>
      <c r="J81" s="577"/>
      <c r="K81" s="577"/>
      <c r="L81" s="577"/>
      <c r="M81" s="577"/>
      <c r="N81" s="592"/>
      <c r="O81" s="592"/>
      <c r="P81" s="592"/>
      <c r="Q81" s="592"/>
      <c r="R81" s="587"/>
      <c r="S81" s="587"/>
      <c r="T81" s="587"/>
      <c r="U81" s="587"/>
      <c r="V81" s="587"/>
    </row>
    <row r="82" spans="1:22" s="465" customFormat="1" ht="15" customHeight="1">
      <c r="A82" s="1253"/>
      <c r="B82" s="478" t="s">
        <v>116</v>
      </c>
      <c r="C82" s="587" t="s">
        <v>429</v>
      </c>
      <c r="D82" s="587"/>
      <c r="E82" s="587"/>
      <c r="F82" s="587"/>
      <c r="G82" s="587"/>
      <c r="H82" s="587"/>
      <c r="I82" s="587"/>
      <c r="J82" s="587"/>
      <c r="K82" s="587"/>
      <c r="L82" s="587"/>
      <c r="M82" s="587"/>
      <c r="N82" s="587"/>
      <c r="O82" s="587"/>
      <c r="P82" s="587"/>
      <c r="Q82" s="587"/>
      <c r="R82" s="587"/>
      <c r="S82" s="587"/>
      <c r="T82" s="587"/>
      <c r="U82" s="587"/>
      <c r="V82" s="587"/>
    </row>
    <row r="83" spans="1:22" s="465" customFormat="1" ht="15" customHeight="1">
      <c r="A83" s="1253"/>
      <c r="B83" s="478" t="s">
        <v>322</v>
      </c>
      <c r="C83" s="581" t="s">
        <v>430</v>
      </c>
      <c r="D83" s="581"/>
      <c r="E83" s="581"/>
      <c r="F83" s="581"/>
      <c r="G83" s="581"/>
      <c r="H83" s="581"/>
      <c r="I83" s="581"/>
      <c r="J83" s="581"/>
      <c r="K83" s="581"/>
      <c r="L83" s="581"/>
      <c r="M83" s="581"/>
      <c r="N83" s="581"/>
      <c r="O83" s="581"/>
      <c r="P83" s="581"/>
      <c r="Q83" s="581"/>
      <c r="R83" s="581"/>
      <c r="S83" s="581"/>
      <c r="T83" s="581"/>
      <c r="U83" s="581"/>
      <c r="V83" s="581"/>
    </row>
    <row r="84" spans="1:22" s="465" customFormat="1" ht="15" customHeight="1">
      <c r="A84" s="1253"/>
      <c r="B84" s="478" t="s">
        <v>118</v>
      </c>
      <c r="C84" s="577" t="s">
        <v>430</v>
      </c>
      <c r="D84" s="577"/>
      <c r="E84" s="577"/>
      <c r="F84" s="577"/>
      <c r="G84" s="577"/>
      <c r="H84" s="577"/>
      <c r="I84" s="577"/>
      <c r="J84" s="577"/>
      <c r="K84" s="577"/>
      <c r="L84" s="577"/>
      <c r="M84" s="577"/>
      <c r="N84" s="592"/>
      <c r="O84" s="592"/>
      <c r="P84" s="592"/>
      <c r="Q84" s="592"/>
      <c r="R84" s="587"/>
      <c r="S84" s="587"/>
      <c r="T84" s="587"/>
      <c r="U84" s="587"/>
      <c r="V84" s="587"/>
    </row>
    <row r="85" spans="1:22" s="465" customFormat="1" ht="15" customHeight="1">
      <c r="A85" s="1253"/>
      <c r="B85" s="478" t="s">
        <v>183</v>
      </c>
      <c r="C85" s="577" t="s">
        <v>430</v>
      </c>
      <c r="D85" s="577"/>
      <c r="E85" s="577"/>
      <c r="F85" s="577"/>
      <c r="G85" s="577"/>
      <c r="H85" s="577"/>
      <c r="I85" s="577"/>
      <c r="J85" s="577"/>
      <c r="K85" s="577"/>
      <c r="L85" s="577"/>
      <c r="M85" s="577"/>
      <c r="N85" s="592"/>
      <c r="O85" s="592"/>
      <c r="P85" s="592"/>
      <c r="Q85" s="592"/>
      <c r="R85" s="587"/>
      <c r="S85" s="587"/>
      <c r="T85" s="587"/>
      <c r="U85" s="587"/>
      <c r="V85" s="587"/>
    </row>
    <row r="86" spans="1:22" s="465" customFormat="1" ht="15" customHeight="1">
      <c r="A86" s="1253"/>
      <c r="B86" s="478" t="s">
        <v>323</v>
      </c>
      <c r="C86" s="581" t="s">
        <v>430</v>
      </c>
      <c r="D86" s="581"/>
      <c r="E86" s="581"/>
      <c r="F86" s="581"/>
      <c r="G86" s="581"/>
      <c r="H86" s="581"/>
      <c r="I86" s="581"/>
      <c r="J86" s="581"/>
      <c r="K86" s="581"/>
      <c r="L86" s="581"/>
      <c r="M86" s="581"/>
      <c r="N86" s="581"/>
      <c r="O86" s="581"/>
      <c r="P86" s="581"/>
      <c r="Q86" s="581"/>
      <c r="R86" s="581"/>
      <c r="S86" s="581"/>
      <c r="T86" s="581"/>
      <c r="U86" s="581"/>
      <c r="V86" s="581"/>
    </row>
    <row r="87" spans="1:22" s="465" customFormat="1" ht="15" customHeight="1" thickBot="1">
      <c r="A87" s="1254"/>
      <c r="B87" s="480" t="s">
        <v>120</v>
      </c>
      <c r="C87" s="578">
        <v>292.61399999999998</v>
      </c>
      <c r="D87" s="578">
        <v>19.352</v>
      </c>
      <c r="E87" s="578">
        <v>4.8330000000000002</v>
      </c>
      <c r="F87" s="578">
        <v>3.7690000000000001</v>
      </c>
      <c r="G87" s="578">
        <v>0</v>
      </c>
      <c r="H87" s="578">
        <v>0</v>
      </c>
      <c r="I87" s="578">
        <v>61.405000000000001</v>
      </c>
      <c r="J87" s="578">
        <v>73.685000000000002</v>
      </c>
      <c r="K87" s="578">
        <v>0.629</v>
      </c>
      <c r="L87" s="578">
        <v>68.766999999999996</v>
      </c>
      <c r="M87" s="578">
        <v>63.76</v>
      </c>
      <c r="N87" s="578">
        <v>0.68200000000000005</v>
      </c>
      <c r="O87" s="578">
        <v>1.7999999999999999E-2</v>
      </c>
      <c r="P87" s="578">
        <v>0.09</v>
      </c>
      <c r="Q87" s="578">
        <v>10.733000000000001</v>
      </c>
      <c r="R87" s="578">
        <v>0.82599999999999996</v>
      </c>
      <c r="S87" s="578">
        <v>0.76200000000000001</v>
      </c>
      <c r="T87" s="578">
        <v>4.2320000000000002</v>
      </c>
      <c r="U87" s="578">
        <v>49.887999999999998</v>
      </c>
      <c r="V87" s="578">
        <v>1.0609999999999999</v>
      </c>
    </row>
    <row r="88" spans="1:22" s="465" customFormat="1" ht="15" customHeight="1">
      <c r="A88" s="1255" t="s">
        <v>121</v>
      </c>
      <c r="B88" s="479" t="s">
        <v>122</v>
      </c>
      <c r="C88" s="577" t="s">
        <v>430</v>
      </c>
      <c r="D88" s="577"/>
      <c r="E88" s="577"/>
      <c r="F88" s="577"/>
      <c r="G88" s="577"/>
      <c r="H88" s="577"/>
      <c r="I88" s="577"/>
      <c r="J88" s="577"/>
      <c r="K88" s="577"/>
      <c r="L88" s="577"/>
      <c r="M88" s="577"/>
      <c r="N88" s="577"/>
      <c r="O88" s="577"/>
      <c r="P88" s="577"/>
      <c r="Q88" s="577"/>
      <c r="R88" s="587"/>
      <c r="S88" s="587"/>
      <c r="T88" s="587"/>
      <c r="U88" s="587"/>
      <c r="V88" s="587"/>
    </row>
    <row r="89" spans="1:22" s="465" customFormat="1" ht="15" customHeight="1">
      <c r="A89" s="1256"/>
      <c r="B89" s="478" t="s">
        <v>123</v>
      </c>
      <c r="C89" s="577"/>
      <c r="D89" s="577"/>
      <c r="E89" s="577"/>
      <c r="F89" s="577"/>
      <c r="G89" s="577"/>
      <c r="H89" s="577"/>
      <c r="I89" s="577"/>
      <c r="J89" s="577"/>
      <c r="K89" s="577"/>
      <c r="L89" s="577"/>
      <c r="M89" s="577"/>
      <c r="N89" s="577"/>
      <c r="O89" s="577"/>
      <c r="P89" s="577"/>
      <c r="Q89" s="577"/>
      <c r="R89" s="587"/>
      <c r="S89" s="587"/>
      <c r="T89" s="587"/>
      <c r="U89" s="587"/>
      <c r="V89" s="587"/>
    </row>
    <row r="90" spans="1:22" s="465" customFormat="1" ht="15" customHeight="1">
      <c r="A90" s="1256"/>
      <c r="B90" s="478" t="s">
        <v>395</v>
      </c>
      <c r="C90" s="577"/>
      <c r="D90" s="577"/>
      <c r="E90" s="577"/>
      <c r="F90" s="577"/>
      <c r="G90" s="577"/>
      <c r="H90" s="577"/>
      <c r="I90" s="577"/>
      <c r="J90" s="577"/>
      <c r="K90" s="577"/>
      <c r="L90" s="577"/>
      <c r="M90" s="577"/>
      <c r="N90" s="577"/>
      <c r="O90" s="577"/>
      <c r="P90" s="577"/>
      <c r="Q90" s="577"/>
      <c r="R90" s="587"/>
      <c r="S90" s="587"/>
      <c r="T90" s="587"/>
      <c r="U90" s="587"/>
      <c r="V90" s="587"/>
    </row>
    <row r="91" spans="1:22" s="465" customFormat="1" ht="15" customHeight="1">
      <c r="A91" s="1256"/>
      <c r="B91" s="478" t="s">
        <v>124</v>
      </c>
      <c r="C91" s="577" t="s">
        <v>430</v>
      </c>
      <c r="D91" s="577"/>
      <c r="E91" s="577"/>
      <c r="F91" s="577"/>
      <c r="G91" s="577"/>
      <c r="H91" s="577"/>
      <c r="I91" s="577"/>
      <c r="J91" s="577"/>
      <c r="K91" s="577"/>
      <c r="L91" s="577"/>
      <c r="M91" s="577"/>
      <c r="N91" s="577"/>
      <c r="O91" s="577"/>
      <c r="P91" s="577"/>
      <c r="Q91" s="577"/>
      <c r="R91" s="587"/>
      <c r="S91" s="587"/>
      <c r="T91" s="587"/>
      <c r="U91" s="587"/>
      <c r="V91" s="587"/>
    </row>
    <row r="92" spans="1:22" s="465" customFormat="1" ht="15" hidden="1" customHeight="1">
      <c r="A92" s="1256"/>
      <c r="B92" s="478" t="s">
        <v>125</v>
      </c>
      <c r="C92" s="579"/>
      <c r="D92" s="579"/>
      <c r="E92" s="579"/>
      <c r="F92" s="579"/>
      <c r="G92" s="579"/>
      <c r="H92" s="579"/>
      <c r="I92" s="579"/>
      <c r="J92" s="579"/>
      <c r="K92" s="579"/>
      <c r="L92" s="579"/>
      <c r="M92" s="579"/>
      <c r="N92" s="579"/>
      <c r="O92" s="579"/>
      <c r="P92" s="579"/>
      <c r="Q92" s="579"/>
      <c r="R92" s="578"/>
      <c r="S92" s="578"/>
      <c r="T92" s="578"/>
      <c r="U92" s="578"/>
      <c r="V92" s="578"/>
    </row>
    <row r="93" spans="1:22" s="465" customFormat="1" ht="18.75" hidden="1" customHeight="1">
      <c r="A93" s="1256"/>
      <c r="B93" s="478" t="s">
        <v>126</v>
      </c>
      <c r="C93" s="579"/>
      <c r="D93" s="579"/>
      <c r="E93" s="579"/>
      <c r="F93" s="579"/>
      <c r="G93" s="579"/>
      <c r="H93" s="579"/>
      <c r="I93" s="579"/>
      <c r="J93" s="579"/>
      <c r="K93" s="579"/>
      <c r="L93" s="579"/>
      <c r="M93" s="579"/>
      <c r="N93" s="579"/>
      <c r="O93" s="579"/>
      <c r="P93" s="579"/>
      <c r="Q93" s="579"/>
      <c r="R93" s="578"/>
      <c r="S93" s="578"/>
      <c r="T93" s="578"/>
      <c r="U93" s="578"/>
      <c r="V93" s="578"/>
    </row>
    <row r="94" spans="1:22" s="465" customFormat="1" ht="15" customHeight="1">
      <c r="A94" s="1256"/>
      <c r="B94" s="475" t="s">
        <v>335</v>
      </c>
      <c r="C94" s="577"/>
      <c r="D94" s="577"/>
      <c r="E94" s="577"/>
      <c r="F94" s="577"/>
      <c r="G94" s="577"/>
      <c r="H94" s="577"/>
      <c r="I94" s="577"/>
      <c r="J94" s="577"/>
      <c r="K94" s="577"/>
      <c r="L94" s="577"/>
      <c r="M94" s="577"/>
      <c r="N94" s="577"/>
      <c r="O94" s="577"/>
      <c r="P94" s="577"/>
      <c r="Q94" s="577"/>
      <c r="R94" s="587"/>
      <c r="S94" s="587"/>
      <c r="T94" s="587"/>
      <c r="U94" s="587"/>
      <c r="V94" s="587"/>
    </row>
    <row r="95" spans="1:22" s="465" customFormat="1" ht="18.75" customHeight="1">
      <c r="A95" s="1257"/>
      <c r="B95" s="475" t="s">
        <v>127</v>
      </c>
      <c r="C95" s="577" t="s">
        <v>430</v>
      </c>
      <c r="D95" s="577"/>
      <c r="E95" s="577"/>
      <c r="F95" s="577"/>
      <c r="G95" s="577"/>
      <c r="H95" s="577"/>
      <c r="I95" s="577"/>
      <c r="J95" s="577"/>
      <c r="K95" s="577"/>
      <c r="L95" s="577"/>
      <c r="M95" s="577"/>
      <c r="N95" s="577"/>
      <c r="O95" s="577"/>
      <c r="P95" s="577"/>
      <c r="Q95" s="577"/>
      <c r="R95" s="587"/>
      <c r="S95" s="587"/>
      <c r="T95" s="587"/>
      <c r="U95" s="587"/>
      <c r="V95" s="587"/>
    </row>
    <row r="96" spans="1:22" s="465" customFormat="1" ht="18.45">
      <c r="A96" s="472"/>
      <c r="B96" s="472"/>
      <c r="C96" s="472"/>
      <c r="D96" s="472"/>
      <c r="E96" s="472"/>
      <c r="F96" s="472"/>
      <c r="G96" s="472"/>
      <c r="H96" s="472"/>
      <c r="I96" s="472"/>
      <c r="J96" s="472"/>
      <c r="K96" s="472"/>
      <c r="L96" s="472"/>
      <c r="M96" s="472"/>
      <c r="N96" s="472"/>
      <c r="O96" s="472"/>
      <c r="P96" s="472"/>
      <c r="Q96" s="467"/>
    </row>
    <row r="97" spans="1:22" s="465" customFormat="1" ht="15" customHeight="1">
      <c r="A97" s="467"/>
      <c r="B97" s="1249" t="s">
        <v>168</v>
      </c>
      <c r="C97" s="1249"/>
      <c r="D97" s="1249"/>
      <c r="E97" s="1249"/>
      <c r="F97" s="1249"/>
      <c r="G97" s="1249"/>
      <c r="H97" s="1249"/>
      <c r="I97" s="1249"/>
      <c r="J97" s="1249"/>
      <c r="K97" s="1249"/>
      <c r="L97" s="1249"/>
      <c r="M97" s="1249"/>
      <c r="N97" s="1249"/>
      <c r="O97" s="1249"/>
      <c r="P97" s="1249"/>
      <c r="Q97" s="1249"/>
      <c r="R97" s="1249"/>
      <c r="S97" s="1249"/>
      <c r="T97" s="1249"/>
      <c r="U97" s="1249"/>
      <c r="V97" s="1249"/>
    </row>
    <row r="98" spans="1:22" s="465" customFormat="1" ht="18.45">
      <c r="A98" s="467"/>
      <c r="B98" s="1249"/>
      <c r="C98" s="1249"/>
      <c r="D98" s="1249"/>
      <c r="E98" s="1249"/>
      <c r="F98" s="1249"/>
      <c r="G98" s="1249"/>
      <c r="H98" s="1249"/>
      <c r="I98" s="1249"/>
      <c r="J98" s="1249"/>
      <c r="K98" s="1249"/>
      <c r="L98" s="1249"/>
      <c r="M98" s="1249"/>
      <c r="N98" s="1249"/>
      <c r="O98" s="1249"/>
      <c r="P98" s="1249"/>
      <c r="Q98" s="1249"/>
      <c r="R98" s="1249"/>
      <c r="S98" s="1249"/>
      <c r="T98" s="1249"/>
      <c r="U98" s="1249"/>
      <c r="V98" s="1249"/>
    </row>
    <row r="99" spans="1:22" s="465" customFormat="1" ht="33" customHeight="1">
      <c r="A99" s="467"/>
      <c r="B99" s="1249"/>
      <c r="C99" s="1249"/>
      <c r="D99" s="1249"/>
      <c r="E99" s="1249"/>
      <c r="F99" s="1249"/>
      <c r="G99" s="1249"/>
      <c r="H99" s="1249"/>
      <c r="I99" s="1249"/>
      <c r="J99" s="1249"/>
      <c r="K99" s="1249"/>
      <c r="L99" s="1249"/>
      <c r="M99" s="1249"/>
      <c r="N99" s="1249"/>
      <c r="O99" s="1249"/>
      <c r="P99" s="1249"/>
      <c r="Q99" s="1249"/>
      <c r="R99" s="1249"/>
      <c r="S99" s="1249"/>
      <c r="T99" s="1249"/>
      <c r="U99" s="1249"/>
      <c r="V99" s="1249"/>
    </row>
    <row r="100" spans="1:22" s="465" customFormat="1" ht="18.45">
      <c r="A100" s="472"/>
      <c r="B100" s="472"/>
      <c r="C100" s="472"/>
      <c r="D100" s="472"/>
      <c r="E100" s="472"/>
      <c r="F100" s="472"/>
      <c r="G100" s="472"/>
      <c r="H100" s="472"/>
      <c r="I100" s="472"/>
      <c r="J100" s="472"/>
      <c r="K100" s="472"/>
      <c r="L100" s="472"/>
      <c r="M100" s="472"/>
      <c r="N100" s="472"/>
      <c r="O100" s="472"/>
      <c r="P100" s="472"/>
      <c r="Q100" s="467"/>
    </row>
    <row r="101" spans="1:22" s="465" customFormat="1" ht="18.45" hidden="1">
      <c r="A101" s="471"/>
      <c r="B101" s="466" t="s">
        <v>184</v>
      </c>
      <c r="C101" s="468">
        <f t="shared" ref="C101:V101" si="0">AVERAGE(C5:C59)</f>
        <v>243.70252631578956</v>
      </c>
      <c r="D101" s="468">
        <f t="shared" si="0"/>
        <v>0.37857894736842101</v>
      </c>
      <c r="E101" s="468">
        <f t="shared" si="0"/>
        <v>4.3000000000000003E-2</v>
      </c>
      <c r="F101" s="468">
        <f t="shared" si="0"/>
        <v>5.4736842105263164E-3</v>
      </c>
      <c r="G101" s="468">
        <f t="shared" si="0"/>
        <v>0</v>
      </c>
      <c r="H101" s="468">
        <f t="shared" si="0"/>
        <v>0</v>
      </c>
      <c r="I101" s="468">
        <f t="shared" si="0"/>
        <v>72.99757894736841</v>
      </c>
      <c r="J101" s="468">
        <f t="shared" si="0"/>
        <v>61.526263157894739</v>
      </c>
      <c r="K101" s="468">
        <f t="shared" si="0"/>
        <v>9.0315789473684224E-2</v>
      </c>
      <c r="L101" s="468">
        <f t="shared" si="0"/>
        <v>57.021315789473668</v>
      </c>
      <c r="M101" s="468">
        <f t="shared" si="0"/>
        <v>54.570263157894736</v>
      </c>
      <c r="N101" s="468">
        <f t="shared" si="0"/>
        <v>0.1131578947368421</v>
      </c>
      <c r="O101" s="468">
        <f t="shared" si="0"/>
        <v>3.6631578947368418E-2</v>
      </c>
      <c r="P101" s="468">
        <f t="shared" si="0"/>
        <v>4.1105263157894735E-2</v>
      </c>
      <c r="Q101" s="468">
        <f t="shared" si="0"/>
        <v>7.7564210526315795</v>
      </c>
      <c r="R101" s="468">
        <f t="shared" si="0"/>
        <v>0.59663157894736851</v>
      </c>
      <c r="S101" s="468">
        <f t="shared" si="0"/>
        <v>6.3E-2</v>
      </c>
      <c r="T101" s="468">
        <f t="shared" si="0"/>
        <v>0.35052631578947369</v>
      </c>
      <c r="U101" s="468">
        <f t="shared" si="0"/>
        <v>9.9584736842105261</v>
      </c>
      <c r="V101" s="468">
        <f t="shared" si="0"/>
        <v>0.21194736842105269</v>
      </c>
    </row>
    <row r="102" spans="1:22" s="465" customFormat="1" ht="18.45" hidden="1">
      <c r="A102" s="470"/>
      <c r="B102" s="469" t="s">
        <v>185</v>
      </c>
      <c r="C102" s="466" t="str">
        <f t="shared" ref="C102:V102" si="1" xml:space="preserve"> ROUND(MIN(C5:C59),0) &amp; " - " &amp; ROUND(MAX(C5:C59),0)</f>
        <v>190 - 324</v>
      </c>
      <c r="D102" s="466" t="str">
        <f t="shared" si="1"/>
        <v>0 - 5</v>
      </c>
      <c r="E102" s="466" t="str">
        <f t="shared" si="1"/>
        <v>0 - 1</v>
      </c>
      <c r="F102" s="466" t="str">
        <f t="shared" si="1"/>
        <v>0 - 0</v>
      </c>
      <c r="G102" s="466" t="str">
        <f t="shared" si="1"/>
        <v>0 - 0</v>
      </c>
      <c r="H102" s="466" t="str">
        <f t="shared" si="1"/>
        <v>0 - 0</v>
      </c>
      <c r="I102" s="466" t="str">
        <f t="shared" si="1"/>
        <v>10 - 770</v>
      </c>
      <c r="J102" s="466" t="str">
        <f t="shared" si="1"/>
        <v>50 - 78</v>
      </c>
      <c r="K102" s="466" t="str">
        <f t="shared" si="1"/>
        <v>0 - 0</v>
      </c>
      <c r="L102" s="466" t="str">
        <f t="shared" si="1"/>
        <v>36 - 69</v>
      </c>
      <c r="M102" s="466" t="str">
        <f t="shared" si="1"/>
        <v>26 - 69</v>
      </c>
      <c r="N102" s="466" t="str">
        <f t="shared" si="1"/>
        <v>0 - 1</v>
      </c>
      <c r="O102" s="466" t="str">
        <f t="shared" si="1"/>
        <v>0 - 1</v>
      </c>
      <c r="P102" s="466" t="str">
        <f t="shared" si="1"/>
        <v>0 - 0</v>
      </c>
      <c r="Q102" s="466" t="str">
        <f t="shared" si="1"/>
        <v>6 - 10</v>
      </c>
      <c r="R102" s="466" t="str">
        <f t="shared" si="1"/>
        <v>0 - 1</v>
      </c>
      <c r="S102" s="466" t="str">
        <f t="shared" si="1"/>
        <v>0 - 0</v>
      </c>
      <c r="T102" s="466" t="str">
        <f t="shared" si="1"/>
        <v>0 - 2</v>
      </c>
      <c r="U102" s="466" t="str">
        <f t="shared" si="1"/>
        <v>1 - 39</v>
      </c>
      <c r="V102" s="466" t="str">
        <f t="shared" si="1"/>
        <v>0 - 1</v>
      </c>
    </row>
    <row r="103" spans="1:22" s="465" customFormat="1" ht="18.45" hidden="1">
      <c r="A103" s="467"/>
      <c r="B103" s="466" t="s">
        <v>186</v>
      </c>
      <c r="C103" s="468" t="e">
        <f>AVERAGE(#REF!)</f>
        <v>#REF!</v>
      </c>
      <c r="D103" s="468" t="e">
        <f>AVERAGE(#REF!)</f>
        <v>#REF!</v>
      </c>
      <c r="E103" s="468" t="e">
        <f>AVERAGE(#REF!)</f>
        <v>#REF!</v>
      </c>
      <c r="F103" s="468" t="e">
        <f>AVERAGE(#REF!)</f>
        <v>#REF!</v>
      </c>
      <c r="G103" s="468" t="e">
        <f>AVERAGE(#REF!)</f>
        <v>#REF!</v>
      </c>
      <c r="H103" s="468" t="e">
        <f>AVERAGE(#REF!)</f>
        <v>#REF!</v>
      </c>
      <c r="I103" s="468" t="e">
        <f>AVERAGE(#REF!)</f>
        <v>#REF!</v>
      </c>
      <c r="J103" s="468" t="e">
        <f>AVERAGE(#REF!)</f>
        <v>#REF!</v>
      </c>
      <c r="K103" s="468" t="e">
        <f>AVERAGE(#REF!)</f>
        <v>#REF!</v>
      </c>
      <c r="L103" s="468" t="e">
        <f>AVERAGE(#REF!)</f>
        <v>#REF!</v>
      </c>
      <c r="M103" s="468" t="e">
        <f>AVERAGE(#REF!)</f>
        <v>#REF!</v>
      </c>
      <c r="N103" s="468" t="e">
        <f>AVERAGE(#REF!)</f>
        <v>#REF!</v>
      </c>
      <c r="O103" s="468" t="e">
        <f>AVERAGE(#REF!)</f>
        <v>#REF!</v>
      </c>
      <c r="P103" s="468" t="e">
        <f>AVERAGE(#REF!)</f>
        <v>#REF!</v>
      </c>
      <c r="Q103" s="468" t="e">
        <f>AVERAGE(#REF!)</f>
        <v>#REF!</v>
      </c>
      <c r="R103" s="468" t="e">
        <f>AVERAGE(#REF!)</f>
        <v>#REF!</v>
      </c>
      <c r="S103" s="468" t="e">
        <f>AVERAGE(#REF!)</f>
        <v>#REF!</v>
      </c>
      <c r="T103" s="468" t="e">
        <f>AVERAGE(#REF!)</f>
        <v>#REF!</v>
      </c>
      <c r="U103" s="468" t="e">
        <f>AVERAGE(#REF!)</f>
        <v>#REF!</v>
      </c>
      <c r="V103" s="468" t="e">
        <f>AVERAGE(#REF!)</f>
        <v>#REF!</v>
      </c>
    </row>
    <row r="104" spans="1:22" s="465" customFormat="1" ht="18.45" hidden="1">
      <c r="A104" s="467"/>
      <c r="B104" s="466" t="s">
        <v>187</v>
      </c>
      <c r="C104" s="466" t="e">
        <f>ROUND( MIN(#REF!),0) &amp; " - " &amp; ROUND(MAX(#REF!),0)</f>
        <v>#REF!</v>
      </c>
      <c r="D104" s="466" t="e">
        <f>ROUND( MIN(#REF!),0) &amp; " - " &amp; ROUND(MAX(#REF!),0)</f>
        <v>#REF!</v>
      </c>
      <c r="E104" s="466" t="e">
        <f>ROUND( MIN(#REF!),0) &amp; " - " &amp; ROUND(MAX(#REF!),0)</f>
        <v>#REF!</v>
      </c>
      <c r="F104" s="466" t="e">
        <f>ROUND( MIN(#REF!),0) &amp; " - " &amp; ROUND(MAX(#REF!),0)</f>
        <v>#REF!</v>
      </c>
      <c r="G104" s="466" t="e">
        <f>ROUND( MIN(#REF!),0) &amp; " - " &amp; ROUND(MAX(#REF!),0)</f>
        <v>#REF!</v>
      </c>
      <c r="H104" s="466" t="e">
        <f>ROUND( MIN(#REF!),0) &amp; " - " &amp; ROUND(MAX(#REF!),0)</f>
        <v>#REF!</v>
      </c>
      <c r="I104" s="466" t="e">
        <f>ROUND( MIN(#REF!),0) &amp; " - " &amp; ROUND(MAX(#REF!),0)</f>
        <v>#REF!</v>
      </c>
      <c r="J104" s="466" t="e">
        <f>ROUND( MIN(#REF!),0) &amp; " - " &amp; ROUND(MAX(#REF!),0)</f>
        <v>#REF!</v>
      </c>
      <c r="K104" s="466" t="e">
        <f>ROUND( MIN(#REF!),0) &amp; " - " &amp; ROUND(MAX(#REF!),0)</f>
        <v>#REF!</v>
      </c>
      <c r="L104" s="466" t="e">
        <f>ROUND( MIN(#REF!),0) &amp; " - " &amp; ROUND(MAX(#REF!),0)</f>
        <v>#REF!</v>
      </c>
      <c r="M104" s="466" t="e">
        <f>ROUND( MIN(#REF!),0) &amp; " - " &amp; ROUND(MAX(#REF!),0)</f>
        <v>#REF!</v>
      </c>
      <c r="N104" s="466" t="e">
        <f>ROUND( MIN(#REF!),0) &amp; " - " &amp; ROUND(MAX(#REF!),0)</f>
        <v>#REF!</v>
      </c>
      <c r="O104" s="466" t="e">
        <f>ROUND( MIN(#REF!),0) &amp; " - " &amp; ROUND(MAX(#REF!),0)</f>
        <v>#REF!</v>
      </c>
      <c r="P104" s="466" t="e">
        <f>ROUND( MIN(#REF!),0) &amp; " - " &amp; ROUND(MAX(#REF!),0)</f>
        <v>#REF!</v>
      </c>
      <c r="Q104" s="466" t="e">
        <f>ROUND( MIN(#REF!),0) &amp; " - " &amp; ROUND(MAX(#REF!),0)</f>
        <v>#REF!</v>
      </c>
      <c r="R104" s="466" t="e">
        <f>ROUND( MIN(#REF!),0) &amp; " - " &amp; ROUND(MAX(#REF!),0)</f>
        <v>#REF!</v>
      </c>
      <c r="S104" s="466" t="e">
        <f>ROUND( MIN(#REF!),0) &amp; " - " &amp; ROUND(MAX(#REF!),0)</f>
        <v>#REF!</v>
      </c>
      <c r="T104" s="466" t="e">
        <f>ROUND( MIN(#REF!),0) &amp; " - " &amp; ROUND(MAX(#REF!),0)</f>
        <v>#REF!</v>
      </c>
      <c r="U104" s="466" t="e">
        <f>ROUND( MIN(#REF!),0) &amp; " - " &amp; ROUND(MAX(#REF!),0)</f>
        <v>#REF!</v>
      </c>
      <c r="V104" s="466" t="e">
        <f>ROUND( MIN(#REF!),0) &amp; " - " &amp; ROUND(MAX(#REF!),0)</f>
        <v>#REF!</v>
      </c>
    </row>
    <row r="105" spans="1:22" s="465" customFormat="1" ht="18.45" hidden="1">
      <c r="A105" s="467"/>
      <c r="B105" s="466" t="s">
        <v>188</v>
      </c>
      <c r="C105" s="468">
        <f t="shared" ref="C105:V105" si="2">AVERAGE(C62:C87)</f>
        <v>305.14600000000002</v>
      </c>
      <c r="D105" s="468">
        <f t="shared" si="2"/>
        <v>19.102428571428568</v>
      </c>
      <c r="E105" s="468">
        <f t="shared" si="2"/>
        <v>4.7755714285714292</v>
      </c>
      <c r="F105" s="468">
        <f t="shared" si="2"/>
        <v>3.2860000000000005</v>
      </c>
      <c r="G105" s="468">
        <f t="shared" si="2"/>
        <v>8.0000000000000002E-3</v>
      </c>
      <c r="H105" s="468">
        <f t="shared" si="2"/>
        <v>0.67242857142857138</v>
      </c>
      <c r="I105" s="468">
        <f t="shared" si="2"/>
        <v>73.911142857142863</v>
      </c>
      <c r="J105" s="468">
        <f t="shared" si="2"/>
        <v>69.736714285714285</v>
      </c>
      <c r="K105" s="468">
        <f t="shared" si="2"/>
        <v>0.66271428571428559</v>
      </c>
      <c r="L105" s="468">
        <f t="shared" si="2"/>
        <v>64.705857142857141</v>
      </c>
      <c r="M105" s="468">
        <f t="shared" si="2"/>
        <v>62.21257142857143</v>
      </c>
      <c r="N105" s="468">
        <f t="shared" si="2"/>
        <v>0.95971428571428574</v>
      </c>
      <c r="O105" s="468">
        <f t="shared" si="2"/>
        <v>7.0000000000000001E-3</v>
      </c>
      <c r="P105" s="468">
        <f t="shared" si="2"/>
        <v>3.5142857142857142E-2</v>
      </c>
      <c r="Q105" s="468">
        <f t="shared" si="2"/>
        <v>12.624857142857142</v>
      </c>
      <c r="R105" s="468">
        <f t="shared" si="2"/>
        <v>0.97114285714285697</v>
      </c>
      <c r="S105" s="468">
        <f t="shared" si="2"/>
        <v>0.56085714285714283</v>
      </c>
      <c r="T105" s="468">
        <f t="shared" si="2"/>
        <v>3.1158571428571427</v>
      </c>
      <c r="U105" s="468">
        <f t="shared" si="2"/>
        <v>57.162857142857149</v>
      </c>
      <c r="V105" s="468">
        <f t="shared" si="2"/>
        <v>1.2162857142857144</v>
      </c>
    </row>
    <row r="106" spans="1:22" s="465" customFormat="1" ht="18.45" hidden="1">
      <c r="A106" s="467"/>
      <c r="B106" s="466" t="s">
        <v>189</v>
      </c>
      <c r="C106" s="466" t="str">
        <f t="shared" ref="C106:V106" si="3">ROUND( MIN(C62:C87),0) &amp; " - " &amp; ROUND(MAX(C62:C87),0)</f>
        <v>261 - 368</v>
      </c>
      <c r="D106" s="466" t="str">
        <f t="shared" si="3"/>
        <v>2 - 52</v>
      </c>
      <c r="E106" s="466" t="str">
        <f t="shared" si="3"/>
        <v>3 - 8</v>
      </c>
      <c r="F106" s="466" t="str">
        <f t="shared" si="3"/>
        <v>3 - 4</v>
      </c>
      <c r="G106" s="466" t="str">
        <f t="shared" si="3"/>
        <v>0 - 0</v>
      </c>
      <c r="H106" s="466" t="str">
        <f t="shared" si="3"/>
        <v>0 - 3</v>
      </c>
      <c r="I106" s="466" t="str">
        <f t="shared" si="3"/>
        <v>53 - 105</v>
      </c>
      <c r="J106" s="466" t="str">
        <f t="shared" si="3"/>
        <v>59 - 83</v>
      </c>
      <c r="K106" s="466" t="str">
        <f t="shared" si="3"/>
        <v>0 - 1</v>
      </c>
      <c r="L106" s="466" t="str">
        <f t="shared" si="3"/>
        <v>54 - 74</v>
      </c>
      <c r="M106" s="466" t="str">
        <f t="shared" si="3"/>
        <v>53 - 69</v>
      </c>
      <c r="N106" s="466" t="str">
        <f t="shared" si="3"/>
        <v>0 - 2</v>
      </c>
      <c r="O106" s="466" t="str">
        <f t="shared" si="3"/>
        <v>0 - 0</v>
      </c>
      <c r="P106" s="466" t="str">
        <f t="shared" si="3"/>
        <v>0 - 0</v>
      </c>
      <c r="Q106" s="466" t="str">
        <f t="shared" si="3"/>
        <v>9 - 16</v>
      </c>
      <c r="R106" s="466" t="str">
        <f t="shared" si="3"/>
        <v>1 - 1</v>
      </c>
      <c r="S106" s="466" t="str">
        <f t="shared" si="3"/>
        <v>0 - 1</v>
      </c>
      <c r="T106" s="466" t="str">
        <f t="shared" si="3"/>
        <v>1 - 4</v>
      </c>
      <c r="U106" s="466" t="str">
        <f t="shared" si="3"/>
        <v>13 - 126</v>
      </c>
      <c r="V106" s="466" t="str">
        <f t="shared" si="3"/>
        <v>0 - 3</v>
      </c>
    </row>
    <row r="107" spans="1:22" s="465" customFormat="1" ht="18.45" hidden="1">
      <c r="A107" s="467"/>
      <c r="B107" s="466" t="s">
        <v>190</v>
      </c>
      <c r="C107" s="468" t="e">
        <f t="shared" ref="C107:V107" si="4">AVERAGE(C88:C95)</f>
        <v>#DIV/0!</v>
      </c>
      <c r="D107" s="468" t="e">
        <f t="shared" si="4"/>
        <v>#DIV/0!</v>
      </c>
      <c r="E107" s="468" t="e">
        <f t="shared" si="4"/>
        <v>#DIV/0!</v>
      </c>
      <c r="F107" s="468" t="e">
        <f t="shared" si="4"/>
        <v>#DIV/0!</v>
      </c>
      <c r="G107" s="468" t="e">
        <f t="shared" si="4"/>
        <v>#DIV/0!</v>
      </c>
      <c r="H107" s="468" t="e">
        <f t="shared" si="4"/>
        <v>#DIV/0!</v>
      </c>
      <c r="I107" s="468" t="e">
        <f t="shared" si="4"/>
        <v>#DIV/0!</v>
      </c>
      <c r="J107" s="468" t="e">
        <f t="shared" si="4"/>
        <v>#DIV/0!</v>
      </c>
      <c r="K107" s="468" t="e">
        <f t="shared" si="4"/>
        <v>#DIV/0!</v>
      </c>
      <c r="L107" s="468" t="e">
        <f t="shared" si="4"/>
        <v>#DIV/0!</v>
      </c>
      <c r="M107" s="468" t="e">
        <f t="shared" si="4"/>
        <v>#DIV/0!</v>
      </c>
      <c r="N107" s="468" t="e">
        <f t="shared" si="4"/>
        <v>#DIV/0!</v>
      </c>
      <c r="O107" s="468" t="e">
        <f t="shared" si="4"/>
        <v>#DIV/0!</v>
      </c>
      <c r="P107" s="468" t="e">
        <f t="shared" si="4"/>
        <v>#DIV/0!</v>
      </c>
      <c r="Q107" s="468" t="e">
        <f t="shared" si="4"/>
        <v>#DIV/0!</v>
      </c>
      <c r="R107" s="468" t="e">
        <f t="shared" si="4"/>
        <v>#DIV/0!</v>
      </c>
      <c r="S107" s="468" t="e">
        <f t="shared" si="4"/>
        <v>#DIV/0!</v>
      </c>
      <c r="T107" s="468" t="e">
        <f t="shared" si="4"/>
        <v>#DIV/0!</v>
      </c>
      <c r="U107" s="468" t="e">
        <f t="shared" si="4"/>
        <v>#DIV/0!</v>
      </c>
      <c r="V107" s="468" t="e">
        <f t="shared" si="4"/>
        <v>#DIV/0!</v>
      </c>
    </row>
    <row r="108" spans="1:22" s="465" customFormat="1" ht="18.45" hidden="1">
      <c r="A108" s="467"/>
      <c r="B108" s="466" t="s">
        <v>191</v>
      </c>
      <c r="C108" s="466" t="str">
        <f t="shared" ref="C108:V108" si="5">ROUND( MIN(C88:C95),0) &amp; " - " &amp;ROUND( MAX(C88:C95),0)</f>
        <v>0 - 0</v>
      </c>
      <c r="D108" s="466" t="str">
        <f t="shared" si="5"/>
        <v>0 - 0</v>
      </c>
      <c r="E108" s="466" t="str">
        <f t="shared" si="5"/>
        <v>0 - 0</v>
      </c>
      <c r="F108" s="466" t="str">
        <f t="shared" si="5"/>
        <v>0 - 0</v>
      </c>
      <c r="G108" s="466" t="str">
        <f t="shared" si="5"/>
        <v>0 - 0</v>
      </c>
      <c r="H108" s="466" t="str">
        <f t="shared" si="5"/>
        <v>0 - 0</v>
      </c>
      <c r="I108" s="466" t="str">
        <f t="shared" si="5"/>
        <v>0 - 0</v>
      </c>
      <c r="J108" s="466" t="str">
        <f t="shared" si="5"/>
        <v>0 - 0</v>
      </c>
      <c r="K108" s="466" t="str">
        <f t="shared" si="5"/>
        <v>0 - 0</v>
      </c>
      <c r="L108" s="466" t="str">
        <f t="shared" si="5"/>
        <v>0 - 0</v>
      </c>
      <c r="M108" s="466" t="str">
        <f t="shared" si="5"/>
        <v>0 - 0</v>
      </c>
      <c r="N108" s="466" t="str">
        <f t="shared" si="5"/>
        <v>0 - 0</v>
      </c>
      <c r="O108" s="466" t="str">
        <f t="shared" si="5"/>
        <v>0 - 0</v>
      </c>
      <c r="P108" s="466" t="str">
        <f t="shared" si="5"/>
        <v>0 - 0</v>
      </c>
      <c r="Q108" s="466" t="str">
        <f t="shared" si="5"/>
        <v>0 - 0</v>
      </c>
      <c r="R108" s="466" t="str">
        <f t="shared" si="5"/>
        <v>0 - 0</v>
      </c>
      <c r="S108" s="466" t="str">
        <f t="shared" si="5"/>
        <v>0 - 0</v>
      </c>
      <c r="T108" s="466" t="str">
        <f t="shared" si="5"/>
        <v>0 - 0</v>
      </c>
      <c r="U108" s="466" t="str">
        <f t="shared" si="5"/>
        <v>0 - 0</v>
      </c>
      <c r="V108" s="466" t="str">
        <f t="shared" si="5"/>
        <v>0 - 0</v>
      </c>
    </row>
    <row r="109" spans="1:22" s="465" customFormat="1" ht="18.45"/>
    <row r="110" spans="1:22">
      <c r="C110" s="373" t="s">
        <v>405</v>
      </c>
    </row>
    <row r="111" spans="1:22">
      <c r="B111" s="373" t="s">
        <v>406</v>
      </c>
    </row>
    <row r="112" spans="1:22">
      <c r="B112" s="373" t="s">
        <v>407</v>
      </c>
      <c r="C112" s="373">
        <v>120</v>
      </c>
    </row>
    <row r="113" spans="3:3">
      <c r="C113" s="373">
        <v>450</v>
      </c>
    </row>
  </sheetData>
  <mergeCells count="6">
    <mergeCell ref="B97:V99"/>
    <mergeCell ref="A1:V1"/>
    <mergeCell ref="A2:V2"/>
    <mergeCell ref="A62:A87"/>
    <mergeCell ref="A88:A95"/>
    <mergeCell ref="A5:A16"/>
  </mergeCells>
  <pageMargins left="0.7" right="0.7" top="0.75" bottom="0.75" header="0.3" footer="0.3"/>
  <pageSetup scale="50" fitToHeight="0" orientation="landscape" r:id="rId1"/>
  <headerFooter>
    <oddHeader xml:space="preserve">&amp;R&amp;14 2024 Nutrition Information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039BF-1609-4628-9E92-41A2B2AAE667}">
  <dimension ref="A1:AL200"/>
  <sheetViews>
    <sheetView zoomScale="80" zoomScaleNormal="80" zoomScalePageLayoutView="80" workbookViewId="0">
      <pane xSplit="2" ySplit="4" topLeftCell="C46" activePane="bottomRight" state="frozen"/>
      <selection pane="topRight" activeCell="C1" sqref="C1"/>
      <selection pane="bottomLeft" activeCell="A5" sqref="A5"/>
      <selection pane="bottomRight" activeCell="W47" sqref="W47"/>
    </sheetView>
    <sheetView zoomScale="80" zoomScaleNormal="80" workbookViewId="1">
      <pane xSplit="2" ySplit="4" topLeftCell="C5" activePane="bottomRight" state="frozen"/>
      <selection pane="topRight" activeCell="C1" sqref="C1"/>
      <selection pane="bottomLeft" activeCell="A5" sqref="A5"/>
      <selection pane="bottomRight" activeCell="I24" sqref="I24"/>
    </sheetView>
    <sheetView workbookViewId="2">
      <selection activeCell="H15" sqref="H15"/>
    </sheetView>
  </sheetViews>
  <sheetFormatPr defaultColWidth="8.84375" defaultRowHeight="15.75" customHeight="1"/>
  <cols>
    <col min="1" max="1" width="10.69140625" style="179" customWidth="1"/>
    <col min="2" max="2" width="42.84375" style="179" customWidth="1"/>
    <col min="3" max="3" width="16.3828125" style="868" customWidth="1"/>
    <col min="4" max="4" width="16.3828125" style="179" customWidth="1"/>
    <col min="5" max="5" width="10.53515625" style="868" customWidth="1"/>
    <col min="6" max="6" width="10.53515625" style="179" customWidth="1"/>
    <col min="7" max="7" width="8.53515625" style="868" customWidth="1"/>
    <col min="8" max="8" width="8.53515625" style="833" customWidth="1"/>
    <col min="9" max="9" width="11.53515625" style="868" customWidth="1"/>
    <col min="10" max="10" width="11.53515625" style="833" customWidth="1"/>
    <col min="11" max="11" width="8.53515625" style="868" customWidth="1"/>
    <col min="12" max="12" width="8.53515625" style="179" customWidth="1"/>
    <col min="13" max="13" width="13" style="868" customWidth="1"/>
    <col min="14" max="14" width="13" style="179" customWidth="1"/>
    <col min="15" max="15" width="8.84375" style="868" customWidth="1"/>
    <col min="16" max="16" width="12.84375" style="179" customWidth="1"/>
    <col min="17" max="17" width="16.84375" style="868" customWidth="1"/>
    <col min="18" max="18" width="16.84375" style="179" customWidth="1"/>
    <col min="19" max="19" width="8.84375" style="868" customWidth="1"/>
    <col min="20" max="20" width="8.84375" style="179" customWidth="1"/>
    <col min="21" max="21" width="10.84375" style="868" customWidth="1"/>
    <col min="22" max="22" width="10.84375" style="179" customWidth="1"/>
    <col min="23" max="23" width="8.84375" style="868" customWidth="1"/>
    <col min="24" max="24" width="8.84375" style="179" customWidth="1"/>
    <col min="25" max="25" width="11.53515625" style="868" customWidth="1"/>
    <col min="26" max="28" width="11.53515625" style="179" customWidth="1"/>
    <col min="29" max="29" width="9.15234375" style="179" customWidth="1"/>
    <col min="30" max="30" width="18.53515625" style="179" customWidth="1"/>
    <col min="31" max="31" width="12.53515625" style="179" customWidth="1"/>
    <col min="32" max="32" width="15.15234375" style="179" customWidth="1"/>
    <col min="33" max="33" width="14.3828125" style="179" customWidth="1"/>
    <col min="34" max="34" width="18.53515625" style="604" bestFit="1" customWidth="1"/>
    <col min="35" max="16384" width="8.84375" style="179"/>
  </cols>
  <sheetData>
    <row r="1" spans="1:38" ht="18" customHeight="1">
      <c r="A1" s="1196" t="s">
        <v>354</v>
      </c>
      <c r="B1" s="1196"/>
      <c r="C1" s="1196"/>
      <c r="D1" s="1196"/>
      <c r="E1" s="1196"/>
      <c r="F1" s="1196"/>
      <c r="G1" s="1196"/>
      <c r="H1" s="1196"/>
      <c r="I1" s="1196"/>
      <c r="J1" s="1196"/>
      <c r="K1" s="1196"/>
      <c r="L1" s="1196"/>
      <c r="M1" s="1196"/>
      <c r="N1" s="1196"/>
      <c r="O1" s="1196"/>
      <c r="P1" s="1196"/>
      <c r="Q1" s="1196"/>
      <c r="R1" s="1196"/>
      <c r="S1" s="1196"/>
      <c r="T1" s="1196"/>
      <c r="U1" s="1196"/>
      <c r="V1" s="1196"/>
      <c r="W1" s="1196"/>
      <c r="X1" s="1196"/>
      <c r="Y1" s="1196"/>
      <c r="Z1" s="1196"/>
      <c r="AA1" s="1196"/>
      <c r="AB1" s="1196"/>
      <c r="AC1" s="1196"/>
      <c r="AD1" s="1196"/>
      <c r="AE1" s="1196"/>
      <c r="AF1" s="1196"/>
      <c r="AG1" s="1196"/>
      <c r="AH1" s="1196"/>
    </row>
    <row r="2" spans="1:38" ht="18" customHeight="1">
      <c r="A2" s="1196" t="s">
        <v>329</v>
      </c>
      <c r="B2" s="1196"/>
      <c r="C2" s="1196"/>
      <c r="D2" s="1196"/>
      <c r="E2" s="1196"/>
      <c r="F2" s="1196"/>
      <c r="G2" s="1196"/>
      <c r="H2" s="1196"/>
      <c r="I2" s="1196"/>
      <c r="J2" s="1196"/>
      <c r="K2" s="1196"/>
      <c r="L2" s="1196"/>
      <c r="M2" s="1196"/>
      <c r="N2" s="1196"/>
      <c r="O2" s="1196"/>
      <c r="P2" s="1196"/>
      <c r="Q2" s="1196"/>
      <c r="R2" s="1196"/>
      <c r="S2" s="1196"/>
      <c r="T2" s="1196"/>
      <c r="U2" s="1196"/>
      <c r="V2" s="1196"/>
      <c r="W2" s="1196"/>
      <c r="X2" s="1196"/>
      <c r="Y2" s="1196"/>
      <c r="Z2" s="1196"/>
      <c r="AA2" s="1196"/>
      <c r="AB2" s="1196"/>
      <c r="AC2" s="1196"/>
      <c r="AD2" s="1196"/>
      <c r="AE2" s="1196"/>
      <c r="AF2" s="1196"/>
      <c r="AG2" s="1196"/>
      <c r="AH2" s="1196"/>
    </row>
    <row r="3" spans="1:38" s="223" customFormat="1" ht="37.5" customHeight="1">
      <c r="A3" s="1196" t="s">
        <v>355</v>
      </c>
      <c r="B3" s="1196"/>
      <c r="C3" s="1196"/>
      <c r="D3" s="1196"/>
      <c r="E3" s="1196"/>
      <c r="F3" s="1196"/>
      <c r="G3" s="1196"/>
      <c r="H3" s="1196"/>
      <c r="I3" s="1196"/>
      <c r="J3" s="1196"/>
      <c r="K3" s="1196"/>
      <c r="L3" s="1196"/>
      <c r="M3" s="1196"/>
      <c r="N3" s="1196"/>
      <c r="O3" s="1196"/>
      <c r="P3" s="1196"/>
      <c r="Q3" s="1196"/>
      <c r="R3" s="1196"/>
      <c r="S3" s="1196"/>
      <c r="T3" s="1196"/>
      <c r="U3" s="1196"/>
      <c r="V3" s="1196"/>
      <c r="W3" s="1196"/>
      <c r="X3" s="1196"/>
      <c r="Y3" s="1196"/>
      <c r="Z3" s="1196"/>
      <c r="AA3" s="1196"/>
      <c r="AB3" s="1196"/>
      <c r="AC3" s="1196"/>
      <c r="AD3" s="1196"/>
      <c r="AE3" s="1196"/>
      <c r="AF3" s="1196"/>
      <c r="AG3" s="1196"/>
      <c r="AH3" s="1196"/>
    </row>
    <row r="4" spans="1:38" s="223" customFormat="1" ht="36" customHeight="1">
      <c r="A4" s="193"/>
      <c r="B4" s="193" t="s">
        <v>3</v>
      </c>
      <c r="C4" s="919" t="s">
        <v>4</v>
      </c>
      <c r="D4" s="259" t="s">
        <v>4</v>
      </c>
      <c r="E4" s="919" t="s">
        <v>5</v>
      </c>
      <c r="F4" s="259" t="s">
        <v>5</v>
      </c>
      <c r="G4" s="919" t="s">
        <v>6</v>
      </c>
      <c r="H4" s="915" t="s">
        <v>6</v>
      </c>
      <c r="I4" s="919" t="s">
        <v>7</v>
      </c>
      <c r="J4" s="915" t="s">
        <v>7</v>
      </c>
      <c r="K4" s="919" t="s">
        <v>8</v>
      </c>
      <c r="L4" s="259" t="s">
        <v>8</v>
      </c>
      <c r="M4" s="919" t="s">
        <v>9</v>
      </c>
      <c r="N4" s="259" t="s">
        <v>9</v>
      </c>
      <c r="O4" s="919" t="s">
        <v>10</v>
      </c>
      <c r="P4" s="259" t="s">
        <v>10</v>
      </c>
      <c r="Q4" s="919" t="s">
        <v>11</v>
      </c>
      <c r="R4" s="259" t="s">
        <v>11</v>
      </c>
      <c r="S4" s="919" t="s">
        <v>12</v>
      </c>
      <c r="T4" s="259" t="s">
        <v>12</v>
      </c>
      <c r="U4" s="919" t="s">
        <v>13</v>
      </c>
      <c r="V4" s="259" t="s">
        <v>13</v>
      </c>
      <c r="W4" s="919" t="s">
        <v>14</v>
      </c>
      <c r="X4" s="259" t="s">
        <v>14</v>
      </c>
      <c r="Y4" s="919" t="s">
        <v>15</v>
      </c>
      <c r="Z4" s="259" t="s">
        <v>15</v>
      </c>
      <c r="AA4" s="596" t="s">
        <v>16</v>
      </c>
      <c r="AB4" s="596" t="s">
        <v>17</v>
      </c>
      <c r="AC4" s="596" t="s">
        <v>18</v>
      </c>
      <c r="AD4" s="596" t="s">
        <v>19</v>
      </c>
      <c r="AE4" s="596" t="s">
        <v>20</v>
      </c>
      <c r="AF4" s="596" t="s">
        <v>21</v>
      </c>
      <c r="AG4" s="596" t="s">
        <v>22</v>
      </c>
      <c r="AH4" s="610" t="s">
        <v>23</v>
      </c>
    </row>
    <row r="5" spans="1:38" s="223" customFormat="1" ht="15" customHeight="1">
      <c r="A5" s="186" t="s">
        <v>394</v>
      </c>
      <c r="B5" s="186" t="s">
        <v>124</v>
      </c>
      <c r="C5" s="860">
        <v>72.195999999999998</v>
      </c>
      <c r="D5" s="195">
        <f t="shared" ref="D5:D36" si="0">MROUND(C5,10)</f>
        <v>70</v>
      </c>
      <c r="E5" s="860">
        <v>6.0999999999999999E-2</v>
      </c>
      <c r="F5" s="195">
        <v>0</v>
      </c>
      <c r="G5" s="860">
        <v>7.0000000000000001E-3</v>
      </c>
      <c r="H5" s="743">
        <v>0</v>
      </c>
      <c r="I5" s="860">
        <v>5.0000000000000001E-3</v>
      </c>
      <c r="J5" s="743">
        <v>0</v>
      </c>
      <c r="K5" s="860">
        <v>0</v>
      </c>
      <c r="L5" s="536">
        <v>0</v>
      </c>
      <c r="M5" s="860">
        <v>0</v>
      </c>
      <c r="N5" s="195">
        <v>0</v>
      </c>
      <c r="O5" s="860">
        <v>14.95</v>
      </c>
      <c r="P5" s="536">
        <f t="shared" ref="P5:P36" si="1">MROUND(O5,10)</f>
        <v>10</v>
      </c>
      <c r="Q5" s="860">
        <v>25.07</v>
      </c>
      <c r="R5" s="748">
        <f t="shared" ref="R5:R36" si="2">MROUND(Q5,1)</f>
        <v>25</v>
      </c>
      <c r="S5" s="860">
        <v>1.4999999999999999E-2</v>
      </c>
      <c r="T5" s="747">
        <v>0</v>
      </c>
      <c r="U5" s="860">
        <v>0.129</v>
      </c>
      <c r="V5" s="195">
        <v>0</v>
      </c>
      <c r="W5" s="860">
        <v>0</v>
      </c>
      <c r="X5" s="195">
        <v>0</v>
      </c>
      <c r="Y5" s="860">
        <v>0</v>
      </c>
      <c r="Z5" s="195">
        <v>0</v>
      </c>
      <c r="AA5" s="555">
        <v>0</v>
      </c>
      <c r="AB5" s="555">
        <v>0</v>
      </c>
      <c r="AC5" s="536">
        <v>7.9329999999999998</v>
      </c>
      <c r="AD5" s="536">
        <v>0.61</v>
      </c>
      <c r="AE5" s="536">
        <v>4.7E-2</v>
      </c>
      <c r="AF5" s="536">
        <v>0.25900000000000001</v>
      </c>
      <c r="AG5" s="609">
        <v>13.118</v>
      </c>
      <c r="AH5" s="611">
        <v>0.27900000000000003</v>
      </c>
      <c r="AI5" s="179"/>
      <c r="AJ5" s="179"/>
      <c r="AK5" s="179"/>
      <c r="AL5" s="179"/>
    </row>
    <row r="6" spans="1:38" s="537" customFormat="1" ht="15.75" customHeight="1">
      <c r="A6" s="186" t="s">
        <v>396</v>
      </c>
      <c r="B6" s="523" t="s">
        <v>134</v>
      </c>
      <c r="C6" s="861">
        <v>184.05099999999999</v>
      </c>
      <c r="D6" s="195">
        <f t="shared" si="0"/>
        <v>180</v>
      </c>
      <c r="E6" s="861">
        <v>66.638000000000005</v>
      </c>
      <c r="F6" s="195">
        <f t="shared" ref="F6:F22" si="3">MROUND(E6,10)</f>
        <v>70</v>
      </c>
      <c r="G6" s="861">
        <v>7.4039999999999999</v>
      </c>
      <c r="H6" s="743">
        <f t="shared" ref="H6:H22" si="4">MROUND(G6,1)</f>
        <v>7</v>
      </c>
      <c r="I6" s="861">
        <v>4.7119999999999997</v>
      </c>
      <c r="J6" s="743">
        <f>MROUND(I6,0.5)</f>
        <v>4.5</v>
      </c>
      <c r="K6" s="861">
        <v>0</v>
      </c>
      <c r="L6" s="536">
        <v>0</v>
      </c>
      <c r="M6" s="861">
        <v>43.752000000000002</v>
      </c>
      <c r="N6" s="748">
        <f t="shared" ref="N6:N22" si="5">MROUND(M6,5)</f>
        <v>45</v>
      </c>
      <c r="O6" s="861">
        <v>114.589</v>
      </c>
      <c r="P6" s="536">
        <f t="shared" si="1"/>
        <v>110</v>
      </c>
      <c r="Q6" s="861">
        <v>26.53</v>
      </c>
      <c r="R6" s="748">
        <f t="shared" si="2"/>
        <v>27</v>
      </c>
      <c r="S6" s="861">
        <v>0</v>
      </c>
      <c r="T6" s="747">
        <v>0</v>
      </c>
      <c r="U6" s="861">
        <v>19.966000000000001</v>
      </c>
      <c r="V6" s="748">
        <f t="shared" ref="V6:V22" si="6">MROUND(U6,1)</f>
        <v>20</v>
      </c>
      <c r="W6" s="861">
        <v>7.85</v>
      </c>
      <c r="X6" s="748">
        <f t="shared" ref="X6:X12" si="7">MROUND(W6,1)</f>
        <v>8</v>
      </c>
      <c r="Y6" s="861">
        <v>2.6389999999999998</v>
      </c>
      <c r="Z6" s="188">
        <f t="shared" ref="Z6:Z22" si="8">MROUND(Y6,1)</f>
        <v>3</v>
      </c>
      <c r="AA6" s="1131">
        <v>0</v>
      </c>
      <c r="AB6" s="1131">
        <v>0</v>
      </c>
      <c r="AC6" s="1131">
        <v>133.001</v>
      </c>
      <c r="AD6" s="1131">
        <v>10.231</v>
      </c>
      <c r="AE6" s="1131">
        <v>0</v>
      </c>
      <c r="AF6" s="1131">
        <v>0</v>
      </c>
      <c r="AG6" s="1149">
        <v>8.7230000000000008</v>
      </c>
      <c r="AH6" s="1150">
        <v>0.186</v>
      </c>
      <c r="AI6" s="179"/>
      <c r="AJ6" s="179"/>
      <c r="AK6" s="179"/>
      <c r="AL6" s="179"/>
    </row>
    <row r="7" spans="1:38" ht="15.9">
      <c r="A7" s="186" t="s">
        <v>396</v>
      </c>
      <c r="B7" s="523" t="s">
        <v>417</v>
      </c>
      <c r="C7" s="861">
        <v>192.773</v>
      </c>
      <c r="D7" s="195">
        <f t="shared" si="0"/>
        <v>190</v>
      </c>
      <c r="E7" s="861">
        <v>90.203999999999994</v>
      </c>
      <c r="F7" s="195">
        <f t="shared" si="3"/>
        <v>90</v>
      </c>
      <c r="G7" s="861">
        <v>10.023</v>
      </c>
      <c r="H7" s="743">
        <f t="shared" si="4"/>
        <v>10</v>
      </c>
      <c r="I7" s="861">
        <v>6.3780000000000001</v>
      </c>
      <c r="J7" s="743">
        <f t="shared" ref="J7:J22" si="9">MROUND(I7,1)</f>
        <v>6</v>
      </c>
      <c r="K7" s="861">
        <v>0</v>
      </c>
      <c r="L7" s="536">
        <v>0</v>
      </c>
      <c r="M7" s="861">
        <v>59.225000000000001</v>
      </c>
      <c r="N7" s="748">
        <f t="shared" si="5"/>
        <v>60</v>
      </c>
      <c r="O7" s="861">
        <v>129.40700000000001</v>
      </c>
      <c r="P7" s="536">
        <f t="shared" si="1"/>
        <v>130</v>
      </c>
      <c r="Q7" s="861">
        <v>22.96</v>
      </c>
      <c r="R7" s="748">
        <f t="shared" si="2"/>
        <v>23</v>
      </c>
      <c r="S7" s="861">
        <v>0</v>
      </c>
      <c r="T7" s="747">
        <v>0</v>
      </c>
      <c r="U7" s="861">
        <v>17.613</v>
      </c>
      <c r="V7" s="748">
        <f t="shared" si="6"/>
        <v>18</v>
      </c>
      <c r="W7" s="861">
        <v>1.212</v>
      </c>
      <c r="X7" s="748">
        <f t="shared" si="7"/>
        <v>1</v>
      </c>
      <c r="Y7" s="861">
        <v>3.645</v>
      </c>
      <c r="Z7" s="188">
        <f t="shared" si="8"/>
        <v>4</v>
      </c>
      <c r="AA7" s="1131">
        <v>0</v>
      </c>
      <c r="AB7" s="1131">
        <v>0</v>
      </c>
      <c r="AC7" s="1131">
        <v>177.99199999999999</v>
      </c>
      <c r="AD7" s="1131">
        <v>13.692</v>
      </c>
      <c r="AE7" s="1131">
        <v>0</v>
      </c>
      <c r="AF7" s="1131">
        <v>0</v>
      </c>
      <c r="AG7" s="1149">
        <v>1.581</v>
      </c>
      <c r="AH7" s="1150">
        <v>3.4000000000000002E-2</v>
      </c>
      <c r="AI7" s="212"/>
      <c r="AJ7" s="212"/>
      <c r="AK7" s="212"/>
      <c r="AL7" s="212"/>
    </row>
    <row r="8" spans="1:38" ht="15.9">
      <c r="A8" s="186" t="s">
        <v>396</v>
      </c>
      <c r="B8" s="523" t="s">
        <v>358</v>
      </c>
      <c r="C8" s="861">
        <v>194.13900000000001</v>
      </c>
      <c r="D8" s="195">
        <f t="shared" si="0"/>
        <v>190</v>
      </c>
      <c r="E8" s="861">
        <v>90.915000000000006</v>
      </c>
      <c r="F8" s="195">
        <f t="shared" si="3"/>
        <v>90</v>
      </c>
      <c r="G8" s="861">
        <v>10.102</v>
      </c>
      <c r="H8" s="743">
        <f t="shared" si="4"/>
        <v>10</v>
      </c>
      <c r="I8" s="861">
        <v>6.4279999999999999</v>
      </c>
      <c r="J8" s="743">
        <f t="shared" si="9"/>
        <v>6</v>
      </c>
      <c r="K8" s="861">
        <v>0</v>
      </c>
      <c r="L8" s="536">
        <v>0</v>
      </c>
      <c r="M8" s="861">
        <v>59.691000000000003</v>
      </c>
      <c r="N8" s="748">
        <f t="shared" si="5"/>
        <v>60</v>
      </c>
      <c r="O8" s="861">
        <v>129.93199999999999</v>
      </c>
      <c r="P8" s="536">
        <f t="shared" si="1"/>
        <v>130</v>
      </c>
      <c r="Q8" s="861">
        <v>23.343</v>
      </c>
      <c r="R8" s="748">
        <f t="shared" si="2"/>
        <v>23</v>
      </c>
      <c r="S8" s="861">
        <v>0</v>
      </c>
      <c r="T8" s="747">
        <v>0</v>
      </c>
      <c r="U8" s="861">
        <v>17.667999999999999</v>
      </c>
      <c r="V8" s="748">
        <f t="shared" si="6"/>
        <v>18</v>
      </c>
      <c r="W8" s="861">
        <v>1.1379999999999999</v>
      </c>
      <c r="X8" s="748">
        <f t="shared" si="7"/>
        <v>1</v>
      </c>
      <c r="Y8" s="861">
        <v>3.673</v>
      </c>
      <c r="Z8" s="188">
        <f t="shared" si="8"/>
        <v>4</v>
      </c>
      <c r="AA8" s="1131">
        <v>0</v>
      </c>
      <c r="AB8" s="1131">
        <v>0</v>
      </c>
      <c r="AC8" s="1131">
        <v>179.21100000000001</v>
      </c>
      <c r="AD8" s="1131">
        <v>13.785</v>
      </c>
      <c r="AE8" s="1131">
        <v>0</v>
      </c>
      <c r="AF8" s="1131">
        <v>0</v>
      </c>
      <c r="AG8" s="1149">
        <v>1.821</v>
      </c>
      <c r="AH8" s="1150">
        <v>3.9E-2</v>
      </c>
    </row>
    <row r="9" spans="1:38" ht="15.9">
      <c r="A9" s="186" t="s">
        <v>396</v>
      </c>
      <c r="B9" s="523" t="s">
        <v>397</v>
      </c>
      <c r="C9" s="861">
        <v>200.19499999999999</v>
      </c>
      <c r="D9" s="195">
        <f t="shared" si="0"/>
        <v>200</v>
      </c>
      <c r="E9" s="861">
        <v>82.757999999999996</v>
      </c>
      <c r="F9" s="195">
        <f t="shared" si="3"/>
        <v>80</v>
      </c>
      <c r="G9" s="861">
        <v>9.1950000000000003</v>
      </c>
      <c r="H9" s="743">
        <f t="shared" si="4"/>
        <v>9</v>
      </c>
      <c r="I9" s="861">
        <v>5.5170000000000003</v>
      </c>
      <c r="J9" s="743">
        <f t="shared" si="9"/>
        <v>6</v>
      </c>
      <c r="K9" s="861">
        <v>0</v>
      </c>
      <c r="L9" s="536">
        <v>0</v>
      </c>
      <c r="M9" s="861">
        <v>50.575000000000003</v>
      </c>
      <c r="N9" s="748">
        <f t="shared" si="5"/>
        <v>50</v>
      </c>
      <c r="O9" s="861">
        <v>107.077</v>
      </c>
      <c r="P9" s="536">
        <f t="shared" si="1"/>
        <v>110</v>
      </c>
      <c r="Q9" s="861">
        <v>26.645</v>
      </c>
      <c r="R9" s="748">
        <f t="shared" si="2"/>
        <v>27</v>
      </c>
      <c r="S9" s="861">
        <v>0</v>
      </c>
      <c r="T9" s="747">
        <v>0</v>
      </c>
      <c r="U9" s="861">
        <v>20.507000000000001</v>
      </c>
      <c r="V9" s="748">
        <f t="shared" si="6"/>
        <v>21</v>
      </c>
      <c r="W9" s="861">
        <v>1.1970000000000001</v>
      </c>
      <c r="X9" s="748">
        <f t="shared" si="7"/>
        <v>1</v>
      </c>
      <c r="Y9" s="861">
        <v>3.6779999999999999</v>
      </c>
      <c r="Z9" s="188">
        <f t="shared" si="8"/>
        <v>4</v>
      </c>
      <c r="AA9" s="1131">
        <v>0</v>
      </c>
      <c r="AB9" s="1131">
        <v>0</v>
      </c>
      <c r="AC9" s="1131">
        <v>119.806</v>
      </c>
      <c r="AD9" s="1131">
        <v>9.2159999999999993</v>
      </c>
      <c r="AE9" s="1131">
        <v>0.99299999999999999</v>
      </c>
      <c r="AF9" s="1131">
        <v>5.5170000000000003</v>
      </c>
      <c r="AG9" s="1149">
        <v>1.33</v>
      </c>
      <c r="AH9" s="1150">
        <v>2.8000000000000001E-2</v>
      </c>
    </row>
    <row r="10" spans="1:38" ht="15.9">
      <c r="A10" s="186" t="s">
        <v>396</v>
      </c>
      <c r="B10" s="523" t="s">
        <v>398</v>
      </c>
      <c r="C10" s="861">
        <v>191.45699999999999</v>
      </c>
      <c r="D10" s="195">
        <f t="shared" si="0"/>
        <v>190</v>
      </c>
      <c r="E10" s="861">
        <v>91.078000000000003</v>
      </c>
      <c r="F10" s="195">
        <f t="shared" si="3"/>
        <v>90</v>
      </c>
      <c r="G10" s="861">
        <v>10.119999999999999</v>
      </c>
      <c r="H10" s="743">
        <f t="shared" si="4"/>
        <v>10</v>
      </c>
      <c r="I10" s="861">
        <v>6.44</v>
      </c>
      <c r="J10" s="743">
        <f t="shared" si="9"/>
        <v>6</v>
      </c>
      <c r="K10" s="861">
        <v>0</v>
      </c>
      <c r="L10" s="536">
        <v>0</v>
      </c>
      <c r="M10" s="861">
        <v>59.798999999999999</v>
      </c>
      <c r="N10" s="748">
        <f t="shared" si="5"/>
        <v>60</v>
      </c>
      <c r="O10" s="861">
        <v>134.833</v>
      </c>
      <c r="P10" s="536">
        <f t="shared" si="1"/>
        <v>130</v>
      </c>
      <c r="Q10" s="861">
        <v>22.254000000000001</v>
      </c>
      <c r="R10" s="748">
        <f t="shared" si="2"/>
        <v>22</v>
      </c>
      <c r="S10" s="861">
        <v>0</v>
      </c>
      <c r="T10" s="747">
        <v>0</v>
      </c>
      <c r="U10" s="861">
        <v>17.701000000000001</v>
      </c>
      <c r="V10" s="748">
        <f t="shared" si="6"/>
        <v>18</v>
      </c>
      <c r="W10" s="861">
        <v>1.141</v>
      </c>
      <c r="X10" s="748">
        <f t="shared" si="7"/>
        <v>1</v>
      </c>
      <c r="Y10" s="861">
        <v>3.68</v>
      </c>
      <c r="Z10" s="188">
        <f t="shared" si="8"/>
        <v>4</v>
      </c>
      <c r="AA10" s="1131">
        <v>0</v>
      </c>
      <c r="AB10" s="1131">
        <v>0</v>
      </c>
      <c r="AC10" s="1131">
        <v>179.72</v>
      </c>
      <c r="AD10" s="1131">
        <v>13.824999999999999</v>
      </c>
      <c r="AE10" s="1131">
        <v>0.02</v>
      </c>
      <c r="AF10" s="1131">
        <v>0.112</v>
      </c>
      <c r="AG10" s="1149">
        <v>2.81</v>
      </c>
      <c r="AH10" s="1150">
        <v>6.0999999999999999E-2</v>
      </c>
      <c r="AI10" s="212"/>
      <c r="AJ10" s="212"/>
      <c r="AK10" s="212"/>
      <c r="AL10" s="212"/>
    </row>
    <row r="11" spans="1:38" ht="15.9">
      <c r="A11" s="186" t="s">
        <v>396</v>
      </c>
      <c r="B11" s="523" t="s">
        <v>399</v>
      </c>
      <c r="C11" s="861">
        <v>199.87899999999999</v>
      </c>
      <c r="D11" s="195">
        <f t="shared" si="0"/>
        <v>200</v>
      </c>
      <c r="E11" s="861">
        <v>82.948999999999998</v>
      </c>
      <c r="F11" s="195">
        <f t="shared" si="3"/>
        <v>80</v>
      </c>
      <c r="G11" s="861">
        <v>9.2170000000000005</v>
      </c>
      <c r="H11" s="743">
        <f t="shared" si="4"/>
        <v>9</v>
      </c>
      <c r="I11" s="861">
        <v>5.53</v>
      </c>
      <c r="J11" s="743">
        <f t="shared" si="9"/>
        <v>6</v>
      </c>
      <c r="K11" s="861">
        <v>0</v>
      </c>
      <c r="L11" s="536">
        <v>0</v>
      </c>
      <c r="M11" s="861">
        <v>50.691000000000003</v>
      </c>
      <c r="N11" s="748">
        <f t="shared" si="5"/>
        <v>50</v>
      </c>
      <c r="O11" s="861">
        <v>107.25700000000001</v>
      </c>
      <c r="P11" s="536">
        <f t="shared" si="1"/>
        <v>110</v>
      </c>
      <c r="Q11" s="861">
        <v>26.446000000000002</v>
      </c>
      <c r="R11" s="748">
        <f t="shared" si="2"/>
        <v>26</v>
      </c>
      <c r="S11" s="861">
        <v>0</v>
      </c>
      <c r="T11" s="747">
        <v>0</v>
      </c>
      <c r="U11" s="861">
        <v>20.367999999999999</v>
      </c>
      <c r="V11" s="748">
        <f t="shared" si="6"/>
        <v>20</v>
      </c>
      <c r="W11" s="861">
        <v>1.0129999999999999</v>
      </c>
      <c r="X11" s="748">
        <f t="shared" si="7"/>
        <v>1</v>
      </c>
      <c r="Y11" s="861">
        <v>3.6869999999999998</v>
      </c>
      <c r="Z11" s="188">
        <f t="shared" si="8"/>
        <v>4</v>
      </c>
      <c r="AA11" s="1131">
        <v>0</v>
      </c>
      <c r="AB11" s="1131">
        <v>0</v>
      </c>
      <c r="AC11" s="1131">
        <v>120.111</v>
      </c>
      <c r="AD11" s="1131">
        <v>9.2390000000000008</v>
      </c>
      <c r="AE11" s="1131">
        <v>0.995</v>
      </c>
      <c r="AF11" s="1131">
        <v>5.53</v>
      </c>
      <c r="AG11" s="1149">
        <v>1.224</v>
      </c>
      <c r="AH11" s="1150">
        <v>2.5999999999999999E-2</v>
      </c>
    </row>
    <row r="12" spans="1:38" ht="15.9">
      <c r="A12" s="186" t="s">
        <v>396</v>
      </c>
      <c r="B12" s="523" t="s">
        <v>36</v>
      </c>
      <c r="C12" s="861">
        <v>194.80799999999999</v>
      </c>
      <c r="D12" s="195">
        <f t="shared" si="0"/>
        <v>190</v>
      </c>
      <c r="E12" s="861">
        <v>91.394000000000005</v>
      </c>
      <c r="F12" s="195">
        <f t="shared" si="3"/>
        <v>90</v>
      </c>
      <c r="G12" s="861">
        <v>10.154999999999999</v>
      </c>
      <c r="H12" s="743">
        <f t="shared" si="4"/>
        <v>10</v>
      </c>
      <c r="I12" s="861">
        <v>6.4619999999999997</v>
      </c>
      <c r="J12" s="743">
        <f t="shared" si="9"/>
        <v>6</v>
      </c>
      <c r="K12" s="861">
        <v>0</v>
      </c>
      <c r="L12" s="536">
        <v>0</v>
      </c>
      <c r="M12" s="861">
        <v>60.006</v>
      </c>
      <c r="N12" s="748">
        <f t="shared" si="5"/>
        <v>60</v>
      </c>
      <c r="O12" s="861">
        <v>129.245</v>
      </c>
      <c r="P12" s="536">
        <f t="shared" si="1"/>
        <v>130</v>
      </c>
      <c r="Q12" s="861">
        <v>23.673999999999999</v>
      </c>
      <c r="R12" s="748">
        <f t="shared" si="2"/>
        <v>24</v>
      </c>
      <c r="S12" s="861">
        <v>0</v>
      </c>
      <c r="T12" s="747">
        <v>0</v>
      </c>
      <c r="U12" s="861">
        <v>18.814</v>
      </c>
      <c r="V12" s="748">
        <f t="shared" si="6"/>
        <v>19</v>
      </c>
      <c r="W12" s="861">
        <v>2.1970000000000001</v>
      </c>
      <c r="X12" s="748">
        <f t="shared" si="7"/>
        <v>2</v>
      </c>
      <c r="Y12" s="861">
        <v>3.6930000000000001</v>
      </c>
      <c r="Z12" s="188">
        <f t="shared" si="8"/>
        <v>4</v>
      </c>
      <c r="AA12" s="1131">
        <v>0</v>
      </c>
      <c r="AB12" s="1131">
        <v>0</v>
      </c>
      <c r="AC12" s="1131">
        <v>180.22300000000001</v>
      </c>
      <c r="AD12" s="1131">
        <v>13.863</v>
      </c>
      <c r="AE12" s="1131">
        <v>0</v>
      </c>
      <c r="AF12" s="1131">
        <v>0</v>
      </c>
      <c r="AG12" s="1149">
        <v>1.7090000000000001</v>
      </c>
      <c r="AH12" s="1150">
        <v>3.5999999999999997E-2</v>
      </c>
    </row>
    <row r="13" spans="1:38" ht="15.9">
      <c r="A13" s="186" t="s">
        <v>396</v>
      </c>
      <c r="B13" s="523" t="s">
        <v>140</v>
      </c>
      <c r="C13" s="861">
        <v>191.626</v>
      </c>
      <c r="D13" s="195">
        <f t="shared" si="0"/>
        <v>190</v>
      </c>
      <c r="E13" s="861">
        <v>91.635999999999996</v>
      </c>
      <c r="F13" s="195">
        <f t="shared" si="3"/>
        <v>90</v>
      </c>
      <c r="G13" s="861">
        <v>10.182</v>
      </c>
      <c r="H13" s="743">
        <f t="shared" si="4"/>
        <v>10</v>
      </c>
      <c r="I13" s="861">
        <v>6.4790000000000001</v>
      </c>
      <c r="J13" s="743">
        <f t="shared" si="9"/>
        <v>6</v>
      </c>
      <c r="K13" s="861">
        <v>0</v>
      </c>
      <c r="L13" s="536">
        <v>0</v>
      </c>
      <c r="M13" s="861">
        <v>60.164999999999999</v>
      </c>
      <c r="N13" s="748">
        <f t="shared" si="5"/>
        <v>60</v>
      </c>
      <c r="O13" s="861">
        <v>133.79400000000001</v>
      </c>
      <c r="P13" s="536">
        <f t="shared" si="1"/>
        <v>130</v>
      </c>
      <c r="Q13" s="861">
        <v>21.786000000000001</v>
      </c>
      <c r="R13" s="748">
        <f t="shared" si="2"/>
        <v>22</v>
      </c>
      <c r="S13" s="861">
        <v>0</v>
      </c>
      <c r="T13" s="747">
        <v>0</v>
      </c>
      <c r="U13" s="861">
        <v>17.655999999999999</v>
      </c>
      <c r="V13" s="748">
        <f t="shared" si="6"/>
        <v>18</v>
      </c>
      <c r="W13" s="861">
        <v>0.99399999999999999</v>
      </c>
      <c r="X13" s="748" t="s">
        <v>303</v>
      </c>
      <c r="Y13" s="861">
        <v>3.702</v>
      </c>
      <c r="Z13" s="188">
        <f t="shared" si="8"/>
        <v>4</v>
      </c>
      <c r="AA13" s="1131">
        <v>0</v>
      </c>
      <c r="AB13" s="1131">
        <v>0</v>
      </c>
      <c r="AC13" s="1131">
        <v>180.72499999999999</v>
      </c>
      <c r="AD13" s="1131">
        <v>13.901999999999999</v>
      </c>
      <c r="AE13" s="1131">
        <v>0</v>
      </c>
      <c r="AF13" s="1131">
        <v>0</v>
      </c>
      <c r="AG13" s="1149">
        <v>1.1859999999999999</v>
      </c>
      <c r="AH13" s="1150">
        <v>2.5000000000000001E-2</v>
      </c>
      <c r="AI13" s="212"/>
      <c r="AJ13" s="212"/>
      <c r="AK13" s="212"/>
      <c r="AL13" s="212"/>
    </row>
    <row r="14" spans="1:38" ht="15.9">
      <c r="A14" s="186" t="s">
        <v>396</v>
      </c>
      <c r="B14" s="523" t="s">
        <v>400</v>
      </c>
      <c r="C14" s="861">
        <v>200.911</v>
      </c>
      <c r="D14" s="195">
        <f t="shared" si="0"/>
        <v>200</v>
      </c>
      <c r="E14" s="861">
        <v>83.372</v>
      </c>
      <c r="F14" s="195">
        <f t="shared" si="3"/>
        <v>80</v>
      </c>
      <c r="G14" s="861">
        <v>9.2639999999999993</v>
      </c>
      <c r="H14" s="743">
        <f t="shared" si="4"/>
        <v>9</v>
      </c>
      <c r="I14" s="861">
        <v>5.5579999999999998</v>
      </c>
      <c r="J14" s="743">
        <f t="shared" si="9"/>
        <v>6</v>
      </c>
      <c r="K14" s="861">
        <v>0</v>
      </c>
      <c r="L14" s="536">
        <v>0</v>
      </c>
      <c r="M14" s="861">
        <v>50.948999999999998</v>
      </c>
      <c r="N14" s="748">
        <f t="shared" si="5"/>
        <v>50</v>
      </c>
      <c r="O14" s="861">
        <v>109.157</v>
      </c>
      <c r="P14" s="536">
        <f t="shared" si="1"/>
        <v>110</v>
      </c>
      <c r="Q14" s="861">
        <v>26.437000000000001</v>
      </c>
      <c r="R14" s="748">
        <f t="shared" si="2"/>
        <v>26</v>
      </c>
      <c r="S14" s="861">
        <v>0</v>
      </c>
      <c r="T14" s="747">
        <v>0</v>
      </c>
      <c r="U14" s="861">
        <v>20.466000000000001</v>
      </c>
      <c r="V14" s="748">
        <f t="shared" si="6"/>
        <v>20</v>
      </c>
      <c r="W14" s="861">
        <v>1.0129999999999999</v>
      </c>
      <c r="X14" s="748">
        <f>MROUND(W14,1)</f>
        <v>1</v>
      </c>
      <c r="Y14" s="861">
        <v>3.7050000000000001</v>
      </c>
      <c r="Z14" s="188">
        <f t="shared" si="8"/>
        <v>4</v>
      </c>
      <c r="AA14" s="1131">
        <v>0</v>
      </c>
      <c r="AB14" s="1131">
        <v>0</v>
      </c>
      <c r="AC14" s="1131">
        <v>120.651</v>
      </c>
      <c r="AD14" s="1131">
        <v>9.2810000000000006</v>
      </c>
      <c r="AE14" s="1131">
        <v>1</v>
      </c>
      <c r="AF14" s="1131">
        <v>5.5579999999999998</v>
      </c>
      <c r="AG14" s="1149">
        <v>1.125</v>
      </c>
      <c r="AH14" s="1150">
        <v>2.4E-2</v>
      </c>
    </row>
    <row r="15" spans="1:38" ht="15.9">
      <c r="A15" s="186" t="s">
        <v>396</v>
      </c>
      <c r="B15" s="523" t="s">
        <v>135</v>
      </c>
      <c r="C15" s="861">
        <v>191.679</v>
      </c>
      <c r="D15" s="195">
        <f t="shared" si="0"/>
        <v>190</v>
      </c>
      <c r="E15" s="861">
        <v>91.811999999999998</v>
      </c>
      <c r="F15" s="195">
        <f t="shared" si="3"/>
        <v>90</v>
      </c>
      <c r="G15" s="861">
        <v>10.201000000000001</v>
      </c>
      <c r="H15" s="743">
        <f t="shared" si="4"/>
        <v>10</v>
      </c>
      <c r="I15" s="861">
        <v>6.492</v>
      </c>
      <c r="J15" s="743">
        <f t="shared" si="9"/>
        <v>6</v>
      </c>
      <c r="K15" s="861">
        <v>0</v>
      </c>
      <c r="L15" s="536">
        <v>0</v>
      </c>
      <c r="M15" s="861">
        <v>60.280999999999999</v>
      </c>
      <c r="N15" s="748">
        <f t="shared" si="5"/>
        <v>60</v>
      </c>
      <c r="O15" s="861">
        <v>143.922</v>
      </c>
      <c r="P15" s="536">
        <f t="shared" si="1"/>
        <v>140</v>
      </c>
      <c r="Q15" s="861">
        <v>22.385999999999999</v>
      </c>
      <c r="R15" s="748">
        <f t="shared" si="2"/>
        <v>22</v>
      </c>
      <c r="S15" s="861">
        <v>0</v>
      </c>
      <c r="T15" s="747">
        <v>0</v>
      </c>
      <c r="U15" s="861">
        <v>17.745000000000001</v>
      </c>
      <c r="V15" s="748">
        <f t="shared" si="6"/>
        <v>18</v>
      </c>
      <c r="W15" s="861">
        <v>1.0509999999999999</v>
      </c>
      <c r="X15" s="748">
        <f>MROUND(W15,1)</f>
        <v>1</v>
      </c>
      <c r="Y15" s="861">
        <v>3.71</v>
      </c>
      <c r="Z15" s="188">
        <f t="shared" si="8"/>
        <v>4</v>
      </c>
      <c r="AA15" s="1131">
        <v>0</v>
      </c>
      <c r="AB15" s="1131">
        <v>0</v>
      </c>
      <c r="AC15" s="1131">
        <v>181.15199999999999</v>
      </c>
      <c r="AD15" s="1131">
        <v>13.935</v>
      </c>
      <c r="AE15" s="1131">
        <v>2.7E-2</v>
      </c>
      <c r="AF15" s="1131">
        <v>0.15</v>
      </c>
      <c r="AG15" s="1149">
        <v>3.1619999999999999</v>
      </c>
      <c r="AH15" s="1150">
        <v>6.7000000000000004E-2</v>
      </c>
    </row>
    <row r="16" spans="1:38" ht="15.9">
      <c r="A16" s="186" t="s">
        <v>396</v>
      </c>
      <c r="B16" s="523" t="s">
        <v>26</v>
      </c>
      <c r="C16" s="861">
        <v>191.07</v>
      </c>
      <c r="D16" s="195">
        <f t="shared" si="0"/>
        <v>190</v>
      </c>
      <c r="E16" s="861">
        <v>92.05</v>
      </c>
      <c r="F16" s="195">
        <f t="shared" si="3"/>
        <v>90</v>
      </c>
      <c r="G16" s="861">
        <v>10.228</v>
      </c>
      <c r="H16" s="743">
        <f t="shared" si="4"/>
        <v>10</v>
      </c>
      <c r="I16" s="861">
        <v>6.5090000000000003</v>
      </c>
      <c r="J16" s="743">
        <f t="shared" si="9"/>
        <v>7</v>
      </c>
      <c r="K16" s="861">
        <v>0</v>
      </c>
      <c r="L16" s="536">
        <v>0</v>
      </c>
      <c r="M16" s="861">
        <v>60.436999999999998</v>
      </c>
      <c r="N16" s="748">
        <f t="shared" si="5"/>
        <v>60</v>
      </c>
      <c r="O16" s="861">
        <v>131.19399999999999</v>
      </c>
      <c r="P16" s="536">
        <f t="shared" si="1"/>
        <v>130</v>
      </c>
      <c r="Q16" s="861">
        <v>22.646000000000001</v>
      </c>
      <c r="R16" s="748">
        <f t="shared" si="2"/>
        <v>23</v>
      </c>
      <c r="S16" s="861">
        <v>0</v>
      </c>
      <c r="T16" s="747">
        <v>0</v>
      </c>
      <c r="U16" s="861">
        <v>17.553999999999998</v>
      </c>
      <c r="V16" s="748">
        <f t="shared" si="6"/>
        <v>18</v>
      </c>
      <c r="W16" s="861">
        <v>0.81799999999999995</v>
      </c>
      <c r="X16" s="748" t="s">
        <v>303</v>
      </c>
      <c r="Y16" s="861">
        <v>3.7189999999999999</v>
      </c>
      <c r="Z16" s="188">
        <f t="shared" si="8"/>
        <v>4</v>
      </c>
      <c r="AA16" s="1131">
        <v>0</v>
      </c>
      <c r="AB16" s="1131">
        <v>0</v>
      </c>
      <c r="AC16" s="1131">
        <v>181.54900000000001</v>
      </c>
      <c r="AD16" s="1131">
        <v>13.965</v>
      </c>
      <c r="AE16" s="1131">
        <v>0</v>
      </c>
      <c r="AF16" s="1131">
        <v>0</v>
      </c>
      <c r="AG16" s="1149">
        <v>0.98799999999999999</v>
      </c>
      <c r="AH16" s="1150">
        <v>2.1000000000000001E-2</v>
      </c>
    </row>
    <row r="17" spans="1:38" ht="15.9">
      <c r="A17" s="186" t="s">
        <v>396</v>
      </c>
      <c r="B17" s="523" t="s">
        <v>98</v>
      </c>
      <c r="C17" s="861">
        <v>191.44</v>
      </c>
      <c r="D17" s="195">
        <f t="shared" si="0"/>
        <v>190</v>
      </c>
      <c r="E17" s="861">
        <v>92.123999999999995</v>
      </c>
      <c r="F17" s="195">
        <f t="shared" si="3"/>
        <v>90</v>
      </c>
      <c r="G17" s="861">
        <v>10.236000000000001</v>
      </c>
      <c r="H17" s="743">
        <f t="shared" si="4"/>
        <v>10</v>
      </c>
      <c r="I17" s="861">
        <v>6.5140000000000002</v>
      </c>
      <c r="J17" s="743">
        <f t="shared" si="9"/>
        <v>7</v>
      </c>
      <c r="K17" s="861">
        <v>0</v>
      </c>
      <c r="L17" s="536">
        <v>0</v>
      </c>
      <c r="M17" s="861">
        <v>60.484999999999999</v>
      </c>
      <c r="N17" s="748">
        <f t="shared" si="5"/>
        <v>60</v>
      </c>
      <c r="O17" s="861">
        <v>137.94</v>
      </c>
      <c r="P17" s="536">
        <f t="shared" si="1"/>
        <v>140</v>
      </c>
      <c r="Q17" s="861">
        <v>22.702000000000002</v>
      </c>
      <c r="R17" s="748">
        <f t="shared" si="2"/>
        <v>23</v>
      </c>
      <c r="S17" s="861">
        <v>0</v>
      </c>
      <c r="T17" s="747">
        <v>0</v>
      </c>
      <c r="U17" s="861">
        <v>17.783000000000001</v>
      </c>
      <c r="V17" s="748">
        <f t="shared" si="6"/>
        <v>18</v>
      </c>
      <c r="W17" s="861">
        <v>1.0329999999999999</v>
      </c>
      <c r="X17" s="748">
        <f>MROUND(W17,1)</f>
        <v>1</v>
      </c>
      <c r="Y17" s="861">
        <v>3.722</v>
      </c>
      <c r="Z17" s="188">
        <f t="shared" si="8"/>
        <v>4</v>
      </c>
      <c r="AA17" s="1131">
        <v>0</v>
      </c>
      <c r="AB17" s="1131">
        <v>0</v>
      </c>
      <c r="AC17" s="1131">
        <v>190.953</v>
      </c>
      <c r="AD17" s="1131">
        <v>14.689</v>
      </c>
      <c r="AE17" s="1131">
        <v>0</v>
      </c>
      <c r="AF17" s="1131">
        <v>0</v>
      </c>
      <c r="AG17" s="1149">
        <v>0.93300000000000005</v>
      </c>
      <c r="AH17" s="1150">
        <v>0.02</v>
      </c>
    </row>
    <row r="18" spans="1:38" ht="15.9">
      <c r="A18" s="186" t="s">
        <v>396</v>
      </c>
      <c r="B18" s="523" t="s">
        <v>401</v>
      </c>
      <c r="C18" s="861">
        <v>191.92099999999999</v>
      </c>
      <c r="D18" s="195">
        <f t="shared" si="0"/>
        <v>190</v>
      </c>
      <c r="E18" s="861">
        <v>92.61</v>
      </c>
      <c r="F18" s="195">
        <f t="shared" si="3"/>
        <v>90</v>
      </c>
      <c r="G18" s="861">
        <v>10.29</v>
      </c>
      <c r="H18" s="743">
        <f t="shared" si="4"/>
        <v>10</v>
      </c>
      <c r="I18" s="861">
        <v>6.548</v>
      </c>
      <c r="J18" s="743">
        <f t="shared" si="9"/>
        <v>7</v>
      </c>
      <c r="K18" s="861">
        <v>0</v>
      </c>
      <c r="L18" s="536">
        <v>0</v>
      </c>
      <c r="M18" s="861">
        <v>60.805</v>
      </c>
      <c r="N18" s="748">
        <f t="shared" si="5"/>
        <v>60</v>
      </c>
      <c r="O18" s="861">
        <v>159.65899999999999</v>
      </c>
      <c r="P18" s="536">
        <f t="shared" si="1"/>
        <v>160</v>
      </c>
      <c r="Q18" s="861">
        <v>21.515000000000001</v>
      </c>
      <c r="R18" s="748">
        <f t="shared" si="2"/>
        <v>22</v>
      </c>
      <c r="S18" s="861">
        <v>0</v>
      </c>
      <c r="T18" s="747">
        <v>0</v>
      </c>
      <c r="U18" s="861">
        <v>17.888999999999999</v>
      </c>
      <c r="V18" s="748">
        <f t="shared" si="6"/>
        <v>18</v>
      </c>
      <c r="W18" s="861">
        <v>1.0509999999999999</v>
      </c>
      <c r="X18" s="748">
        <f>MROUND(W18,1)</f>
        <v>1</v>
      </c>
      <c r="Y18" s="861">
        <v>3.742</v>
      </c>
      <c r="Z18" s="188">
        <f t="shared" si="8"/>
        <v>4</v>
      </c>
      <c r="AA18" s="1131">
        <v>0</v>
      </c>
      <c r="AB18" s="1131">
        <v>0</v>
      </c>
      <c r="AC18" s="1131">
        <v>182.613</v>
      </c>
      <c r="AD18" s="1131">
        <v>14.047000000000001</v>
      </c>
      <c r="AE18" s="1131">
        <v>0</v>
      </c>
      <c r="AF18" s="1131">
        <v>0</v>
      </c>
      <c r="AG18" s="1149">
        <v>0.88100000000000001</v>
      </c>
      <c r="AH18" s="1150">
        <v>1.9E-2</v>
      </c>
      <c r="AI18" s="212"/>
      <c r="AJ18" s="212"/>
      <c r="AK18" s="212"/>
      <c r="AL18" s="212"/>
    </row>
    <row r="19" spans="1:38" ht="15.9">
      <c r="A19" s="186" t="s">
        <v>396</v>
      </c>
      <c r="B19" s="523" t="s">
        <v>361</v>
      </c>
      <c r="C19" s="861">
        <v>201.27500000000001</v>
      </c>
      <c r="D19" s="195">
        <f t="shared" si="0"/>
        <v>200</v>
      </c>
      <c r="E19" s="861">
        <v>84.191000000000003</v>
      </c>
      <c r="F19" s="195">
        <f t="shared" si="3"/>
        <v>80</v>
      </c>
      <c r="G19" s="861">
        <v>9.3550000000000004</v>
      </c>
      <c r="H19" s="743">
        <f t="shared" si="4"/>
        <v>9</v>
      </c>
      <c r="I19" s="861">
        <v>5.6130000000000004</v>
      </c>
      <c r="J19" s="743">
        <f t="shared" si="9"/>
        <v>6</v>
      </c>
      <c r="K19" s="861">
        <v>0</v>
      </c>
      <c r="L19" s="536">
        <v>0</v>
      </c>
      <c r="M19" s="861">
        <v>51.45</v>
      </c>
      <c r="N19" s="748">
        <f t="shared" si="5"/>
        <v>50</v>
      </c>
      <c r="O19" s="861">
        <v>136.27199999999999</v>
      </c>
      <c r="P19" s="536">
        <f t="shared" si="1"/>
        <v>140</v>
      </c>
      <c r="Q19" s="861">
        <v>25.257000000000001</v>
      </c>
      <c r="R19" s="748">
        <f t="shared" si="2"/>
        <v>25</v>
      </c>
      <c r="S19" s="861">
        <v>0</v>
      </c>
      <c r="T19" s="747">
        <v>0</v>
      </c>
      <c r="U19" s="861">
        <v>20.696000000000002</v>
      </c>
      <c r="V19" s="748">
        <f t="shared" si="6"/>
        <v>21</v>
      </c>
      <c r="W19" s="861">
        <v>1.0509999999999999</v>
      </c>
      <c r="X19" s="748">
        <f>MROUND(W19,1)</f>
        <v>1</v>
      </c>
      <c r="Y19" s="861">
        <v>3.742</v>
      </c>
      <c r="Z19" s="188">
        <f t="shared" si="8"/>
        <v>4</v>
      </c>
      <c r="AA19" s="1131">
        <v>0</v>
      </c>
      <c r="AB19" s="1131">
        <v>0</v>
      </c>
      <c r="AC19" s="1131">
        <v>121.80800000000001</v>
      </c>
      <c r="AD19" s="1131">
        <v>9.3699999999999992</v>
      </c>
      <c r="AE19" s="1131">
        <v>1.01</v>
      </c>
      <c r="AF19" s="1131">
        <v>5.6130000000000004</v>
      </c>
      <c r="AG19" s="1149">
        <v>0.88100000000000001</v>
      </c>
      <c r="AH19" s="1150">
        <v>1.9E-2</v>
      </c>
      <c r="AI19" s="212"/>
      <c r="AJ19" s="212"/>
      <c r="AK19" s="212"/>
      <c r="AL19" s="212"/>
    </row>
    <row r="20" spans="1:38" ht="15.9">
      <c r="A20" s="186" t="s">
        <v>396</v>
      </c>
      <c r="B20" s="523" t="s">
        <v>357</v>
      </c>
      <c r="C20" s="861">
        <v>191.953</v>
      </c>
      <c r="D20" s="195">
        <f t="shared" si="0"/>
        <v>190</v>
      </c>
      <c r="E20" s="861">
        <v>92.715000000000003</v>
      </c>
      <c r="F20" s="195">
        <f t="shared" si="3"/>
        <v>90</v>
      </c>
      <c r="G20" s="861">
        <v>10.302</v>
      </c>
      <c r="H20" s="743">
        <f t="shared" si="4"/>
        <v>10</v>
      </c>
      <c r="I20" s="861">
        <v>6.556</v>
      </c>
      <c r="J20" s="743">
        <f t="shared" si="9"/>
        <v>7</v>
      </c>
      <c r="K20" s="861">
        <v>0</v>
      </c>
      <c r="L20" s="536">
        <v>0</v>
      </c>
      <c r="M20" s="861">
        <v>60.874000000000002</v>
      </c>
      <c r="N20" s="748">
        <f t="shared" si="5"/>
        <v>60</v>
      </c>
      <c r="O20" s="861">
        <v>135.762</v>
      </c>
      <c r="P20" s="536">
        <f t="shared" si="1"/>
        <v>140</v>
      </c>
      <c r="Q20" s="861">
        <v>22.606000000000002</v>
      </c>
      <c r="R20" s="748">
        <f t="shared" si="2"/>
        <v>23</v>
      </c>
      <c r="S20" s="861">
        <v>0</v>
      </c>
      <c r="T20" s="747">
        <v>0</v>
      </c>
      <c r="U20" s="861">
        <v>17.568000000000001</v>
      </c>
      <c r="V20" s="748">
        <f t="shared" si="6"/>
        <v>18</v>
      </c>
      <c r="W20" s="861">
        <v>0.71099999999999997</v>
      </c>
      <c r="X20" s="748" t="s">
        <v>303</v>
      </c>
      <c r="Y20" s="861">
        <v>3.746</v>
      </c>
      <c r="Z20" s="188">
        <f t="shared" si="8"/>
        <v>4</v>
      </c>
      <c r="AA20" s="1131">
        <v>0</v>
      </c>
      <c r="AB20" s="1131">
        <v>0</v>
      </c>
      <c r="AC20" s="1131">
        <v>182.86699999999999</v>
      </c>
      <c r="AD20" s="1131">
        <v>14.067</v>
      </c>
      <c r="AE20" s="1131">
        <v>2.7E-2</v>
      </c>
      <c r="AF20" s="1131">
        <v>0.152</v>
      </c>
      <c r="AG20" s="1149">
        <v>2.899</v>
      </c>
      <c r="AH20" s="1150">
        <v>6.2E-2</v>
      </c>
    </row>
    <row r="21" spans="1:38" ht="15.9">
      <c r="A21" s="186" t="s">
        <v>396</v>
      </c>
      <c r="B21" s="523" t="s">
        <v>66</v>
      </c>
      <c r="C21" s="861">
        <v>191.68899999999999</v>
      </c>
      <c r="D21" s="195">
        <f t="shared" si="0"/>
        <v>190</v>
      </c>
      <c r="E21" s="861">
        <v>92.74</v>
      </c>
      <c r="F21" s="195">
        <f t="shared" si="3"/>
        <v>90</v>
      </c>
      <c r="G21" s="861">
        <v>10.304</v>
      </c>
      <c r="H21" s="743">
        <f t="shared" si="4"/>
        <v>10</v>
      </c>
      <c r="I21" s="861">
        <v>6.5570000000000004</v>
      </c>
      <c r="J21" s="743">
        <f t="shared" si="9"/>
        <v>7</v>
      </c>
      <c r="K21" s="861">
        <v>0</v>
      </c>
      <c r="L21" s="536">
        <v>0</v>
      </c>
      <c r="M21" s="861">
        <v>60.89</v>
      </c>
      <c r="N21" s="748">
        <f t="shared" si="5"/>
        <v>60</v>
      </c>
      <c r="O21" s="861">
        <v>131.96100000000001</v>
      </c>
      <c r="P21" s="536">
        <f t="shared" si="1"/>
        <v>130</v>
      </c>
      <c r="Q21" s="861">
        <v>22.657</v>
      </c>
      <c r="R21" s="748">
        <f t="shared" si="2"/>
        <v>23</v>
      </c>
      <c r="S21" s="861">
        <v>0</v>
      </c>
      <c r="T21" s="747">
        <v>0</v>
      </c>
      <c r="U21" s="861">
        <v>17.593</v>
      </c>
      <c r="V21" s="748">
        <f t="shared" si="6"/>
        <v>18</v>
      </c>
      <c r="W21" s="861">
        <v>0.73199999999999998</v>
      </c>
      <c r="X21" s="748" t="s">
        <v>303</v>
      </c>
      <c r="Y21" s="861">
        <v>3.7469999999999999</v>
      </c>
      <c r="Z21" s="188">
        <f t="shared" si="8"/>
        <v>4</v>
      </c>
      <c r="AA21" s="1131">
        <v>0</v>
      </c>
      <c r="AB21" s="1131">
        <v>0</v>
      </c>
      <c r="AC21" s="1131">
        <v>182.833</v>
      </c>
      <c r="AD21" s="1131">
        <v>14.064</v>
      </c>
      <c r="AE21" s="1131">
        <v>0</v>
      </c>
      <c r="AF21" s="1131">
        <v>0</v>
      </c>
      <c r="AG21" s="1149">
        <v>0.81299999999999994</v>
      </c>
      <c r="AH21" s="1150">
        <v>1.7000000000000001E-2</v>
      </c>
    </row>
    <row r="22" spans="1:38" ht="15.9">
      <c r="A22" s="186" t="s">
        <v>396</v>
      </c>
      <c r="B22" s="523" t="s">
        <v>402</v>
      </c>
      <c r="C22" s="861">
        <v>192.256</v>
      </c>
      <c r="D22" s="195">
        <f t="shared" si="0"/>
        <v>190</v>
      </c>
      <c r="E22" s="861">
        <v>92.864999999999995</v>
      </c>
      <c r="F22" s="195">
        <f t="shared" si="3"/>
        <v>90</v>
      </c>
      <c r="G22" s="861">
        <v>10.318</v>
      </c>
      <c r="H22" s="743">
        <f t="shared" si="4"/>
        <v>10</v>
      </c>
      <c r="I22" s="861">
        <v>6.5659999999999998</v>
      </c>
      <c r="J22" s="743">
        <f t="shared" si="9"/>
        <v>7</v>
      </c>
      <c r="K22" s="861">
        <v>0</v>
      </c>
      <c r="L22" s="536">
        <v>0</v>
      </c>
      <c r="M22" s="861">
        <v>60.972000000000001</v>
      </c>
      <c r="N22" s="748">
        <f t="shared" si="5"/>
        <v>60</v>
      </c>
      <c r="O22" s="861">
        <v>133.13200000000001</v>
      </c>
      <c r="P22" s="536">
        <f t="shared" si="1"/>
        <v>130</v>
      </c>
      <c r="Q22" s="861">
        <v>22.763000000000002</v>
      </c>
      <c r="R22" s="748">
        <f t="shared" si="2"/>
        <v>23</v>
      </c>
      <c r="S22" s="861">
        <v>0</v>
      </c>
      <c r="T22" s="747">
        <v>0</v>
      </c>
      <c r="U22" s="861">
        <v>17.686</v>
      </c>
      <c r="V22" s="748">
        <f t="shared" si="6"/>
        <v>18</v>
      </c>
      <c r="W22" s="861">
        <v>0.80100000000000005</v>
      </c>
      <c r="X22" s="748" t="s">
        <v>303</v>
      </c>
      <c r="Y22" s="861">
        <v>3.7519999999999998</v>
      </c>
      <c r="Z22" s="188">
        <f t="shared" si="8"/>
        <v>4</v>
      </c>
      <c r="AA22" s="1131">
        <v>0</v>
      </c>
      <c r="AB22" s="1131">
        <v>0</v>
      </c>
      <c r="AC22" s="1131">
        <v>183.096</v>
      </c>
      <c r="AD22" s="1131">
        <v>14.084</v>
      </c>
      <c r="AE22" s="1131">
        <v>0</v>
      </c>
      <c r="AF22" s="1131">
        <v>0</v>
      </c>
      <c r="AG22" s="1149">
        <v>0.85299999999999998</v>
      </c>
      <c r="AH22" s="1150">
        <v>1.7999999999999999E-2</v>
      </c>
    </row>
    <row r="23" spans="1:38" ht="15.65" customHeight="1">
      <c r="A23" s="186" t="s">
        <v>394</v>
      </c>
      <c r="B23" s="186" t="s">
        <v>127</v>
      </c>
      <c r="C23" s="860">
        <v>76.265000000000001</v>
      </c>
      <c r="D23" s="195">
        <f t="shared" si="0"/>
        <v>80</v>
      </c>
      <c r="E23" s="860">
        <v>4.4999999999999998E-2</v>
      </c>
      <c r="F23" s="195">
        <v>0</v>
      </c>
      <c r="G23" s="860">
        <v>5.0000000000000001E-3</v>
      </c>
      <c r="H23" s="743">
        <v>0</v>
      </c>
      <c r="I23" s="860">
        <v>0</v>
      </c>
      <c r="J23" s="743">
        <v>0</v>
      </c>
      <c r="K23" s="860">
        <v>0</v>
      </c>
      <c r="L23" s="536">
        <v>0</v>
      </c>
      <c r="M23" s="860">
        <v>0</v>
      </c>
      <c r="N23" s="195">
        <v>0</v>
      </c>
      <c r="O23" s="860">
        <v>22.870999999999999</v>
      </c>
      <c r="P23" s="536">
        <f t="shared" si="1"/>
        <v>20</v>
      </c>
      <c r="Q23" s="860">
        <v>26.338999999999999</v>
      </c>
      <c r="R23" s="748">
        <f t="shared" si="2"/>
        <v>26</v>
      </c>
      <c r="S23" s="860">
        <v>0</v>
      </c>
      <c r="T23" s="747">
        <v>0</v>
      </c>
      <c r="U23" s="860">
        <v>5.1999999999999998E-2</v>
      </c>
      <c r="V23" s="195">
        <v>0</v>
      </c>
      <c r="W23" s="860">
        <v>0</v>
      </c>
      <c r="X23" s="195">
        <v>0</v>
      </c>
      <c r="Y23" s="860">
        <v>8.0000000000000002E-3</v>
      </c>
      <c r="Z23" s="195">
        <v>0</v>
      </c>
      <c r="AA23" s="555">
        <v>0</v>
      </c>
      <c r="AB23" s="555">
        <v>0</v>
      </c>
      <c r="AC23" s="536">
        <v>5.1109999999999998</v>
      </c>
      <c r="AD23" s="536">
        <v>0.39300000000000002</v>
      </c>
      <c r="AE23" s="536">
        <v>3.4000000000000002E-2</v>
      </c>
      <c r="AF23" s="536">
        <v>0.187</v>
      </c>
      <c r="AG23" s="609">
        <v>14.673999999999999</v>
      </c>
      <c r="AH23" s="611">
        <v>0.312</v>
      </c>
    </row>
    <row r="24" spans="1:38" ht="15.9">
      <c r="A24" s="186" t="s">
        <v>394</v>
      </c>
      <c r="B24" s="186" t="s">
        <v>395</v>
      </c>
      <c r="C24" s="860">
        <v>74.903999999999996</v>
      </c>
      <c r="D24" s="195">
        <f t="shared" si="0"/>
        <v>70</v>
      </c>
      <c r="E24" s="860">
        <v>5.3999999999999999E-2</v>
      </c>
      <c r="F24" s="195">
        <v>0</v>
      </c>
      <c r="G24" s="860">
        <v>6.0000000000000001E-3</v>
      </c>
      <c r="H24" s="743">
        <v>0</v>
      </c>
      <c r="I24" s="860">
        <v>5.0000000000000001E-3</v>
      </c>
      <c r="J24" s="743">
        <v>0</v>
      </c>
      <c r="K24" s="860">
        <v>0</v>
      </c>
      <c r="L24" s="536">
        <v>0</v>
      </c>
      <c r="M24" s="860">
        <v>0</v>
      </c>
      <c r="N24" s="195">
        <v>0</v>
      </c>
      <c r="O24" s="860">
        <v>15.657999999999999</v>
      </c>
      <c r="P24" s="536">
        <f t="shared" si="1"/>
        <v>20</v>
      </c>
      <c r="Q24" s="860">
        <v>26.114999999999998</v>
      </c>
      <c r="R24" s="748">
        <f t="shared" si="2"/>
        <v>26</v>
      </c>
      <c r="S24" s="860">
        <v>0.01</v>
      </c>
      <c r="T24" s="747">
        <v>0</v>
      </c>
      <c r="U24" s="860">
        <v>9.2999999999999999E-2</v>
      </c>
      <c r="V24" s="195">
        <v>0</v>
      </c>
      <c r="W24" s="860">
        <v>0</v>
      </c>
      <c r="X24" s="195">
        <v>0</v>
      </c>
      <c r="Y24" s="860">
        <v>8.0000000000000002E-3</v>
      </c>
      <c r="Z24" s="195">
        <v>0</v>
      </c>
      <c r="AA24" s="555">
        <v>0</v>
      </c>
      <c r="AB24" s="555">
        <v>0</v>
      </c>
      <c r="AC24" s="536">
        <v>8.0050000000000008</v>
      </c>
      <c r="AD24" s="536">
        <v>0.61599999999999999</v>
      </c>
      <c r="AE24" s="536">
        <v>4.1000000000000002E-2</v>
      </c>
      <c r="AF24" s="536">
        <v>0.22700000000000001</v>
      </c>
      <c r="AG24" s="609">
        <v>14.269</v>
      </c>
      <c r="AH24" s="611">
        <v>0.30399999999999999</v>
      </c>
    </row>
    <row r="25" spans="1:38" ht="15.9">
      <c r="A25" s="186" t="s">
        <v>396</v>
      </c>
      <c r="B25" s="784" t="s">
        <v>356</v>
      </c>
      <c r="C25" s="861">
        <v>191.89099999999999</v>
      </c>
      <c r="D25" s="195">
        <f t="shared" si="0"/>
        <v>190</v>
      </c>
      <c r="E25" s="861">
        <v>93.239000000000004</v>
      </c>
      <c r="F25" s="195">
        <f>MROUND(E25,10)</f>
        <v>90</v>
      </c>
      <c r="G25" s="861">
        <v>10.36</v>
      </c>
      <c r="H25" s="743">
        <f>MROUND(G25,1)</f>
        <v>10</v>
      </c>
      <c r="I25" s="861">
        <v>6.593</v>
      </c>
      <c r="J25" s="743">
        <f>MROUND(I25,1)</f>
        <v>7</v>
      </c>
      <c r="K25" s="861">
        <v>0</v>
      </c>
      <c r="L25" s="536">
        <v>0</v>
      </c>
      <c r="M25" s="861">
        <v>61.218000000000004</v>
      </c>
      <c r="N25" s="748">
        <f>MROUND(M25,5)</f>
        <v>60</v>
      </c>
      <c r="O25" s="861">
        <v>132.846</v>
      </c>
      <c r="P25" s="536">
        <f t="shared" si="1"/>
        <v>130</v>
      </c>
      <c r="Q25" s="861">
        <v>22.478000000000002</v>
      </c>
      <c r="R25" s="748">
        <f t="shared" si="2"/>
        <v>22</v>
      </c>
      <c r="S25" s="861">
        <v>0</v>
      </c>
      <c r="T25" s="747">
        <v>0</v>
      </c>
      <c r="U25" s="861">
        <v>17.504000000000001</v>
      </c>
      <c r="V25" s="748">
        <f>MROUND(U25,1)</f>
        <v>18</v>
      </c>
      <c r="W25" s="861">
        <v>0.55100000000000005</v>
      </c>
      <c r="X25" s="748" t="s">
        <v>303</v>
      </c>
      <c r="Y25" s="861">
        <v>3.7669999999999999</v>
      </c>
      <c r="Z25" s="188">
        <f>MROUND(Y25,1)</f>
        <v>4</v>
      </c>
      <c r="AA25" s="1131">
        <v>0</v>
      </c>
      <c r="AB25" s="1131">
        <v>0</v>
      </c>
      <c r="AC25" s="1131">
        <v>183.80799999999999</v>
      </c>
      <c r="AD25" s="1131">
        <v>14.138999999999999</v>
      </c>
      <c r="AE25" s="1131">
        <v>0</v>
      </c>
      <c r="AF25" s="1131">
        <v>0</v>
      </c>
      <c r="AG25" s="1149">
        <v>0.66200000000000003</v>
      </c>
      <c r="AH25" s="1150">
        <v>1.4E-2</v>
      </c>
      <c r="AI25" s="683"/>
      <c r="AJ25" s="732"/>
      <c r="AK25" s="732"/>
      <c r="AL25" s="732"/>
    </row>
    <row r="26" spans="1:38" ht="15.9">
      <c r="A26" s="186" t="s">
        <v>396</v>
      </c>
      <c r="B26" s="523" t="s">
        <v>359</v>
      </c>
      <c r="C26" s="861">
        <v>192.773</v>
      </c>
      <c r="D26" s="195">
        <f t="shared" si="0"/>
        <v>190</v>
      </c>
      <c r="E26" s="861">
        <v>93.334000000000003</v>
      </c>
      <c r="F26" s="195">
        <f>MROUND(E26,10)</f>
        <v>90</v>
      </c>
      <c r="G26" s="861">
        <v>10.37</v>
      </c>
      <c r="H26" s="743">
        <f>MROUND(G26,1)</f>
        <v>10</v>
      </c>
      <c r="I26" s="861">
        <v>6.5990000000000002</v>
      </c>
      <c r="J26" s="743">
        <f>MROUND(I26,1)</f>
        <v>7</v>
      </c>
      <c r="K26" s="861">
        <v>0</v>
      </c>
      <c r="L26" s="536">
        <v>0</v>
      </c>
      <c r="M26" s="861">
        <v>61.28</v>
      </c>
      <c r="N26" s="748">
        <f>MROUND(M26,5)</f>
        <v>60</v>
      </c>
      <c r="O26" s="861">
        <v>131.98699999999999</v>
      </c>
      <c r="P26" s="536">
        <f t="shared" si="1"/>
        <v>130</v>
      </c>
      <c r="Q26" s="861">
        <v>22.57</v>
      </c>
      <c r="R26" s="748">
        <f t="shared" si="2"/>
        <v>23</v>
      </c>
      <c r="S26" s="861">
        <v>0</v>
      </c>
      <c r="T26" s="747">
        <v>0</v>
      </c>
      <c r="U26" s="861">
        <v>17.666</v>
      </c>
      <c r="V26" s="748">
        <f>MROUND(U26,1)</f>
        <v>18</v>
      </c>
      <c r="W26" s="861">
        <v>0.69599999999999995</v>
      </c>
      <c r="X26" s="748" t="s">
        <v>303</v>
      </c>
      <c r="Y26" s="861">
        <v>3.7709999999999999</v>
      </c>
      <c r="Z26" s="188">
        <f>MROUND(Y26,1)</f>
        <v>4</v>
      </c>
      <c r="AA26" s="1131">
        <v>0</v>
      </c>
      <c r="AB26" s="1131">
        <v>0</v>
      </c>
      <c r="AC26" s="1131">
        <v>183.94499999999999</v>
      </c>
      <c r="AD26" s="1131">
        <v>14.15</v>
      </c>
      <c r="AE26" s="1131">
        <v>0</v>
      </c>
      <c r="AF26" s="1131">
        <v>0</v>
      </c>
      <c r="AG26" s="1149">
        <v>0.90700000000000003</v>
      </c>
      <c r="AH26" s="1150">
        <v>1.9E-2</v>
      </c>
      <c r="AI26" s="212"/>
      <c r="AJ26" s="212"/>
      <c r="AK26" s="212"/>
      <c r="AL26" s="212"/>
    </row>
    <row r="27" spans="1:38" ht="15.9">
      <c r="A27" s="186" t="s">
        <v>394</v>
      </c>
      <c r="B27" s="186" t="s">
        <v>123</v>
      </c>
      <c r="C27" s="860">
        <v>75.494</v>
      </c>
      <c r="D27" s="195">
        <f t="shared" si="0"/>
        <v>80</v>
      </c>
      <c r="E27" s="860">
        <v>4.3999999999999997E-2</v>
      </c>
      <c r="F27" s="195">
        <v>0</v>
      </c>
      <c r="G27" s="860">
        <v>5.0000000000000001E-3</v>
      </c>
      <c r="H27" s="743">
        <v>0</v>
      </c>
      <c r="I27" s="860">
        <v>5.0000000000000001E-3</v>
      </c>
      <c r="J27" s="743">
        <v>0</v>
      </c>
      <c r="K27" s="860">
        <v>0</v>
      </c>
      <c r="L27" s="536">
        <v>0</v>
      </c>
      <c r="M27" s="860">
        <v>0</v>
      </c>
      <c r="N27" s="195">
        <v>0</v>
      </c>
      <c r="O27" s="860">
        <v>16.16</v>
      </c>
      <c r="P27" s="536">
        <f t="shared" si="1"/>
        <v>20</v>
      </c>
      <c r="Q27" s="860">
        <v>26.423999999999999</v>
      </c>
      <c r="R27" s="748">
        <f t="shared" si="2"/>
        <v>26</v>
      </c>
      <c r="S27" s="860">
        <v>5.0000000000000001E-3</v>
      </c>
      <c r="T27" s="747">
        <v>0</v>
      </c>
      <c r="U27" s="860">
        <v>5.2999999999999999E-2</v>
      </c>
      <c r="V27" s="195">
        <v>0</v>
      </c>
      <c r="W27" s="860">
        <v>0</v>
      </c>
      <c r="X27" s="195">
        <v>0</v>
      </c>
      <c r="Y27" s="860">
        <v>1.6E-2</v>
      </c>
      <c r="Z27" s="195">
        <v>0</v>
      </c>
      <c r="AA27" s="555">
        <v>0</v>
      </c>
      <c r="AB27" s="555">
        <v>0</v>
      </c>
      <c r="AC27" s="536">
        <v>8.0190000000000001</v>
      </c>
      <c r="AD27" s="536">
        <v>0.61699999999999999</v>
      </c>
      <c r="AE27" s="536">
        <v>3.4000000000000002E-2</v>
      </c>
      <c r="AF27" s="536">
        <v>0.187</v>
      </c>
      <c r="AG27" s="609">
        <v>15.036</v>
      </c>
      <c r="AH27" s="611">
        <v>0.32</v>
      </c>
      <c r="AI27" s="693"/>
      <c r="AJ27" s="693"/>
      <c r="AK27" s="693"/>
      <c r="AL27" s="693"/>
    </row>
    <row r="28" spans="1:38" ht="15.9">
      <c r="A28" s="186" t="s">
        <v>394</v>
      </c>
      <c r="B28" s="186" t="s">
        <v>335</v>
      </c>
      <c r="C28" s="860">
        <v>99.227000000000004</v>
      </c>
      <c r="D28" s="195">
        <f t="shared" si="0"/>
        <v>100</v>
      </c>
      <c r="E28" s="860">
        <v>0</v>
      </c>
      <c r="F28" s="195">
        <v>0</v>
      </c>
      <c r="G28" s="860">
        <v>0</v>
      </c>
      <c r="H28" s="743">
        <v>0</v>
      </c>
      <c r="I28" s="860">
        <v>0</v>
      </c>
      <c r="J28" s="743">
        <v>0</v>
      </c>
      <c r="K28" s="860">
        <v>0</v>
      </c>
      <c r="L28" s="536">
        <v>0</v>
      </c>
      <c r="M28" s="860">
        <v>0</v>
      </c>
      <c r="N28" s="195">
        <v>0</v>
      </c>
      <c r="O28" s="860">
        <v>15.416</v>
      </c>
      <c r="P28" s="536">
        <f t="shared" si="1"/>
        <v>20</v>
      </c>
      <c r="Q28" s="860">
        <v>25.959</v>
      </c>
      <c r="R28" s="748">
        <f t="shared" si="2"/>
        <v>26</v>
      </c>
      <c r="S28" s="860">
        <v>0.17599999999999999</v>
      </c>
      <c r="T28" s="747">
        <v>0</v>
      </c>
      <c r="U28" s="860">
        <v>0</v>
      </c>
      <c r="V28" s="195">
        <v>0</v>
      </c>
      <c r="W28" s="860">
        <v>0</v>
      </c>
      <c r="X28" s="195">
        <v>0</v>
      </c>
      <c r="Y28" s="860">
        <v>1.7000000000000001E-2</v>
      </c>
      <c r="Z28" s="195">
        <v>0</v>
      </c>
      <c r="AA28" s="555">
        <v>0</v>
      </c>
      <c r="AB28" s="555">
        <v>0</v>
      </c>
      <c r="AC28" s="536">
        <v>5.4649999999999999</v>
      </c>
      <c r="AD28" s="536">
        <v>0.42</v>
      </c>
      <c r="AE28" s="536">
        <v>2.3E-2</v>
      </c>
      <c r="AF28" s="536">
        <v>0.126</v>
      </c>
      <c r="AG28" s="609">
        <v>3.2989999999999999</v>
      </c>
      <c r="AH28" s="611">
        <v>7.0000000000000007E-2</v>
      </c>
    </row>
    <row r="29" spans="1:38" ht="15.9">
      <c r="A29" s="186" t="s">
        <v>396</v>
      </c>
      <c r="B29" s="523" t="s">
        <v>431</v>
      </c>
      <c r="C29" s="861">
        <v>192.37200000000001</v>
      </c>
      <c r="D29" s="195">
        <f t="shared" si="0"/>
        <v>190</v>
      </c>
      <c r="E29" s="861">
        <v>93.433999999999997</v>
      </c>
      <c r="F29" s="195">
        <f>MROUND(E29,10)</f>
        <v>90</v>
      </c>
      <c r="G29" s="861">
        <v>10.382</v>
      </c>
      <c r="H29" s="743">
        <f>MROUND(G29,1)</f>
        <v>10</v>
      </c>
      <c r="I29" s="861">
        <v>6.6059999999999999</v>
      </c>
      <c r="J29" s="743">
        <f>MROUND(I29,1)</f>
        <v>7</v>
      </c>
      <c r="K29" s="861">
        <v>0</v>
      </c>
      <c r="L29" s="536">
        <v>0</v>
      </c>
      <c r="M29" s="861">
        <v>61.345999999999997</v>
      </c>
      <c r="N29" s="748">
        <f>MROUND(M29,5)</f>
        <v>60</v>
      </c>
      <c r="O29" s="861">
        <v>132.732</v>
      </c>
      <c r="P29" s="536">
        <f t="shared" si="1"/>
        <v>130</v>
      </c>
      <c r="Q29" s="861">
        <v>22.39</v>
      </c>
      <c r="R29" s="748">
        <f t="shared" si="2"/>
        <v>22</v>
      </c>
      <c r="S29" s="861">
        <v>0</v>
      </c>
      <c r="T29" s="747">
        <v>0</v>
      </c>
      <c r="U29" s="861">
        <v>17.510000000000002</v>
      </c>
      <c r="V29" s="748">
        <f t="shared" ref="V29:V64" si="10">MROUND(U29,1)</f>
        <v>18</v>
      </c>
      <c r="W29" s="861">
        <v>0.48199999999999998</v>
      </c>
      <c r="X29" s="195">
        <v>0</v>
      </c>
      <c r="Y29" s="861">
        <v>3.7749999999999999</v>
      </c>
      <c r="Z29" s="188">
        <f>MROUND(Y29,1)</f>
        <v>4</v>
      </c>
      <c r="AA29" s="1131">
        <v>0</v>
      </c>
      <c r="AB29" s="1131">
        <v>0</v>
      </c>
      <c r="AC29" s="1131">
        <v>184.178</v>
      </c>
      <c r="AD29" s="1131">
        <v>14.167999999999999</v>
      </c>
      <c r="AE29" s="1131">
        <v>0</v>
      </c>
      <c r="AF29" s="1131">
        <v>0</v>
      </c>
      <c r="AG29" s="1149">
        <v>1.2849999999999999</v>
      </c>
      <c r="AH29" s="1150">
        <v>2.7E-2</v>
      </c>
      <c r="AI29" s="212"/>
      <c r="AJ29" s="212"/>
      <c r="AK29" s="212"/>
      <c r="AL29" s="212"/>
    </row>
    <row r="30" spans="1:38" ht="15.9">
      <c r="A30" s="186" t="s">
        <v>396</v>
      </c>
      <c r="B30" s="523" t="s">
        <v>404</v>
      </c>
      <c r="C30" s="861">
        <v>192.46100000000001</v>
      </c>
      <c r="D30" s="195">
        <f t="shared" si="0"/>
        <v>190</v>
      </c>
      <c r="E30" s="861">
        <v>93.492000000000004</v>
      </c>
      <c r="F30" s="195">
        <f>MROUND(E30,10)</f>
        <v>90</v>
      </c>
      <c r="G30" s="861">
        <v>10.388</v>
      </c>
      <c r="H30" s="743">
        <f>MROUND(G30,1)</f>
        <v>10</v>
      </c>
      <c r="I30" s="861">
        <v>6.61</v>
      </c>
      <c r="J30" s="743">
        <f>MROUND(I30,1)</f>
        <v>7</v>
      </c>
      <c r="K30" s="861">
        <v>0</v>
      </c>
      <c r="L30" s="536">
        <v>0</v>
      </c>
      <c r="M30" s="861">
        <v>61.383000000000003</v>
      </c>
      <c r="N30" s="748">
        <f>MROUND(M30,5)</f>
        <v>60</v>
      </c>
      <c r="O30" s="861">
        <v>133.435</v>
      </c>
      <c r="P30" s="536">
        <f t="shared" si="1"/>
        <v>130</v>
      </c>
      <c r="Q30" s="861">
        <v>22.635999999999999</v>
      </c>
      <c r="R30" s="748">
        <f t="shared" si="2"/>
        <v>23</v>
      </c>
      <c r="S30" s="861">
        <v>1.4E-2</v>
      </c>
      <c r="T30" s="747">
        <v>0</v>
      </c>
      <c r="U30" s="861">
        <v>17.728000000000002</v>
      </c>
      <c r="V30" s="748">
        <f t="shared" si="10"/>
        <v>18</v>
      </c>
      <c r="W30" s="861">
        <v>0</v>
      </c>
      <c r="X30" s="195">
        <v>0</v>
      </c>
      <c r="Y30" s="861">
        <v>3.778</v>
      </c>
      <c r="Z30" s="188">
        <f>MROUND(Y30,1)</f>
        <v>4</v>
      </c>
      <c r="AA30" s="1131">
        <v>0</v>
      </c>
      <c r="AB30" s="1131">
        <v>0</v>
      </c>
      <c r="AC30" s="1131">
        <v>184.19300000000001</v>
      </c>
      <c r="AD30" s="1131">
        <v>14.169</v>
      </c>
      <c r="AE30" s="1131">
        <v>1E-3</v>
      </c>
      <c r="AF30" s="1131">
        <v>7.0000000000000001E-3</v>
      </c>
      <c r="AG30" s="1149">
        <v>0.77</v>
      </c>
      <c r="AH30" s="1150">
        <v>1.6E-2</v>
      </c>
    </row>
    <row r="31" spans="1:38" ht="15.9">
      <c r="A31" s="186" t="s">
        <v>396</v>
      </c>
      <c r="B31" s="523" t="s">
        <v>130</v>
      </c>
      <c r="C31" s="861">
        <v>192.773</v>
      </c>
      <c r="D31" s="195">
        <f t="shared" si="0"/>
        <v>190</v>
      </c>
      <c r="E31" s="861">
        <v>95.423000000000002</v>
      </c>
      <c r="F31" s="195">
        <f>MROUND(E31,10)</f>
        <v>100</v>
      </c>
      <c r="G31" s="861">
        <v>10.603</v>
      </c>
      <c r="H31" s="743">
        <f>MROUND(G31,1)</f>
        <v>11</v>
      </c>
      <c r="I31" s="861">
        <v>6.7469999999999999</v>
      </c>
      <c r="J31" s="743">
        <f>MROUND(I31,1)</f>
        <v>7</v>
      </c>
      <c r="K31" s="861">
        <v>0</v>
      </c>
      <c r="L31" s="536">
        <v>0</v>
      </c>
      <c r="M31" s="861">
        <v>62.621000000000002</v>
      </c>
      <c r="N31" s="748">
        <f>MROUND(M31,5)</f>
        <v>65</v>
      </c>
      <c r="O31" s="861">
        <v>134.941</v>
      </c>
      <c r="P31" s="536">
        <f t="shared" si="1"/>
        <v>130</v>
      </c>
      <c r="Q31" s="861">
        <v>22.169</v>
      </c>
      <c r="R31" s="748">
        <f t="shared" si="2"/>
        <v>22</v>
      </c>
      <c r="S31" s="861">
        <v>0</v>
      </c>
      <c r="T31" s="747">
        <v>0</v>
      </c>
      <c r="U31" s="861">
        <v>17.350000000000001</v>
      </c>
      <c r="V31" s="748">
        <f t="shared" si="10"/>
        <v>17</v>
      </c>
      <c r="W31" s="861">
        <v>0</v>
      </c>
      <c r="X31" s="195">
        <v>0</v>
      </c>
      <c r="Y31" s="861">
        <v>3.855</v>
      </c>
      <c r="Z31" s="188">
        <f>MROUND(Y31,1)</f>
        <v>4</v>
      </c>
      <c r="AA31" s="1131">
        <v>0</v>
      </c>
      <c r="AB31" s="1131">
        <v>0</v>
      </c>
      <c r="AC31" s="1131">
        <v>187.95400000000001</v>
      </c>
      <c r="AD31" s="1131">
        <v>14.458</v>
      </c>
      <c r="AE31" s="1131">
        <v>0</v>
      </c>
      <c r="AF31" s="1131">
        <v>0</v>
      </c>
      <c r="AG31" s="1149">
        <v>0</v>
      </c>
      <c r="AH31" s="1150">
        <v>0</v>
      </c>
    </row>
    <row r="32" spans="1:38" ht="15.9">
      <c r="A32" s="186" t="s">
        <v>396</v>
      </c>
      <c r="B32" s="523" t="s">
        <v>129</v>
      </c>
      <c r="C32" s="861">
        <v>202.41200000000001</v>
      </c>
      <c r="D32" s="195">
        <f t="shared" si="0"/>
        <v>200</v>
      </c>
      <c r="E32" s="861">
        <v>86.748000000000005</v>
      </c>
      <c r="F32" s="195">
        <f>MROUND(E32,10)</f>
        <v>90</v>
      </c>
      <c r="G32" s="861">
        <v>9.6389999999999993</v>
      </c>
      <c r="H32" s="743">
        <f>MROUND(G32,1)</f>
        <v>10</v>
      </c>
      <c r="I32" s="861">
        <v>5.7830000000000004</v>
      </c>
      <c r="J32" s="743">
        <f>MROUND(I32,1)</f>
        <v>6</v>
      </c>
      <c r="K32" s="861">
        <v>0</v>
      </c>
      <c r="L32" s="536">
        <v>0</v>
      </c>
      <c r="M32" s="861">
        <v>53.012999999999998</v>
      </c>
      <c r="N32" s="748">
        <f>MROUND(M32,5)</f>
        <v>55</v>
      </c>
      <c r="O32" s="861">
        <v>110.845</v>
      </c>
      <c r="P32" s="536">
        <f t="shared" si="1"/>
        <v>110</v>
      </c>
      <c r="Q32" s="861">
        <v>26.024000000000001</v>
      </c>
      <c r="R32" s="748">
        <f t="shared" si="2"/>
        <v>26</v>
      </c>
      <c r="S32" s="861">
        <v>0</v>
      </c>
      <c r="T32" s="747">
        <v>0</v>
      </c>
      <c r="U32" s="861">
        <v>20.241</v>
      </c>
      <c r="V32" s="748">
        <f t="shared" si="10"/>
        <v>20</v>
      </c>
      <c r="W32" s="861">
        <v>20.241</v>
      </c>
      <c r="X32" s="748">
        <f t="shared" ref="X32:X64" si="11">MROUND(W32,1)</f>
        <v>20</v>
      </c>
      <c r="Y32" s="861">
        <v>3.855</v>
      </c>
      <c r="Z32" s="188">
        <f>MROUND(Y32,1)</f>
        <v>4</v>
      </c>
      <c r="AA32" s="761">
        <v>0</v>
      </c>
      <c r="AB32" s="761">
        <v>0</v>
      </c>
      <c r="AC32" s="761">
        <v>125.303</v>
      </c>
      <c r="AD32" s="761">
        <v>9.6389999999999993</v>
      </c>
      <c r="AE32" s="761">
        <v>1.0409999999999999</v>
      </c>
      <c r="AF32" s="761">
        <v>5.7830000000000004</v>
      </c>
      <c r="AG32" s="1151">
        <v>0</v>
      </c>
      <c r="AH32" s="1152">
        <v>0</v>
      </c>
    </row>
    <row r="33" spans="1:38" ht="15.9">
      <c r="A33" s="186" t="s">
        <v>296</v>
      </c>
      <c r="B33" s="186" t="s">
        <v>37</v>
      </c>
      <c r="C33" s="860">
        <v>83.891999999999996</v>
      </c>
      <c r="D33" s="195">
        <f t="shared" si="0"/>
        <v>80</v>
      </c>
      <c r="E33" s="860">
        <v>0</v>
      </c>
      <c r="F33" s="195">
        <v>0</v>
      </c>
      <c r="G33" s="860">
        <v>0</v>
      </c>
      <c r="H33" s="743">
        <v>0</v>
      </c>
      <c r="I33" s="860">
        <v>0</v>
      </c>
      <c r="J33" s="743">
        <v>0</v>
      </c>
      <c r="K33" s="860">
        <v>0</v>
      </c>
      <c r="L33" s="536">
        <v>0</v>
      </c>
      <c r="M33" s="860">
        <v>0</v>
      </c>
      <c r="N33" s="195">
        <v>0</v>
      </c>
      <c r="O33" s="860">
        <v>22.088000000000001</v>
      </c>
      <c r="P33" s="536">
        <f t="shared" si="1"/>
        <v>20</v>
      </c>
      <c r="Q33" s="860">
        <v>21.890999999999998</v>
      </c>
      <c r="R33" s="748">
        <f t="shared" si="2"/>
        <v>22</v>
      </c>
      <c r="S33" s="860">
        <v>0</v>
      </c>
      <c r="T33" s="747">
        <v>0</v>
      </c>
      <c r="U33" s="860">
        <v>21.242000000000001</v>
      </c>
      <c r="V33" s="748">
        <f t="shared" si="10"/>
        <v>21</v>
      </c>
      <c r="W33" s="860">
        <v>16.077999999999999</v>
      </c>
      <c r="X33" s="748">
        <f t="shared" si="11"/>
        <v>16</v>
      </c>
      <c r="Y33" s="860">
        <v>0</v>
      </c>
      <c r="Z33" s="195">
        <v>0</v>
      </c>
      <c r="AA33" s="555">
        <v>0</v>
      </c>
      <c r="AB33" s="555">
        <v>0</v>
      </c>
      <c r="AC33" s="536">
        <v>4.2</v>
      </c>
      <c r="AD33" s="536">
        <v>0.32300000000000001</v>
      </c>
      <c r="AE33" s="536">
        <v>8.0000000000000002E-3</v>
      </c>
      <c r="AF33" s="536">
        <v>4.2999999999999997E-2</v>
      </c>
      <c r="AG33" s="609">
        <v>0.32200000000000001</v>
      </c>
      <c r="AH33" s="611">
        <v>7.0000000000000001E-3</v>
      </c>
    </row>
    <row r="34" spans="1:38" ht="15.9">
      <c r="A34" s="186" t="s">
        <v>296</v>
      </c>
      <c r="B34" s="186" t="s">
        <v>313</v>
      </c>
      <c r="C34" s="860">
        <v>134.477</v>
      </c>
      <c r="D34" s="195">
        <f t="shared" si="0"/>
        <v>130</v>
      </c>
      <c r="E34" s="860">
        <v>0</v>
      </c>
      <c r="F34" s="195">
        <v>0</v>
      </c>
      <c r="G34" s="860">
        <v>0</v>
      </c>
      <c r="H34" s="743">
        <v>0</v>
      </c>
      <c r="I34" s="860">
        <v>0</v>
      </c>
      <c r="J34" s="743">
        <v>0</v>
      </c>
      <c r="K34" s="860">
        <v>0</v>
      </c>
      <c r="L34" s="536">
        <v>0</v>
      </c>
      <c r="M34" s="860">
        <v>0</v>
      </c>
      <c r="N34" s="195">
        <v>0</v>
      </c>
      <c r="O34" s="860">
        <v>19.63</v>
      </c>
      <c r="P34" s="536">
        <f t="shared" si="1"/>
        <v>20</v>
      </c>
      <c r="Q34" s="860">
        <v>33.947000000000003</v>
      </c>
      <c r="R34" s="748">
        <f t="shared" si="2"/>
        <v>34</v>
      </c>
      <c r="S34" s="860">
        <v>0</v>
      </c>
      <c r="T34" s="747">
        <v>0</v>
      </c>
      <c r="U34" s="860">
        <v>32.61</v>
      </c>
      <c r="V34" s="748">
        <f t="shared" si="10"/>
        <v>33</v>
      </c>
      <c r="W34" s="860">
        <v>32.61</v>
      </c>
      <c r="X34" s="748">
        <f t="shared" si="11"/>
        <v>33</v>
      </c>
      <c r="Y34" s="860">
        <v>0</v>
      </c>
      <c r="Z34" s="195">
        <v>0</v>
      </c>
      <c r="AA34" s="697">
        <v>0</v>
      </c>
      <c r="AB34" s="697">
        <v>0</v>
      </c>
      <c r="AC34" s="696">
        <v>4.6340000000000003</v>
      </c>
      <c r="AD34" s="696">
        <v>0.35599999999999998</v>
      </c>
      <c r="AE34" s="696">
        <v>6.0000000000000001E-3</v>
      </c>
      <c r="AF34" s="696">
        <v>3.3000000000000002E-2</v>
      </c>
      <c r="AG34" s="705">
        <v>0.247</v>
      </c>
      <c r="AH34" s="706">
        <v>5.0000000000000001E-3</v>
      </c>
    </row>
    <row r="35" spans="1:38" ht="15.9">
      <c r="A35" s="186" t="s">
        <v>296</v>
      </c>
      <c r="B35" s="186" t="s">
        <v>299</v>
      </c>
      <c r="C35" s="860">
        <v>154.14699999999999</v>
      </c>
      <c r="D35" s="195">
        <f t="shared" si="0"/>
        <v>150</v>
      </c>
      <c r="E35" s="860">
        <v>0</v>
      </c>
      <c r="F35" s="195">
        <v>0</v>
      </c>
      <c r="G35" s="860">
        <v>0</v>
      </c>
      <c r="H35" s="743">
        <v>0</v>
      </c>
      <c r="I35" s="860">
        <v>0</v>
      </c>
      <c r="J35" s="743">
        <v>0</v>
      </c>
      <c r="K35" s="860">
        <v>0</v>
      </c>
      <c r="L35" s="536">
        <v>0</v>
      </c>
      <c r="M35" s="860">
        <v>0</v>
      </c>
      <c r="N35" s="195">
        <v>0</v>
      </c>
      <c r="O35" s="860">
        <v>24.829000000000001</v>
      </c>
      <c r="P35" s="536">
        <f t="shared" si="1"/>
        <v>20</v>
      </c>
      <c r="Q35" s="860">
        <v>39.021000000000001</v>
      </c>
      <c r="R35" s="748">
        <f t="shared" si="2"/>
        <v>39</v>
      </c>
      <c r="S35" s="860">
        <v>1.2999999999999999E-2</v>
      </c>
      <c r="T35" s="747">
        <v>0</v>
      </c>
      <c r="U35" s="860">
        <v>37.820999999999998</v>
      </c>
      <c r="V35" s="748">
        <f t="shared" si="10"/>
        <v>38</v>
      </c>
      <c r="W35" s="860">
        <v>36.582000000000001</v>
      </c>
      <c r="X35" s="748">
        <f t="shared" si="11"/>
        <v>37</v>
      </c>
      <c r="Y35" s="860">
        <v>0</v>
      </c>
      <c r="Z35" s="195">
        <v>0</v>
      </c>
      <c r="AA35" s="555">
        <v>0</v>
      </c>
      <c r="AB35" s="555">
        <v>0</v>
      </c>
      <c r="AC35" s="555">
        <v>5.0659999999999998</v>
      </c>
      <c r="AD35" s="555">
        <v>0.39</v>
      </c>
      <c r="AE35" s="555">
        <v>2.1000000000000001E-2</v>
      </c>
      <c r="AF35" s="555">
        <v>0.11600000000000001</v>
      </c>
      <c r="AG35" s="612">
        <v>0.43</v>
      </c>
      <c r="AH35" s="613">
        <v>8.9999999999999993E-3</v>
      </c>
      <c r="AI35" s="223"/>
      <c r="AJ35" s="223"/>
      <c r="AK35" s="223"/>
      <c r="AL35" s="223"/>
    </row>
    <row r="36" spans="1:38" ht="15.9">
      <c r="A36" s="186" t="s">
        <v>296</v>
      </c>
      <c r="B36" s="186" t="s">
        <v>75</v>
      </c>
      <c r="C36" s="860">
        <v>153.44300000000001</v>
      </c>
      <c r="D36" s="195">
        <f t="shared" si="0"/>
        <v>150</v>
      </c>
      <c r="E36" s="860">
        <v>0</v>
      </c>
      <c r="F36" s="195">
        <v>0</v>
      </c>
      <c r="G36" s="860">
        <v>0</v>
      </c>
      <c r="H36" s="743">
        <v>0</v>
      </c>
      <c r="I36" s="860">
        <v>0</v>
      </c>
      <c r="J36" s="743">
        <v>0</v>
      </c>
      <c r="K36" s="860">
        <v>0</v>
      </c>
      <c r="L36" s="536">
        <v>0</v>
      </c>
      <c r="M36" s="860">
        <v>0</v>
      </c>
      <c r="N36" s="195">
        <v>0</v>
      </c>
      <c r="O36" s="860">
        <v>25.471</v>
      </c>
      <c r="P36" s="536">
        <f t="shared" si="1"/>
        <v>30</v>
      </c>
      <c r="Q36" s="860">
        <v>38.670999999999999</v>
      </c>
      <c r="R36" s="748">
        <f t="shared" si="2"/>
        <v>39</v>
      </c>
      <c r="S36" s="860">
        <v>2.5000000000000001E-2</v>
      </c>
      <c r="T36" s="747">
        <v>0</v>
      </c>
      <c r="U36" s="860">
        <v>37.484999999999999</v>
      </c>
      <c r="V36" s="748">
        <f t="shared" si="10"/>
        <v>37</v>
      </c>
      <c r="W36" s="860">
        <v>37.439</v>
      </c>
      <c r="X36" s="748">
        <f t="shared" si="11"/>
        <v>37</v>
      </c>
      <c r="Y36" s="860">
        <v>0</v>
      </c>
      <c r="Z36" s="195">
        <v>0</v>
      </c>
      <c r="AA36" s="555">
        <v>0</v>
      </c>
      <c r="AB36" s="555">
        <v>0</v>
      </c>
      <c r="AC36" s="536">
        <v>5.1669999999999998</v>
      </c>
      <c r="AD36" s="536">
        <v>0.39700000000000002</v>
      </c>
      <c r="AE36" s="536">
        <v>3.5000000000000003E-2</v>
      </c>
      <c r="AF36" s="536">
        <v>0.19400000000000001</v>
      </c>
      <c r="AG36" s="609">
        <v>11.704000000000001</v>
      </c>
      <c r="AH36" s="611">
        <v>0.249</v>
      </c>
      <c r="AI36" s="248"/>
      <c r="AJ36" s="248"/>
      <c r="AK36" s="248"/>
      <c r="AL36" s="248"/>
    </row>
    <row r="37" spans="1:38" ht="15.9">
      <c r="A37" s="186" t="s">
        <v>296</v>
      </c>
      <c r="B37" s="186" t="s">
        <v>336</v>
      </c>
      <c r="C37" s="859">
        <v>160.035</v>
      </c>
      <c r="D37" s="195">
        <f t="shared" ref="D37:D68" si="12">MROUND(C37,10)</f>
        <v>160</v>
      </c>
      <c r="E37" s="859">
        <v>0</v>
      </c>
      <c r="F37" s="195">
        <v>0</v>
      </c>
      <c r="G37" s="859">
        <v>0</v>
      </c>
      <c r="H37" s="743">
        <v>0</v>
      </c>
      <c r="I37" s="859">
        <v>0</v>
      </c>
      <c r="J37" s="743">
        <v>0</v>
      </c>
      <c r="K37" s="859">
        <v>0</v>
      </c>
      <c r="L37" s="536">
        <v>0</v>
      </c>
      <c r="M37" s="859">
        <v>0</v>
      </c>
      <c r="N37" s="195">
        <v>0</v>
      </c>
      <c r="O37" s="859">
        <v>19.547000000000001</v>
      </c>
      <c r="P37" s="536">
        <f t="shared" ref="P37:P68" si="13">MROUND(O37,10)</f>
        <v>20</v>
      </c>
      <c r="Q37" s="859">
        <v>39.756</v>
      </c>
      <c r="R37" s="748">
        <f t="shared" ref="R37:R68" si="14">MROUND(Q37,1)</f>
        <v>40</v>
      </c>
      <c r="S37" s="859">
        <v>0</v>
      </c>
      <c r="T37" s="747">
        <v>0</v>
      </c>
      <c r="U37" s="859">
        <v>38.734000000000002</v>
      </c>
      <c r="V37" s="748">
        <f t="shared" si="10"/>
        <v>39</v>
      </c>
      <c r="W37" s="859">
        <v>38.734000000000002</v>
      </c>
      <c r="X37" s="748">
        <f t="shared" si="11"/>
        <v>39</v>
      </c>
      <c r="Y37" s="859">
        <v>0</v>
      </c>
      <c r="Z37" s="195">
        <v>0</v>
      </c>
      <c r="AA37" s="694">
        <v>0</v>
      </c>
      <c r="AB37" s="694">
        <v>0</v>
      </c>
      <c r="AC37" s="694">
        <v>4.4610000000000003</v>
      </c>
      <c r="AD37" s="694">
        <v>0.34300000000000003</v>
      </c>
      <c r="AE37" s="694">
        <v>8.0000000000000002E-3</v>
      </c>
      <c r="AF37" s="694">
        <v>4.5999999999999999E-2</v>
      </c>
      <c r="AG37" s="707">
        <v>0.35</v>
      </c>
      <c r="AH37" s="708">
        <v>7.0000000000000001E-3</v>
      </c>
    </row>
    <row r="38" spans="1:38" ht="18.649999999999999" customHeight="1">
      <c r="A38" s="186" t="s">
        <v>296</v>
      </c>
      <c r="B38" s="186" t="s">
        <v>64</v>
      </c>
      <c r="C38" s="860">
        <v>157.94300000000001</v>
      </c>
      <c r="D38" s="195">
        <f t="shared" si="12"/>
        <v>160</v>
      </c>
      <c r="E38" s="860">
        <v>0</v>
      </c>
      <c r="F38" s="195">
        <v>0</v>
      </c>
      <c r="G38" s="860">
        <v>0</v>
      </c>
      <c r="H38" s="743">
        <v>0</v>
      </c>
      <c r="I38" s="860">
        <v>0</v>
      </c>
      <c r="J38" s="743">
        <v>0</v>
      </c>
      <c r="K38" s="860">
        <v>0</v>
      </c>
      <c r="L38" s="536">
        <v>0</v>
      </c>
      <c r="M38" s="860">
        <v>0</v>
      </c>
      <c r="N38" s="195">
        <v>0</v>
      </c>
      <c r="O38" s="860">
        <v>24.568999999999999</v>
      </c>
      <c r="P38" s="536">
        <f t="shared" si="13"/>
        <v>20</v>
      </c>
      <c r="Q38" s="860">
        <v>39.905999999999999</v>
      </c>
      <c r="R38" s="748">
        <f t="shared" si="14"/>
        <v>40</v>
      </c>
      <c r="S38" s="860">
        <v>1.2999999999999999E-2</v>
      </c>
      <c r="T38" s="747">
        <v>0</v>
      </c>
      <c r="U38" s="860">
        <v>38.764000000000003</v>
      </c>
      <c r="V38" s="748">
        <f t="shared" si="10"/>
        <v>39</v>
      </c>
      <c r="W38" s="860">
        <v>38.764000000000003</v>
      </c>
      <c r="X38" s="748">
        <f t="shared" si="11"/>
        <v>39</v>
      </c>
      <c r="Y38" s="860">
        <v>0</v>
      </c>
      <c r="Z38" s="195">
        <v>0</v>
      </c>
      <c r="AA38" s="555">
        <v>0</v>
      </c>
      <c r="AB38" s="555">
        <v>0</v>
      </c>
      <c r="AC38" s="536">
        <v>5.6980000000000004</v>
      </c>
      <c r="AD38" s="536">
        <v>0.438</v>
      </c>
      <c r="AE38" s="536">
        <v>3.5999999999999997E-2</v>
      </c>
      <c r="AF38" s="536">
        <v>0.2</v>
      </c>
      <c r="AG38" s="609">
        <v>12.378</v>
      </c>
      <c r="AH38" s="611">
        <v>0.26300000000000001</v>
      </c>
    </row>
    <row r="39" spans="1:38" ht="15.9">
      <c r="A39" s="186" t="s">
        <v>296</v>
      </c>
      <c r="B39" s="186" t="s">
        <v>308</v>
      </c>
      <c r="C39" s="859">
        <v>157.59399999999999</v>
      </c>
      <c r="D39" s="195">
        <f t="shared" si="12"/>
        <v>160</v>
      </c>
      <c r="E39" s="859">
        <v>0</v>
      </c>
      <c r="F39" s="195">
        <v>0</v>
      </c>
      <c r="G39" s="859">
        <v>0</v>
      </c>
      <c r="H39" s="743">
        <v>0</v>
      </c>
      <c r="I39" s="859">
        <v>0</v>
      </c>
      <c r="J39" s="743">
        <v>0</v>
      </c>
      <c r="K39" s="859">
        <v>0</v>
      </c>
      <c r="L39" s="536">
        <v>0</v>
      </c>
      <c r="M39" s="859">
        <v>0</v>
      </c>
      <c r="N39" s="195">
        <v>0</v>
      </c>
      <c r="O39" s="859">
        <v>19.367999999999999</v>
      </c>
      <c r="P39" s="536">
        <f t="shared" si="13"/>
        <v>20</v>
      </c>
      <c r="Q39" s="859">
        <v>39.149000000000001</v>
      </c>
      <c r="R39" s="748">
        <f t="shared" si="14"/>
        <v>39</v>
      </c>
      <c r="S39" s="859">
        <v>0</v>
      </c>
      <c r="T39" s="747">
        <v>0</v>
      </c>
      <c r="U39" s="859">
        <v>38.878999999999998</v>
      </c>
      <c r="V39" s="748">
        <f t="shared" si="10"/>
        <v>39</v>
      </c>
      <c r="W39" s="859">
        <v>38.878999999999998</v>
      </c>
      <c r="X39" s="748">
        <f t="shared" si="11"/>
        <v>39</v>
      </c>
      <c r="Y39" s="859">
        <v>0</v>
      </c>
      <c r="Z39" s="195">
        <v>0</v>
      </c>
      <c r="AA39" s="554">
        <v>0</v>
      </c>
      <c r="AB39" s="554">
        <v>0</v>
      </c>
      <c r="AC39" s="554">
        <v>4.4829999999999997</v>
      </c>
      <c r="AD39" s="554">
        <v>0.34499999999999997</v>
      </c>
      <c r="AE39" s="554">
        <v>8.0000000000000002E-3</v>
      </c>
      <c r="AF39" s="554">
        <v>4.5999999999999999E-2</v>
      </c>
      <c r="AG39" s="615">
        <v>2.9180000000000001</v>
      </c>
      <c r="AH39" s="616">
        <v>6.2E-2</v>
      </c>
    </row>
    <row r="40" spans="1:38" ht="15.9">
      <c r="A40" s="186" t="s">
        <v>296</v>
      </c>
      <c r="B40" s="186" t="s">
        <v>302</v>
      </c>
      <c r="C40" s="859">
        <v>159.72999999999999</v>
      </c>
      <c r="D40" s="195">
        <f t="shared" si="12"/>
        <v>160</v>
      </c>
      <c r="E40" s="859">
        <v>0</v>
      </c>
      <c r="F40" s="195">
        <v>0</v>
      </c>
      <c r="G40" s="859">
        <v>0</v>
      </c>
      <c r="H40" s="743">
        <v>0</v>
      </c>
      <c r="I40" s="859">
        <v>0</v>
      </c>
      <c r="J40" s="743">
        <v>0</v>
      </c>
      <c r="K40" s="860">
        <v>0</v>
      </c>
      <c r="L40" s="536">
        <v>0</v>
      </c>
      <c r="M40" s="860">
        <v>0</v>
      </c>
      <c r="N40" s="195">
        <v>0</v>
      </c>
      <c r="O40" s="859">
        <v>18.126999999999999</v>
      </c>
      <c r="P40" s="536">
        <f t="shared" si="13"/>
        <v>20</v>
      </c>
      <c r="Q40" s="859">
        <v>40.378</v>
      </c>
      <c r="R40" s="748">
        <f t="shared" si="14"/>
        <v>40</v>
      </c>
      <c r="S40" s="859">
        <v>0</v>
      </c>
      <c r="T40" s="747">
        <v>0</v>
      </c>
      <c r="U40" s="859">
        <v>39.085999999999999</v>
      </c>
      <c r="V40" s="748">
        <f t="shared" si="10"/>
        <v>39</v>
      </c>
      <c r="W40" s="859">
        <v>39.085999999999999</v>
      </c>
      <c r="X40" s="748">
        <f t="shared" si="11"/>
        <v>39</v>
      </c>
      <c r="Y40" s="859">
        <v>0</v>
      </c>
      <c r="Z40" s="195">
        <v>0</v>
      </c>
      <c r="AA40" s="555">
        <v>0</v>
      </c>
      <c r="AB40" s="555">
        <v>0</v>
      </c>
      <c r="AC40" s="554">
        <v>4.5919999999999996</v>
      </c>
      <c r="AD40" s="554">
        <v>0.35299999999999998</v>
      </c>
      <c r="AE40" s="554">
        <v>8.0000000000000002E-3</v>
      </c>
      <c r="AF40" s="554">
        <v>4.2000000000000003E-2</v>
      </c>
      <c r="AG40" s="615">
        <v>0.64700000000000002</v>
      </c>
      <c r="AH40" s="616">
        <v>1.4E-2</v>
      </c>
    </row>
    <row r="41" spans="1:38" ht="15.9">
      <c r="A41" s="186" t="s">
        <v>296</v>
      </c>
      <c r="B41" s="186" t="s">
        <v>307</v>
      </c>
      <c r="C41" s="860">
        <v>167.70099999999999</v>
      </c>
      <c r="D41" s="195">
        <f t="shared" si="12"/>
        <v>170</v>
      </c>
      <c r="E41" s="860">
        <v>0</v>
      </c>
      <c r="F41" s="195">
        <v>0</v>
      </c>
      <c r="G41" s="860">
        <v>0</v>
      </c>
      <c r="H41" s="743">
        <v>0</v>
      </c>
      <c r="I41" s="860">
        <v>0</v>
      </c>
      <c r="J41" s="743">
        <v>0</v>
      </c>
      <c r="K41" s="860">
        <v>0</v>
      </c>
      <c r="L41" s="536">
        <v>0</v>
      </c>
      <c r="M41" s="860">
        <v>0</v>
      </c>
      <c r="N41" s="195">
        <v>0</v>
      </c>
      <c r="O41" s="860">
        <v>18.940000000000001</v>
      </c>
      <c r="P41" s="536">
        <f t="shared" si="13"/>
        <v>20</v>
      </c>
      <c r="Q41" s="860">
        <v>42.51</v>
      </c>
      <c r="R41" s="748">
        <f t="shared" si="14"/>
        <v>43</v>
      </c>
      <c r="S41" s="860">
        <v>0</v>
      </c>
      <c r="T41" s="747">
        <v>0</v>
      </c>
      <c r="U41" s="860">
        <v>40.798000000000002</v>
      </c>
      <c r="V41" s="748">
        <f t="shared" si="10"/>
        <v>41</v>
      </c>
      <c r="W41" s="860">
        <v>40.798000000000002</v>
      </c>
      <c r="X41" s="748">
        <f t="shared" si="11"/>
        <v>41</v>
      </c>
      <c r="Y41" s="860">
        <v>0</v>
      </c>
      <c r="Z41" s="195">
        <v>0</v>
      </c>
      <c r="AA41" s="697">
        <v>0</v>
      </c>
      <c r="AB41" s="697">
        <v>0</v>
      </c>
      <c r="AC41" s="697">
        <v>4.4420000000000002</v>
      </c>
      <c r="AD41" s="697">
        <v>0.34200000000000003</v>
      </c>
      <c r="AE41" s="697">
        <v>0.01</v>
      </c>
      <c r="AF41" s="697">
        <v>5.2999999999999999E-2</v>
      </c>
      <c r="AG41" s="701">
        <v>4.0229999999999997</v>
      </c>
      <c r="AH41" s="702">
        <v>8.5999999999999993E-2</v>
      </c>
    </row>
    <row r="42" spans="1:38" ht="15.9">
      <c r="A42" s="186" t="s">
        <v>296</v>
      </c>
      <c r="B42" s="186" t="s">
        <v>36</v>
      </c>
      <c r="C42" s="860">
        <v>167.035</v>
      </c>
      <c r="D42" s="195">
        <f t="shared" si="12"/>
        <v>170</v>
      </c>
      <c r="E42" s="860">
        <v>0</v>
      </c>
      <c r="F42" s="195">
        <v>0</v>
      </c>
      <c r="G42" s="860">
        <v>0</v>
      </c>
      <c r="H42" s="743">
        <v>0</v>
      </c>
      <c r="I42" s="860">
        <v>0</v>
      </c>
      <c r="J42" s="743">
        <v>0</v>
      </c>
      <c r="K42" s="860">
        <v>0</v>
      </c>
      <c r="L42" s="536">
        <v>0</v>
      </c>
      <c r="M42" s="860">
        <v>0</v>
      </c>
      <c r="N42" s="195">
        <v>0</v>
      </c>
      <c r="O42" s="860">
        <v>18.091999999999999</v>
      </c>
      <c r="P42" s="536">
        <f t="shared" si="13"/>
        <v>20</v>
      </c>
      <c r="Q42" s="860">
        <v>42.209000000000003</v>
      </c>
      <c r="R42" s="748">
        <f t="shared" si="14"/>
        <v>42</v>
      </c>
      <c r="S42" s="860">
        <v>0</v>
      </c>
      <c r="T42" s="747">
        <v>0</v>
      </c>
      <c r="U42" s="860">
        <v>40.887999999999998</v>
      </c>
      <c r="V42" s="748">
        <f t="shared" si="10"/>
        <v>41</v>
      </c>
      <c r="W42" s="860">
        <v>40.887999999999998</v>
      </c>
      <c r="X42" s="748">
        <f t="shared" si="11"/>
        <v>41</v>
      </c>
      <c r="Y42" s="860">
        <v>0</v>
      </c>
      <c r="Z42" s="195">
        <v>0</v>
      </c>
      <c r="AA42" s="555">
        <v>0</v>
      </c>
      <c r="AB42" s="555">
        <v>0</v>
      </c>
      <c r="AC42" s="555">
        <v>4.6239999999999997</v>
      </c>
      <c r="AD42" s="555">
        <v>0.35599999999999998</v>
      </c>
      <c r="AE42" s="555">
        <v>8.0000000000000002E-3</v>
      </c>
      <c r="AF42" s="555">
        <v>4.2999999999999997E-2</v>
      </c>
      <c r="AG42" s="555">
        <v>0.89600000000000002</v>
      </c>
      <c r="AH42" s="555">
        <v>1.9E-2</v>
      </c>
    </row>
    <row r="43" spans="1:38" ht="15.9">
      <c r="A43" s="186" t="s">
        <v>296</v>
      </c>
      <c r="B43" s="186" t="s">
        <v>65</v>
      </c>
      <c r="C43" s="860">
        <v>173.18299999999999</v>
      </c>
      <c r="D43" s="195">
        <f t="shared" si="12"/>
        <v>170</v>
      </c>
      <c r="E43" s="860">
        <v>0</v>
      </c>
      <c r="F43" s="195">
        <v>0</v>
      </c>
      <c r="G43" s="860">
        <v>0</v>
      </c>
      <c r="H43" s="743">
        <v>0</v>
      </c>
      <c r="I43" s="860">
        <v>0</v>
      </c>
      <c r="J43" s="743">
        <v>0</v>
      </c>
      <c r="K43" s="860">
        <v>0</v>
      </c>
      <c r="L43" s="536">
        <v>0</v>
      </c>
      <c r="M43" s="860">
        <v>0</v>
      </c>
      <c r="N43" s="195">
        <v>0</v>
      </c>
      <c r="O43" s="860">
        <v>24.777000000000001</v>
      </c>
      <c r="P43" s="536">
        <f t="shared" si="13"/>
        <v>20</v>
      </c>
      <c r="Q43" s="860">
        <v>43.765000000000001</v>
      </c>
      <c r="R43" s="748">
        <f t="shared" si="14"/>
        <v>44</v>
      </c>
      <c r="S43" s="860">
        <v>0</v>
      </c>
      <c r="T43" s="747">
        <v>0</v>
      </c>
      <c r="U43" s="860">
        <v>41.195999999999998</v>
      </c>
      <c r="V43" s="748">
        <f t="shared" si="10"/>
        <v>41</v>
      </c>
      <c r="W43" s="860">
        <v>41.195999999999998</v>
      </c>
      <c r="X43" s="748">
        <f t="shared" si="11"/>
        <v>41</v>
      </c>
      <c r="Y43" s="860">
        <v>0</v>
      </c>
      <c r="Z43" s="195">
        <v>0</v>
      </c>
      <c r="AA43" s="555">
        <v>0</v>
      </c>
      <c r="AB43" s="555">
        <v>0</v>
      </c>
      <c r="AC43" s="536">
        <v>4.468</v>
      </c>
      <c r="AD43" s="536">
        <v>0.34399999999999997</v>
      </c>
      <c r="AE43" s="536">
        <v>1.4E-2</v>
      </c>
      <c r="AF43" s="536">
        <v>7.5999999999999998E-2</v>
      </c>
      <c r="AG43" s="609">
        <v>0.56399999999999995</v>
      </c>
      <c r="AH43" s="562">
        <v>1.2E-2</v>
      </c>
    </row>
    <row r="44" spans="1:38" ht="15.9">
      <c r="A44" s="186" t="s">
        <v>296</v>
      </c>
      <c r="B44" s="186" t="s">
        <v>310</v>
      </c>
      <c r="C44" s="859">
        <v>173.49100000000001</v>
      </c>
      <c r="D44" s="195">
        <f t="shared" si="12"/>
        <v>170</v>
      </c>
      <c r="E44" s="859">
        <v>0</v>
      </c>
      <c r="F44" s="195">
        <v>0</v>
      </c>
      <c r="G44" s="859">
        <v>0</v>
      </c>
      <c r="H44" s="743">
        <v>0</v>
      </c>
      <c r="I44" s="859">
        <v>0</v>
      </c>
      <c r="J44" s="743">
        <v>0</v>
      </c>
      <c r="K44" s="859">
        <v>0</v>
      </c>
      <c r="L44" s="536">
        <v>0</v>
      </c>
      <c r="M44" s="859">
        <v>0</v>
      </c>
      <c r="N44" s="195">
        <v>0</v>
      </c>
      <c r="O44" s="859">
        <v>19.344999999999999</v>
      </c>
      <c r="P44" s="536">
        <f t="shared" si="13"/>
        <v>20</v>
      </c>
      <c r="Q44" s="859">
        <v>43.978999999999999</v>
      </c>
      <c r="R44" s="748">
        <f t="shared" si="14"/>
        <v>44</v>
      </c>
      <c r="S44" s="859">
        <v>0</v>
      </c>
      <c r="T44" s="747">
        <v>0</v>
      </c>
      <c r="U44" s="859">
        <v>42.209000000000003</v>
      </c>
      <c r="V44" s="748">
        <f t="shared" si="10"/>
        <v>42</v>
      </c>
      <c r="W44" s="859">
        <v>42.209000000000003</v>
      </c>
      <c r="X44" s="748">
        <f t="shared" si="11"/>
        <v>42</v>
      </c>
      <c r="Y44" s="859">
        <v>0</v>
      </c>
      <c r="Z44" s="195">
        <v>0</v>
      </c>
      <c r="AA44" s="694">
        <v>0</v>
      </c>
      <c r="AB44" s="694">
        <v>0</v>
      </c>
      <c r="AC44" s="694">
        <v>4.391</v>
      </c>
      <c r="AD44" s="694">
        <v>0.33800000000000002</v>
      </c>
      <c r="AE44" s="694">
        <v>0.01</v>
      </c>
      <c r="AF44" s="694">
        <v>5.5E-2</v>
      </c>
      <c r="AG44" s="707">
        <v>0.41899999999999998</v>
      </c>
      <c r="AH44" s="708">
        <v>8.9999999999999993E-3</v>
      </c>
    </row>
    <row r="45" spans="1:38" ht="15.9">
      <c r="A45" s="186" t="s">
        <v>296</v>
      </c>
      <c r="B45" s="186" t="s">
        <v>29</v>
      </c>
      <c r="C45" s="860">
        <v>174.114</v>
      </c>
      <c r="D45" s="195">
        <f t="shared" si="12"/>
        <v>170</v>
      </c>
      <c r="E45" s="860">
        <v>0</v>
      </c>
      <c r="F45" s="195">
        <v>0</v>
      </c>
      <c r="G45" s="860">
        <v>0</v>
      </c>
      <c r="H45" s="743">
        <v>0</v>
      </c>
      <c r="I45" s="860">
        <v>0</v>
      </c>
      <c r="J45" s="743">
        <v>0</v>
      </c>
      <c r="K45" s="860">
        <v>0</v>
      </c>
      <c r="L45" s="536">
        <v>0</v>
      </c>
      <c r="M45" s="860">
        <v>0</v>
      </c>
      <c r="N45" s="195">
        <v>0</v>
      </c>
      <c r="O45" s="860">
        <v>24.013999999999999</v>
      </c>
      <c r="P45" s="536">
        <f t="shared" si="13"/>
        <v>20</v>
      </c>
      <c r="Q45" s="860">
        <v>44.158999999999999</v>
      </c>
      <c r="R45" s="748">
        <f t="shared" si="14"/>
        <v>44</v>
      </c>
      <c r="S45" s="860">
        <v>1.7999999999999999E-2</v>
      </c>
      <c r="T45" s="747">
        <v>0</v>
      </c>
      <c r="U45" s="860">
        <v>43.034999999999997</v>
      </c>
      <c r="V45" s="748">
        <f t="shared" si="10"/>
        <v>43</v>
      </c>
      <c r="W45" s="860">
        <v>43.034999999999997</v>
      </c>
      <c r="X45" s="748">
        <f t="shared" si="11"/>
        <v>43</v>
      </c>
      <c r="Y45" s="860">
        <v>0</v>
      </c>
      <c r="Z45" s="195">
        <v>0</v>
      </c>
      <c r="AA45" s="555">
        <v>0</v>
      </c>
      <c r="AB45" s="555">
        <v>0</v>
      </c>
      <c r="AC45" s="555">
        <v>5.6269999999999998</v>
      </c>
      <c r="AD45" s="555">
        <v>0.433</v>
      </c>
      <c r="AE45" s="555">
        <v>3.6999999999999998E-2</v>
      </c>
      <c r="AF45" s="555">
        <v>0.20499999999999999</v>
      </c>
      <c r="AG45" s="612">
        <v>0.59599999999999997</v>
      </c>
      <c r="AH45" s="613">
        <v>1.2999999999999999E-2</v>
      </c>
    </row>
    <row r="46" spans="1:38" ht="15" customHeight="1">
      <c r="A46" s="186" t="s">
        <v>296</v>
      </c>
      <c r="B46" s="186" t="s">
        <v>180</v>
      </c>
      <c r="C46" s="860">
        <v>159.744</v>
      </c>
      <c r="D46" s="195">
        <f t="shared" si="12"/>
        <v>160</v>
      </c>
      <c r="E46" s="860">
        <v>0</v>
      </c>
      <c r="F46" s="195">
        <v>0</v>
      </c>
      <c r="G46" s="860">
        <v>0</v>
      </c>
      <c r="H46" s="743">
        <v>0</v>
      </c>
      <c r="I46" s="860">
        <v>0</v>
      </c>
      <c r="J46" s="743">
        <v>0</v>
      </c>
      <c r="K46" s="860">
        <v>0</v>
      </c>
      <c r="L46" s="536">
        <v>0</v>
      </c>
      <c r="M46" s="860">
        <v>0</v>
      </c>
      <c r="N46" s="195">
        <v>0</v>
      </c>
      <c r="O46" s="860">
        <v>72.073999999999998</v>
      </c>
      <c r="P46" s="536">
        <f t="shared" si="13"/>
        <v>70</v>
      </c>
      <c r="Q46" s="860">
        <v>40.871000000000002</v>
      </c>
      <c r="R46" s="748">
        <f t="shared" si="14"/>
        <v>41</v>
      </c>
      <c r="S46" s="860">
        <v>1.4999999999999999E-2</v>
      </c>
      <c r="T46" s="747">
        <v>0</v>
      </c>
      <c r="U46" s="860">
        <v>37.189</v>
      </c>
      <c r="V46" s="748">
        <f t="shared" si="10"/>
        <v>37</v>
      </c>
      <c r="W46" s="860">
        <v>37.189</v>
      </c>
      <c r="X46" s="748">
        <f t="shared" si="11"/>
        <v>37</v>
      </c>
      <c r="Y46" s="860">
        <v>2E-3</v>
      </c>
      <c r="Z46" s="195">
        <v>0</v>
      </c>
      <c r="AA46" s="555">
        <v>0</v>
      </c>
      <c r="AB46" s="555">
        <v>0</v>
      </c>
      <c r="AC46" s="536">
        <v>5.5439999999999996</v>
      </c>
      <c r="AD46" s="536">
        <v>0.42599999999999999</v>
      </c>
      <c r="AE46" s="536">
        <v>0.375</v>
      </c>
      <c r="AF46" s="536">
        <v>2.0830000000000002</v>
      </c>
      <c r="AG46" s="609">
        <v>14.287000000000001</v>
      </c>
      <c r="AH46" s="611">
        <v>0.30399999999999999</v>
      </c>
      <c r="AI46" s="248"/>
      <c r="AJ46" s="248"/>
      <c r="AK46" s="248"/>
      <c r="AL46" s="248"/>
    </row>
    <row r="47" spans="1:38" ht="15.9">
      <c r="A47" s="186" t="s">
        <v>92</v>
      </c>
      <c r="B47" s="186" t="s">
        <v>115</v>
      </c>
      <c r="C47" s="860">
        <v>168.26300000000001</v>
      </c>
      <c r="D47" s="195">
        <f t="shared" si="12"/>
        <v>170</v>
      </c>
      <c r="E47" s="860">
        <v>0</v>
      </c>
      <c r="F47" s="195">
        <v>0</v>
      </c>
      <c r="G47" s="860">
        <v>0.86499999999999999</v>
      </c>
      <c r="H47" s="743">
        <f>MROUND(G47,0.5)</f>
        <v>1</v>
      </c>
      <c r="I47" s="860">
        <v>0.80200000000000005</v>
      </c>
      <c r="J47" s="743">
        <f>MROUND(I47,0.5)</f>
        <v>1</v>
      </c>
      <c r="K47" s="860">
        <v>0</v>
      </c>
      <c r="L47" s="536">
        <v>0</v>
      </c>
      <c r="M47" s="860">
        <v>0</v>
      </c>
      <c r="N47" s="195">
        <v>0</v>
      </c>
      <c r="O47" s="860">
        <v>33.43</v>
      </c>
      <c r="P47" s="536">
        <f t="shared" si="13"/>
        <v>30</v>
      </c>
      <c r="Q47" s="860">
        <v>30.995000000000001</v>
      </c>
      <c r="R47" s="748">
        <f t="shared" si="14"/>
        <v>31</v>
      </c>
      <c r="S47" s="860">
        <v>1.7999999999999999E-2</v>
      </c>
      <c r="T47" s="557" t="s">
        <v>303</v>
      </c>
      <c r="U47" s="860">
        <v>29.593</v>
      </c>
      <c r="V47" s="748">
        <f t="shared" si="10"/>
        <v>30</v>
      </c>
      <c r="W47" s="860">
        <v>38.701000000000001</v>
      </c>
      <c r="X47" s="748">
        <f t="shared" si="11"/>
        <v>39</v>
      </c>
      <c r="Y47" s="860">
        <v>7.9000000000000001E-2</v>
      </c>
      <c r="Z47" s="195">
        <v>0</v>
      </c>
      <c r="AA47" s="555">
        <v>0</v>
      </c>
      <c r="AB47" s="555">
        <v>0</v>
      </c>
      <c r="AC47" s="536">
        <v>5.5129999999999999</v>
      </c>
      <c r="AD47" s="536">
        <v>0.42399999999999999</v>
      </c>
      <c r="AE47" s="536">
        <v>5.1999999999999998E-2</v>
      </c>
      <c r="AF47" s="536">
        <v>0.28799999999999998</v>
      </c>
      <c r="AG47" s="609">
        <v>14.090999999999999</v>
      </c>
      <c r="AH47" s="611">
        <v>0.3</v>
      </c>
    </row>
    <row r="48" spans="1:38" ht="15.9">
      <c r="A48" s="186" t="s">
        <v>296</v>
      </c>
      <c r="B48" s="186" t="s">
        <v>46</v>
      </c>
      <c r="C48" s="860">
        <v>148.62899999999999</v>
      </c>
      <c r="D48" s="195">
        <f t="shared" si="12"/>
        <v>150</v>
      </c>
      <c r="E48" s="860">
        <v>0</v>
      </c>
      <c r="F48" s="195">
        <v>0</v>
      </c>
      <c r="G48" s="860">
        <v>0</v>
      </c>
      <c r="H48" s="743">
        <v>0</v>
      </c>
      <c r="I48" s="860">
        <v>0</v>
      </c>
      <c r="J48" s="743">
        <v>0</v>
      </c>
      <c r="K48" s="860">
        <v>0</v>
      </c>
      <c r="L48" s="536">
        <v>0</v>
      </c>
      <c r="M48" s="860">
        <v>0</v>
      </c>
      <c r="N48" s="195">
        <v>0</v>
      </c>
      <c r="O48" s="860">
        <v>37.71</v>
      </c>
      <c r="P48" s="536">
        <f t="shared" si="13"/>
        <v>40</v>
      </c>
      <c r="Q48" s="860">
        <v>37.689</v>
      </c>
      <c r="R48" s="748">
        <f t="shared" si="14"/>
        <v>38</v>
      </c>
      <c r="S48" s="860">
        <v>2.1000000000000001E-2</v>
      </c>
      <c r="T48" s="747">
        <v>0</v>
      </c>
      <c r="U48" s="860">
        <v>35.933999999999997</v>
      </c>
      <c r="V48" s="748">
        <f t="shared" si="10"/>
        <v>36</v>
      </c>
      <c r="W48" s="860">
        <v>35.933999999999997</v>
      </c>
      <c r="X48" s="748">
        <f t="shared" si="11"/>
        <v>36</v>
      </c>
      <c r="Y48" s="860">
        <v>3.0000000000000001E-3</v>
      </c>
      <c r="Z48" s="195">
        <v>0</v>
      </c>
      <c r="AA48" s="555">
        <v>0</v>
      </c>
      <c r="AB48" s="555">
        <v>0</v>
      </c>
      <c r="AC48" s="561">
        <v>5.2320000000000002</v>
      </c>
      <c r="AD48" s="561">
        <v>0.40200000000000002</v>
      </c>
      <c r="AE48" s="561">
        <v>3.4000000000000002E-2</v>
      </c>
      <c r="AF48" s="561">
        <v>0.189</v>
      </c>
      <c r="AG48" s="617">
        <v>1.7410000000000001</v>
      </c>
      <c r="AH48" s="618">
        <v>3.6999999999999998E-2</v>
      </c>
    </row>
    <row r="49" spans="1:38" ht="15.9">
      <c r="A49" s="186" t="s">
        <v>296</v>
      </c>
      <c r="B49" s="186" t="s">
        <v>45</v>
      </c>
      <c r="C49" s="860">
        <v>152.87299999999999</v>
      </c>
      <c r="D49" s="195">
        <f t="shared" si="12"/>
        <v>150</v>
      </c>
      <c r="E49" s="860">
        <v>0</v>
      </c>
      <c r="F49" s="195">
        <v>0</v>
      </c>
      <c r="G49" s="860">
        <v>0</v>
      </c>
      <c r="H49" s="743">
        <v>0</v>
      </c>
      <c r="I49" s="860">
        <v>0</v>
      </c>
      <c r="J49" s="743">
        <v>0</v>
      </c>
      <c r="K49" s="860">
        <v>0</v>
      </c>
      <c r="L49" s="536">
        <v>0</v>
      </c>
      <c r="M49" s="860">
        <v>0</v>
      </c>
      <c r="N49" s="195">
        <v>0</v>
      </c>
      <c r="O49" s="860">
        <v>18.573</v>
      </c>
      <c r="P49" s="536">
        <f t="shared" si="13"/>
        <v>20</v>
      </c>
      <c r="Q49" s="860">
        <v>38.529000000000003</v>
      </c>
      <c r="R49" s="748">
        <f t="shared" si="14"/>
        <v>39</v>
      </c>
      <c r="S49" s="860">
        <v>0</v>
      </c>
      <c r="T49" s="747">
        <v>0</v>
      </c>
      <c r="U49" s="860">
        <v>36.973999999999997</v>
      </c>
      <c r="V49" s="748">
        <f t="shared" si="10"/>
        <v>37</v>
      </c>
      <c r="W49" s="860">
        <v>36.828000000000003</v>
      </c>
      <c r="X49" s="748">
        <f t="shared" si="11"/>
        <v>37</v>
      </c>
      <c r="Y49" s="860">
        <v>4.0000000000000001E-3</v>
      </c>
      <c r="Z49" s="195">
        <v>0</v>
      </c>
      <c r="AA49" s="555">
        <v>0</v>
      </c>
      <c r="AB49" s="555">
        <v>0</v>
      </c>
      <c r="AC49" s="555">
        <v>4.7290000000000001</v>
      </c>
      <c r="AD49" s="555">
        <v>0.36399999999999999</v>
      </c>
      <c r="AE49" s="555">
        <v>1.4999999999999999E-2</v>
      </c>
      <c r="AF49" s="555">
        <v>8.4000000000000005E-2</v>
      </c>
      <c r="AG49" s="612">
        <v>5.4790000000000001</v>
      </c>
      <c r="AH49" s="613">
        <v>0.11700000000000001</v>
      </c>
    </row>
    <row r="50" spans="1:38" s="248" customFormat="1" ht="15.9">
      <c r="A50" s="186" t="s">
        <v>296</v>
      </c>
      <c r="B50" s="186" t="s">
        <v>314</v>
      </c>
      <c r="C50" s="859">
        <v>174.93899999999999</v>
      </c>
      <c r="D50" s="195">
        <f t="shared" si="12"/>
        <v>170</v>
      </c>
      <c r="E50" s="859">
        <v>0</v>
      </c>
      <c r="F50" s="195">
        <v>0</v>
      </c>
      <c r="G50" s="859">
        <v>0</v>
      </c>
      <c r="H50" s="743">
        <v>0</v>
      </c>
      <c r="I50" s="859">
        <v>0</v>
      </c>
      <c r="J50" s="743">
        <v>0</v>
      </c>
      <c r="K50" s="859">
        <v>0</v>
      </c>
      <c r="L50" s="536">
        <v>0</v>
      </c>
      <c r="M50" s="859">
        <v>0</v>
      </c>
      <c r="N50" s="195">
        <v>0</v>
      </c>
      <c r="O50" s="859">
        <v>19.32</v>
      </c>
      <c r="P50" s="536">
        <f t="shared" si="13"/>
        <v>20</v>
      </c>
      <c r="Q50" s="859">
        <v>43.686</v>
      </c>
      <c r="R50" s="748">
        <f t="shared" si="14"/>
        <v>44</v>
      </c>
      <c r="S50" s="859">
        <v>3.2000000000000001E-2</v>
      </c>
      <c r="T50" s="747">
        <v>0</v>
      </c>
      <c r="U50" s="859">
        <v>41.188000000000002</v>
      </c>
      <c r="V50" s="748">
        <f t="shared" si="10"/>
        <v>41</v>
      </c>
      <c r="W50" s="859">
        <v>41.188000000000002</v>
      </c>
      <c r="X50" s="748">
        <f t="shared" si="11"/>
        <v>41</v>
      </c>
      <c r="Y50" s="859">
        <v>4.0000000000000001E-3</v>
      </c>
      <c r="Z50" s="195">
        <v>0</v>
      </c>
      <c r="AA50" s="554">
        <v>0</v>
      </c>
      <c r="AB50" s="554">
        <v>0</v>
      </c>
      <c r="AC50" s="554">
        <v>4.5039999999999996</v>
      </c>
      <c r="AD50" s="554">
        <v>0.34599999999999997</v>
      </c>
      <c r="AE50" s="554">
        <v>0.01</v>
      </c>
      <c r="AF50" s="554">
        <v>5.6000000000000001E-2</v>
      </c>
      <c r="AG50" s="615">
        <v>0.69799999999999995</v>
      </c>
      <c r="AH50" s="616">
        <v>1.4999999999999999E-2</v>
      </c>
      <c r="AI50" s="179"/>
      <c r="AJ50" s="179"/>
      <c r="AK50" s="179"/>
      <c r="AL50" s="179"/>
    </row>
    <row r="51" spans="1:38" s="248" customFormat="1" ht="15.9">
      <c r="A51" s="186" t="s">
        <v>296</v>
      </c>
      <c r="B51" s="186" t="s">
        <v>304</v>
      </c>
      <c r="C51" s="860">
        <v>137.392</v>
      </c>
      <c r="D51" s="195">
        <f t="shared" si="12"/>
        <v>140</v>
      </c>
      <c r="E51" s="860">
        <v>2.4E-2</v>
      </c>
      <c r="F51" s="195">
        <v>0</v>
      </c>
      <c r="G51" s="860">
        <v>3.0000000000000001E-3</v>
      </c>
      <c r="H51" s="743">
        <v>0</v>
      </c>
      <c r="I51" s="860">
        <v>0</v>
      </c>
      <c r="J51" s="743">
        <v>0</v>
      </c>
      <c r="K51" s="860">
        <v>0</v>
      </c>
      <c r="L51" s="536">
        <v>0</v>
      </c>
      <c r="M51" s="860">
        <v>0</v>
      </c>
      <c r="N51" s="195">
        <v>0</v>
      </c>
      <c r="O51" s="860">
        <v>19.233000000000001</v>
      </c>
      <c r="P51" s="536">
        <f t="shared" si="13"/>
        <v>20</v>
      </c>
      <c r="Q51" s="860">
        <v>34.732999999999997</v>
      </c>
      <c r="R51" s="748">
        <f t="shared" si="14"/>
        <v>35</v>
      </c>
      <c r="S51" s="860">
        <v>0.04</v>
      </c>
      <c r="T51" s="747">
        <v>0</v>
      </c>
      <c r="U51" s="860">
        <v>33.06</v>
      </c>
      <c r="V51" s="748">
        <f t="shared" si="10"/>
        <v>33</v>
      </c>
      <c r="W51" s="860">
        <v>32.976999999999997</v>
      </c>
      <c r="X51" s="748">
        <f t="shared" si="11"/>
        <v>33</v>
      </c>
      <c r="Y51" s="860">
        <v>1.2E-2</v>
      </c>
      <c r="Z51" s="195">
        <v>0</v>
      </c>
      <c r="AA51" s="697">
        <v>0</v>
      </c>
      <c r="AB51" s="697">
        <v>0</v>
      </c>
      <c r="AC51" s="696">
        <v>5.2569999999999997</v>
      </c>
      <c r="AD51" s="696">
        <v>0.40400000000000003</v>
      </c>
      <c r="AE51" s="696">
        <v>1.4E-2</v>
      </c>
      <c r="AF51" s="696">
        <v>7.6999999999999999E-2</v>
      </c>
      <c r="AG51" s="705">
        <v>2.044</v>
      </c>
      <c r="AH51" s="706">
        <v>4.2999999999999997E-2</v>
      </c>
      <c r="AI51" s="179"/>
      <c r="AJ51" s="179"/>
      <c r="AK51" s="179"/>
      <c r="AL51" s="179"/>
    </row>
    <row r="52" spans="1:38" s="223" customFormat="1" ht="15.9">
      <c r="A52" s="186" t="s">
        <v>296</v>
      </c>
      <c r="B52" s="186" t="s">
        <v>30</v>
      </c>
      <c r="C52" s="860">
        <v>174.768</v>
      </c>
      <c r="D52" s="195">
        <f t="shared" si="12"/>
        <v>170</v>
      </c>
      <c r="E52" s="860">
        <v>0.20599999999999999</v>
      </c>
      <c r="F52" s="195">
        <v>0</v>
      </c>
      <c r="G52" s="860">
        <v>2.3E-2</v>
      </c>
      <c r="H52" s="743">
        <v>0</v>
      </c>
      <c r="I52" s="860">
        <v>2E-3</v>
      </c>
      <c r="J52" s="743">
        <v>0</v>
      </c>
      <c r="K52" s="860">
        <v>0</v>
      </c>
      <c r="L52" s="536">
        <v>0</v>
      </c>
      <c r="M52" s="860">
        <v>0</v>
      </c>
      <c r="N52" s="195">
        <v>0</v>
      </c>
      <c r="O52" s="860">
        <v>24.25</v>
      </c>
      <c r="P52" s="536">
        <f t="shared" si="13"/>
        <v>20</v>
      </c>
      <c r="Q52" s="860">
        <v>44.276000000000003</v>
      </c>
      <c r="R52" s="748">
        <f t="shared" si="14"/>
        <v>44</v>
      </c>
      <c r="S52" s="860">
        <v>0.115</v>
      </c>
      <c r="T52" s="747">
        <v>0</v>
      </c>
      <c r="U52" s="860">
        <v>43</v>
      </c>
      <c r="V52" s="748">
        <f t="shared" si="10"/>
        <v>43</v>
      </c>
      <c r="W52" s="860">
        <v>42.697000000000003</v>
      </c>
      <c r="X52" s="748">
        <f t="shared" si="11"/>
        <v>43</v>
      </c>
      <c r="Y52" s="860">
        <v>1.4999999999999999E-2</v>
      </c>
      <c r="Z52" s="195">
        <v>0</v>
      </c>
      <c r="AA52" s="555">
        <v>0</v>
      </c>
      <c r="AB52" s="555">
        <v>0</v>
      </c>
      <c r="AC52" s="555">
        <v>5.8230000000000004</v>
      </c>
      <c r="AD52" s="555">
        <v>0.44800000000000001</v>
      </c>
      <c r="AE52" s="555">
        <v>4.2999999999999997E-2</v>
      </c>
      <c r="AF52" s="555">
        <v>0.24099999999999999</v>
      </c>
      <c r="AG52" s="612">
        <v>2.5179999999999998</v>
      </c>
      <c r="AH52" s="613">
        <v>5.3999999999999999E-2</v>
      </c>
      <c r="AI52" s="179"/>
      <c r="AJ52" s="179"/>
      <c r="AK52" s="179"/>
      <c r="AL52" s="179"/>
    </row>
    <row r="53" spans="1:38" s="248" customFormat="1" ht="15" customHeight="1">
      <c r="A53" s="186" t="s">
        <v>296</v>
      </c>
      <c r="B53" s="186" t="s">
        <v>31</v>
      </c>
      <c r="C53" s="860">
        <v>134.51599999999999</v>
      </c>
      <c r="D53" s="195">
        <f t="shared" si="12"/>
        <v>130</v>
      </c>
      <c r="E53" s="860">
        <v>0</v>
      </c>
      <c r="F53" s="195">
        <v>0</v>
      </c>
      <c r="G53" s="860">
        <v>1.2E-2</v>
      </c>
      <c r="H53" s="743">
        <v>0</v>
      </c>
      <c r="I53" s="860">
        <v>0</v>
      </c>
      <c r="J53" s="743">
        <v>0</v>
      </c>
      <c r="K53" s="860">
        <v>0</v>
      </c>
      <c r="L53" s="536">
        <v>0</v>
      </c>
      <c r="M53" s="860">
        <v>0</v>
      </c>
      <c r="N53" s="195">
        <v>0</v>
      </c>
      <c r="O53" s="860">
        <v>23.053999999999998</v>
      </c>
      <c r="P53" s="536">
        <f t="shared" si="13"/>
        <v>20</v>
      </c>
      <c r="Q53" s="860">
        <v>34.600999999999999</v>
      </c>
      <c r="R53" s="748">
        <f t="shared" si="14"/>
        <v>35</v>
      </c>
      <c r="S53" s="860">
        <v>6.9000000000000006E-2</v>
      </c>
      <c r="T53" s="747">
        <v>0</v>
      </c>
      <c r="U53" s="860">
        <v>32.534999999999997</v>
      </c>
      <c r="V53" s="748">
        <f t="shared" si="10"/>
        <v>33</v>
      </c>
      <c r="W53" s="860">
        <v>31.45</v>
      </c>
      <c r="X53" s="748">
        <f t="shared" si="11"/>
        <v>31</v>
      </c>
      <c r="Y53" s="860">
        <v>1.7999999999999999E-2</v>
      </c>
      <c r="Z53" s="195">
        <v>0</v>
      </c>
      <c r="AA53" s="555">
        <v>0</v>
      </c>
      <c r="AB53" s="555">
        <v>0</v>
      </c>
      <c r="AC53" s="555">
        <v>8.1560000000000006</v>
      </c>
      <c r="AD53" s="555">
        <v>0.627</v>
      </c>
      <c r="AE53" s="555">
        <v>1.7999999999999999E-2</v>
      </c>
      <c r="AF53" s="555">
        <v>9.9000000000000005E-2</v>
      </c>
      <c r="AG53" s="612">
        <v>0.70899999999999996</v>
      </c>
      <c r="AH53" s="613">
        <v>1.4999999999999999E-2</v>
      </c>
      <c r="AI53" s="179"/>
      <c r="AJ53" s="179"/>
      <c r="AK53" s="179"/>
      <c r="AL53" s="179"/>
    </row>
    <row r="54" spans="1:38" s="248" customFormat="1" ht="15.9">
      <c r="A54" s="186" t="s">
        <v>296</v>
      </c>
      <c r="B54" s="186" t="s">
        <v>40</v>
      </c>
      <c r="C54" s="860">
        <v>164.273</v>
      </c>
      <c r="D54" s="195">
        <f t="shared" si="12"/>
        <v>160</v>
      </c>
      <c r="E54" s="860">
        <v>0</v>
      </c>
      <c r="F54" s="195">
        <v>0</v>
      </c>
      <c r="G54" s="860">
        <v>0</v>
      </c>
      <c r="H54" s="743">
        <v>0</v>
      </c>
      <c r="I54" s="860">
        <v>0</v>
      </c>
      <c r="J54" s="743">
        <v>0</v>
      </c>
      <c r="K54" s="860">
        <v>0</v>
      </c>
      <c r="L54" s="536">
        <v>0</v>
      </c>
      <c r="M54" s="860">
        <v>0</v>
      </c>
      <c r="N54" s="195">
        <v>0</v>
      </c>
      <c r="O54" s="860">
        <v>26.655000000000001</v>
      </c>
      <c r="P54" s="536">
        <f t="shared" si="13"/>
        <v>30</v>
      </c>
      <c r="Q54" s="860">
        <v>41.954000000000001</v>
      </c>
      <c r="R54" s="748">
        <f t="shared" si="14"/>
        <v>42</v>
      </c>
      <c r="S54" s="860">
        <v>0</v>
      </c>
      <c r="T54" s="747">
        <v>0</v>
      </c>
      <c r="U54" s="860">
        <v>39.984999999999999</v>
      </c>
      <c r="V54" s="748">
        <f t="shared" si="10"/>
        <v>40</v>
      </c>
      <c r="W54" s="860">
        <v>37.619999999999997</v>
      </c>
      <c r="X54" s="748">
        <f t="shared" si="11"/>
        <v>38</v>
      </c>
      <c r="Y54" s="860">
        <v>1.7999999999999999E-2</v>
      </c>
      <c r="Z54" s="195">
        <v>0</v>
      </c>
      <c r="AA54" s="555">
        <v>0.754</v>
      </c>
      <c r="AB54" s="555">
        <v>3.77</v>
      </c>
      <c r="AC54" s="555">
        <v>5.508</v>
      </c>
      <c r="AD54" s="555">
        <v>0.42399999999999999</v>
      </c>
      <c r="AE54" s="555">
        <v>6.7000000000000004E-2</v>
      </c>
      <c r="AF54" s="555">
        <v>0.372</v>
      </c>
      <c r="AG54" s="555">
        <v>25.95</v>
      </c>
      <c r="AH54" s="555">
        <v>0.55200000000000005</v>
      </c>
      <c r="AI54" s="179"/>
      <c r="AJ54" s="179"/>
      <c r="AK54" s="179"/>
      <c r="AL54" s="179"/>
    </row>
    <row r="55" spans="1:38" s="248" customFormat="1" ht="15.9">
      <c r="A55" s="186" t="s">
        <v>296</v>
      </c>
      <c r="B55" s="186" t="s">
        <v>33</v>
      </c>
      <c r="C55" s="860">
        <v>163.10400000000001</v>
      </c>
      <c r="D55" s="195">
        <f t="shared" si="12"/>
        <v>160</v>
      </c>
      <c r="E55" s="860">
        <v>0.03</v>
      </c>
      <c r="F55" s="195">
        <v>0</v>
      </c>
      <c r="G55" s="860">
        <v>3.0000000000000001E-3</v>
      </c>
      <c r="H55" s="743">
        <v>0</v>
      </c>
      <c r="I55" s="860">
        <v>0</v>
      </c>
      <c r="J55" s="743">
        <v>0</v>
      </c>
      <c r="K55" s="860">
        <v>0</v>
      </c>
      <c r="L55" s="536">
        <v>0</v>
      </c>
      <c r="M55" s="860">
        <v>0</v>
      </c>
      <c r="N55" s="195">
        <v>0</v>
      </c>
      <c r="O55" s="860">
        <v>33.334000000000003</v>
      </c>
      <c r="P55" s="536">
        <f t="shared" si="13"/>
        <v>30</v>
      </c>
      <c r="Q55" s="860">
        <v>41.680999999999997</v>
      </c>
      <c r="R55" s="748">
        <f t="shared" si="14"/>
        <v>42</v>
      </c>
      <c r="S55" s="860">
        <v>7.4999999999999997E-2</v>
      </c>
      <c r="T55" s="747">
        <v>0</v>
      </c>
      <c r="U55" s="860">
        <v>39.640999999999998</v>
      </c>
      <c r="V55" s="748">
        <f t="shared" si="10"/>
        <v>40</v>
      </c>
      <c r="W55" s="860">
        <v>39.613</v>
      </c>
      <c r="X55" s="748">
        <f t="shared" si="11"/>
        <v>40</v>
      </c>
      <c r="Y55" s="860">
        <v>0.02</v>
      </c>
      <c r="Z55" s="195">
        <v>0</v>
      </c>
      <c r="AA55" s="555">
        <v>0</v>
      </c>
      <c r="AB55" s="555">
        <v>0</v>
      </c>
      <c r="AC55" s="555">
        <v>5.2919999999999998</v>
      </c>
      <c r="AD55" s="555">
        <v>0.40699999999999997</v>
      </c>
      <c r="AE55" s="555">
        <v>2.3E-2</v>
      </c>
      <c r="AF55" s="555">
        <v>0.126</v>
      </c>
      <c r="AG55" s="612">
        <v>2.222</v>
      </c>
      <c r="AH55" s="613">
        <v>4.7E-2</v>
      </c>
      <c r="AI55" s="179"/>
      <c r="AJ55" s="179"/>
      <c r="AK55" s="179"/>
      <c r="AL55" s="179"/>
    </row>
    <row r="56" spans="1:38" s="248" customFormat="1" ht="15.9">
      <c r="A56" s="186" t="s">
        <v>296</v>
      </c>
      <c r="B56" s="186" t="s">
        <v>50</v>
      </c>
      <c r="C56" s="860">
        <v>168.93899999999999</v>
      </c>
      <c r="D56" s="195">
        <f t="shared" si="12"/>
        <v>170</v>
      </c>
      <c r="E56" s="860">
        <v>0</v>
      </c>
      <c r="F56" s="195">
        <v>0</v>
      </c>
      <c r="G56" s="860">
        <v>0</v>
      </c>
      <c r="H56" s="743">
        <v>0</v>
      </c>
      <c r="I56" s="860">
        <v>0</v>
      </c>
      <c r="J56" s="743">
        <v>0</v>
      </c>
      <c r="K56" s="860">
        <v>0</v>
      </c>
      <c r="L56" s="536">
        <v>0</v>
      </c>
      <c r="M56" s="860">
        <v>0</v>
      </c>
      <c r="N56" s="195">
        <v>0</v>
      </c>
      <c r="O56" s="860">
        <v>25.355</v>
      </c>
      <c r="P56" s="536">
        <f t="shared" si="13"/>
        <v>30</v>
      </c>
      <c r="Q56" s="860">
        <v>42.963000000000001</v>
      </c>
      <c r="R56" s="748">
        <f t="shared" si="14"/>
        <v>43</v>
      </c>
      <c r="S56" s="860">
        <v>7.8E-2</v>
      </c>
      <c r="T56" s="747">
        <v>0</v>
      </c>
      <c r="U56" s="860">
        <v>41.003999999999998</v>
      </c>
      <c r="V56" s="748">
        <f t="shared" si="10"/>
        <v>41</v>
      </c>
      <c r="W56" s="860">
        <v>40.375999999999998</v>
      </c>
      <c r="X56" s="748">
        <f t="shared" si="11"/>
        <v>40</v>
      </c>
      <c r="Y56" s="860">
        <v>2.4E-2</v>
      </c>
      <c r="Z56" s="195">
        <v>0</v>
      </c>
      <c r="AA56" s="555">
        <v>0</v>
      </c>
      <c r="AB56" s="555">
        <v>0</v>
      </c>
      <c r="AC56" s="561">
        <v>5.641</v>
      </c>
      <c r="AD56" s="561">
        <v>0.434</v>
      </c>
      <c r="AE56" s="561">
        <v>5.2999999999999999E-2</v>
      </c>
      <c r="AF56" s="561">
        <v>0.29399999999999998</v>
      </c>
      <c r="AG56" s="617">
        <v>12.276</v>
      </c>
      <c r="AH56" s="618">
        <v>0.26100000000000001</v>
      </c>
      <c r="AI56" s="179"/>
      <c r="AJ56" s="179"/>
      <c r="AK56" s="179"/>
      <c r="AL56" s="179"/>
    </row>
    <row r="57" spans="1:38" s="248" customFormat="1" ht="15.9">
      <c r="A57" s="186" t="s">
        <v>296</v>
      </c>
      <c r="B57" s="186" t="s">
        <v>53</v>
      </c>
      <c r="C57" s="860">
        <v>169.37100000000001</v>
      </c>
      <c r="D57" s="195">
        <f t="shared" si="12"/>
        <v>170</v>
      </c>
      <c r="E57" s="860">
        <v>0</v>
      </c>
      <c r="F57" s="195">
        <v>0</v>
      </c>
      <c r="G57" s="860">
        <v>5.0000000000000001E-3</v>
      </c>
      <c r="H57" s="743">
        <v>0</v>
      </c>
      <c r="I57" s="860">
        <v>1E-3</v>
      </c>
      <c r="J57" s="743">
        <v>0</v>
      </c>
      <c r="K57" s="860">
        <v>0</v>
      </c>
      <c r="L57" s="536">
        <v>0</v>
      </c>
      <c r="M57" s="860">
        <v>0</v>
      </c>
      <c r="N57" s="195">
        <v>0</v>
      </c>
      <c r="O57" s="860">
        <v>24.263999999999999</v>
      </c>
      <c r="P57" s="536">
        <f t="shared" si="13"/>
        <v>20</v>
      </c>
      <c r="Q57" s="860">
        <v>42.719000000000001</v>
      </c>
      <c r="R57" s="748">
        <f t="shared" si="14"/>
        <v>43</v>
      </c>
      <c r="S57" s="860">
        <v>5.5E-2</v>
      </c>
      <c r="T57" s="747">
        <v>0</v>
      </c>
      <c r="U57" s="860">
        <v>41.142000000000003</v>
      </c>
      <c r="V57" s="748">
        <f t="shared" si="10"/>
        <v>41</v>
      </c>
      <c r="W57" s="860">
        <v>40.518000000000001</v>
      </c>
      <c r="X57" s="748">
        <f t="shared" si="11"/>
        <v>41</v>
      </c>
      <c r="Y57" s="860">
        <v>2.5000000000000001E-2</v>
      </c>
      <c r="Z57" s="195">
        <v>0</v>
      </c>
      <c r="AA57" s="555">
        <v>0</v>
      </c>
      <c r="AB57" s="555">
        <v>0</v>
      </c>
      <c r="AC57" s="536">
        <v>5.5279999999999996</v>
      </c>
      <c r="AD57" s="536">
        <v>0.42499999999999999</v>
      </c>
      <c r="AE57" s="536">
        <v>0.13100000000000001</v>
      </c>
      <c r="AF57" s="536">
        <v>0.72799999999999998</v>
      </c>
      <c r="AG57" s="609">
        <v>10.053000000000001</v>
      </c>
      <c r="AH57" s="611">
        <v>0.214</v>
      </c>
      <c r="AI57" s="179"/>
      <c r="AJ57" s="179"/>
      <c r="AK57" s="179"/>
      <c r="AL57" s="179"/>
    </row>
    <row r="58" spans="1:38" s="248" customFormat="1" ht="15.75" customHeight="1">
      <c r="A58" s="186" t="s">
        <v>296</v>
      </c>
      <c r="B58" s="186" t="s">
        <v>59</v>
      </c>
      <c r="C58" s="860">
        <v>152.06899999999999</v>
      </c>
      <c r="D58" s="195">
        <f t="shared" si="12"/>
        <v>150</v>
      </c>
      <c r="E58" s="860">
        <v>0</v>
      </c>
      <c r="F58" s="195">
        <v>0</v>
      </c>
      <c r="G58" s="860">
        <v>0</v>
      </c>
      <c r="H58" s="743">
        <v>0</v>
      </c>
      <c r="I58" s="860">
        <v>0</v>
      </c>
      <c r="J58" s="743">
        <v>0</v>
      </c>
      <c r="K58" s="860">
        <v>0</v>
      </c>
      <c r="L58" s="536">
        <v>0</v>
      </c>
      <c r="M58" s="860">
        <v>0</v>
      </c>
      <c r="N58" s="195">
        <v>0</v>
      </c>
      <c r="O58" s="860">
        <v>23.815000000000001</v>
      </c>
      <c r="P58" s="536">
        <f t="shared" si="13"/>
        <v>20</v>
      </c>
      <c r="Q58" s="860">
        <v>37.960999999999999</v>
      </c>
      <c r="R58" s="748">
        <f t="shared" si="14"/>
        <v>38</v>
      </c>
      <c r="S58" s="860">
        <v>3.6999999999999998E-2</v>
      </c>
      <c r="T58" s="747">
        <v>0</v>
      </c>
      <c r="U58" s="860">
        <v>36.664000000000001</v>
      </c>
      <c r="V58" s="748">
        <f t="shared" si="10"/>
        <v>37</v>
      </c>
      <c r="W58" s="860">
        <v>36.033000000000001</v>
      </c>
      <c r="X58" s="748">
        <f t="shared" si="11"/>
        <v>36</v>
      </c>
      <c r="Y58" s="860">
        <v>2.5999999999999999E-2</v>
      </c>
      <c r="Z58" s="195">
        <v>0</v>
      </c>
      <c r="AA58" s="555">
        <v>0</v>
      </c>
      <c r="AB58" s="555">
        <v>0</v>
      </c>
      <c r="AC58" s="561">
        <v>5.5380000000000003</v>
      </c>
      <c r="AD58" s="561">
        <v>0.42599999999999999</v>
      </c>
      <c r="AE58" s="561">
        <v>0.19</v>
      </c>
      <c r="AF58" s="561">
        <v>1.056</v>
      </c>
      <c r="AG58" s="617">
        <v>8.3859999999999992</v>
      </c>
      <c r="AH58" s="618">
        <v>0.17799999999999999</v>
      </c>
      <c r="AI58" s="179"/>
      <c r="AJ58" s="179"/>
      <c r="AK58" s="179"/>
      <c r="AL58" s="179"/>
    </row>
    <row r="59" spans="1:38" s="248" customFormat="1" ht="15.9">
      <c r="A59" s="186" t="s">
        <v>92</v>
      </c>
      <c r="B59" s="327" t="s">
        <v>322</v>
      </c>
      <c r="C59" s="859">
        <v>197.37100000000001</v>
      </c>
      <c r="D59" s="195">
        <f t="shared" si="12"/>
        <v>200</v>
      </c>
      <c r="E59" s="859">
        <v>0</v>
      </c>
      <c r="F59" s="195">
        <v>0</v>
      </c>
      <c r="G59" s="859">
        <v>1.7849999999999999</v>
      </c>
      <c r="H59" s="743">
        <f>MROUND(G59,0.5)</f>
        <v>2</v>
      </c>
      <c r="I59" s="859">
        <v>1.655</v>
      </c>
      <c r="J59" s="743">
        <f>MROUND(I59,0.5)</f>
        <v>1.5</v>
      </c>
      <c r="K59" s="859">
        <v>0</v>
      </c>
      <c r="L59" s="536">
        <v>0</v>
      </c>
      <c r="M59" s="859">
        <v>0</v>
      </c>
      <c r="N59" s="195">
        <v>0</v>
      </c>
      <c r="O59" s="859">
        <v>35.081000000000003</v>
      </c>
      <c r="P59" s="536">
        <f t="shared" si="13"/>
        <v>40</v>
      </c>
      <c r="Q59" s="859">
        <v>45.691000000000003</v>
      </c>
      <c r="R59" s="748">
        <f t="shared" si="14"/>
        <v>46</v>
      </c>
      <c r="S59" s="859">
        <v>6.0000000000000001E-3</v>
      </c>
      <c r="T59" s="747">
        <v>0</v>
      </c>
      <c r="U59" s="859">
        <v>43.651000000000003</v>
      </c>
      <c r="V59" s="748">
        <f t="shared" si="10"/>
        <v>44</v>
      </c>
      <c r="W59" s="859">
        <v>43.542000000000002</v>
      </c>
      <c r="X59" s="748">
        <f t="shared" si="11"/>
        <v>44</v>
      </c>
      <c r="Y59" s="859">
        <v>0.16200000000000001</v>
      </c>
      <c r="Z59" s="195">
        <v>0</v>
      </c>
      <c r="AA59" s="554">
        <v>0</v>
      </c>
      <c r="AB59" s="554">
        <v>0</v>
      </c>
      <c r="AC59" s="554">
        <v>4.6130000000000004</v>
      </c>
      <c r="AD59" s="554">
        <v>0.35499999999999998</v>
      </c>
      <c r="AE59" s="554">
        <v>4.2999999999999997E-2</v>
      </c>
      <c r="AF59" s="554">
        <v>0.24099999999999999</v>
      </c>
      <c r="AG59" s="615">
        <v>4.63</v>
      </c>
      <c r="AH59" s="906">
        <v>9.9000000000000005E-2</v>
      </c>
      <c r="AI59" s="179"/>
      <c r="AJ59" s="179"/>
      <c r="AK59" s="179"/>
      <c r="AL59" s="179"/>
    </row>
    <row r="60" spans="1:38" ht="16.5" customHeight="1">
      <c r="A60" s="186" t="s">
        <v>92</v>
      </c>
      <c r="B60" s="327" t="s">
        <v>320</v>
      </c>
      <c r="C60" s="860">
        <v>167.363</v>
      </c>
      <c r="D60" s="195">
        <f t="shared" si="12"/>
        <v>170</v>
      </c>
      <c r="E60" s="860">
        <v>0</v>
      </c>
      <c r="F60" s="195">
        <v>0</v>
      </c>
      <c r="G60" s="860">
        <v>1.806</v>
      </c>
      <c r="H60" s="743">
        <f>MROUND(G60,0.5)</f>
        <v>2</v>
      </c>
      <c r="I60" s="860">
        <v>0</v>
      </c>
      <c r="J60" s="743">
        <v>0</v>
      </c>
      <c r="K60" s="860">
        <v>0</v>
      </c>
      <c r="L60" s="536">
        <v>0</v>
      </c>
      <c r="M60" s="860">
        <v>0</v>
      </c>
      <c r="N60" s="195">
        <v>0</v>
      </c>
      <c r="O60" s="860">
        <v>36.274000000000001</v>
      </c>
      <c r="P60" s="536">
        <f t="shared" si="13"/>
        <v>40</v>
      </c>
      <c r="Q60" s="860">
        <v>37.963999999999999</v>
      </c>
      <c r="R60" s="748">
        <f t="shared" si="14"/>
        <v>38</v>
      </c>
      <c r="S60" s="860">
        <v>3.0000000000000001E-3</v>
      </c>
      <c r="T60" s="747">
        <v>0</v>
      </c>
      <c r="U60" s="860">
        <v>35.615000000000002</v>
      </c>
      <c r="V60" s="748">
        <f t="shared" si="10"/>
        <v>36</v>
      </c>
      <c r="W60" s="860">
        <v>35.51</v>
      </c>
      <c r="X60" s="748">
        <f t="shared" si="11"/>
        <v>36</v>
      </c>
      <c r="Y60" s="860">
        <v>0.16400000000000001</v>
      </c>
      <c r="Z60" s="195">
        <v>0</v>
      </c>
      <c r="AA60" s="697">
        <v>0</v>
      </c>
      <c r="AB60" s="697">
        <v>0</v>
      </c>
      <c r="AC60" s="697">
        <v>4.7430000000000003</v>
      </c>
      <c r="AD60" s="697">
        <v>0.36499999999999999</v>
      </c>
      <c r="AE60" s="697">
        <v>0.04</v>
      </c>
      <c r="AF60" s="697">
        <v>0.22500000000000001</v>
      </c>
      <c r="AG60" s="697">
        <v>4.3380000000000001</v>
      </c>
      <c r="AH60" s="697">
        <v>9.1999999999999998E-2</v>
      </c>
    </row>
    <row r="61" spans="1:38" ht="15.75" customHeight="1">
      <c r="A61" s="186" t="s">
        <v>92</v>
      </c>
      <c r="B61" s="186" t="s">
        <v>102</v>
      </c>
      <c r="C61" s="861">
        <v>206.745</v>
      </c>
      <c r="D61" s="195">
        <f t="shared" si="12"/>
        <v>210</v>
      </c>
      <c r="E61" s="861">
        <v>11.234</v>
      </c>
      <c r="F61" s="195">
        <f>MROUND(E61,5)</f>
        <v>10</v>
      </c>
      <c r="G61" s="861">
        <v>3.0939999999999999</v>
      </c>
      <c r="H61" s="743">
        <f>MROUND(G61,0.5)</f>
        <v>3</v>
      </c>
      <c r="I61" s="861">
        <v>2.7050000000000001</v>
      </c>
      <c r="J61" s="743">
        <f>MROUND(I61,0.5)</f>
        <v>2.5</v>
      </c>
      <c r="K61" s="861">
        <v>3.5999999999999997E-2</v>
      </c>
      <c r="L61" s="536">
        <v>0</v>
      </c>
      <c r="M61" s="861">
        <v>0</v>
      </c>
      <c r="N61" s="195">
        <v>0</v>
      </c>
      <c r="O61" s="861">
        <v>45.671999999999997</v>
      </c>
      <c r="P61" s="536">
        <f t="shared" si="13"/>
        <v>50</v>
      </c>
      <c r="Q61" s="861">
        <v>44.914000000000001</v>
      </c>
      <c r="R61" s="748">
        <f t="shared" si="14"/>
        <v>45</v>
      </c>
      <c r="S61" s="861">
        <v>0.30199999999999999</v>
      </c>
      <c r="T61" s="747">
        <v>0</v>
      </c>
      <c r="U61" s="861">
        <v>42.030999999999999</v>
      </c>
      <c r="V61" s="748">
        <f t="shared" si="10"/>
        <v>42</v>
      </c>
      <c r="W61" s="861">
        <v>37.698</v>
      </c>
      <c r="X61" s="748">
        <f t="shared" si="11"/>
        <v>38</v>
      </c>
      <c r="Y61" s="861">
        <v>0.17</v>
      </c>
      <c r="Z61" s="195">
        <v>0</v>
      </c>
      <c r="AA61" s="1131">
        <v>0</v>
      </c>
      <c r="AB61" s="1131">
        <v>0</v>
      </c>
      <c r="AC61" s="1131">
        <v>6.2279999999999998</v>
      </c>
      <c r="AD61" s="1131">
        <v>0.47899999999999998</v>
      </c>
      <c r="AE61" s="1131">
        <v>8.6999999999999994E-2</v>
      </c>
      <c r="AF61" s="1131">
        <v>0.48599999999999999</v>
      </c>
      <c r="AG61" s="1149">
        <v>6.2080000000000002</v>
      </c>
      <c r="AH61" s="1150">
        <v>0.13200000000000001</v>
      </c>
    </row>
    <row r="62" spans="1:38" ht="15.9">
      <c r="A62" s="186" t="s">
        <v>296</v>
      </c>
      <c r="B62" s="186" t="s">
        <v>58</v>
      </c>
      <c r="C62" s="860">
        <v>165.494</v>
      </c>
      <c r="D62" s="195">
        <f t="shared" si="12"/>
        <v>170</v>
      </c>
      <c r="E62" s="860">
        <v>0</v>
      </c>
      <c r="F62" s="195">
        <v>0</v>
      </c>
      <c r="G62" s="860">
        <v>0.40400000000000003</v>
      </c>
      <c r="H62" s="743">
        <v>0</v>
      </c>
      <c r="I62" s="860">
        <v>0</v>
      </c>
      <c r="J62" s="743">
        <v>0</v>
      </c>
      <c r="K62" s="860">
        <v>0</v>
      </c>
      <c r="L62" s="536">
        <v>0</v>
      </c>
      <c r="M62" s="860">
        <v>0</v>
      </c>
      <c r="N62" s="195">
        <v>0</v>
      </c>
      <c r="O62" s="860">
        <v>24.673999999999999</v>
      </c>
      <c r="P62" s="536">
        <f t="shared" si="13"/>
        <v>20</v>
      </c>
      <c r="Q62" s="860">
        <v>41.948999999999998</v>
      </c>
      <c r="R62" s="748">
        <f t="shared" si="14"/>
        <v>42</v>
      </c>
      <c r="S62" s="860">
        <v>7.8E-2</v>
      </c>
      <c r="T62" s="747">
        <v>0</v>
      </c>
      <c r="U62" s="860">
        <v>40.307000000000002</v>
      </c>
      <c r="V62" s="748">
        <f t="shared" si="10"/>
        <v>40</v>
      </c>
      <c r="W62" s="860">
        <v>39.908999999999999</v>
      </c>
      <c r="X62" s="748">
        <f t="shared" si="11"/>
        <v>40</v>
      </c>
      <c r="Y62" s="860">
        <v>2.5999999999999999E-2</v>
      </c>
      <c r="Z62" s="195">
        <v>0</v>
      </c>
      <c r="AA62" s="555">
        <v>0</v>
      </c>
      <c r="AB62" s="555">
        <v>0</v>
      </c>
      <c r="AC62" s="555">
        <v>6.5110000000000001</v>
      </c>
      <c r="AD62" s="555">
        <v>0.501</v>
      </c>
      <c r="AE62" s="555">
        <v>0.05</v>
      </c>
      <c r="AF62" s="555">
        <v>0.27800000000000002</v>
      </c>
      <c r="AG62" s="612">
        <v>0.96199999999999997</v>
      </c>
      <c r="AH62" s="613">
        <v>0.02</v>
      </c>
    </row>
    <row r="63" spans="1:38" ht="15.9">
      <c r="A63" s="186" t="s">
        <v>92</v>
      </c>
      <c r="B63" s="186" t="s">
        <v>323</v>
      </c>
      <c r="C63" s="859">
        <v>192.26300000000001</v>
      </c>
      <c r="D63" s="195">
        <f t="shared" si="12"/>
        <v>190</v>
      </c>
      <c r="E63" s="859">
        <v>0.03</v>
      </c>
      <c r="F63" s="195">
        <v>0</v>
      </c>
      <c r="G63" s="859">
        <v>1.8420000000000001</v>
      </c>
      <c r="H63" s="743">
        <f>MROUND(G63,0.5)</f>
        <v>2</v>
      </c>
      <c r="I63" s="859">
        <v>1.7050000000000001</v>
      </c>
      <c r="J63" s="743">
        <f>MROUND(I63,0.5)</f>
        <v>1.5</v>
      </c>
      <c r="K63" s="859">
        <v>0</v>
      </c>
      <c r="L63" s="536">
        <v>0</v>
      </c>
      <c r="M63" s="859">
        <v>0</v>
      </c>
      <c r="N63" s="195">
        <v>0</v>
      </c>
      <c r="O63" s="859">
        <v>37.692999999999998</v>
      </c>
      <c r="P63" s="536">
        <f t="shared" si="13"/>
        <v>40</v>
      </c>
      <c r="Q63" s="859">
        <v>44.274999999999999</v>
      </c>
      <c r="R63" s="748">
        <f t="shared" si="14"/>
        <v>44</v>
      </c>
      <c r="S63" s="859">
        <v>7.0000000000000007E-2</v>
      </c>
      <c r="T63" s="747">
        <v>0</v>
      </c>
      <c r="U63" s="859">
        <v>41.911000000000001</v>
      </c>
      <c r="V63" s="748">
        <f t="shared" si="10"/>
        <v>42</v>
      </c>
      <c r="W63" s="859">
        <v>41.173999999999999</v>
      </c>
      <c r="X63" s="748">
        <f t="shared" si="11"/>
        <v>41</v>
      </c>
      <c r="Y63" s="859">
        <v>0.19600000000000001</v>
      </c>
      <c r="Z63" s="195">
        <v>0</v>
      </c>
      <c r="AA63" s="554">
        <v>0</v>
      </c>
      <c r="AB63" s="554">
        <v>0</v>
      </c>
      <c r="AC63" s="554">
        <v>5.1100000000000003</v>
      </c>
      <c r="AD63" s="554">
        <v>0.39300000000000002</v>
      </c>
      <c r="AE63" s="554">
        <v>6.9000000000000006E-2</v>
      </c>
      <c r="AF63" s="554">
        <v>0.38100000000000001</v>
      </c>
      <c r="AG63" s="615">
        <v>9.4440000000000008</v>
      </c>
      <c r="AH63" s="616">
        <v>0.20100000000000001</v>
      </c>
    </row>
    <row r="64" spans="1:38" ht="15.9">
      <c r="A64" s="186" t="s">
        <v>296</v>
      </c>
      <c r="B64" s="186" t="s">
        <v>48</v>
      </c>
      <c r="C64" s="860">
        <v>129.53399999999999</v>
      </c>
      <c r="D64" s="195">
        <f t="shared" si="12"/>
        <v>130</v>
      </c>
      <c r="E64" s="860">
        <v>4.1000000000000002E-2</v>
      </c>
      <c r="F64" s="195">
        <v>0</v>
      </c>
      <c r="G64" s="860">
        <v>8.9999999999999993E-3</v>
      </c>
      <c r="H64" s="743">
        <v>0</v>
      </c>
      <c r="I64" s="860">
        <v>1E-3</v>
      </c>
      <c r="J64" s="743">
        <v>0</v>
      </c>
      <c r="K64" s="860">
        <v>0</v>
      </c>
      <c r="L64" s="536">
        <v>0</v>
      </c>
      <c r="M64" s="860">
        <v>0</v>
      </c>
      <c r="N64" s="195">
        <v>0</v>
      </c>
      <c r="O64" s="860">
        <v>20.242000000000001</v>
      </c>
      <c r="P64" s="536">
        <f t="shared" si="13"/>
        <v>20</v>
      </c>
      <c r="Q64" s="860">
        <v>33.537999999999997</v>
      </c>
      <c r="R64" s="748">
        <f t="shared" si="14"/>
        <v>34</v>
      </c>
      <c r="S64" s="860">
        <v>8.2000000000000003E-2</v>
      </c>
      <c r="T64" s="747">
        <v>0</v>
      </c>
      <c r="U64" s="860">
        <v>31.954999999999998</v>
      </c>
      <c r="V64" s="748">
        <f t="shared" si="10"/>
        <v>32</v>
      </c>
      <c r="W64" s="860">
        <v>31.867000000000001</v>
      </c>
      <c r="X64" s="748">
        <f t="shared" si="11"/>
        <v>32</v>
      </c>
      <c r="Y64" s="860">
        <v>2.9000000000000001E-2</v>
      </c>
      <c r="Z64" s="195">
        <v>0</v>
      </c>
      <c r="AA64" s="555">
        <v>1.4999999999999999E-2</v>
      </c>
      <c r="AB64" s="555">
        <v>7.4999999999999997E-2</v>
      </c>
      <c r="AC64" s="555">
        <v>6.51</v>
      </c>
      <c r="AD64" s="555">
        <v>0.501</v>
      </c>
      <c r="AE64" s="555">
        <v>3.5000000000000003E-2</v>
      </c>
      <c r="AF64" s="555">
        <v>0.19400000000000001</v>
      </c>
      <c r="AG64" s="612">
        <v>6.1630000000000003</v>
      </c>
      <c r="AH64" s="613">
        <v>0.13100000000000001</v>
      </c>
    </row>
    <row r="65" spans="1:38" ht="15.75" customHeight="1">
      <c r="A65" s="186" t="s">
        <v>394</v>
      </c>
      <c r="B65" s="186" t="s">
        <v>122</v>
      </c>
      <c r="C65" s="860">
        <v>75.414000000000001</v>
      </c>
      <c r="D65" s="195">
        <f t="shared" si="12"/>
        <v>80</v>
      </c>
      <c r="E65" s="860">
        <v>4.4999999999999998E-2</v>
      </c>
      <c r="F65" s="195">
        <v>0</v>
      </c>
      <c r="G65" s="860">
        <v>5.0000000000000001E-3</v>
      </c>
      <c r="H65" s="743">
        <v>0</v>
      </c>
      <c r="I65" s="860">
        <v>5.0000000000000001E-3</v>
      </c>
      <c r="J65" s="743">
        <v>0</v>
      </c>
      <c r="K65" s="860">
        <v>0</v>
      </c>
      <c r="L65" s="536">
        <v>0</v>
      </c>
      <c r="M65" s="860">
        <v>0</v>
      </c>
      <c r="N65" s="195">
        <v>0</v>
      </c>
      <c r="O65" s="860">
        <v>15.292</v>
      </c>
      <c r="P65" s="536">
        <f t="shared" si="13"/>
        <v>20</v>
      </c>
      <c r="Q65" s="860">
        <v>26.471</v>
      </c>
      <c r="R65" s="748">
        <f t="shared" si="14"/>
        <v>26</v>
      </c>
      <c r="S65" s="860">
        <v>1.9E-2</v>
      </c>
      <c r="T65" s="747">
        <v>0</v>
      </c>
      <c r="U65" s="860">
        <v>5.1999999999999998E-2</v>
      </c>
      <c r="V65" s="195">
        <v>0</v>
      </c>
      <c r="W65" s="860">
        <v>0</v>
      </c>
      <c r="X65" s="195">
        <v>0</v>
      </c>
      <c r="Y65" s="860">
        <v>0.21299999999999999</v>
      </c>
      <c r="Z65" s="195">
        <v>0</v>
      </c>
      <c r="AA65" s="555">
        <v>0</v>
      </c>
      <c r="AB65" s="555">
        <v>0</v>
      </c>
      <c r="AC65" s="536">
        <v>8.0169999999999995</v>
      </c>
      <c r="AD65" s="536">
        <v>0.61699999999999999</v>
      </c>
      <c r="AE65" s="536">
        <v>3.4000000000000002E-2</v>
      </c>
      <c r="AF65" s="536">
        <v>0.187</v>
      </c>
      <c r="AG65" s="609">
        <v>10.839</v>
      </c>
      <c r="AH65" s="611">
        <v>0.23100000000000001</v>
      </c>
    </row>
    <row r="66" spans="1:38" ht="15.9">
      <c r="A66" s="186" t="s">
        <v>296</v>
      </c>
      <c r="B66" s="186" t="s">
        <v>301</v>
      </c>
      <c r="C66" s="860">
        <v>148.703</v>
      </c>
      <c r="D66" s="195">
        <f t="shared" si="12"/>
        <v>150</v>
      </c>
      <c r="E66" s="860">
        <v>6.4000000000000001E-2</v>
      </c>
      <c r="F66" s="195">
        <v>0</v>
      </c>
      <c r="G66" s="860">
        <v>7.0000000000000001E-3</v>
      </c>
      <c r="H66" s="743">
        <v>0</v>
      </c>
      <c r="I66" s="860">
        <v>2E-3</v>
      </c>
      <c r="J66" s="743">
        <v>0</v>
      </c>
      <c r="K66" s="860">
        <v>0</v>
      </c>
      <c r="L66" s="536">
        <v>0</v>
      </c>
      <c r="M66" s="860">
        <v>0</v>
      </c>
      <c r="N66" s="195">
        <v>0</v>
      </c>
      <c r="O66" s="860">
        <v>24.509</v>
      </c>
      <c r="P66" s="536">
        <f t="shared" si="13"/>
        <v>20</v>
      </c>
      <c r="Q66" s="860">
        <v>37.771999999999998</v>
      </c>
      <c r="R66" s="748">
        <f t="shared" si="14"/>
        <v>38</v>
      </c>
      <c r="S66" s="860">
        <v>3.4000000000000002E-2</v>
      </c>
      <c r="T66" s="747">
        <v>0</v>
      </c>
      <c r="U66" s="860">
        <v>36.08</v>
      </c>
      <c r="V66" s="748">
        <f t="shared" ref="V66:V97" si="15">MROUND(U66,1)</f>
        <v>36</v>
      </c>
      <c r="W66" s="860">
        <v>35.784999999999997</v>
      </c>
      <c r="X66" s="748">
        <f t="shared" ref="X66:X97" si="16">MROUND(W66,1)</f>
        <v>36</v>
      </c>
      <c r="Y66" s="860">
        <v>3.5999999999999997E-2</v>
      </c>
      <c r="Z66" s="195">
        <v>0</v>
      </c>
      <c r="AA66" s="555">
        <v>0</v>
      </c>
      <c r="AB66" s="555">
        <v>0</v>
      </c>
      <c r="AC66" s="555">
        <v>5.1740000000000004</v>
      </c>
      <c r="AD66" s="555">
        <v>0.39800000000000002</v>
      </c>
      <c r="AE66" s="555">
        <v>2.1000000000000001E-2</v>
      </c>
      <c r="AF66" s="555">
        <v>0.114</v>
      </c>
      <c r="AG66" s="612">
        <v>10.708</v>
      </c>
      <c r="AH66" s="613">
        <v>0.22800000000000001</v>
      </c>
    </row>
    <row r="67" spans="1:38" ht="15.9">
      <c r="A67" s="186" t="s">
        <v>296</v>
      </c>
      <c r="B67" s="186" t="s">
        <v>73</v>
      </c>
      <c r="C67" s="861">
        <v>146.84</v>
      </c>
      <c r="D67" s="195">
        <f t="shared" si="12"/>
        <v>150</v>
      </c>
      <c r="E67" s="861">
        <v>8.9390000000000001</v>
      </c>
      <c r="F67" s="195">
        <f>MROUND(E67,5)</f>
        <v>10</v>
      </c>
      <c r="G67" s="861">
        <v>0.99299999999999999</v>
      </c>
      <c r="H67" s="743">
        <f t="shared" ref="H67:H74" si="17">MROUND(G67,0.5)</f>
        <v>1</v>
      </c>
      <c r="I67" s="861">
        <v>0.89100000000000001</v>
      </c>
      <c r="J67" s="743">
        <f t="shared" ref="J67:J74" si="18">MROUND(I67,0.5)</f>
        <v>1</v>
      </c>
      <c r="K67" s="861">
        <v>0</v>
      </c>
      <c r="L67" s="536">
        <v>0</v>
      </c>
      <c r="M67" s="861">
        <v>0</v>
      </c>
      <c r="N67" s="195">
        <v>0</v>
      </c>
      <c r="O67" s="861">
        <v>23.85</v>
      </c>
      <c r="P67" s="536">
        <f t="shared" si="13"/>
        <v>20</v>
      </c>
      <c r="Q67" s="861">
        <v>34.582999999999998</v>
      </c>
      <c r="R67" s="748">
        <f t="shared" si="14"/>
        <v>35</v>
      </c>
      <c r="S67" s="861">
        <v>0.22600000000000001</v>
      </c>
      <c r="T67" s="747">
        <v>0</v>
      </c>
      <c r="U67" s="861">
        <v>33.279000000000003</v>
      </c>
      <c r="V67" s="748">
        <f t="shared" si="15"/>
        <v>33</v>
      </c>
      <c r="W67" s="861">
        <v>29.018000000000001</v>
      </c>
      <c r="X67" s="748">
        <f t="shared" si="16"/>
        <v>29</v>
      </c>
      <c r="Y67" s="861">
        <v>5.2999999999999999E-2</v>
      </c>
      <c r="Z67" s="195">
        <v>0</v>
      </c>
      <c r="AA67" s="761">
        <v>0</v>
      </c>
      <c r="AB67" s="761">
        <v>0</v>
      </c>
      <c r="AC67" s="761">
        <v>5.0650000000000004</v>
      </c>
      <c r="AD67" s="761">
        <v>0.39</v>
      </c>
      <c r="AE67" s="761">
        <v>2.5999999999999999E-2</v>
      </c>
      <c r="AF67" s="761">
        <v>0.14599999999999999</v>
      </c>
      <c r="AG67" s="1151">
        <v>3.1709999999999998</v>
      </c>
      <c r="AH67" s="1152">
        <v>6.7000000000000004E-2</v>
      </c>
      <c r="AI67" s="248"/>
      <c r="AJ67" s="248"/>
      <c r="AK67" s="248"/>
      <c r="AL67" s="248"/>
    </row>
    <row r="68" spans="1:38" ht="15.9">
      <c r="A68" s="186" t="s">
        <v>92</v>
      </c>
      <c r="B68" s="186" t="s">
        <v>103</v>
      </c>
      <c r="C68" s="860">
        <v>231.995</v>
      </c>
      <c r="D68" s="195">
        <f t="shared" si="12"/>
        <v>230</v>
      </c>
      <c r="E68" s="860">
        <v>4.8780000000000001</v>
      </c>
      <c r="F68" s="195">
        <v>0</v>
      </c>
      <c r="G68" s="860">
        <v>2.343</v>
      </c>
      <c r="H68" s="743">
        <f t="shared" si="17"/>
        <v>2.5</v>
      </c>
      <c r="I68" s="860">
        <v>1.837</v>
      </c>
      <c r="J68" s="743">
        <f t="shared" si="18"/>
        <v>2</v>
      </c>
      <c r="K68" s="860">
        <v>0</v>
      </c>
      <c r="L68" s="536">
        <v>0</v>
      </c>
      <c r="M68" s="860">
        <v>1.7999999999999999E-2</v>
      </c>
      <c r="N68" s="195">
        <v>0</v>
      </c>
      <c r="O68" s="860">
        <v>44.551000000000002</v>
      </c>
      <c r="P68" s="536">
        <f t="shared" si="13"/>
        <v>40</v>
      </c>
      <c r="Q68" s="860">
        <v>53.091999999999999</v>
      </c>
      <c r="R68" s="748">
        <f t="shared" si="14"/>
        <v>53</v>
      </c>
      <c r="S68" s="860">
        <v>6.4000000000000001E-2</v>
      </c>
      <c r="T68" s="747">
        <v>0</v>
      </c>
      <c r="U68" s="860">
        <v>50.08</v>
      </c>
      <c r="V68" s="748">
        <f t="shared" si="15"/>
        <v>50</v>
      </c>
      <c r="W68" s="860">
        <v>49.957000000000001</v>
      </c>
      <c r="X68" s="748">
        <f t="shared" si="16"/>
        <v>50</v>
      </c>
      <c r="Y68" s="860">
        <v>0.28100000000000003</v>
      </c>
      <c r="Z68" s="195">
        <v>0</v>
      </c>
      <c r="AA68" s="697">
        <v>0</v>
      </c>
      <c r="AB68" s="697">
        <v>0</v>
      </c>
      <c r="AC68" s="697">
        <v>5.6029999999999998</v>
      </c>
      <c r="AD68" s="697">
        <v>0.43099999999999999</v>
      </c>
      <c r="AE68" s="697">
        <v>0.16200000000000001</v>
      </c>
      <c r="AF68" s="697">
        <v>0.90200000000000002</v>
      </c>
      <c r="AG68" s="701">
        <v>8.6880000000000006</v>
      </c>
      <c r="AH68" s="702">
        <v>0.185</v>
      </c>
    </row>
    <row r="69" spans="1:38" ht="15.9">
      <c r="A69" s="186" t="s">
        <v>92</v>
      </c>
      <c r="B69" s="186" t="s">
        <v>321</v>
      </c>
      <c r="C69" s="860">
        <v>161.792</v>
      </c>
      <c r="D69" s="195">
        <f t="shared" ref="D69:D100" si="19">MROUND(C69,10)</f>
        <v>160</v>
      </c>
      <c r="E69" s="860">
        <v>0.38900000000000001</v>
      </c>
      <c r="F69" s="195">
        <v>0</v>
      </c>
      <c r="G69" s="860">
        <v>1.8260000000000001</v>
      </c>
      <c r="H69" s="743">
        <f t="shared" si="17"/>
        <v>2</v>
      </c>
      <c r="I69" s="860">
        <v>1.657</v>
      </c>
      <c r="J69" s="743">
        <f t="shared" si="18"/>
        <v>1.5</v>
      </c>
      <c r="K69" s="860">
        <v>3.0000000000000001E-3</v>
      </c>
      <c r="L69" s="536">
        <v>0</v>
      </c>
      <c r="M69" s="860">
        <v>0</v>
      </c>
      <c r="N69" s="195">
        <v>0</v>
      </c>
      <c r="O69" s="860">
        <v>36.981999999999999</v>
      </c>
      <c r="P69" s="536">
        <f t="shared" ref="P69:P100" si="20">MROUND(O69,10)</f>
        <v>40</v>
      </c>
      <c r="Q69" s="860">
        <v>36.393999999999998</v>
      </c>
      <c r="R69" s="748">
        <f t="shared" ref="R69:R100" si="21">MROUND(Q69,1)</f>
        <v>36</v>
      </c>
      <c r="S69" s="860">
        <v>0.40200000000000002</v>
      </c>
      <c r="T69" s="747">
        <v>0</v>
      </c>
      <c r="U69" s="860">
        <v>33.719000000000001</v>
      </c>
      <c r="V69" s="748">
        <f t="shared" si="15"/>
        <v>34</v>
      </c>
      <c r="W69" s="860">
        <v>33.151000000000003</v>
      </c>
      <c r="X69" s="748">
        <f t="shared" si="16"/>
        <v>33</v>
      </c>
      <c r="Y69" s="889">
        <v>0.28199999999999997</v>
      </c>
      <c r="Z69" s="195">
        <v>0</v>
      </c>
      <c r="AA69" s="697">
        <v>0</v>
      </c>
      <c r="AB69" s="697">
        <v>0</v>
      </c>
      <c r="AC69" s="697">
        <v>6.5369999999999999</v>
      </c>
      <c r="AD69" s="697">
        <v>0.503</v>
      </c>
      <c r="AE69" s="697">
        <v>9.7000000000000003E-2</v>
      </c>
      <c r="AF69" s="697">
        <v>0.53700000000000003</v>
      </c>
      <c r="AG69" s="701">
        <v>18.800999999999998</v>
      </c>
      <c r="AH69" s="702">
        <v>0.4</v>
      </c>
    </row>
    <row r="70" spans="1:38" ht="15.9">
      <c r="A70" s="186" t="s">
        <v>92</v>
      </c>
      <c r="B70" s="186" t="s">
        <v>117</v>
      </c>
      <c r="C70" s="860">
        <v>144.637</v>
      </c>
      <c r="D70" s="195">
        <f t="shared" si="19"/>
        <v>140</v>
      </c>
      <c r="E70" s="860">
        <v>0.28000000000000003</v>
      </c>
      <c r="F70" s="195">
        <v>0</v>
      </c>
      <c r="G70" s="860">
        <v>2.0659999999999998</v>
      </c>
      <c r="H70" s="743">
        <f t="shared" si="17"/>
        <v>2</v>
      </c>
      <c r="I70" s="860">
        <v>1.91</v>
      </c>
      <c r="J70" s="743">
        <f t="shared" si="18"/>
        <v>2</v>
      </c>
      <c r="K70" s="860">
        <v>1E-3</v>
      </c>
      <c r="L70" s="536">
        <v>0</v>
      </c>
      <c r="M70" s="860">
        <v>0</v>
      </c>
      <c r="N70" s="195">
        <v>0</v>
      </c>
      <c r="O70" s="860">
        <v>44.872</v>
      </c>
      <c r="P70" s="536">
        <f t="shared" si="20"/>
        <v>40</v>
      </c>
      <c r="Q70" s="860">
        <v>31.22</v>
      </c>
      <c r="R70" s="748">
        <f t="shared" si="21"/>
        <v>31</v>
      </c>
      <c r="S70" s="860">
        <v>0.17799999999999999</v>
      </c>
      <c r="T70" s="747">
        <v>0</v>
      </c>
      <c r="U70" s="860">
        <v>28.3</v>
      </c>
      <c r="V70" s="748">
        <f t="shared" si="15"/>
        <v>28</v>
      </c>
      <c r="W70" s="860">
        <v>27.132999999999999</v>
      </c>
      <c r="X70" s="748">
        <f t="shared" si="16"/>
        <v>27</v>
      </c>
      <c r="Y70" s="860">
        <v>0.28299999999999997</v>
      </c>
      <c r="Z70" s="195">
        <v>0</v>
      </c>
      <c r="AA70" s="555">
        <v>0</v>
      </c>
      <c r="AB70" s="555">
        <v>0</v>
      </c>
      <c r="AC70" s="536">
        <v>5.6310000000000002</v>
      </c>
      <c r="AD70" s="536">
        <v>0.433</v>
      </c>
      <c r="AE70" s="536">
        <v>8.7999999999999995E-2</v>
      </c>
      <c r="AF70" s="536">
        <v>0.48799999999999999</v>
      </c>
      <c r="AG70" s="536">
        <v>28.306000000000001</v>
      </c>
      <c r="AH70" s="536">
        <v>0.60199999999999998</v>
      </c>
    </row>
    <row r="71" spans="1:38" ht="15.9">
      <c r="A71" s="186" t="s">
        <v>92</v>
      </c>
      <c r="B71" s="186" t="s">
        <v>109</v>
      </c>
      <c r="C71" s="860">
        <v>192.096</v>
      </c>
      <c r="D71" s="195">
        <f t="shared" si="19"/>
        <v>190</v>
      </c>
      <c r="E71" s="860">
        <v>5.0030000000000001</v>
      </c>
      <c r="F71" s="195">
        <f>MROUND(E71,5)</f>
        <v>5</v>
      </c>
      <c r="G71" s="860">
        <v>2.403</v>
      </c>
      <c r="H71" s="743">
        <f t="shared" si="17"/>
        <v>2.5</v>
      </c>
      <c r="I71" s="860">
        <v>1.8839999999999999</v>
      </c>
      <c r="J71" s="743">
        <f t="shared" si="18"/>
        <v>2</v>
      </c>
      <c r="K71" s="860">
        <v>0</v>
      </c>
      <c r="L71" s="536">
        <v>0</v>
      </c>
      <c r="M71" s="860">
        <v>1.9E-2</v>
      </c>
      <c r="N71" s="195">
        <v>0</v>
      </c>
      <c r="O71" s="860">
        <v>46.162999999999997</v>
      </c>
      <c r="P71" s="536">
        <f t="shared" si="20"/>
        <v>50</v>
      </c>
      <c r="Q71" s="860">
        <v>43.128</v>
      </c>
      <c r="R71" s="748">
        <f t="shared" si="21"/>
        <v>43</v>
      </c>
      <c r="S71" s="860">
        <v>40.284999999999997</v>
      </c>
      <c r="T71" s="557" t="s">
        <v>303</v>
      </c>
      <c r="U71" s="860">
        <v>40.284999999999997</v>
      </c>
      <c r="V71" s="748">
        <f t="shared" si="15"/>
        <v>40</v>
      </c>
      <c r="W71" s="860">
        <v>40.174999999999997</v>
      </c>
      <c r="X71" s="748">
        <f t="shared" si="16"/>
        <v>40</v>
      </c>
      <c r="Y71" s="860">
        <v>0.28899999999999998</v>
      </c>
      <c r="Z71" s="195">
        <v>0</v>
      </c>
      <c r="AA71" s="555">
        <v>0</v>
      </c>
      <c r="AB71" s="555">
        <v>0</v>
      </c>
      <c r="AC71" s="555">
        <v>6.08</v>
      </c>
      <c r="AD71" s="555">
        <v>0.46800000000000003</v>
      </c>
      <c r="AE71" s="555">
        <v>0.16700000000000001</v>
      </c>
      <c r="AF71" s="555">
        <v>0.92500000000000004</v>
      </c>
      <c r="AG71" s="555">
        <v>8.7690000000000001</v>
      </c>
      <c r="AH71" s="555">
        <v>0.187</v>
      </c>
      <c r="AI71" s="212"/>
      <c r="AJ71" s="212"/>
      <c r="AK71" s="212"/>
      <c r="AL71" s="212"/>
    </row>
    <row r="72" spans="1:38" ht="15.9">
      <c r="A72" s="186" t="s">
        <v>92</v>
      </c>
      <c r="B72" s="186" t="s">
        <v>112</v>
      </c>
      <c r="C72" s="860">
        <v>159.79599999999999</v>
      </c>
      <c r="D72" s="195">
        <f t="shared" si="19"/>
        <v>160</v>
      </c>
      <c r="E72" s="860">
        <v>3.3000000000000002E-2</v>
      </c>
      <c r="F72" s="195">
        <v>0</v>
      </c>
      <c r="G72" s="860">
        <v>1.843</v>
      </c>
      <c r="H72" s="743">
        <f t="shared" si="17"/>
        <v>2</v>
      </c>
      <c r="I72" s="860">
        <v>1.7090000000000001</v>
      </c>
      <c r="J72" s="743">
        <f t="shared" si="18"/>
        <v>1.5</v>
      </c>
      <c r="K72" s="860">
        <v>0</v>
      </c>
      <c r="L72" s="536">
        <v>0</v>
      </c>
      <c r="M72" s="860">
        <v>0</v>
      </c>
      <c r="N72" s="195">
        <v>0</v>
      </c>
      <c r="O72" s="860">
        <v>37.991</v>
      </c>
      <c r="P72" s="536">
        <f t="shared" si="20"/>
        <v>40</v>
      </c>
      <c r="Q72" s="860">
        <v>35.942</v>
      </c>
      <c r="R72" s="748">
        <f t="shared" si="21"/>
        <v>36</v>
      </c>
      <c r="S72" s="860">
        <v>0.54500000000000004</v>
      </c>
      <c r="T72" s="557" t="s">
        <v>303</v>
      </c>
      <c r="U72" s="860">
        <v>33.082000000000001</v>
      </c>
      <c r="V72" s="748">
        <f t="shared" si="15"/>
        <v>33</v>
      </c>
      <c r="W72" s="860">
        <v>32.503</v>
      </c>
      <c r="X72" s="748">
        <f t="shared" si="16"/>
        <v>33</v>
      </c>
      <c r="Y72" s="889">
        <v>0.33400000000000002</v>
      </c>
      <c r="Z72" s="195">
        <v>0</v>
      </c>
      <c r="AA72" s="555">
        <v>0</v>
      </c>
      <c r="AB72" s="555">
        <v>0</v>
      </c>
      <c r="AC72" s="555">
        <v>9.51</v>
      </c>
      <c r="AD72" s="555">
        <v>0.73199999999999998</v>
      </c>
      <c r="AE72" s="555">
        <v>0.216</v>
      </c>
      <c r="AF72" s="555">
        <v>1.198</v>
      </c>
      <c r="AG72" s="612">
        <v>37.359000000000002</v>
      </c>
      <c r="AH72" s="613">
        <v>0.79500000000000004</v>
      </c>
    </row>
    <row r="73" spans="1:38" ht="15.9">
      <c r="A73" s="186" t="s">
        <v>92</v>
      </c>
      <c r="B73" s="186" t="s">
        <v>116</v>
      </c>
      <c r="C73" s="860">
        <v>224.262</v>
      </c>
      <c r="D73" s="195">
        <f t="shared" si="19"/>
        <v>220</v>
      </c>
      <c r="E73" s="860">
        <v>0</v>
      </c>
      <c r="F73" s="195">
        <v>0</v>
      </c>
      <c r="G73" s="860">
        <v>2.7189999999999999</v>
      </c>
      <c r="H73" s="743">
        <f t="shared" si="17"/>
        <v>2.5</v>
      </c>
      <c r="I73" s="860">
        <v>2.218</v>
      </c>
      <c r="J73" s="743">
        <f t="shared" si="18"/>
        <v>2</v>
      </c>
      <c r="K73" s="860">
        <v>0</v>
      </c>
      <c r="L73" s="536">
        <v>0</v>
      </c>
      <c r="M73" s="860">
        <v>0</v>
      </c>
      <c r="N73" s="195">
        <v>0</v>
      </c>
      <c r="O73" s="860">
        <v>42.418999999999997</v>
      </c>
      <c r="P73" s="536">
        <f t="shared" si="20"/>
        <v>40</v>
      </c>
      <c r="Q73" s="860">
        <v>50.73</v>
      </c>
      <c r="R73" s="748">
        <f t="shared" si="21"/>
        <v>51</v>
      </c>
      <c r="S73" s="860">
        <v>0.309</v>
      </c>
      <c r="T73" s="747">
        <v>0</v>
      </c>
      <c r="U73" s="860">
        <v>48.345999999999997</v>
      </c>
      <c r="V73" s="748">
        <f t="shared" si="15"/>
        <v>48</v>
      </c>
      <c r="W73" s="860">
        <v>48.247</v>
      </c>
      <c r="X73" s="748">
        <f t="shared" si="16"/>
        <v>48</v>
      </c>
      <c r="Y73" s="860">
        <v>0.34</v>
      </c>
      <c r="Z73" s="195">
        <v>0</v>
      </c>
      <c r="AA73" s="555">
        <v>0</v>
      </c>
      <c r="AB73" s="555">
        <v>0</v>
      </c>
      <c r="AC73" s="536">
        <v>6.9740000000000002</v>
      </c>
      <c r="AD73" s="536">
        <v>0.53600000000000003</v>
      </c>
      <c r="AE73" s="536">
        <v>0.51600000000000001</v>
      </c>
      <c r="AF73" s="536">
        <v>2.8679999999999999</v>
      </c>
      <c r="AG73" s="609">
        <v>28.577999999999999</v>
      </c>
      <c r="AH73" s="611">
        <v>0.60799999999999998</v>
      </c>
    </row>
    <row r="74" spans="1:38" ht="15.9">
      <c r="A74" s="186" t="s">
        <v>92</v>
      </c>
      <c r="B74" s="186" t="s">
        <v>93</v>
      </c>
      <c r="C74" s="860">
        <v>192.42699999999999</v>
      </c>
      <c r="D74" s="195">
        <f t="shared" si="19"/>
        <v>190</v>
      </c>
      <c r="E74" s="860">
        <v>9.31</v>
      </c>
      <c r="F74" s="195">
        <f>MROUND(E74,5)</f>
        <v>10</v>
      </c>
      <c r="G74" s="860">
        <v>2.851</v>
      </c>
      <c r="H74" s="743">
        <f t="shared" si="17"/>
        <v>3</v>
      </c>
      <c r="I74" s="860">
        <v>2.2090000000000001</v>
      </c>
      <c r="J74" s="743">
        <f t="shared" si="18"/>
        <v>2</v>
      </c>
      <c r="K74" s="860">
        <v>2E-3</v>
      </c>
      <c r="L74" s="536">
        <v>0</v>
      </c>
      <c r="M74" s="860">
        <v>0</v>
      </c>
      <c r="N74" s="195">
        <v>0</v>
      </c>
      <c r="O74" s="860">
        <v>40.908999999999999</v>
      </c>
      <c r="P74" s="536">
        <f t="shared" si="20"/>
        <v>40</v>
      </c>
      <c r="Q74" s="860">
        <v>45.24</v>
      </c>
      <c r="R74" s="748">
        <f t="shared" si="21"/>
        <v>45</v>
      </c>
      <c r="S74" s="860">
        <v>0.38600000000000001</v>
      </c>
      <c r="T74" s="747">
        <v>0</v>
      </c>
      <c r="U74" s="860">
        <v>42.521999999999998</v>
      </c>
      <c r="V74" s="748">
        <f t="shared" si="15"/>
        <v>43</v>
      </c>
      <c r="W74" s="860">
        <v>38.573999999999998</v>
      </c>
      <c r="X74" s="748">
        <f t="shared" si="16"/>
        <v>39</v>
      </c>
      <c r="Y74" s="860">
        <v>0.35399999999999998</v>
      </c>
      <c r="Z74" s="195">
        <v>0</v>
      </c>
      <c r="AA74" s="555">
        <v>7.0000000000000001E-3</v>
      </c>
      <c r="AB74" s="555">
        <v>3.4000000000000002E-2</v>
      </c>
      <c r="AC74" s="555">
        <v>8.5690000000000008</v>
      </c>
      <c r="AD74" s="555">
        <v>0.65900000000000003</v>
      </c>
      <c r="AE74" s="555">
        <v>0.307</v>
      </c>
      <c r="AF74" s="555">
        <v>1.708</v>
      </c>
      <c r="AG74" s="612">
        <v>40.777000000000001</v>
      </c>
      <c r="AH74" s="613">
        <v>0.86799999999999999</v>
      </c>
    </row>
    <row r="75" spans="1:38" ht="15.75" customHeight="1">
      <c r="A75" s="186" t="s">
        <v>296</v>
      </c>
      <c r="B75" s="186" t="s">
        <v>67</v>
      </c>
      <c r="C75" s="860">
        <v>174.21600000000001</v>
      </c>
      <c r="D75" s="195">
        <f t="shared" si="19"/>
        <v>170</v>
      </c>
      <c r="E75" s="860">
        <v>1.0999999999999999E-2</v>
      </c>
      <c r="F75" s="195">
        <v>0</v>
      </c>
      <c r="G75" s="860">
        <v>1E-3</v>
      </c>
      <c r="H75" s="743">
        <v>0</v>
      </c>
      <c r="I75" s="860">
        <v>0</v>
      </c>
      <c r="J75" s="743">
        <v>0</v>
      </c>
      <c r="K75" s="860">
        <v>0</v>
      </c>
      <c r="L75" s="536">
        <v>0</v>
      </c>
      <c r="M75" s="860">
        <v>0</v>
      </c>
      <c r="N75" s="195">
        <v>0</v>
      </c>
      <c r="O75" s="860">
        <v>24.646000000000001</v>
      </c>
      <c r="P75" s="536">
        <f t="shared" si="20"/>
        <v>20</v>
      </c>
      <c r="Q75" s="860">
        <v>44.055999999999997</v>
      </c>
      <c r="R75" s="748">
        <f t="shared" si="21"/>
        <v>44</v>
      </c>
      <c r="S75" s="860">
        <v>4.8000000000000001E-2</v>
      </c>
      <c r="T75" s="747">
        <v>0</v>
      </c>
      <c r="U75" s="860">
        <v>42.720999999999997</v>
      </c>
      <c r="V75" s="748">
        <f t="shared" si="15"/>
        <v>43</v>
      </c>
      <c r="W75" s="860">
        <v>42.481999999999999</v>
      </c>
      <c r="X75" s="748">
        <f t="shared" si="16"/>
        <v>42</v>
      </c>
      <c r="Y75" s="860">
        <v>5.2999999999999999E-2</v>
      </c>
      <c r="Z75" s="195">
        <v>0</v>
      </c>
      <c r="AA75" s="555">
        <v>0</v>
      </c>
      <c r="AB75" s="555">
        <v>0</v>
      </c>
      <c r="AC75" s="536">
        <v>5.5380000000000003</v>
      </c>
      <c r="AD75" s="536">
        <v>0.42599999999999999</v>
      </c>
      <c r="AE75" s="536">
        <v>4.2999999999999997E-2</v>
      </c>
      <c r="AF75" s="536">
        <v>0.24099999999999999</v>
      </c>
      <c r="AG75" s="609">
        <v>1.627</v>
      </c>
      <c r="AH75" s="611">
        <v>3.5000000000000003E-2</v>
      </c>
    </row>
    <row r="76" spans="1:38" s="248" customFormat="1" ht="15.75" customHeight="1">
      <c r="A76" s="186" t="s">
        <v>92</v>
      </c>
      <c r="B76" s="186" t="s">
        <v>111</v>
      </c>
      <c r="C76" s="860">
        <v>182.649</v>
      </c>
      <c r="D76" s="195">
        <f t="shared" si="19"/>
        <v>180</v>
      </c>
      <c r="E76" s="860">
        <v>6.4409999999999998</v>
      </c>
      <c r="F76" s="195">
        <f>MROUND(E76,5)</f>
        <v>5</v>
      </c>
      <c r="G76" s="860">
        <v>2.5489999999999999</v>
      </c>
      <c r="H76" s="743">
        <f>MROUND(G76,0.5)</f>
        <v>2.5</v>
      </c>
      <c r="I76" s="860">
        <v>2.1619999999999999</v>
      </c>
      <c r="J76" s="743">
        <f>MROUND(I76,0.5)</f>
        <v>2</v>
      </c>
      <c r="K76" s="860">
        <v>1.4999999999999999E-2</v>
      </c>
      <c r="L76" s="536">
        <v>0</v>
      </c>
      <c r="M76" s="860">
        <v>1.7729999999999999</v>
      </c>
      <c r="N76" s="195">
        <v>0</v>
      </c>
      <c r="O76" s="860">
        <v>42.606999999999999</v>
      </c>
      <c r="P76" s="536">
        <f t="shared" si="20"/>
        <v>40</v>
      </c>
      <c r="Q76" s="860">
        <v>39.93</v>
      </c>
      <c r="R76" s="748">
        <f t="shared" si="21"/>
        <v>40</v>
      </c>
      <c r="S76" s="860">
        <v>0.27900000000000003</v>
      </c>
      <c r="T76" s="747">
        <v>0</v>
      </c>
      <c r="U76" s="860">
        <v>36.484000000000002</v>
      </c>
      <c r="V76" s="748">
        <f t="shared" si="15"/>
        <v>36</v>
      </c>
      <c r="W76" s="860">
        <v>36.061999999999998</v>
      </c>
      <c r="X76" s="748">
        <f t="shared" si="16"/>
        <v>36</v>
      </c>
      <c r="Y76" s="889">
        <v>0.37</v>
      </c>
      <c r="Z76" s="195">
        <v>0</v>
      </c>
      <c r="AA76" s="555">
        <v>0</v>
      </c>
      <c r="AB76" s="555">
        <v>0</v>
      </c>
      <c r="AC76" s="555">
        <v>10.817</v>
      </c>
      <c r="AD76" s="555">
        <v>0.83199999999999996</v>
      </c>
      <c r="AE76" s="555">
        <v>0.13700000000000001</v>
      </c>
      <c r="AF76" s="555">
        <v>0.76300000000000001</v>
      </c>
      <c r="AG76" s="612">
        <v>23.853000000000002</v>
      </c>
      <c r="AH76" s="613">
        <v>0.50800000000000001</v>
      </c>
      <c r="AI76" s="179"/>
      <c r="AJ76" s="179"/>
      <c r="AK76" s="179"/>
      <c r="AL76" s="179"/>
    </row>
    <row r="77" spans="1:38" s="248" customFormat="1" ht="15.75" customHeight="1">
      <c r="A77" s="186" t="s">
        <v>92</v>
      </c>
      <c r="B77" s="186" t="s">
        <v>94</v>
      </c>
      <c r="C77" s="860">
        <v>204.01599999999999</v>
      </c>
      <c r="D77" s="195">
        <f t="shared" si="19"/>
        <v>200</v>
      </c>
      <c r="E77" s="860">
        <v>6.133</v>
      </c>
      <c r="F77" s="195">
        <f>MROUND(E77,5)</f>
        <v>5</v>
      </c>
      <c r="G77" s="860">
        <v>2.516</v>
      </c>
      <c r="H77" s="743">
        <f>MROUND(G77,0.5)</f>
        <v>2.5</v>
      </c>
      <c r="I77" s="860">
        <v>2.04</v>
      </c>
      <c r="J77" s="743">
        <f>MROUND(I77,0.5)</f>
        <v>2</v>
      </c>
      <c r="K77" s="860">
        <v>7.0000000000000001E-3</v>
      </c>
      <c r="L77" s="536">
        <v>0</v>
      </c>
      <c r="M77" s="860">
        <v>0</v>
      </c>
      <c r="N77" s="195">
        <v>0</v>
      </c>
      <c r="O77" s="860">
        <v>105.81699999999999</v>
      </c>
      <c r="P77" s="536">
        <f t="shared" si="20"/>
        <v>110</v>
      </c>
      <c r="Q77" s="860">
        <v>45.366</v>
      </c>
      <c r="R77" s="748">
        <f t="shared" si="21"/>
        <v>45</v>
      </c>
      <c r="S77" s="860">
        <v>7.2999999999999995E-2</v>
      </c>
      <c r="T77" s="747">
        <v>0</v>
      </c>
      <c r="U77" s="860">
        <v>40.655999999999999</v>
      </c>
      <c r="V77" s="748">
        <f t="shared" si="15"/>
        <v>41</v>
      </c>
      <c r="W77" s="860">
        <v>35.158000000000001</v>
      </c>
      <c r="X77" s="748">
        <f t="shared" si="16"/>
        <v>35</v>
      </c>
      <c r="Y77" s="860">
        <v>0.38500000000000001</v>
      </c>
      <c r="Z77" s="195">
        <v>0</v>
      </c>
      <c r="AA77" s="555">
        <v>0</v>
      </c>
      <c r="AB77" s="555">
        <v>0</v>
      </c>
      <c r="AC77" s="555">
        <v>22.53</v>
      </c>
      <c r="AD77" s="555">
        <v>1.7330000000000001</v>
      </c>
      <c r="AE77" s="555">
        <v>0.16800000000000001</v>
      </c>
      <c r="AF77" s="555">
        <v>0.93500000000000005</v>
      </c>
      <c r="AG77" s="612">
        <v>4.2990000000000004</v>
      </c>
      <c r="AH77" s="613">
        <v>9.0999999999999998E-2</v>
      </c>
      <c r="AI77" s="179"/>
      <c r="AJ77" s="179"/>
      <c r="AK77" s="179"/>
      <c r="AL77" s="179"/>
    </row>
    <row r="78" spans="1:38" ht="15.9">
      <c r="A78" s="186" t="s">
        <v>92</v>
      </c>
      <c r="B78" s="186" t="s">
        <v>95</v>
      </c>
      <c r="C78" s="889">
        <v>218.709</v>
      </c>
      <c r="D78" s="195">
        <f t="shared" si="19"/>
        <v>220</v>
      </c>
      <c r="E78" s="889">
        <v>12.709</v>
      </c>
      <c r="F78" s="195">
        <f>MROUND(E78,5)</f>
        <v>15</v>
      </c>
      <c r="G78" s="889">
        <v>3.2250000000000001</v>
      </c>
      <c r="H78" s="743">
        <f>MROUND(G78,0.5)</f>
        <v>3</v>
      </c>
      <c r="I78" s="889">
        <v>2.5920000000000001</v>
      </c>
      <c r="J78" s="743">
        <f>MROUND(I78,0.5)</f>
        <v>2.5</v>
      </c>
      <c r="K78" s="860">
        <v>0.03</v>
      </c>
      <c r="L78" s="536">
        <v>0</v>
      </c>
      <c r="M78" s="889">
        <v>3.508</v>
      </c>
      <c r="N78" s="871" t="s">
        <v>332</v>
      </c>
      <c r="O78" s="889">
        <v>46.561</v>
      </c>
      <c r="P78" s="536">
        <f t="shared" si="20"/>
        <v>50</v>
      </c>
      <c r="Q78" s="889">
        <v>46.872999999999998</v>
      </c>
      <c r="R78" s="748">
        <f t="shared" si="21"/>
        <v>47</v>
      </c>
      <c r="S78" s="860">
        <v>1.4999999999999999E-2</v>
      </c>
      <c r="T78" s="747">
        <v>0</v>
      </c>
      <c r="U78" s="889">
        <v>42.872</v>
      </c>
      <c r="V78" s="748">
        <f t="shared" si="15"/>
        <v>43</v>
      </c>
      <c r="W78" s="889">
        <v>42.61</v>
      </c>
      <c r="X78" s="748">
        <f t="shared" si="16"/>
        <v>43</v>
      </c>
      <c r="Y78" s="889">
        <v>0.40300000000000002</v>
      </c>
      <c r="Z78" s="195">
        <v>0</v>
      </c>
      <c r="AA78" s="555">
        <v>0</v>
      </c>
      <c r="AB78" s="555">
        <v>0</v>
      </c>
      <c r="AC78" s="555">
        <v>13.663</v>
      </c>
      <c r="AD78" s="555">
        <v>1.0509999999999999</v>
      </c>
      <c r="AE78" s="555">
        <v>0.06</v>
      </c>
      <c r="AF78" s="555">
        <v>0.33300000000000002</v>
      </c>
      <c r="AG78" s="612">
        <v>12.236000000000001</v>
      </c>
      <c r="AH78" s="613">
        <v>0.26</v>
      </c>
    </row>
    <row r="79" spans="1:38" s="212" customFormat="1" ht="15.9">
      <c r="A79" s="186" t="s">
        <v>92</v>
      </c>
      <c r="B79" s="186" t="s">
        <v>98</v>
      </c>
      <c r="C79" s="860">
        <v>210.73099999999999</v>
      </c>
      <c r="D79" s="195">
        <f t="shared" si="19"/>
        <v>210</v>
      </c>
      <c r="E79" s="860">
        <v>12.785</v>
      </c>
      <c r="F79" s="195">
        <f>MROUND(E79,5)</f>
        <v>15</v>
      </c>
      <c r="G79" s="860">
        <v>3.2450000000000001</v>
      </c>
      <c r="H79" s="743">
        <f>MROUND(G79,0.5)</f>
        <v>3</v>
      </c>
      <c r="I79" s="860">
        <v>2.6070000000000002</v>
      </c>
      <c r="J79" s="743">
        <f>MROUND(I79,0.5)</f>
        <v>2.5</v>
      </c>
      <c r="K79" s="860">
        <v>0.03</v>
      </c>
      <c r="L79" s="536">
        <v>0</v>
      </c>
      <c r="M79" s="860">
        <v>3.5289999999999999</v>
      </c>
      <c r="N79" s="871" t="s">
        <v>332</v>
      </c>
      <c r="O79" s="860">
        <v>47.088000000000001</v>
      </c>
      <c r="P79" s="536">
        <f t="shared" si="20"/>
        <v>50</v>
      </c>
      <c r="Q79" s="860">
        <v>45.295999999999999</v>
      </c>
      <c r="R79" s="748">
        <f t="shared" si="21"/>
        <v>45</v>
      </c>
      <c r="S79" s="860">
        <v>1.4999999999999999E-2</v>
      </c>
      <c r="T79" s="747">
        <v>0</v>
      </c>
      <c r="U79" s="860">
        <v>41.271000000000001</v>
      </c>
      <c r="V79" s="748">
        <f t="shared" si="15"/>
        <v>41</v>
      </c>
      <c r="W79" s="860">
        <v>41.006999999999998</v>
      </c>
      <c r="X79" s="748">
        <f t="shared" si="16"/>
        <v>41</v>
      </c>
      <c r="Y79" s="860">
        <v>0.40500000000000003</v>
      </c>
      <c r="Z79" s="195">
        <v>0</v>
      </c>
      <c r="AA79" s="555">
        <v>0</v>
      </c>
      <c r="AB79" s="555">
        <v>0</v>
      </c>
      <c r="AC79" s="555">
        <v>12.076000000000001</v>
      </c>
      <c r="AD79" s="555">
        <v>0.92900000000000005</v>
      </c>
      <c r="AE79" s="555">
        <v>0.06</v>
      </c>
      <c r="AF79" s="555">
        <v>0.33500000000000002</v>
      </c>
      <c r="AG79" s="612">
        <v>10.454000000000001</v>
      </c>
      <c r="AH79" s="613">
        <v>0.222</v>
      </c>
      <c r="AI79" s="179"/>
      <c r="AJ79" s="179"/>
      <c r="AK79" s="179"/>
      <c r="AL79" s="179"/>
    </row>
    <row r="80" spans="1:38" ht="15.75" customHeight="1">
      <c r="A80" s="186" t="s">
        <v>92</v>
      </c>
      <c r="B80" s="186" t="s">
        <v>118</v>
      </c>
      <c r="C80" s="861">
        <v>219.43199999999999</v>
      </c>
      <c r="D80" s="195">
        <f t="shared" si="19"/>
        <v>220</v>
      </c>
      <c r="E80" s="861">
        <v>12.728</v>
      </c>
      <c r="F80" s="195">
        <f>MROUND(E80,5)</f>
        <v>15</v>
      </c>
      <c r="G80" s="861">
        <v>3.2240000000000002</v>
      </c>
      <c r="H80" s="743">
        <f>MROUND(G80,0.5)</f>
        <v>3</v>
      </c>
      <c r="I80" s="861">
        <v>2.5870000000000002</v>
      </c>
      <c r="J80" s="743">
        <f>MROUND(I80,0.5)</f>
        <v>2.5</v>
      </c>
      <c r="K80" s="861">
        <v>0.03</v>
      </c>
      <c r="L80" s="536">
        <v>0</v>
      </c>
      <c r="M80" s="861">
        <v>3.5009999999999999</v>
      </c>
      <c r="N80" s="871" t="s">
        <v>332</v>
      </c>
      <c r="O80" s="861">
        <v>47.911999999999999</v>
      </c>
      <c r="P80" s="536">
        <f t="shared" si="20"/>
        <v>50</v>
      </c>
      <c r="Q80" s="861">
        <v>47.77</v>
      </c>
      <c r="R80" s="748">
        <f t="shared" si="21"/>
        <v>48</v>
      </c>
      <c r="S80" s="861">
        <v>0.105</v>
      </c>
      <c r="T80" s="747">
        <v>0</v>
      </c>
      <c r="U80" s="861">
        <v>43.345999999999997</v>
      </c>
      <c r="V80" s="748">
        <f t="shared" si="15"/>
        <v>43</v>
      </c>
      <c r="W80" s="861">
        <v>42.197000000000003</v>
      </c>
      <c r="X80" s="748">
        <f t="shared" si="16"/>
        <v>42</v>
      </c>
      <c r="Y80" s="861">
        <v>0.42599999999999999</v>
      </c>
      <c r="Z80" s="195">
        <v>0</v>
      </c>
      <c r="AA80" s="730">
        <v>0</v>
      </c>
      <c r="AB80" s="761">
        <v>0</v>
      </c>
      <c r="AC80" s="761">
        <v>12.55</v>
      </c>
      <c r="AD80" s="761">
        <v>0.96499999999999997</v>
      </c>
      <c r="AE80" s="761">
        <v>9.1999999999999998E-2</v>
      </c>
      <c r="AF80" s="761">
        <v>0.51100000000000001</v>
      </c>
      <c r="AG80" s="1151">
        <v>17.547000000000001</v>
      </c>
      <c r="AH80" s="1152">
        <v>0.373</v>
      </c>
      <c r="AI80" s="1137"/>
    </row>
    <row r="81" spans="1:38" ht="15.75" customHeight="1">
      <c r="A81" s="186" t="s">
        <v>296</v>
      </c>
      <c r="B81" s="186" t="s">
        <v>372</v>
      </c>
      <c r="C81" s="860">
        <v>153.75800000000001</v>
      </c>
      <c r="D81" s="195">
        <f t="shared" si="19"/>
        <v>150</v>
      </c>
      <c r="E81" s="860">
        <v>4.9000000000000002E-2</v>
      </c>
      <c r="F81" s="195">
        <v>0</v>
      </c>
      <c r="G81" s="860">
        <v>5.0000000000000001E-3</v>
      </c>
      <c r="H81" s="743">
        <v>0</v>
      </c>
      <c r="I81" s="860">
        <v>1E-3</v>
      </c>
      <c r="J81" s="743">
        <v>0</v>
      </c>
      <c r="K81" s="860">
        <v>5.0000000000000001E-3</v>
      </c>
      <c r="L81" s="536">
        <v>0</v>
      </c>
      <c r="M81" s="860">
        <v>0</v>
      </c>
      <c r="N81" s="195">
        <v>0</v>
      </c>
      <c r="O81" s="860">
        <v>21.712</v>
      </c>
      <c r="P81" s="536">
        <f t="shared" si="20"/>
        <v>20</v>
      </c>
      <c r="Q81" s="860">
        <v>38.862000000000002</v>
      </c>
      <c r="R81" s="748">
        <f t="shared" si="21"/>
        <v>39</v>
      </c>
      <c r="S81" s="860">
        <v>0.11899999999999999</v>
      </c>
      <c r="T81" s="747">
        <v>0</v>
      </c>
      <c r="U81" s="860">
        <v>37.295000000000002</v>
      </c>
      <c r="V81" s="748">
        <f t="shared" si="15"/>
        <v>37</v>
      </c>
      <c r="W81" s="860">
        <v>36.542000000000002</v>
      </c>
      <c r="X81" s="748">
        <f t="shared" si="16"/>
        <v>37</v>
      </c>
      <c r="Y81" s="860">
        <v>6.2E-2</v>
      </c>
      <c r="Z81" s="195">
        <v>0</v>
      </c>
      <c r="AA81" s="555">
        <v>0</v>
      </c>
      <c r="AB81" s="555">
        <v>0</v>
      </c>
      <c r="AC81" s="555">
        <v>5.4989999999999997</v>
      </c>
      <c r="AD81" s="555">
        <v>0.42299999999999999</v>
      </c>
      <c r="AE81" s="555">
        <v>4.1000000000000002E-2</v>
      </c>
      <c r="AF81" s="555">
        <v>0.23</v>
      </c>
      <c r="AG81" s="612">
        <v>6.0170000000000003</v>
      </c>
      <c r="AH81" s="613">
        <v>0.128</v>
      </c>
    </row>
    <row r="82" spans="1:38" ht="15.9">
      <c r="A82" s="186" t="s">
        <v>92</v>
      </c>
      <c r="B82" s="186" t="s">
        <v>108</v>
      </c>
      <c r="C82" s="860">
        <v>177.202</v>
      </c>
      <c r="D82" s="195">
        <f t="shared" si="19"/>
        <v>180</v>
      </c>
      <c r="E82" s="860">
        <v>13.151</v>
      </c>
      <c r="F82" s="195">
        <f>MROUND(E82,5)</f>
        <v>15</v>
      </c>
      <c r="G82" s="860">
        <v>3.2959999999999998</v>
      </c>
      <c r="H82" s="743">
        <f t="shared" ref="H82:H89" si="22">MROUND(G82,0.5)</f>
        <v>3.5</v>
      </c>
      <c r="I82" s="860">
        <v>2.5779999999999998</v>
      </c>
      <c r="J82" s="743">
        <f t="shared" ref="J82:J89" si="23">MROUND(I82,0.5)</f>
        <v>2.5</v>
      </c>
      <c r="K82" s="860">
        <v>0</v>
      </c>
      <c r="L82" s="536">
        <v>0</v>
      </c>
      <c r="M82" s="860">
        <v>0</v>
      </c>
      <c r="N82" s="195">
        <v>0</v>
      </c>
      <c r="O82" s="860">
        <v>36.171999999999997</v>
      </c>
      <c r="P82" s="536">
        <f t="shared" si="20"/>
        <v>40</v>
      </c>
      <c r="Q82" s="860">
        <v>44.677</v>
      </c>
      <c r="R82" s="748">
        <f t="shared" si="21"/>
        <v>45</v>
      </c>
      <c r="S82" s="860">
        <v>0.41299999999999998</v>
      </c>
      <c r="T82" s="747">
        <v>0</v>
      </c>
      <c r="U82" s="860">
        <v>42.113</v>
      </c>
      <c r="V82" s="748">
        <f t="shared" si="15"/>
        <v>42</v>
      </c>
      <c r="W82" s="860">
        <v>38.786000000000001</v>
      </c>
      <c r="X82" s="748">
        <f t="shared" si="16"/>
        <v>39</v>
      </c>
      <c r="Y82" s="860">
        <v>0.43</v>
      </c>
      <c r="Z82" s="195">
        <v>0</v>
      </c>
      <c r="AA82" s="555">
        <v>1.2E-2</v>
      </c>
      <c r="AB82" s="555">
        <v>6.2E-2</v>
      </c>
      <c r="AC82" s="555">
        <v>6.7640000000000002</v>
      </c>
      <c r="AD82" s="555">
        <v>0.52</v>
      </c>
      <c r="AE82" s="555">
        <v>0.497</v>
      </c>
      <c r="AF82" s="555">
        <v>2.76</v>
      </c>
      <c r="AG82" s="612">
        <v>27.716999999999999</v>
      </c>
      <c r="AH82" s="613">
        <v>0.59</v>
      </c>
    </row>
    <row r="83" spans="1:38" ht="18" customHeight="1">
      <c r="A83" s="186" t="s">
        <v>92</v>
      </c>
      <c r="B83" s="186" t="s">
        <v>120</v>
      </c>
      <c r="C83" s="860">
        <v>198.864</v>
      </c>
      <c r="D83" s="195">
        <f t="shared" si="19"/>
        <v>200</v>
      </c>
      <c r="E83" s="860">
        <v>13.151999999999999</v>
      </c>
      <c r="F83" s="195">
        <f>MROUND(E83,5)</f>
        <v>15</v>
      </c>
      <c r="G83" s="860">
        <v>3.2850000000000001</v>
      </c>
      <c r="H83" s="743">
        <f t="shared" si="22"/>
        <v>3.5</v>
      </c>
      <c r="I83" s="860">
        <v>2.5619999999999998</v>
      </c>
      <c r="J83" s="743">
        <f t="shared" si="23"/>
        <v>2.5</v>
      </c>
      <c r="K83" s="860">
        <v>0.48399999999999999</v>
      </c>
      <c r="L83" s="536">
        <v>0</v>
      </c>
      <c r="M83" s="860">
        <v>0</v>
      </c>
      <c r="N83" s="195">
        <v>0</v>
      </c>
      <c r="O83" s="860">
        <v>41.731999999999999</v>
      </c>
      <c r="P83" s="536">
        <f t="shared" si="20"/>
        <v>40</v>
      </c>
      <c r="Q83" s="860">
        <v>50.076999999999998</v>
      </c>
      <c r="R83" s="748">
        <f t="shared" si="21"/>
        <v>50</v>
      </c>
      <c r="S83" s="860">
        <v>0.42699999999999999</v>
      </c>
      <c r="T83" s="747">
        <v>0</v>
      </c>
      <c r="U83" s="860">
        <v>46.734999999999999</v>
      </c>
      <c r="V83" s="748">
        <f t="shared" si="15"/>
        <v>47</v>
      </c>
      <c r="W83" s="860">
        <v>43.332000000000001</v>
      </c>
      <c r="X83" s="748">
        <f t="shared" si="16"/>
        <v>43</v>
      </c>
      <c r="Y83" s="860">
        <v>0.46300000000000002</v>
      </c>
      <c r="Z83" s="195">
        <v>0</v>
      </c>
      <c r="AA83" s="555">
        <v>1.2E-2</v>
      </c>
      <c r="AB83" s="555">
        <v>6.0999999999999999E-2</v>
      </c>
      <c r="AC83" s="536">
        <v>7.2949999999999999</v>
      </c>
      <c r="AD83" s="536">
        <v>0.56100000000000005</v>
      </c>
      <c r="AE83" s="536">
        <v>0.51800000000000002</v>
      </c>
      <c r="AF83" s="536">
        <v>2.8759999999999999</v>
      </c>
      <c r="AG83" s="609">
        <v>33.904000000000003</v>
      </c>
      <c r="AH83" s="611">
        <v>0.72099999999999997</v>
      </c>
    </row>
    <row r="84" spans="1:38" ht="15.75" customHeight="1">
      <c r="A84" s="186" t="s">
        <v>92</v>
      </c>
      <c r="B84" s="186" t="s">
        <v>318</v>
      </c>
      <c r="C84" s="891">
        <v>204.375</v>
      </c>
      <c r="D84" s="195">
        <f t="shared" si="19"/>
        <v>200</v>
      </c>
      <c r="E84" s="891">
        <v>1.6359999999999999</v>
      </c>
      <c r="F84" s="195">
        <v>0</v>
      </c>
      <c r="G84" s="891">
        <v>1.917</v>
      </c>
      <c r="H84" s="743">
        <f t="shared" si="22"/>
        <v>2</v>
      </c>
      <c r="I84" s="891">
        <v>1.7170000000000001</v>
      </c>
      <c r="J84" s="743">
        <f t="shared" si="23"/>
        <v>1.5</v>
      </c>
      <c r="K84" s="891">
        <v>0</v>
      </c>
      <c r="L84" s="536">
        <v>0</v>
      </c>
      <c r="M84" s="891">
        <v>0</v>
      </c>
      <c r="N84" s="195">
        <v>0</v>
      </c>
      <c r="O84" s="891">
        <v>49.862000000000002</v>
      </c>
      <c r="P84" s="536">
        <f t="shared" si="20"/>
        <v>50</v>
      </c>
      <c r="Q84" s="891">
        <v>47.863</v>
      </c>
      <c r="R84" s="748">
        <f t="shared" si="21"/>
        <v>48</v>
      </c>
      <c r="S84" s="891">
        <v>0.53100000000000003</v>
      </c>
      <c r="T84" s="557" t="s">
        <v>303</v>
      </c>
      <c r="U84" s="891">
        <v>44.89</v>
      </c>
      <c r="V84" s="748">
        <f t="shared" si="15"/>
        <v>45</v>
      </c>
      <c r="W84" s="891">
        <v>44.649000000000001</v>
      </c>
      <c r="X84" s="748">
        <f t="shared" si="16"/>
        <v>45</v>
      </c>
      <c r="Y84" s="891">
        <v>0.48199999999999998</v>
      </c>
      <c r="Z84" s="195">
        <v>0</v>
      </c>
      <c r="AA84" s="557">
        <v>2E-3</v>
      </c>
      <c r="AB84" s="557">
        <v>1.2E-2</v>
      </c>
      <c r="AC84" s="557">
        <v>8.1289999999999996</v>
      </c>
      <c r="AD84" s="557">
        <v>0.625</v>
      </c>
      <c r="AE84" s="557">
        <v>0.35499999999999998</v>
      </c>
      <c r="AF84" s="557">
        <v>1.9750000000000001</v>
      </c>
      <c r="AG84" s="619">
        <v>43.287999999999997</v>
      </c>
      <c r="AH84" s="620">
        <v>0.92100000000000004</v>
      </c>
    </row>
    <row r="85" spans="1:38" ht="15.75" customHeight="1">
      <c r="A85" s="186" t="s">
        <v>92</v>
      </c>
      <c r="B85" s="186" t="s">
        <v>100</v>
      </c>
      <c r="C85" s="860">
        <v>199.71</v>
      </c>
      <c r="D85" s="195">
        <f t="shared" si="19"/>
        <v>200</v>
      </c>
      <c r="E85" s="860">
        <v>11.401</v>
      </c>
      <c r="F85" s="195">
        <f>MROUND(E85,5)</f>
        <v>10</v>
      </c>
      <c r="G85" s="860">
        <v>3.0950000000000002</v>
      </c>
      <c r="H85" s="743">
        <f t="shared" si="22"/>
        <v>3</v>
      </c>
      <c r="I85" s="860">
        <v>2.6480000000000001</v>
      </c>
      <c r="J85" s="743">
        <f t="shared" si="23"/>
        <v>2.5</v>
      </c>
      <c r="K85" s="860">
        <v>2E-3</v>
      </c>
      <c r="L85" s="536">
        <v>0</v>
      </c>
      <c r="M85" s="860">
        <v>0</v>
      </c>
      <c r="N85" s="195">
        <v>0</v>
      </c>
      <c r="O85" s="860">
        <v>51.4</v>
      </c>
      <c r="P85" s="536">
        <f t="shared" si="20"/>
        <v>50</v>
      </c>
      <c r="Q85" s="860">
        <v>46.817</v>
      </c>
      <c r="R85" s="748">
        <f t="shared" si="21"/>
        <v>47</v>
      </c>
      <c r="S85" s="860">
        <v>0.44400000000000001</v>
      </c>
      <c r="T85" s="747">
        <v>0</v>
      </c>
      <c r="U85" s="860">
        <v>43.195</v>
      </c>
      <c r="V85" s="748">
        <f t="shared" si="15"/>
        <v>43</v>
      </c>
      <c r="W85" s="860">
        <v>40.378</v>
      </c>
      <c r="X85" s="748">
        <f t="shared" si="16"/>
        <v>40</v>
      </c>
      <c r="Y85" s="860">
        <v>0.48699999999999999</v>
      </c>
      <c r="Z85" s="195">
        <v>0</v>
      </c>
      <c r="AA85" s="555">
        <v>6.0000000000000001E-3</v>
      </c>
      <c r="AB85" s="555">
        <v>3.1E-2</v>
      </c>
      <c r="AC85" s="555">
        <v>8.5609999999999999</v>
      </c>
      <c r="AD85" s="555">
        <v>0.65900000000000003</v>
      </c>
      <c r="AE85" s="555">
        <v>0.40600000000000003</v>
      </c>
      <c r="AF85" s="555">
        <v>2.2570000000000001</v>
      </c>
      <c r="AG85" s="612">
        <v>61.579000000000001</v>
      </c>
      <c r="AH85" s="613">
        <v>1.31</v>
      </c>
    </row>
    <row r="86" spans="1:38" ht="15.9">
      <c r="A86" s="186" t="s">
        <v>92</v>
      </c>
      <c r="B86" s="186" t="s">
        <v>104</v>
      </c>
      <c r="C86" s="861">
        <v>222.47200000000001</v>
      </c>
      <c r="D86" s="195">
        <f t="shared" si="19"/>
        <v>220</v>
      </c>
      <c r="E86" s="861">
        <v>13.962999999999999</v>
      </c>
      <c r="F86" s="195">
        <f>MROUND(E86,5)</f>
        <v>15</v>
      </c>
      <c r="G86" s="861">
        <v>3.3940000000000001</v>
      </c>
      <c r="H86" s="743">
        <f t="shared" si="22"/>
        <v>3.5</v>
      </c>
      <c r="I86" s="861">
        <v>2.4140000000000001</v>
      </c>
      <c r="J86" s="743">
        <f t="shared" si="23"/>
        <v>2.5</v>
      </c>
      <c r="K86" s="861">
        <v>0.122</v>
      </c>
      <c r="L86" s="536">
        <v>0</v>
      </c>
      <c r="M86" s="861">
        <v>1.4419999999999999</v>
      </c>
      <c r="N86" s="195">
        <v>0</v>
      </c>
      <c r="O86" s="861">
        <v>65.003</v>
      </c>
      <c r="P86" s="536">
        <f t="shared" si="20"/>
        <v>70</v>
      </c>
      <c r="Q86" s="861">
        <v>47.935000000000002</v>
      </c>
      <c r="R86" s="748">
        <f t="shared" si="21"/>
        <v>48</v>
      </c>
      <c r="S86" s="861">
        <v>0.23699999999999999</v>
      </c>
      <c r="T86" s="747">
        <v>0</v>
      </c>
      <c r="U86" s="861">
        <v>42.966000000000001</v>
      </c>
      <c r="V86" s="748">
        <f t="shared" si="15"/>
        <v>43</v>
      </c>
      <c r="W86" s="861">
        <v>42</v>
      </c>
      <c r="X86" s="748">
        <f t="shared" si="16"/>
        <v>42</v>
      </c>
      <c r="Y86" s="861">
        <v>0.501</v>
      </c>
      <c r="Z86" s="748" t="s">
        <v>303</v>
      </c>
      <c r="AA86" s="1131">
        <v>1E-3</v>
      </c>
      <c r="AB86" s="1131">
        <v>4.0000000000000001E-3</v>
      </c>
      <c r="AC86" s="1131">
        <v>6.9130000000000003</v>
      </c>
      <c r="AD86" s="1131">
        <v>6.9119999999999999</v>
      </c>
      <c r="AE86" s="1131">
        <v>0.26100000000000001</v>
      </c>
      <c r="AF86" s="1131">
        <v>1.45</v>
      </c>
      <c r="AG86" s="1149">
        <v>30.402000000000001</v>
      </c>
      <c r="AH86" s="1150">
        <v>0.64700000000000002</v>
      </c>
    </row>
    <row r="87" spans="1:38" ht="15.9">
      <c r="A87" s="186" t="s">
        <v>92</v>
      </c>
      <c r="B87" s="186" t="s">
        <v>182</v>
      </c>
      <c r="C87" s="860">
        <v>225.8</v>
      </c>
      <c r="D87" s="195">
        <f t="shared" si="19"/>
        <v>230</v>
      </c>
      <c r="E87" s="860">
        <v>15.143000000000001</v>
      </c>
      <c r="F87" s="195">
        <f>MROUND(E87,5)</f>
        <v>15</v>
      </c>
      <c r="G87" s="860">
        <v>3.5219999999999998</v>
      </c>
      <c r="H87" s="743">
        <f t="shared" si="22"/>
        <v>3.5</v>
      </c>
      <c r="I87" s="860">
        <v>2.67</v>
      </c>
      <c r="J87" s="743">
        <f t="shared" si="23"/>
        <v>2.5</v>
      </c>
      <c r="K87" s="860">
        <v>0</v>
      </c>
      <c r="L87" s="536">
        <v>0</v>
      </c>
      <c r="M87" s="860">
        <v>1.442126</v>
      </c>
      <c r="N87" s="195">
        <v>0</v>
      </c>
      <c r="O87" s="860">
        <v>42.96</v>
      </c>
      <c r="P87" s="536">
        <f t="shared" si="20"/>
        <v>40</v>
      </c>
      <c r="Q87" s="860">
        <v>48.381999999999998</v>
      </c>
      <c r="R87" s="748">
        <f t="shared" si="21"/>
        <v>48</v>
      </c>
      <c r="S87" s="860">
        <v>0.308</v>
      </c>
      <c r="T87" s="747">
        <v>0</v>
      </c>
      <c r="U87" s="860">
        <v>43.125999999999998</v>
      </c>
      <c r="V87" s="748">
        <f t="shared" si="15"/>
        <v>43</v>
      </c>
      <c r="W87" s="860">
        <v>42.96</v>
      </c>
      <c r="X87" s="748">
        <f t="shared" si="16"/>
        <v>43</v>
      </c>
      <c r="Y87" s="860">
        <v>0.63400000000000001</v>
      </c>
      <c r="Z87" s="748" t="s">
        <v>303</v>
      </c>
      <c r="AA87" s="697">
        <v>0</v>
      </c>
      <c r="AB87" s="697">
        <v>0</v>
      </c>
      <c r="AC87" s="700">
        <v>9.3610000000000007</v>
      </c>
      <c r="AD87" s="700">
        <v>0.72</v>
      </c>
      <c r="AE87" s="700">
        <v>0.33100000000000002</v>
      </c>
      <c r="AF87" s="700">
        <v>1.839</v>
      </c>
      <c r="AG87" s="709">
        <v>49.500999999999998</v>
      </c>
      <c r="AH87" s="710">
        <v>1.0529999999999999</v>
      </c>
    </row>
    <row r="88" spans="1:38" ht="15.9">
      <c r="A88" s="186" t="s">
        <v>92</v>
      </c>
      <c r="B88" s="186" t="s">
        <v>99</v>
      </c>
      <c r="C88" s="860">
        <v>211.31299999999999</v>
      </c>
      <c r="D88" s="195">
        <f t="shared" si="19"/>
        <v>210</v>
      </c>
      <c r="E88" s="860">
        <v>25.93</v>
      </c>
      <c r="F88" s="195">
        <f>MROUND(E88,5)</f>
        <v>25</v>
      </c>
      <c r="G88" s="860">
        <v>4.71</v>
      </c>
      <c r="H88" s="743">
        <f t="shared" si="22"/>
        <v>4.5</v>
      </c>
      <c r="I88" s="860">
        <v>3.488</v>
      </c>
      <c r="J88" s="743">
        <f t="shared" si="23"/>
        <v>3.5</v>
      </c>
      <c r="K88" s="860">
        <v>0.03</v>
      </c>
      <c r="L88" s="536">
        <v>0</v>
      </c>
      <c r="M88" s="860">
        <v>3.5390000000000001</v>
      </c>
      <c r="N88" s="871" t="s">
        <v>332</v>
      </c>
      <c r="O88" s="860">
        <v>46.978999999999999</v>
      </c>
      <c r="P88" s="536">
        <f t="shared" si="20"/>
        <v>50</v>
      </c>
      <c r="Q88" s="860">
        <v>49.311</v>
      </c>
      <c r="R88" s="748">
        <f t="shared" si="21"/>
        <v>49</v>
      </c>
      <c r="S88" s="860">
        <v>0.42599999999999999</v>
      </c>
      <c r="T88" s="747">
        <v>0</v>
      </c>
      <c r="U88" s="860">
        <v>44.600999999999999</v>
      </c>
      <c r="V88" s="748">
        <f t="shared" si="15"/>
        <v>45</v>
      </c>
      <c r="W88" s="860">
        <v>41.121000000000002</v>
      </c>
      <c r="X88" s="748">
        <f t="shared" si="16"/>
        <v>41</v>
      </c>
      <c r="Y88" s="860">
        <v>0.66900000000000004</v>
      </c>
      <c r="Z88" s="748" t="s">
        <v>303</v>
      </c>
      <c r="AA88" s="555">
        <v>1.2E-2</v>
      </c>
      <c r="AB88" s="555">
        <v>6.0999999999999999E-2</v>
      </c>
      <c r="AC88" s="555">
        <v>13.920999999999999</v>
      </c>
      <c r="AD88" s="555">
        <v>1.071</v>
      </c>
      <c r="AE88" s="555">
        <v>0.50900000000000001</v>
      </c>
      <c r="AF88" s="555">
        <v>2.839</v>
      </c>
      <c r="AG88" s="612">
        <v>33.421999999999997</v>
      </c>
      <c r="AH88" s="613">
        <v>0.71099999999999997</v>
      </c>
    </row>
    <row r="89" spans="1:38" ht="15.9">
      <c r="A89" s="186" t="s">
        <v>92</v>
      </c>
      <c r="B89" s="186" t="s">
        <v>101</v>
      </c>
      <c r="C89" s="860">
        <v>190.38399999999999</v>
      </c>
      <c r="D89" s="195">
        <f t="shared" si="19"/>
        <v>190</v>
      </c>
      <c r="E89" s="860">
        <v>17.91</v>
      </c>
      <c r="F89" s="195">
        <f>MROUND(E89,5)</f>
        <v>20</v>
      </c>
      <c r="G89" s="860">
        <v>3.8490000000000002</v>
      </c>
      <c r="H89" s="743">
        <f t="shared" si="22"/>
        <v>4</v>
      </c>
      <c r="I89" s="860">
        <v>3.0960000000000001</v>
      </c>
      <c r="J89" s="743">
        <f t="shared" si="23"/>
        <v>3</v>
      </c>
      <c r="K89" s="860">
        <v>0</v>
      </c>
      <c r="L89" s="536">
        <v>0</v>
      </c>
      <c r="M89" s="860">
        <v>0</v>
      </c>
      <c r="N89" s="195">
        <v>0</v>
      </c>
      <c r="O89" s="860">
        <v>56.14</v>
      </c>
      <c r="P89" s="536">
        <f t="shared" si="20"/>
        <v>60</v>
      </c>
      <c r="Q89" s="860">
        <v>46.16</v>
      </c>
      <c r="R89" s="748">
        <f t="shared" si="21"/>
        <v>46</v>
      </c>
      <c r="S89" s="860">
        <v>0.628</v>
      </c>
      <c r="T89" s="557" t="s">
        <v>303</v>
      </c>
      <c r="U89" s="860">
        <v>42.762</v>
      </c>
      <c r="V89" s="748">
        <f t="shared" si="15"/>
        <v>43</v>
      </c>
      <c r="W89" s="860">
        <v>38.779000000000003</v>
      </c>
      <c r="X89" s="748">
        <f t="shared" si="16"/>
        <v>39</v>
      </c>
      <c r="Y89" s="860">
        <v>0.68799999999999994</v>
      </c>
      <c r="Z89" s="748" t="s">
        <v>303</v>
      </c>
      <c r="AA89" s="555">
        <v>1.2E-2</v>
      </c>
      <c r="AB89" s="555">
        <v>6.2E-2</v>
      </c>
      <c r="AC89" s="555">
        <v>10.581</v>
      </c>
      <c r="AD89" s="555">
        <v>0.81399999999999995</v>
      </c>
      <c r="AE89" s="555">
        <v>0.68500000000000005</v>
      </c>
      <c r="AF89" s="555">
        <v>3.8050000000000002</v>
      </c>
      <c r="AG89" s="612">
        <v>51.862000000000002</v>
      </c>
      <c r="AH89" s="613">
        <v>1.103</v>
      </c>
    </row>
    <row r="90" spans="1:38" ht="15.9">
      <c r="A90" s="186" t="s">
        <v>296</v>
      </c>
      <c r="B90" s="186" t="s">
        <v>32</v>
      </c>
      <c r="C90" s="860">
        <v>145.29400000000001</v>
      </c>
      <c r="D90" s="195">
        <f t="shared" si="19"/>
        <v>150</v>
      </c>
      <c r="E90" s="860">
        <v>0.20699999999999999</v>
      </c>
      <c r="F90" s="195">
        <v>0</v>
      </c>
      <c r="G90" s="860">
        <v>2.3E-2</v>
      </c>
      <c r="H90" s="743">
        <v>0</v>
      </c>
      <c r="I90" s="860">
        <v>0</v>
      </c>
      <c r="J90" s="743">
        <v>0</v>
      </c>
      <c r="K90" s="860">
        <v>0</v>
      </c>
      <c r="L90" s="536">
        <v>0</v>
      </c>
      <c r="M90" s="860">
        <v>0</v>
      </c>
      <c r="N90" s="195">
        <v>0</v>
      </c>
      <c r="O90" s="860">
        <v>19.597000000000001</v>
      </c>
      <c r="P90" s="536">
        <f t="shared" si="20"/>
        <v>20</v>
      </c>
      <c r="Q90" s="860">
        <v>37.710999999999999</v>
      </c>
      <c r="R90" s="748">
        <f t="shared" si="21"/>
        <v>38</v>
      </c>
      <c r="S90" s="860">
        <v>3.5999999999999997E-2</v>
      </c>
      <c r="T90" s="747">
        <v>0</v>
      </c>
      <c r="U90" s="860">
        <v>35.088000000000001</v>
      </c>
      <c r="V90" s="748">
        <f t="shared" si="15"/>
        <v>35</v>
      </c>
      <c r="W90" s="860">
        <v>34.848999999999997</v>
      </c>
      <c r="X90" s="748">
        <f t="shared" si="16"/>
        <v>35</v>
      </c>
      <c r="Y90" s="860">
        <v>6.4000000000000001E-2</v>
      </c>
      <c r="Z90" s="195">
        <v>0</v>
      </c>
      <c r="AA90" s="697">
        <v>0</v>
      </c>
      <c r="AB90" s="697">
        <v>0</v>
      </c>
      <c r="AC90" s="697">
        <v>6.0679999999999996</v>
      </c>
      <c r="AD90" s="697">
        <v>0.46700000000000003</v>
      </c>
      <c r="AE90" s="697">
        <v>1.7000000000000001E-2</v>
      </c>
      <c r="AF90" s="697">
        <v>9.1999999999999998E-2</v>
      </c>
      <c r="AG90" s="697">
        <v>16.515000000000001</v>
      </c>
      <c r="AH90" s="697">
        <v>0.35099999999999998</v>
      </c>
      <c r="AI90" s="188"/>
    </row>
    <row r="91" spans="1:38" ht="15.9">
      <c r="A91" s="186" t="s">
        <v>92</v>
      </c>
      <c r="B91" s="186" t="s">
        <v>105</v>
      </c>
      <c r="C91" s="889">
        <v>252.65199999999999</v>
      </c>
      <c r="D91" s="195">
        <f t="shared" si="19"/>
        <v>250</v>
      </c>
      <c r="E91" s="889">
        <v>0</v>
      </c>
      <c r="F91" s="195">
        <v>0</v>
      </c>
      <c r="G91" s="889">
        <v>3.5190000000000001</v>
      </c>
      <c r="H91" s="743">
        <f>MROUND(G91,0.5)</f>
        <v>3.5</v>
      </c>
      <c r="I91" s="889">
        <v>2.4630000000000001</v>
      </c>
      <c r="J91" s="743">
        <f>MROUND(I91,0.5)</f>
        <v>2.5</v>
      </c>
      <c r="K91" s="889">
        <v>1.7999999999999999E-2</v>
      </c>
      <c r="L91" s="536">
        <v>0</v>
      </c>
      <c r="M91" s="889">
        <v>1.387</v>
      </c>
      <c r="N91" s="195">
        <v>0</v>
      </c>
      <c r="O91" s="889">
        <v>68.177999999999997</v>
      </c>
      <c r="P91" s="536">
        <f t="shared" si="20"/>
        <v>70</v>
      </c>
      <c r="Q91" s="889">
        <v>56.677999999999997</v>
      </c>
      <c r="R91" s="748">
        <f t="shared" si="21"/>
        <v>57</v>
      </c>
      <c r="S91" s="860">
        <v>0.998</v>
      </c>
      <c r="T91" s="557" t="s">
        <v>303</v>
      </c>
      <c r="U91" s="889">
        <v>50.384999999999998</v>
      </c>
      <c r="V91" s="748">
        <f t="shared" si="15"/>
        <v>50</v>
      </c>
      <c r="W91" s="889">
        <v>50.085999999999999</v>
      </c>
      <c r="X91" s="748">
        <f t="shared" si="16"/>
        <v>50</v>
      </c>
      <c r="Y91" s="889">
        <v>1.0249999999999999</v>
      </c>
      <c r="Z91" s="188">
        <f>MROUND(Y91,1)</f>
        <v>1</v>
      </c>
      <c r="AA91" s="555">
        <v>2E-3</v>
      </c>
      <c r="AB91" s="555">
        <v>0.01</v>
      </c>
      <c r="AC91" s="555">
        <v>10.73</v>
      </c>
      <c r="AD91" s="555">
        <v>0.82499999999999996</v>
      </c>
      <c r="AE91" s="555">
        <v>0.72</v>
      </c>
      <c r="AF91" s="555">
        <v>4</v>
      </c>
      <c r="AG91" s="612">
        <v>83.23</v>
      </c>
      <c r="AH91" s="613">
        <v>1.7709999999999999</v>
      </c>
    </row>
    <row r="92" spans="1:38" ht="15.75" customHeight="1">
      <c r="A92" s="186" t="s">
        <v>92</v>
      </c>
      <c r="B92" s="186" t="s">
        <v>319</v>
      </c>
      <c r="C92" s="860">
        <v>250.63499999999999</v>
      </c>
      <c r="D92" s="195">
        <f t="shared" si="19"/>
        <v>250</v>
      </c>
      <c r="E92" s="860">
        <v>0</v>
      </c>
      <c r="F92" s="195">
        <v>0</v>
      </c>
      <c r="G92" s="860">
        <v>5.7370000000000001</v>
      </c>
      <c r="H92" s="743">
        <f>MROUND(G92,1)</f>
        <v>6</v>
      </c>
      <c r="I92" s="860">
        <v>2.319</v>
      </c>
      <c r="J92" s="743">
        <f>MROUND(I92,0.5)</f>
        <v>2.5</v>
      </c>
      <c r="K92" s="860">
        <v>0</v>
      </c>
      <c r="L92" s="536">
        <v>0</v>
      </c>
      <c r="M92" s="860">
        <v>0</v>
      </c>
      <c r="N92" s="195">
        <v>0</v>
      </c>
      <c r="O92" s="860">
        <v>71.332999999999998</v>
      </c>
      <c r="P92" s="536">
        <f t="shared" si="20"/>
        <v>70</v>
      </c>
      <c r="Q92" s="860">
        <v>49.384999999999998</v>
      </c>
      <c r="R92" s="748">
        <f t="shared" si="21"/>
        <v>49</v>
      </c>
      <c r="S92" s="860">
        <v>0.45900000000000002</v>
      </c>
      <c r="T92" s="747">
        <v>0</v>
      </c>
      <c r="U92" s="860">
        <v>46.851999999999997</v>
      </c>
      <c r="V92" s="748">
        <f t="shared" si="15"/>
        <v>47</v>
      </c>
      <c r="W92" s="860">
        <v>46.554000000000002</v>
      </c>
      <c r="X92" s="748">
        <f t="shared" si="16"/>
        <v>47</v>
      </c>
      <c r="Y92" s="860">
        <v>1.462</v>
      </c>
      <c r="Z92" s="188">
        <f>MROUND(Y92,1)</f>
        <v>1</v>
      </c>
      <c r="AA92" s="555">
        <v>0</v>
      </c>
      <c r="AB92" s="555">
        <v>0</v>
      </c>
      <c r="AC92" s="536">
        <v>10.212</v>
      </c>
      <c r="AD92" s="536">
        <v>0.78600000000000003</v>
      </c>
      <c r="AE92" s="536">
        <v>0.44500000000000001</v>
      </c>
      <c r="AF92" s="536">
        <v>2.472</v>
      </c>
      <c r="AG92" s="609">
        <v>48.613</v>
      </c>
      <c r="AH92" s="611">
        <v>1.034</v>
      </c>
      <c r="AI92" s="248"/>
      <c r="AJ92" s="248"/>
      <c r="AK92" s="248"/>
      <c r="AL92" s="248"/>
    </row>
    <row r="93" spans="1:38" ht="15.75" customHeight="1">
      <c r="A93" s="186" t="s">
        <v>296</v>
      </c>
      <c r="B93" s="186" t="s">
        <v>55</v>
      </c>
      <c r="C93" s="860">
        <v>146.00700000000001</v>
      </c>
      <c r="D93" s="195">
        <f t="shared" si="19"/>
        <v>150</v>
      </c>
      <c r="E93" s="860">
        <v>1.0999999999999999E-2</v>
      </c>
      <c r="F93" s="195">
        <v>0</v>
      </c>
      <c r="G93" s="860">
        <v>1.9E-2</v>
      </c>
      <c r="H93" s="743">
        <v>0</v>
      </c>
      <c r="I93" s="860">
        <v>0</v>
      </c>
      <c r="J93" s="743">
        <v>0</v>
      </c>
      <c r="K93" s="860">
        <v>0</v>
      </c>
      <c r="L93" s="536">
        <v>0</v>
      </c>
      <c r="M93" s="860">
        <v>0</v>
      </c>
      <c r="N93" s="195">
        <v>0</v>
      </c>
      <c r="O93" s="860">
        <v>32.226999999999997</v>
      </c>
      <c r="P93" s="536">
        <f t="shared" si="20"/>
        <v>30</v>
      </c>
      <c r="Q93" s="860">
        <v>37.31</v>
      </c>
      <c r="R93" s="748">
        <f t="shared" si="21"/>
        <v>37</v>
      </c>
      <c r="S93" s="860">
        <v>6.4000000000000001E-2</v>
      </c>
      <c r="T93" s="747">
        <v>0</v>
      </c>
      <c r="U93" s="860">
        <v>34.695</v>
      </c>
      <c r="V93" s="748">
        <f t="shared" si="15"/>
        <v>35</v>
      </c>
      <c r="W93" s="860">
        <v>34.448</v>
      </c>
      <c r="X93" s="748">
        <f t="shared" si="16"/>
        <v>34</v>
      </c>
      <c r="Y93" s="860">
        <v>6.6000000000000003E-2</v>
      </c>
      <c r="Z93" s="195">
        <v>0</v>
      </c>
      <c r="AA93" s="555">
        <v>0.01</v>
      </c>
      <c r="AB93" s="555">
        <v>0.05</v>
      </c>
      <c r="AC93" s="555">
        <v>6.1630000000000003</v>
      </c>
      <c r="AD93" s="555">
        <v>0.47399999999999998</v>
      </c>
      <c r="AE93" s="555">
        <v>4.2000000000000003E-2</v>
      </c>
      <c r="AF93" s="555">
        <v>0.23300000000000001</v>
      </c>
      <c r="AG93" s="612">
        <v>12.116</v>
      </c>
      <c r="AH93" s="613">
        <v>0.25800000000000001</v>
      </c>
    </row>
    <row r="94" spans="1:38" s="693" customFormat="1" ht="15.9">
      <c r="A94" s="186" t="s">
        <v>296</v>
      </c>
      <c r="B94" s="186" t="s">
        <v>311</v>
      </c>
      <c r="C94" s="860">
        <v>144.27500000000001</v>
      </c>
      <c r="D94" s="195">
        <f t="shared" si="19"/>
        <v>140</v>
      </c>
      <c r="E94" s="860">
        <v>0</v>
      </c>
      <c r="F94" s="195">
        <v>0</v>
      </c>
      <c r="G94" s="860">
        <v>0</v>
      </c>
      <c r="H94" s="743">
        <v>0</v>
      </c>
      <c r="I94" s="860">
        <v>0</v>
      </c>
      <c r="J94" s="743">
        <v>0</v>
      </c>
      <c r="K94" s="860">
        <v>0</v>
      </c>
      <c r="L94" s="536">
        <v>0</v>
      </c>
      <c r="M94" s="860">
        <v>0</v>
      </c>
      <c r="N94" s="195">
        <v>0</v>
      </c>
      <c r="O94" s="860">
        <v>22.401</v>
      </c>
      <c r="P94" s="536">
        <f t="shared" si="20"/>
        <v>20</v>
      </c>
      <c r="Q94" s="860">
        <v>36.853000000000002</v>
      </c>
      <c r="R94" s="748">
        <f t="shared" si="21"/>
        <v>37</v>
      </c>
      <c r="S94" s="860">
        <v>9.5000000000000001E-2</v>
      </c>
      <c r="T94" s="747">
        <v>0</v>
      </c>
      <c r="U94" s="860">
        <v>35.802</v>
      </c>
      <c r="V94" s="748">
        <f t="shared" si="15"/>
        <v>36</v>
      </c>
      <c r="W94" s="860">
        <v>35.466999999999999</v>
      </c>
      <c r="X94" s="748">
        <f t="shared" si="16"/>
        <v>35</v>
      </c>
      <c r="Y94" s="860">
        <v>6.6000000000000003E-2</v>
      </c>
      <c r="Z94" s="195">
        <v>0</v>
      </c>
      <c r="AA94" s="555">
        <v>0</v>
      </c>
      <c r="AB94" s="555">
        <v>0</v>
      </c>
      <c r="AC94" s="555">
        <v>4.7859999999999996</v>
      </c>
      <c r="AD94" s="555">
        <v>0.36799999999999999</v>
      </c>
      <c r="AE94" s="555">
        <v>3.5999999999999997E-2</v>
      </c>
      <c r="AF94" s="555">
        <v>0.20100000000000001</v>
      </c>
      <c r="AG94" s="612">
        <v>0.60199999999999998</v>
      </c>
      <c r="AH94" s="613">
        <v>1.2999999999999999E-2</v>
      </c>
      <c r="AI94" s="179"/>
      <c r="AJ94" s="179"/>
      <c r="AK94" s="179"/>
      <c r="AL94" s="179"/>
    </row>
    <row r="95" spans="1:38" ht="15.9">
      <c r="A95" s="186" t="s">
        <v>296</v>
      </c>
      <c r="B95" s="186" t="s">
        <v>54</v>
      </c>
      <c r="C95" s="860">
        <v>172.197</v>
      </c>
      <c r="D95" s="195">
        <f t="shared" si="19"/>
        <v>170</v>
      </c>
      <c r="E95" s="860">
        <v>0</v>
      </c>
      <c r="F95" s="195">
        <v>0</v>
      </c>
      <c r="G95" s="860">
        <v>7.0000000000000001E-3</v>
      </c>
      <c r="H95" s="743">
        <v>0</v>
      </c>
      <c r="I95" s="860">
        <v>2E-3</v>
      </c>
      <c r="J95" s="743">
        <v>0</v>
      </c>
      <c r="K95" s="860">
        <v>0</v>
      </c>
      <c r="L95" s="536">
        <v>0</v>
      </c>
      <c r="M95" s="860">
        <v>0</v>
      </c>
      <c r="N95" s="195">
        <v>0</v>
      </c>
      <c r="O95" s="860">
        <v>25.222000000000001</v>
      </c>
      <c r="P95" s="536">
        <f t="shared" si="20"/>
        <v>30</v>
      </c>
      <c r="Q95" s="860">
        <v>43.593000000000004</v>
      </c>
      <c r="R95" s="748">
        <f t="shared" si="21"/>
        <v>44</v>
      </c>
      <c r="S95" s="860">
        <v>9.9000000000000005E-2</v>
      </c>
      <c r="T95" s="747">
        <v>0</v>
      </c>
      <c r="U95" s="860">
        <v>41.960999999999999</v>
      </c>
      <c r="V95" s="748">
        <f t="shared" si="15"/>
        <v>42</v>
      </c>
      <c r="W95" s="860">
        <v>41.359000000000002</v>
      </c>
      <c r="X95" s="748">
        <f t="shared" si="16"/>
        <v>41</v>
      </c>
      <c r="Y95" s="860">
        <v>7.0000000000000007E-2</v>
      </c>
      <c r="Z95" s="195">
        <v>0</v>
      </c>
      <c r="AA95" s="555">
        <v>0</v>
      </c>
      <c r="AB95" s="555">
        <v>0</v>
      </c>
      <c r="AC95" s="555">
        <v>5.6280000000000001</v>
      </c>
      <c r="AD95" s="555">
        <v>0.433</v>
      </c>
      <c r="AE95" s="555">
        <v>6.3E-2</v>
      </c>
      <c r="AF95" s="555">
        <v>0.35</v>
      </c>
      <c r="AG95" s="612">
        <v>7.3230000000000004</v>
      </c>
      <c r="AH95" s="613">
        <v>0.156</v>
      </c>
    </row>
    <row r="96" spans="1:38" ht="15.9">
      <c r="A96" s="186" t="s">
        <v>296</v>
      </c>
      <c r="B96" s="186" t="s">
        <v>26</v>
      </c>
      <c r="C96" s="866">
        <v>183.55600000000001</v>
      </c>
      <c r="D96" s="195">
        <f t="shared" si="19"/>
        <v>180</v>
      </c>
      <c r="E96" s="866">
        <v>0.44500000000000001</v>
      </c>
      <c r="F96" s="195">
        <v>0</v>
      </c>
      <c r="G96" s="866">
        <v>4.9000000000000002E-2</v>
      </c>
      <c r="H96" s="743">
        <v>0</v>
      </c>
      <c r="I96" s="866">
        <v>4.1000000000000002E-2</v>
      </c>
      <c r="J96" s="743">
        <v>0</v>
      </c>
      <c r="K96" s="860">
        <v>2E-3</v>
      </c>
      <c r="L96" s="536">
        <v>0</v>
      </c>
      <c r="M96" s="860">
        <v>0</v>
      </c>
      <c r="N96" s="195">
        <v>0</v>
      </c>
      <c r="O96" s="866">
        <v>21.100999999999999</v>
      </c>
      <c r="P96" s="536">
        <f t="shared" si="20"/>
        <v>20</v>
      </c>
      <c r="Q96" s="866">
        <v>46.454000000000001</v>
      </c>
      <c r="R96" s="748">
        <f t="shared" si="21"/>
        <v>46</v>
      </c>
      <c r="S96" s="866">
        <v>0.19900000000000001</v>
      </c>
      <c r="T96" s="747">
        <v>0</v>
      </c>
      <c r="U96" s="866">
        <v>44.362000000000002</v>
      </c>
      <c r="V96" s="748">
        <f t="shared" si="15"/>
        <v>44</v>
      </c>
      <c r="W96" s="866">
        <v>43.043999999999997</v>
      </c>
      <c r="X96" s="748">
        <f t="shared" si="16"/>
        <v>43</v>
      </c>
      <c r="Y96" s="866">
        <v>7.0999999999999994E-2</v>
      </c>
      <c r="Z96" s="195">
        <v>0</v>
      </c>
      <c r="AA96" s="746">
        <v>0</v>
      </c>
      <c r="AB96" s="746">
        <v>0</v>
      </c>
      <c r="AC96" s="746">
        <v>4.7220000000000004</v>
      </c>
      <c r="AD96" s="746">
        <v>0.36299999999999999</v>
      </c>
      <c r="AE96" s="746">
        <v>3.5999999999999997E-2</v>
      </c>
      <c r="AF96" s="746">
        <v>0.19900000000000001</v>
      </c>
      <c r="AG96" s="779">
        <v>35.997</v>
      </c>
      <c r="AH96" s="780">
        <v>0.76600000000000001</v>
      </c>
      <c r="AI96" s="537"/>
      <c r="AJ96" s="537"/>
      <c r="AK96" s="537"/>
      <c r="AL96" s="537"/>
    </row>
    <row r="97" spans="1:38" ht="15.9">
      <c r="A97" s="186" t="s">
        <v>296</v>
      </c>
      <c r="B97" s="186" t="s">
        <v>432</v>
      </c>
      <c r="C97" s="860">
        <v>167.19</v>
      </c>
      <c r="D97" s="195">
        <f t="shared" si="19"/>
        <v>170</v>
      </c>
      <c r="E97" s="860">
        <v>0</v>
      </c>
      <c r="F97" s="195">
        <v>0</v>
      </c>
      <c r="G97" s="860">
        <v>0</v>
      </c>
      <c r="H97" s="743">
        <v>0</v>
      </c>
      <c r="I97" s="860">
        <v>0</v>
      </c>
      <c r="J97" s="743">
        <v>0</v>
      </c>
      <c r="K97" s="860">
        <v>0</v>
      </c>
      <c r="L97" s="536">
        <v>0</v>
      </c>
      <c r="M97" s="860">
        <v>0</v>
      </c>
      <c r="N97" s="195">
        <v>0</v>
      </c>
      <c r="O97" s="860">
        <v>22.559000000000001</v>
      </c>
      <c r="P97" s="536">
        <f t="shared" si="20"/>
        <v>20</v>
      </c>
      <c r="Q97" s="860">
        <v>41.963999999999999</v>
      </c>
      <c r="R97" s="748">
        <f t="shared" si="21"/>
        <v>42</v>
      </c>
      <c r="S97" s="860">
        <v>0.159</v>
      </c>
      <c r="T97" s="747">
        <v>0</v>
      </c>
      <c r="U97" s="860">
        <v>38.895000000000003</v>
      </c>
      <c r="V97" s="748">
        <f t="shared" si="15"/>
        <v>39</v>
      </c>
      <c r="W97" s="860">
        <v>30.777000000000001</v>
      </c>
      <c r="X97" s="748">
        <f t="shared" si="16"/>
        <v>31</v>
      </c>
      <c r="Y97" s="860">
        <v>7.2999999999999995E-2</v>
      </c>
      <c r="Z97" s="195">
        <v>0</v>
      </c>
      <c r="AA97" s="555">
        <v>0</v>
      </c>
      <c r="AB97" s="555">
        <v>0</v>
      </c>
      <c r="AC97" s="555">
        <v>5.2510000000000003</v>
      </c>
      <c r="AD97" s="555">
        <v>0.40400000000000003</v>
      </c>
      <c r="AE97" s="555">
        <v>4.2000000000000003E-2</v>
      </c>
      <c r="AF97" s="555">
        <v>0.23300000000000001</v>
      </c>
      <c r="AG97" s="612">
        <v>6.375</v>
      </c>
      <c r="AH97" s="613">
        <v>0.13600000000000001</v>
      </c>
    </row>
    <row r="98" spans="1:38" ht="15.75" customHeight="1">
      <c r="A98" s="186" t="s">
        <v>296</v>
      </c>
      <c r="B98" s="186" t="s">
        <v>71</v>
      </c>
      <c r="C98" s="860">
        <v>165.24799999999999</v>
      </c>
      <c r="D98" s="195">
        <f t="shared" si="19"/>
        <v>170</v>
      </c>
      <c r="E98" s="860">
        <v>6.4000000000000001E-2</v>
      </c>
      <c r="F98" s="195">
        <v>0</v>
      </c>
      <c r="G98" s="860">
        <v>7.0000000000000001E-3</v>
      </c>
      <c r="H98" s="743">
        <v>0</v>
      </c>
      <c r="I98" s="860">
        <v>1E-3</v>
      </c>
      <c r="J98" s="743">
        <v>0</v>
      </c>
      <c r="K98" s="860">
        <v>0</v>
      </c>
      <c r="L98" s="536">
        <v>0</v>
      </c>
      <c r="M98" s="860">
        <v>0</v>
      </c>
      <c r="N98" s="195">
        <v>0</v>
      </c>
      <c r="O98" s="860">
        <v>25.199000000000002</v>
      </c>
      <c r="P98" s="536">
        <f t="shared" si="20"/>
        <v>30</v>
      </c>
      <c r="Q98" s="860">
        <v>41.731999999999999</v>
      </c>
      <c r="R98" s="748">
        <f t="shared" si="21"/>
        <v>42</v>
      </c>
      <c r="S98" s="860">
        <v>4.7E-2</v>
      </c>
      <c r="T98" s="747">
        <v>0</v>
      </c>
      <c r="U98" s="860">
        <v>40.378</v>
      </c>
      <c r="V98" s="748">
        <f t="shared" ref="V98:V129" si="24">MROUND(U98,1)</f>
        <v>40</v>
      </c>
      <c r="W98" s="860">
        <v>39.914000000000001</v>
      </c>
      <c r="X98" s="748">
        <f t="shared" ref="X98:X129" si="25">MROUND(W98,1)</f>
        <v>40</v>
      </c>
      <c r="Y98" s="860">
        <v>7.9000000000000001E-2</v>
      </c>
      <c r="Z98" s="195">
        <v>0</v>
      </c>
      <c r="AA98" s="555">
        <v>0</v>
      </c>
      <c r="AB98" s="555">
        <v>0</v>
      </c>
      <c r="AC98" s="536">
        <v>5.3579999999999997</v>
      </c>
      <c r="AD98" s="536">
        <v>0.41199999999999998</v>
      </c>
      <c r="AE98" s="536">
        <v>5.0999999999999997E-2</v>
      </c>
      <c r="AF98" s="536">
        <v>0.248</v>
      </c>
      <c r="AG98" s="609">
        <v>5.8630000000000004</v>
      </c>
      <c r="AH98" s="611">
        <v>0.125</v>
      </c>
      <c r="AI98" s="223"/>
      <c r="AJ98" s="223"/>
      <c r="AK98" s="223"/>
      <c r="AL98" s="223"/>
    </row>
    <row r="99" spans="1:38" ht="15.75" customHeight="1">
      <c r="A99" s="186" t="s">
        <v>296</v>
      </c>
      <c r="B99" s="186" t="s">
        <v>76</v>
      </c>
      <c r="C99" s="860">
        <v>165.24799999999999</v>
      </c>
      <c r="D99" s="195">
        <f t="shared" si="19"/>
        <v>170</v>
      </c>
      <c r="E99" s="860">
        <v>6.4000000000000001E-2</v>
      </c>
      <c r="F99" s="195">
        <v>0</v>
      </c>
      <c r="G99" s="860">
        <v>7.0000000000000001E-3</v>
      </c>
      <c r="H99" s="743">
        <v>0</v>
      </c>
      <c r="I99" s="860">
        <v>1E-3</v>
      </c>
      <c r="J99" s="743">
        <v>0</v>
      </c>
      <c r="K99" s="860">
        <v>2E-3</v>
      </c>
      <c r="L99" s="536">
        <v>0</v>
      </c>
      <c r="M99" s="860">
        <v>0</v>
      </c>
      <c r="N99" s="195">
        <v>0</v>
      </c>
      <c r="O99" s="860">
        <v>25.199000000000002</v>
      </c>
      <c r="P99" s="536">
        <f t="shared" si="20"/>
        <v>30</v>
      </c>
      <c r="Q99" s="860">
        <v>41.731999999999999</v>
      </c>
      <c r="R99" s="748">
        <f t="shared" si="21"/>
        <v>42</v>
      </c>
      <c r="S99" s="860">
        <v>4.7E-2</v>
      </c>
      <c r="T99" s="747">
        <v>0</v>
      </c>
      <c r="U99" s="860">
        <v>40.378</v>
      </c>
      <c r="V99" s="748">
        <f t="shared" si="24"/>
        <v>40</v>
      </c>
      <c r="W99" s="860">
        <v>39.914000000000001</v>
      </c>
      <c r="X99" s="748">
        <f t="shared" si="25"/>
        <v>40</v>
      </c>
      <c r="Y99" s="860">
        <v>7.9000000000000001E-2</v>
      </c>
      <c r="Z99" s="195">
        <v>0</v>
      </c>
      <c r="AA99" s="555">
        <v>0</v>
      </c>
      <c r="AB99" s="555">
        <v>0</v>
      </c>
      <c r="AC99" s="536">
        <v>5.3579999999999997</v>
      </c>
      <c r="AD99" s="536">
        <v>0.41199999999999998</v>
      </c>
      <c r="AE99" s="536">
        <v>5.0999999999999997E-2</v>
      </c>
      <c r="AF99" s="536">
        <v>0.28399999999999997</v>
      </c>
      <c r="AG99" s="609">
        <v>5.8630000000000004</v>
      </c>
      <c r="AH99" s="611">
        <v>0.125</v>
      </c>
      <c r="AI99" s="248"/>
      <c r="AJ99" s="248"/>
      <c r="AK99" s="248"/>
      <c r="AL99" s="248"/>
    </row>
    <row r="100" spans="1:38" ht="15.9">
      <c r="A100" s="186" t="s">
        <v>296</v>
      </c>
      <c r="B100" s="186" t="s">
        <v>61</v>
      </c>
      <c r="C100" s="861">
        <v>112.137</v>
      </c>
      <c r="D100" s="195">
        <f t="shared" si="19"/>
        <v>110</v>
      </c>
      <c r="E100" s="861">
        <v>0.31900000000000001</v>
      </c>
      <c r="F100" s="195">
        <v>0</v>
      </c>
      <c r="G100" s="861">
        <v>3.5000000000000003E-2</v>
      </c>
      <c r="H100" s="743">
        <v>0</v>
      </c>
      <c r="I100" s="861">
        <v>1E-3</v>
      </c>
      <c r="J100" s="743">
        <v>0</v>
      </c>
      <c r="K100" s="861">
        <v>0</v>
      </c>
      <c r="L100" s="536">
        <v>0</v>
      </c>
      <c r="M100" s="861">
        <v>0</v>
      </c>
      <c r="N100" s="195">
        <v>0</v>
      </c>
      <c r="O100" s="861">
        <v>20.175999999999998</v>
      </c>
      <c r="P100" s="536">
        <f t="shared" si="20"/>
        <v>20</v>
      </c>
      <c r="Q100" s="861">
        <v>28.925000000000001</v>
      </c>
      <c r="R100" s="748">
        <f t="shared" si="21"/>
        <v>29</v>
      </c>
      <c r="S100" s="861">
        <v>0.13700000000000001</v>
      </c>
      <c r="T100" s="747">
        <v>0</v>
      </c>
      <c r="U100" s="861">
        <v>27.407</v>
      </c>
      <c r="V100" s="748">
        <f t="shared" si="24"/>
        <v>27</v>
      </c>
      <c r="W100" s="861">
        <v>27.047000000000001</v>
      </c>
      <c r="X100" s="748">
        <f t="shared" si="25"/>
        <v>27</v>
      </c>
      <c r="Y100" s="861">
        <v>8.5000000000000006E-2</v>
      </c>
      <c r="Z100" s="195">
        <v>0</v>
      </c>
      <c r="AA100" s="761">
        <v>0</v>
      </c>
      <c r="AB100" s="761">
        <v>0</v>
      </c>
      <c r="AC100" s="761">
        <v>6.5860000000000003</v>
      </c>
      <c r="AD100" s="761">
        <v>0.50700000000000001</v>
      </c>
      <c r="AE100" s="761">
        <v>3.2000000000000001E-2</v>
      </c>
      <c r="AF100" s="761">
        <v>0.18</v>
      </c>
      <c r="AG100" s="1151">
        <v>18.722000000000001</v>
      </c>
      <c r="AH100" s="1152">
        <v>0.39800000000000002</v>
      </c>
    </row>
    <row r="101" spans="1:38" ht="15.75" customHeight="1">
      <c r="A101" s="186" t="s">
        <v>296</v>
      </c>
      <c r="B101" s="186" t="s">
        <v>324</v>
      </c>
      <c r="C101" s="860">
        <v>169.221</v>
      </c>
      <c r="D101" s="195">
        <f t="shared" ref="D101:D132" si="26">MROUND(C101,10)</f>
        <v>170</v>
      </c>
      <c r="E101" s="860">
        <v>0</v>
      </c>
      <c r="F101" s="195">
        <v>0</v>
      </c>
      <c r="G101" s="860">
        <v>0</v>
      </c>
      <c r="H101" s="743">
        <v>0</v>
      </c>
      <c r="I101" s="860">
        <v>0</v>
      </c>
      <c r="J101" s="743">
        <v>0</v>
      </c>
      <c r="K101" s="860">
        <v>0</v>
      </c>
      <c r="L101" s="536">
        <v>0</v>
      </c>
      <c r="M101" s="860">
        <v>0</v>
      </c>
      <c r="N101" s="195">
        <v>0</v>
      </c>
      <c r="O101" s="860">
        <v>33.520000000000003</v>
      </c>
      <c r="P101" s="536">
        <f t="shared" ref="P101:P132" si="27">MROUND(O101,10)</f>
        <v>30</v>
      </c>
      <c r="Q101" s="860">
        <v>42.954999999999998</v>
      </c>
      <c r="R101" s="748">
        <f t="shared" ref="R101:R132" si="28">MROUND(Q101,1)</f>
        <v>43</v>
      </c>
      <c r="S101" s="860">
        <v>1.6E-2</v>
      </c>
      <c r="T101" s="747">
        <v>0</v>
      </c>
      <c r="U101" s="860">
        <v>41.743000000000002</v>
      </c>
      <c r="V101" s="748">
        <f t="shared" si="24"/>
        <v>42</v>
      </c>
      <c r="W101" s="860">
        <v>41.743000000000002</v>
      </c>
      <c r="X101" s="748">
        <f t="shared" si="25"/>
        <v>42</v>
      </c>
      <c r="Y101" s="860">
        <v>0.09</v>
      </c>
      <c r="Z101" s="195">
        <v>0</v>
      </c>
      <c r="AA101" s="555">
        <v>0</v>
      </c>
      <c r="AB101" s="555">
        <v>0</v>
      </c>
      <c r="AC101" s="536">
        <v>5.4390000000000001</v>
      </c>
      <c r="AD101" s="536">
        <v>0.41799999999999998</v>
      </c>
      <c r="AE101" s="536">
        <v>0.04</v>
      </c>
      <c r="AF101" s="536">
        <v>0.224</v>
      </c>
      <c r="AG101" s="536">
        <v>0.57499999999999996</v>
      </c>
      <c r="AH101" s="536">
        <v>1.2E-2</v>
      </c>
      <c r="AI101" s="248"/>
      <c r="AJ101" s="248"/>
      <c r="AK101" s="248"/>
      <c r="AL101" s="248"/>
    </row>
    <row r="102" spans="1:38" s="732" customFormat="1" ht="15.9">
      <c r="A102" s="186" t="s">
        <v>296</v>
      </c>
      <c r="B102" s="186" t="s">
        <v>68</v>
      </c>
      <c r="C102" s="860">
        <v>149.31899999999999</v>
      </c>
      <c r="D102" s="195">
        <f t="shared" si="26"/>
        <v>150</v>
      </c>
      <c r="E102" s="860">
        <v>0.13500000000000001</v>
      </c>
      <c r="F102" s="195">
        <v>0</v>
      </c>
      <c r="G102" s="860">
        <v>1.4999999999999999E-2</v>
      </c>
      <c r="H102" s="743">
        <v>0</v>
      </c>
      <c r="I102" s="860">
        <v>0</v>
      </c>
      <c r="J102" s="743">
        <v>0</v>
      </c>
      <c r="K102" s="860">
        <v>0</v>
      </c>
      <c r="L102" s="536">
        <v>0</v>
      </c>
      <c r="M102" s="860">
        <v>0</v>
      </c>
      <c r="N102" s="195">
        <v>0</v>
      </c>
      <c r="O102" s="860">
        <v>22.507999999999999</v>
      </c>
      <c r="P102" s="536">
        <f t="shared" si="27"/>
        <v>20</v>
      </c>
      <c r="Q102" s="860">
        <v>38.039000000000001</v>
      </c>
      <c r="R102" s="748">
        <f t="shared" si="28"/>
        <v>38</v>
      </c>
      <c r="S102" s="860">
        <v>0.108</v>
      </c>
      <c r="T102" s="747">
        <v>0</v>
      </c>
      <c r="U102" s="860">
        <v>36.332000000000001</v>
      </c>
      <c r="V102" s="748">
        <f t="shared" si="24"/>
        <v>36</v>
      </c>
      <c r="W102" s="860">
        <v>35.887999999999998</v>
      </c>
      <c r="X102" s="748">
        <f t="shared" si="25"/>
        <v>36</v>
      </c>
      <c r="Y102" s="860">
        <v>9.2999999999999999E-2</v>
      </c>
      <c r="Z102" s="195">
        <v>0</v>
      </c>
      <c r="AA102" s="555">
        <v>0</v>
      </c>
      <c r="AB102" s="555">
        <v>0</v>
      </c>
      <c r="AC102" s="536">
        <v>6.2030000000000003</v>
      </c>
      <c r="AD102" s="536">
        <v>0.47699999999999998</v>
      </c>
      <c r="AE102" s="536">
        <v>5.0999999999999997E-2</v>
      </c>
      <c r="AF102" s="536">
        <v>0.28100000000000003</v>
      </c>
      <c r="AG102" s="536">
        <v>11.763</v>
      </c>
      <c r="AH102" s="536">
        <v>0.25</v>
      </c>
      <c r="AI102" s="248"/>
      <c r="AJ102" s="248"/>
      <c r="AK102" s="248"/>
      <c r="AL102" s="248"/>
    </row>
    <row r="103" spans="1:38" ht="15.9">
      <c r="A103" s="186" t="s">
        <v>296</v>
      </c>
      <c r="B103" s="186" t="s">
        <v>300</v>
      </c>
      <c r="C103" s="859">
        <v>124.72499999999999</v>
      </c>
      <c r="D103" s="195">
        <f t="shared" si="26"/>
        <v>120</v>
      </c>
      <c r="E103" s="859">
        <v>0.41899999999999998</v>
      </c>
      <c r="F103" s="195">
        <v>0</v>
      </c>
      <c r="G103" s="859">
        <v>4.7E-2</v>
      </c>
      <c r="H103" s="743">
        <v>0</v>
      </c>
      <c r="I103" s="859">
        <v>2E-3</v>
      </c>
      <c r="J103" s="743">
        <v>0</v>
      </c>
      <c r="K103" s="860">
        <v>0</v>
      </c>
      <c r="L103" s="536">
        <v>0</v>
      </c>
      <c r="M103" s="860">
        <v>0</v>
      </c>
      <c r="N103" s="195">
        <v>0</v>
      </c>
      <c r="O103" s="859">
        <v>20.402999999999999</v>
      </c>
      <c r="P103" s="536">
        <f t="shared" si="27"/>
        <v>20</v>
      </c>
      <c r="Q103" s="859">
        <v>32.417000000000002</v>
      </c>
      <c r="R103" s="748">
        <f t="shared" si="28"/>
        <v>32</v>
      </c>
      <c r="S103" s="859">
        <v>0.161</v>
      </c>
      <c r="T103" s="747">
        <v>0</v>
      </c>
      <c r="U103" s="859">
        <v>29.95</v>
      </c>
      <c r="V103" s="748">
        <f t="shared" si="24"/>
        <v>30</v>
      </c>
      <c r="W103" s="859">
        <v>29.436</v>
      </c>
      <c r="X103" s="748">
        <f t="shared" si="25"/>
        <v>29</v>
      </c>
      <c r="Y103" s="859">
        <v>9.4E-2</v>
      </c>
      <c r="Z103" s="195">
        <v>0</v>
      </c>
      <c r="AA103" s="555">
        <v>0</v>
      </c>
      <c r="AB103" s="555">
        <v>0</v>
      </c>
      <c r="AC103" s="554">
        <v>7.2089999999999996</v>
      </c>
      <c r="AD103" s="554">
        <v>0.55500000000000005</v>
      </c>
      <c r="AE103" s="554">
        <v>2.9000000000000001E-2</v>
      </c>
      <c r="AF103" s="554">
        <v>0.16</v>
      </c>
      <c r="AG103" s="554">
        <v>22.643000000000001</v>
      </c>
      <c r="AH103" s="554">
        <v>0.48199999999999998</v>
      </c>
    </row>
    <row r="104" spans="1:38" ht="15.9">
      <c r="A104" s="186" t="s">
        <v>296</v>
      </c>
      <c r="B104" s="186" t="s">
        <v>39</v>
      </c>
      <c r="C104" s="889">
        <v>155.702</v>
      </c>
      <c r="D104" s="195">
        <f t="shared" si="26"/>
        <v>160</v>
      </c>
      <c r="E104" s="889">
        <v>0</v>
      </c>
      <c r="F104" s="195">
        <v>0</v>
      </c>
      <c r="G104" s="889">
        <v>0</v>
      </c>
      <c r="H104" s="743">
        <v>0</v>
      </c>
      <c r="I104" s="889">
        <v>0</v>
      </c>
      <c r="J104" s="743">
        <v>0</v>
      </c>
      <c r="K104" s="889">
        <v>0</v>
      </c>
      <c r="L104" s="536">
        <v>0</v>
      </c>
      <c r="M104" s="889">
        <v>0</v>
      </c>
      <c r="N104" s="195">
        <v>0</v>
      </c>
      <c r="O104" s="889">
        <v>18.279</v>
      </c>
      <c r="P104" s="536">
        <f t="shared" si="27"/>
        <v>20</v>
      </c>
      <c r="Q104" s="889">
        <v>39.22</v>
      </c>
      <c r="R104" s="748">
        <f t="shared" si="28"/>
        <v>39</v>
      </c>
      <c r="S104" s="860">
        <v>0.153</v>
      </c>
      <c r="T104" s="747">
        <v>0</v>
      </c>
      <c r="U104" s="889">
        <v>38.003</v>
      </c>
      <c r="V104" s="748">
        <f t="shared" si="24"/>
        <v>38</v>
      </c>
      <c r="W104" s="889">
        <v>37.149000000000001</v>
      </c>
      <c r="X104" s="748">
        <f t="shared" si="25"/>
        <v>37</v>
      </c>
      <c r="Y104" s="889">
        <v>9.5000000000000001E-2</v>
      </c>
      <c r="Z104" s="195">
        <v>0</v>
      </c>
      <c r="AA104" s="555">
        <v>0</v>
      </c>
      <c r="AB104" s="555">
        <v>0</v>
      </c>
      <c r="AC104" s="555">
        <v>5.2949999999999999</v>
      </c>
      <c r="AD104" s="555">
        <v>0.40699999999999997</v>
      </c>
      <c r="AE104" s="555">
        <v>3.3000000000000002E-2</v>
      </c>
      <c r="AF104" s="555">
        <v>0.185</v>
      </c>
      <c r="AG104" s="555">
        <v>0.63900000000000001</v>
      </c>
      <c r="AH104" s="555">
        <v>1.4E-2</v>
      </c>
    </row>
    <row r="105" spans="1:38" ht="15.9">
      <c r="A105" s="186" t="s">
        <v>296</v>
      </c>
      <c r="B105" s="186" t="s">
        <v>69</v>
      </c>
      <c r="C105" s="860">
        <v>171.61099999999999</v>
      </c>
      <c r="D105" s="195">
        <f t="shared" si="26"/>
        <v>170</v>
      </c>
      <c r="E105" s="860">
        <v>0.14199999999999999</v>
      </c>
      <c r="F105" s="195">
        <v>0</v>
      </c>
      <c r="G105" s="860">
        <v>1.6E-2</v>
      </c>
      <c r="H105" s="743">
        <v>0</v>
      </c>
      <c r="I105" s="860">
        <v>1E-3</v>
      </c>
      <c r="J105" s="743">
        <v>0</v>
      </c>
      <c r="K105" s="860">
        <v>0</v>
      </c>
      <c r="L105" s="536">
        <v>0</v>
      </c>
      <c r="M105" s="860">
        <v>0</v>
      </c>
      <c r="N105" s="195">
        <v>0</v>
      </c>
      <c r="O105" s="860">
        <v>27.963000000000001</v>
      </c>
      <c r="P105" s="536">
        <f t="shared" si="27"/>
        <v>30</v>
      </c>
      <c r="Q105" s="860">
        <v>43.601999999999997</v>
      </c>
      <c r="R105" s="748">
        <f t="shared" si="28"/>
        <v>44</v>
      </c>
      <c r="S105" s="860">
        <v>0.11899999999999999</v>
      </c>
      <c r="T105" s="747">
        <v>0</v>
      </c>
      <c r="U105" s="860">
        <v>41.732999999999997</v>
      </c>
      <c r="V105" s="748">
        <f t="shared" si="24"/>
        <v>42</v>
      </c>
      <c r="W105" s="860">
        <v>41.295000000000002</v>
      </c>
      <c r="X105" s="748">
        <f t="shared" si="25"/>
        <v>41</v>
      </c>
      <c r="Y105" s="860">
        <v>9.7000000000000003E-2</v>
      </c>
      <c r="Z105" s="195">
        <v>0</v>
      </c>
      <c r="AA105" s="555">
        <v>0</v>
      </c>
      <c r="AB105" s="555">
        <v>0</v>
      </c>
      <c r="AC105" s="536">
        <v>6.3140000000000001</v>
      </c>
      <c r="AD105" s="536">
        <v>0.48599999999999999</v>
      </c>
      <c r="AE105" s="536">
        <v>4.3999999999999997E-2</v>
      </c>
      <c r="AF105" s="536">
        <v>0.247</v>
      </c>
      <c r="AG105" s="536">
        <v>10.835000000000001</v>
      </c>
      <c r="AH105" s="536">
        <v>0.23100000000000001</v>
      </c>
      <c r="AI105" s="248"/>
      <c r="AJ105" s="248"/>
      <c r="AK105" s="248"/>
      <c r="AL105" s="248"/>
    </row>
    <row r="106" spans="1:38" ht="15.9">
      <c r="A106" s="186" t="s">
        <v>296</v>
      </c>
      <c r="B106" s="186" t="s">
        <v>42</v>
      </c>
      <c r="C106" s="860">
        <v>178.72399999999999</v>
      </c>
      <c r="D106" s="195">
        <f t="shared" si="26"/>
        <v>180</v>
      </c>
      <c r="E106" s="860">
        <v>6.9000000000000006E-2</v>
      </c>
      <c r="F106" s="195">
        <v>0</v>
      </c>
      <c r="G106" s="860">
        <v>8.0000000000000002E-3</v>
      </c>
      <c r="H106" s="743">
        <v>0</v>
      </c>
      <c r="I106" s="860">
        <v>4.0000000000000001E-3</v>
      </c>
      <c r="J106" s="743">
        <v>0</v>
      </c>
      <c r="K106" s="860">
        <v>4.0000000000000001E-3</v>
      </c>
      <c r="L106" s="536">
        <v>0</v>
      </c>
      <c r="M106" s="860">
        <v>0</v>
      </c>
      <c r="N106" s="195">
        <v>0</v>
      </c>
      <c r="O106" s="860">
        <v>18.731999999999999</v>
      </c>
      <c r="P106" s="536">
        <f t="shared" si="27"/>
        <v>20</v>
      </c>
      <c r="Q106" s="860">
        <v>45.151000000000003</v>
      </c>
      <c r="R106" s="748">
        <f t="shared" si="28"/>
        <v>45</v>
      </c>
      <c r="S106" s="860">
        <v>0.11899999999999999</v>
      </c>
      <c r="T106" s="747">
        <v>0</v>
      </c>
      <c r="U106" s="860">
        <v>43.277000000000001</v>
      </c>
      <c r="V106" s="748">
        <f t="shared" si="24"/>
        <v>43</v>
      </c>
      <c r="W106" s="860">
        <v>42.484999999999999</v>
      </c>
      <c r="X106" s="748">
        <f t="shared" si="25"/>
        <v>42</v>
      </c>
      <c r="Y106" s="860">
        <v>0.104</v>
      </c>
      <c r="Z106" s="195">
        <v>0</v>
      </c>
      <c r="AA106" s="555">
        <v>0.46899999999999997</v>
      </c>
      <c r="AB106" s="555">
        <v>2.3439999999999999</v>
      </c>
      <c r="AC106" s="555">
        <v>5.2720000000000002</v>
      </c>
      <c r="AD106" s="555">
        <v>0.40600000000000003</v>
      </c>
      <c r="AE106" s="555">
        <v>3.6999999999999998E-2</v>
      </c>
      <c r="AF106" s="555">
        <v>0.20499999999999999</v>
      </c>
      <c r="AG106" s="555">
        <v>26.56</v>
      </c>
      <c r="AH106" s="555">
        <v>0.56499999999999995</v>
      </c>
    </row>
    <row r="107" spans="1:38" ht="15.9">
      <c r="A107" s="186" t="s">
        <v>296</v>
      </c>
      <c r="B107" s="186" t="s">
        <v>66</v>
      </c>
      <c r="C107" s="860">
        <v>175.44800000000001</v>
      </c>
      <c r="D107" s="195">
        <f t="shared" si="26"/>
        <v>180</v>
      </c>
      <c r="E107" s="860">
        <v>5.5E-2</v>
      </c>
      <c r="F107" s="195">
        <v>0</v>
      </c>
      <c r="G107" s="860">
        <v>6.0000000000000001E-3</v>
      </c>
      <c r="H107" s="743">
        <v>0</v>
      </c>
      <c r="I107" s="860">
        <v>0</v>
      </c>
      <c r="J107" s="743">
        <v>0</v>
      </c>
      <c r="K107" s="860">
        <v>0</v>
      </c>
      <c r="L107" s="536">
        <v>0</v>
      </c>
      <c r="M107" s="860">
        <v>0</v>
      </c>
      <c r="N107" s="195">
        <v>0</v>
      </c>
      <c r="O107" s="860">
        <v>25.158000000000001</v>
      </c>
      <c r="P107" s="536">
        <f t="shared" si="27"/>
        <v>30</v>
      </c>
      <c r="Q107" s="860">
        <v>44.219000000000001</v>
      </c>
      <c r="R107" s="748">
        <f t="shared" si="28"/>
        <v>44</v>
      </c>
      <c r="S107" s="860">
        <v>0.12</v>
      </c>
      <c r="T107" s="747">
        <v>0</v>
      </c>
      <c r="U107" s="860">
        <v>42.933999999999997</v>
      </c>
      <c r="V107" s="748">
        <f t="shared" si="24"/>
        <v>43</v>
      </c>
      <c r="W107" s="860">
        <v>42.347999999999999</v>
      </c>
      <c r="X107" s="748">
        <f t="shared" si="25"/>
        <v>42</v>
      </c>
      <c r="Y107" s="860">
        <v>0.108</v>
      </c>
      <c r="Z107" s="195">
        <v>0</v>
      </c>
      <c r="AA107" s="555">
        <v>0</v>
      </c>
      <c r="AB107" s="555">
        <v>0</v>
      </c>
      <c r="AC107" s="536">
        <v>5.6749999999999998</v>
      </c>
      <c r="AD107" s="536">
        <v>0.437</v>
      </c>
      <c r="AE107" s="536">
        <v>7.3999999999999996E-2</v>
      </c>
      <c r="AF107" s="536">
        <v>0.41199999999999998</v>
      </c>
      <c r="AG107" s="536">
        <v>7.4720000000000004</v>
      </c>
      <c r="AH107" s="536">
        <v>0.159</v>
      </c>
    </row>
    <row r="108" spans="1:38" ht="15.9">
      <c r="A108" s="186" t="s">
        <v>296</v>
      </c>
      <c r="B108" s="186" t="s">
        <v>315</v>
      </c>
      <c r="C108" s="861">
        <v>135.69</v>
      </c>
      <c r="D108" s="195">
        <f t="shared" si="26"/>
        <v>140</v>
      </c>
      <c r="E108" s="861">
        <v>4.0000000000000001E-3</v>
      </c>
      <c r="F108" s="195">
        <v>0</v>
      </c>
      <c r="G108" s="861">
        <v>0</v>
      </c>
      <c r="H108" s="743">
        <v>0</v>
      </c>
      <c r="I108" s="861">
        <v>0</v>
      </c>
      <c r="J108" s="743">
        <v>0</v>
      </c>
      <c r="K108" s="861">
        <v>0</v>
      </c>
      <c r="L108" s="536">
        <v>0</v>
      </c>
      <c r="M108" s="861">
        <v>0</v>
      </c>
      <c r="N108" s="195">
        <v>0</v>
      </c>
      <c r="O108" s="861">
        <v>24.265000000000001</v>
      </c>
      <c r="P108" s="536">
        <f t="shared" si="27"/>
        <v>20</v>
      </c>
      <c r="Q108" s="861">
        <v>33.493000000000002</v>
      </c>
      <c r="R108" s="748">
        <f t="shared" si="28"/>
        <v>33</v>
      </c>
      <c r="S108" s="861">
        <v>0.04</v>
      </c>
      <c r="T108" s="747">
        <v>0</v>
      </c>
      <c r="U108" s="861">
        <v>31.704000000000001</v>
      </c>
      <c r="V108" s="748">
        <f t="shared" si="24"/>
        <v>32</v>
      </c>
      <c r="W108" s="861">
        <v>31.704000000000001</v>
      </c>
      <c r="X108" s="748">
        <f t="shared" si="25"/>
        <v>32</v>
      </c>
      <c r="Y108" s="861">
        <v>0.16</v>
      </c>
      <c r="Z108" s="195">
        <v>0</v>
      </c>
      <c r="AA108" s="761">
        <v>0</v>
      </c>
      <c r="AB108" s="761">
        <v>0</v>
      </c>
      <c r="AC108" s="761">
        <v>6.1760000000000002</v>
      </c>
      <c r="AD108" s="761">
        <v>0.47499999999999998</v>
      </c>
      <c r="AE108" s="761">
        <v>2.5999999999999999E-2</v>
      </c>
      <c r="AF108" s="761">
        <v>0.14299999999999999</v>
      </c>
      <c r="AG108" s="761">
        <v>7.7009999999999996</v>
      </c>
      <c r="AH108" s="761">
        <v>0.16400000000000001</v>
      </c>
    </row>
    <row r="109" spans="1:38" ht="15.9">
      <c r="A109" s="186" t="s">
        <v>296</v>
      </c>
      <c r="B109" s="186" t="s">
        <v>72</v>
      </c>
      <c r="C109" s="860">
        <v>189.892</v>
      </c>
      <c r="D109" s="195">
        <f t="shared" si="26"/>
        <v>190</v>
      </c>
      <c r="E109" s="860">
        <v>0</v>
      </c>
      <c r="F109" s="195">
        <v>0</v>
      </c>
      <c r="G109" s="860">
        <v>0</v>
      </c>
      <c r="H109" s="743">
        <v>0</v>
      </c>
      <c r="I109" s="860">
        <v>0</v>
      </c>
      <c r="J109" s="743">
        <v>0</v>
      </c>
      <c r="K109" s="860">
        <v>0</v>
      </c>
      <c r="L109" s="536">
        <v>0</v>
      </c>
      <c r="M109" s="860">
        <v>0</v>
      </c>
      <c r="N109" s="195">
        <v>0</v>
      </c>
      <c r="O109" s="860">
        <v>42.680999999999997</v>
      </c>
      <c r="P109" s="536">
        <f t="shared" si="27"/>
        <v>40</v>
      </c>
      <c r="Q109" s="860">
        <v>48.362000000000002</v>
      </c>
      <c r="R109" s="748">
        <f t="shared" si="28"/>
        <v>48</v>
      </c>
      <c r="S109" s="860">
        <v>1.4999999999999999E-2</v>
      </c>
      <c r="T109" s="747">
        <v>0</v>
      </c>
      <c r="U109" s="860">
        <v>47.058</v>
      </c>
      <c r="V109" s="748">
        <f t="shared" si="24"/>
        <v>47</v>
      </c>
      <c r="W109" s="860">
        <v>47.058</v>
      </c>
      <c r="X109" s="748">
        <f t="shared" si="25"/>
        <v>47</v>
      </c>
      <c r="Y109" s="860">
        <v>0.18</v>
      </c>
      <c r="Z109" s="195">
        <v>0</v>
      </c>
      <c r="AA109" s="555">
        <v>0</v>
      </c>
      <c r="AB109" s="555">
        <v>0</v>
      </c>
      <c r="AC109" s="536">
        <v>5.1150000000000002</v>
      </c>
      <c r="AD109" s="536">
        <v>0.39300000000000002</v>
      </c>
      <c r="AE109" s="536">
        <v>4.7E-2</v>
      </c>
      <c r="AF109" s="536">
        <v>0.26</v>
      </c>
      <c r="AG109" s="536">
        <v>0.68899999999999995</v>
      </c>
      <c r="AH109" s="536">
        <v>1.4999999999999999E-2</v>
      </c>
      <c r="AI109" s="248"/>
      <c r="AJ109" s="248"/>
      <c r="AK109" s="248"/>
      <c r="AL109" s="248"/>
    </row>
    <row r="110" spans="1:38" ht="15.9">
      <c r="A110" s="186" t="s">
        <v>296</v>
      </c>
      <c r="B110" s="186" t="s">
        <v>60</v>
      </c>
      <c r="C110" s="860">
        <v>162.83500000000001</v>
      </c>
      <c r="D110" s="195">
        <f t="shared" si="26"/>
        <v>160</v>
      </c>
      <c r="E110" s="860">
        <v>1.6E-2</v>
      </c>
      <c r="F110" s="195">
        <v>0</v>
      </c>
      <c r="G110" s="860">
        <v>2E-3</v>
      </c>
      <c r="H110" s="743">
        <v>0</v>
      </c>
      <c r="I110" s="860">
        <v>2E-3</v>
      </c>
      <c r="J110" s="743">
        <v>0</v>
      </c>
      <c r="K110" s="860">
        <v>0</v>
      </c>
      <c r="L110" s="536">
        <v>0</v>
      </c>
      <c r="M110" s="860">
        <v>0</v>
      </c>
      <c r="N110" s="195">
        <v>0</v>
      </c>
      <c r="O110" s="860">
        <v>24.013999999999999</v>
      </c>
      <c r="P110" s="536">
        <f t="shared" si="27"/>
        <v>20</v>
      </c>
      <c r="Q110" s="860">
        <v>41.343000000000004</v>
      </c>
      <c r="R110" s="748">
        <f t="shared" si="28"/>
        <v>41</v>
      </c>
      <c r="S110" s="860">
        <v>0.57099999999999995</v>
      </c>
      <c r="T110" s="557" t="s">
        <v>303</v>
      </c>
      <c r="U110" s="860">
        <v>39.195999999999998</v>
      </c>
      <c r="V110" s="748">
        <f t="shared" si="24"/>
        <v>39</v>
      </c>
      <c r="W110" s="860">
        <v>38.808</v>
      </c>
      <c r="X110" s="748">
        <f t="shared" si="25"/>
        <v>39</v>
      </c>
      <c r="Y110" s="889">
        <v>0.19900000000000001</v>
      </c>
      <c r="Z110" s="195">
        <v>0</v>
      </c>
      <c r="AA110" s="555">
        <v>0</v>
      </c>
      <c r="AB110" s="555">
        <v>0</v>
      </c>
      <c r="AC110" s="555">
        <v>6.742</v>
      </c>
      <c r="AD110" s="555">
        <v>0.51900000000000002</v>
      </c>
      <c r="AE110" s="555">
        <v>7.0999999999999994E-2</v>
      </c>
      <c r="AF110" s="555">
        <v>0.39700000000000002</v>
      </c>
      <c r="AG110" s="555">
        <v>16.477</v>
      </c>
      <c r="AH110" s="555">
        <v>0.35099999999999998</v>
      </c>
    </row>
    <row r="111" spans="1:38" ht="15.9">
      <c r="A111" s="186" t="s">
        <v>296</v>
      </c>
      <c r="B111" s="186" t="s">
        <v>312</v>
      </c>
      <c r="C111" s="861">
        <v>168.501</v>
      </c>
      <c r="D111" s="195">
        <f t="shared" si="26"/>
        <v>170</v>
      </c>
      <c r="E111" s="861">
        <v>0.20599999999999999</v>
      </c>
      <c r="F111" s="195">
        <v>0</v>
      </c>
      <c r="G111" s="861">
        <v>2.3E-2</v>
      </c>
      <c r="H111" s="743">
        <v>0</v>
      </c>
      <c r="I111" s="861">
        <v>3.2000000000000001E-2</v>
      </c>
      <c r="J111" s="743">
        <v>0</v>
      </c>
      <c r="K111" s="861">
        <v>6.0000000000000001E-3</v>
      </c>
      <c r="L111" s="536">
        <v>0</v>
      </c>
      <c r="M111" s="861">
        <v>0</v>
      </c>
      <c r="N111" s="195">
        <v>0</v>
      </c>
      <c r="O111" s="861">
        <v>22.975999999999999</v>
      </c>
      <c r="P111" s="536">
        <f t="shared" si="27"/>
        <v>20</v>
      </c>
      <c r="Q111" s="860">
        <v>36.195</v>
      </c>
      <c r="R111" s="748">
        <f t="shared" si="28"/>
        <v>36</v>
      </c>
      <c r="S111" s="861">
        <v>0.67100000000000004</v>
      </c>
      <c r="T111" s="557" t="s">
        <v>303</v>
      </c>
      <c r="U111" s="861">
        <v>40.259</v>
      </c>
      <c r="V111" s="748">
        <f t="shared" si="24"/>
        <v>40</v>
      </c>
      <c r="W111" s="861">
        <v>39.749000000000002</v>
      </c>
      <c r="X111" s="748">
        <f t="shared" si="25"/>
        <v>40</v>
      </c>
      <c r="Y111" s="861">
        <v>0.217</v>
      </c>
      <c r="Z111" s="195">
        <v>0</v>
      </c>
      <c r="AA111" s="1131">
        <v>0</v>
      </c>
      <c r="AB111" s="1131">
        <v>0</v>
      </c>
      <c r="AC111" s="1131">
        <v>7.8280000000000003</v>
      </c>
      <c r="AD111" s="1131">
        <v>0.60199999999999998</v>
      </c>
      <c r="AE111" s="1131">
        <v>9.0999999999999998E-2</v>
      </c>
      <c r="AF111" s="1131">
        <v>0.503</v>
      </c>
      <c r="AG111" s="1131">
        <v>20.539000000000001</v>
      </c>
      <c r="AH111" s="1131">
        <v>0.437</v>
      </c>
    </row>
    <row r="112" spans="1:38" ht="17.25" customHeight="1">
      <c r="A112" s="186" t="s">
        <v>296</v>
      </c>
      <c r="B112" s="186" t="s">
        <v>78</v>
      </c>
      <c r="C112" s="860">
        <v>159.27099999999999</v>
      </c>
      <c r="D112" s="195">
        <f t="shared" si="26"/>
        <v>160</v>
      </c>
      <c r="E112" s="860">
        <v>7.0000000000000001E-3</v>
      </c>
      <c r="F112" s="195">
        <v>0</v>
      </c>
      <c r="G112" s="860">
        <v>6.0000000000000001E-3</v>
      </c>
      <c r="H112" s="743">
        <v>0</v>
      </c>
      <c r="I112" s="860">
        <v>0</v>
      </c>
      <c r="J112" s="743">
        <v>0</v>
      </c>
      <c r="K112" s="860">
        <v>0</v>
      </c>
      <c r="L112" s="536">
        <v>0</v>
      </c>
      <c r="M112" s="860">
        <v>0</v>
      </c>
      <c r="N112" s="195">
        <v>0</v>
      </c>
      <c r="O112" s="860">
        <v>27.138000000000002</v>
      </c>
      <c r="P112" s="536">
        <f t="shared" si="27"/>
        <v>30</v>
      </c>
      <c r="Q112" s="860">
        <v>38.441000000000003</v>
      </c>
      <c r="R112" s="748">
        <f t="shared" si="28"/>
        <v>38</v>
      </c>
      <c r="S112" s="860">
        <v>0.14699999999999999</v>
      </c>
      <c r="T112" s="747">
        <v>0</v>
      </c>
      <c r="U112" s="860">
        <v>35.802999999999997</v>
      </c>
      <c r="V112" s="748">
        <f t="shared" si="24"/>
        <v>36</v>
      </c>
      <c r="W112" s="860">
        <v>34.768999999999998</v>
      </c>
      <c r="X112" s="748">
        <f t="shared" si="25"/>
        <v>35</v>
      </c>
      <c r="Y112" s="860">
        <v>0.27300000000000002</v>
      </c>
      <c r="Z112" s="195">
        <v>0</v>
      </c>
      <c r="AA112" s="555">
        <v>0</v>
      </c>
      <c r="AB112" s="555">
        <v>0</v>
      </c>
      <c r="AC112" s="536">
        <v>8.6660000000000004</v>
      </c>
      <c r="AD112" s="536">
        <v>0.66700000000000004</v>
      </c>
      <c r="AE112" s="536">
        <v>0.11600000000000001</v>
      </c>
      <c r="AF112" s="536">
        <v>0.64300000000000002</v>
      </c>
      <c r="AG112" s="536">
        <v>12.731999999999999</v>
      </c>
      <c r="AH112" s="536">
        <v>0.27100000000000002</v>
      </c>
      <c r="AI112" s="248"/>
      <c r="AJ112" s="248"/>
      <c r="AK112" s="248"/>
      <c r="AL112" s="248"/>
    </row>
    <row r="113" spans="1:34" ht="15.9">
      <c r="A113" s="186" t="s">
        <v>296</v>
      </c>
      <c r="B113" s="186" t="s">
        <v>306</v>
      </c>
      <c r="C113" s="889">
        <v>200.34700000000001</v>
      </c>
      <c r="D113" s="195">
        <f t="shared" si="26"/>
        <v>200</v>
      </c>
      <c r="E113" s="889">
        <v>0.40400000000000003</v>
      </c>
      <c r="F113" s="195">
        <v>0</v>
      </c>
      <c r="G113" s="889">
        <v>4.4999999999999998E-2</v>
      </c>
      <c r="H113" s="743">
        <v>0</v>
      </c>
      <c r="I113" s="889">
        <v>0</v>
      </c>
      <c r="J113" s="743">
        <v>0</v>
      </c>
      <c r="K113" s="889">
        <v>0</v>
      </c>
      <c r="L113" s="536">
        <v>0</v>
      </c>
      <c r="M113" s="889">
        <v>0</v>
      </c>
      <c r="N113" s="195">
        <v>0</v>
      </c>
      <c r="O113" s="889">
        <v>20.446000000000002</v>
      </c>
      <c r="P113" s="536">
        <f t="shared" si="27"/>
        <v>20</v>
      </c>
      <c r="Q113" s="889">
        <v>50.046999999999997</v>
      </c>
      <c r="R113" s="748">
        <f t="shared" si="28"/>
        <v>50</v>
      </c>
      <c r="S113" s="860">
        <v>0</v>
      </c>
      <c r="T113" s="747">
        <v>0</v>
      </c>
      <c r="U113" s="889">
        <v>46.085000000000001</v>
      </c>
      <c r="V113" s="748">
        <f t="shared" si="24"/>
        <v>46</v>
      </c>
      <c r="W113" s="889">
        <v>46.085000000000001</v>
      </c>
      <c r="X113" s="748">
        <f t="shared" si="25"/>
        <v>46</v>
      </c>
      <c r="Y113" s="889">
        <v>0.35899999999999999</v>
      </c>
      <c r="Z113" s="195">
        <v>0</v>
      </c>
      <c r="AA113" s="555">
        <v>0</v>
      </c>
      <c r="AB113" s="555">
        <v>0</v>
      </c>
      <c r="AC113" s="555">
        <v>4.335</v>
      </c>
      <c r="AD113" s="555">
        <v>0.33300000000000002</v>
      </c>
      <c r="AE113" s="555">
        <v>8.9999999999999993E-3</v>
      </c>
      <c r="AF113" s="555">
        <v>0.05</v>
      </c>
      <c r="AG113" s="555">
        <v>0.80200000000000005</v>
      </c>
      <c r="AH113" s="555">
        <v>1.7000000000000001E-2</v>
      </c>
    </row>
    <row r="114" spans="1:34" ht="15.9">
      <c r="A114" s="186" t="s">
        <v>296</v>
      </c>
      <c r="B114" s="186" t="s">
        <v>34</v>
      </c>
      <c r="C114" s="860">
        <v>196.89699999999999</v>
      </c>
      <c r="D114" s="195">
        <f t="shared" si="26"/>
        <v>200</v>
      </c>
      <c r="E114" s="860">
        <v>2.1560000000000001</v>
      </c>
      <c r="F114" s="195">
        <v>0</v>
      </c>
      <c r="G114" s="860">
        <v>0.24</v>
      </c>
      <c r="H114" s="743">
        <v>0</v>
      </c>
      <c r="I114" s="860">
        <v>0.14199999999999999</v>
      </c>
      <c r="J114" s="743">
        <v>0</v>
      </c>
      <c r="K114" s="860">
        <v>0</v>
      </c>
      <c r="L114" s="536">
        <v>0</v>
      </c>
      <c r="M114" s="860">
        <v>0</v>
      </c>
      <c r="N114" s="195">
        <v>0</v>
      </c>
      <c r="O114" s="860">
        <v>37.170999999999999</v>
      </c>
      <c r="P114" s="536">
        <f t="shared" si="27"/>
        <v>40</v>
      </c>
      <c r="Q114" s="860">
        <v>50.195</v>
      </c>
      <c r="R114" s="748">
        <f t="shared" si="28"/>
        <v>50</v>
      </c>
      <c r="S114" s="860">
        <v>0.70099999999999996</v>
      </c>
      <c r="T114" s="557" t="s">
        <v>303</v>
      </c>
      <c r="U114" s="860">
        <v>47.683</v>
      </c>
      <c r="V114" s="748">
        <f t="shared" si="24"/>
        <v>48</v>
      </c>
      <c r="W114" s="860">
        <v>47.485999999999997</v>
      </c>
      <c r="X114" s="748">
        <f t="shared" si="25"/>
        <v>47</v>
      </c>
      <c r="Y114" s="860">
        <v>0.42699999999999999</v>
      </c>
      <c r="Z114" s="195">
        <v>0</v>
      </c>
      <c r="AA114" s="555">
        <v>3.0000000000000001E-3</v>
      </c>
      <c r="AB114" s="555">
        <v>1.6E-2</v>
      </c>
      <c r="AC114" s="555">
        <v>8.7799999999999994</v>
      </c>
      <c r="AD114" s="555">
        <v>0.67500000000000004</v>
      </c>
      <c r="AE114" s="555">
        <v>0.372</v>
      </c>
      <c r="AF114" s="555">
        <v>2.0649999999999999</v>
      </c>
      <c r="AG114" s="555">
        <v>50.401000000000003</v>
      </c>
      <c r="AH114" s="555">
        <v>1.0720000000000001</v>
      </c>
    </row>
    <row r="115" spans="1:34" ht="15.9">
      <c r="A115" s="186" t="s">
        <v>296</v>
      </c>
      <c r="B115" s="186" t="s">
        <v>35</v>
      </c>
      <c r="C115" s="860">
        <v>223.096</v>
      </c>
      <c r="D115" s="195">
        <f t="shared" si="26"/>
        <v>220</v>
      </c>
      <c r="E115" s="860">
        <v>2.1619999999999999</v>
      </c>
      <c r="F115" s="195">
        <v>0</v>
      </c>
      <c r="G115" s="860">
        <v>1.7030000000000001</v>
      </c>
      <c r="H115" s="743">
        <f>MROUND(G115,0.5)</f>
        <v>1.5</v>
      </c>
      <c r="I115" s="860">
        <v>1.014</v>
      </c>
      <c r="J115" s="743">
        <f>MROUND(I115,0.5)</f>
        <v>1</v>
      </c>
      <c r="K115" s="860">
        <v>0</v>
      </c>
      <c r="L115" s="536">
        <v>0</v>
      </c>
      <c r="M115" s="860">
        <v>0</v>
      </c>
      <c r="N115" s="195">
        <v>0</v>
      </c>
      <c r="O115" s="860">
        <v>37.036999999999999</v>
      </c>
      <c r="P115" s="536">
        <f t="shared" si="27"/>
        <v>40</v>
      </c>
      <c r="Q115" s="860">
        <v>54.107999999999997</v>
      </c>
      <c r="R115" s="748">
        <f t="shared" si="28"/>
        <v>54</v>
      </c>
      <c r="S115" s="860">
        <v>1.147</v>
      </c>
      <c r="T115" s="536">
        <f>MROUND(S115,1)</f>
        <v>1</v>
      </c>
      <c r="U115" s="860">
        <v>50.863</v>
      </c>
      <c r="V115" s="748">
        <f t="shared" si="24"/>
        <v>51</v>
      </c>
      <c r="W115" s="860">
        <v>50.665999999999997</v>
      </c>
      <c r="X115" s="748">
        <f t="shared" si="25"/>
        <v>51</v>
      </c>
      <c r="Y115" s="860">
        <v>0.71</v>
      </c>
      <c r="Z115" s="748" t="s">
        <v>303</v>
      </c>
      <c r="AA115" s="555">
        <v>3.0000000000000001E-3</v>
      </c>
      <c r="AB115" s="555">
        <v>1.6E-2</v>
      </c>
      <c r="AC115" s="555">
        <v>10.763</v>
      </c>
      <c r="AD115" s="555">
        <v>0.82799999999999996</v>
      </c>
      <c r="AE115" s="555">
        <v>0.85299999999999998</v>
      </c>
      <c r="AF115" s="555">
        <v>4.7409999999999997</v>
      </c>
      <c r="AG115" s="555">
        <v>75.143000000000001</v>
      </c>
      <c r="AH115" s="555">
        <v>1.599</v>
      </c>
    </row>
    <row r="116" spans="1:34" ht="15.9">
      <c r="A116" s="186" t="s">
        <v>296</v>
      </c>
      <c r="B116" s="186" t="s">
        <v>317</v>
      </c>
      <c r="C116" s="860">
        <v>237.81100000000001</v>
      </c>
      <c r="D116" s="195">
        <f t="shared" si="26"/>
        <v>240</v>
      </c>
      <c r="E116" s="860">
        <v>2.1579999999999999</v>
      </c>
      <c r="F116" s="195">
        <v>0</v>
      </c>
      <c r="G116" s="860">
        <v>4.1900000000000004</v>
      </c>
      <c r="H116" s="743">
        <f>MROUND(G116,0.5)</f>
        <v>4</v>
      </c>
      <c r="I116" s="860">
        <v>0.79700000000000004</v>
      </c>
      <c r="J116" s="743">
        <f>MROUND(I116,0.5)</f>
        <v>1</v>
      </c>
      <c r="K116" s="860">
        <v>0</v>
      </c>
      <c r="L116" s="536">
        <v>0</v>
      </c>
      <c r="M116" s="860">
        <v>0</v>
      </c>
      <c r="N116" s="195">
        <v>0</v>
      </c>
      <c r="O116" s="860">
        <v>54.475999999999999</v>
      </c>
      <c r="P116" s="536">
        <f t="shared" si="27"/>
        <v>50</v>
      </c>
      <c r="Q116" s="860">
        <v>50.896000000000001</v>
      </c>
      <c r="R116" s="748">
        <f t="shared" si="28"/>
        <v>51</v>
      </c>
      <c r="S116" s="860">
        <v>1.1299999999999999</v>
      </c>
      <c r="T116" s="536">
        <f>MROUND(S116,1)</f>
        <v>1</v>
      </c>
      <c r="U116" s="860">
        <v>48.359000000000002</v>
      </c>
      <c r="V116" s="748">
        <f t="shared" si="24"/>
        <v>48</v>
      </c>
      <c r="W116" s="860">
        <v>47.960999999999999</v>
      </c>
      <c r="X116" s="748">
        <f t="shared" si="25"/>
        <v>48</v>
      </c>
      <c r="Y116" s="860">
        <v>1.7290000000000001</v>
      </c>
      <c r="Z116" s="188">
        <f>MROUND(Y116,1)</f>
        <v>2</v>
      </c>
      <c r="AA116" s="555">
        <v>3.0000000000000001E-3</v>
      </c>
      <c r="AB116" s="555">
        <v>1.6E-2</v>
      </c>
      <c r="AC116" s="536">
        <v>13.289</v>
      </c>
      <c r="AD116" s="536">
        <v>1.022</v>
      </c>
      <c r="AE116" s="536">
        <v>0.60299999999999998</v>
      </c>
      <c r="AF116" s="536">
        <v>3.351</v>
      </c>
      <c r="AG116" s="536">
        <v>86.019000000000005</v>
      </c>
      <c r="AH116" s="536">
        <v>1.83</v>
      </c>
    </row>
    <row r="117" spans="1:34" ht="17.149999999999999" customHeight="1">
      <c r="A117" s="916"/>
      <c r="B117" s="917"/>
      <c r="C117" s="920"/>
      <c r="D117" s="212"/>
      <c r="E117" s="920"/>
      <c r="F117" s="923"/>
      <c r="G117" s="920"/>
      <c r="H117" s="922"/>
      <c r="I117" s="920"/>
      <c r="J117" s="922"/>
      <c r="K117" s="920"/>
      <c r="L117" s="918"/>
      <c r="M117" s="920"/>
      <c r="N117" s="923"/>
      <c r="O117" s="920"/>
      <c r="P117" s="918"/>
      <c r="Q117" s="920"/>
      <c r="R117" s="923"/>
      <c r="S117" s="920"/>
      <c r="T117" s="918"/>
      <c r="U117" s="920"/>
      <c r="V117" s="923"/>
      <c r="W117" s="920"/>
      <c r="X117" s="923"/>
      <c r="Y117" s="920"/>
      <c r="Z117" s="923"/>
      <c r="AA117" s="1153"/>
      <c r="AB117" s="1153"/>
      <c r="AC117" s="1153"/>
      <c r="AD117" s="1153"/>
      <c r="AE117" s="1153"/>
      <c r="AF117" s="1153"/>
      <c r="AG117" s="1153"/>
      <c r="AH117" s="1153"/>
    </row>
    <row r="118" spans="1:34" ht="38.5" customHeight="1">
      <c r="B118" s="1237" t="s">
        <v>168</v>
      </c>
      <c r="C118" s="1238"/>
      <c r="D118" s="1238"/>
      <c r="E118" s="1238"/>
      <c r="F118" s="1238"/>
      <c r="G118" s="1238"/>
      <c r="H118" s="1238"/>
      <c r="I118" s="1238"/>
      <c r="J118" s="1238"/>
      <c r="K118" s="1238"/>
      <c r="L118" s="1238"/>
      <c r="M118" s="1238"/>
      <c r="N118" s="1238"/>
      <c r="O118" s="1238"/>
      <c r="P118" s="1238"/>
      <c r="Q118" s="1238"/>
      <c r="R118" s="1238"/>
      <c r="S118" s="1238"/>
      <c r="T118" s="1238"/>
      <c r="U118" s="1238"/>
      <c r="V118" s="1238"/>
      <c r="W118" s="1238"/>
      <c r="X118" s="1238"/>
      <c r="Y118" s="1238"/>
      <c r="Z118" s="1238"/>
      <c r="AA118" s="1238"/>
      <c r="AB118" s="1238"/>
      <c r="AC118" s="1238"/>
      <c r="AD118" s="1238"/>
      <c r="AE118" s="1238"/>
      <c r="AF118" s="1238"/>
      <c r="AG118" s="1238"/>
      <c r="AH118" s="1238"/>
    </row>
    <row r="119" spans="1:34" ht="15.9" hidden="1"/>
    <row r="120" spans="1:34" ht="15.9" hidden="1">
      <c r="B120" s="191" t="s">
        <v>362</v>
      </c>
      <c r="C120" s="867">
        <f>SUM(AVERAGE(C5:C58),AVERAGE(C101:C116))</f>
        <v>340.52747685185182</v>
      </c>
      <c r="D120" s="191"/>
      <c r="E120" s="867">
        <f>SUM(AVERAGE(E5:E58),AVERAGE(E101:E116))</f>
        <v>38.610349537037045</v>
      </c>
      <c r="F120" s="191"/>
      <c r="G120" s="867">
        <f>SUM(AVERAGE(G5:G58),AVERAGE(G101:G116))</f>
        <v>4.6451458333333324</v>
      </c>
      <c r="H120" s="832"/>
      <c r="I120" s="867">
        <f>SUM(AVERAGE(I5:I58),AVERAGE(I101:I116))</f>
        <v>2.8027175925925922</v>
      </c>
      <c r="J120" s="832"/>
      <c r="K120" s="867">
        <f>SUM(AVERAGE(K5:K58),AVERAGE(K101:K116))</f>
        <v>6.2500000000000001E-4</v>
      </c>
      <c r="L120" s="191"/>
      <c r="M120" s="867">
        <f>SUM(AVERAGE(M5:M58),AVERAGE(M101:M116))</f>
        <v>24.66496296296296</v>
      </c>
      <c r="N120" s="191"/>
      <c r="O120" s="867">
        <f>SUM(AVERAGE(O5:O58),AVERAGE(O101:O116))</f>
        <v>97.563456018518536</v>
      </c>
      <c r="P120" s="191"/>
      <c r="Q120" s="867">
        <f>SUM(AVERAGE(Q5:Q58),AVERAGE(Q101:Q116))</f>
        <v>74.390465277777778</v>
      </c>
      <c r="R120" s="191"/>
      <c r="S120" s="867">
        <f>SUM(AVERAGE(S5:S58),AVERAGE(S101:S116))</f>
        <v>0.34175462962962966</v>
      </c>
      <c r="T120" s="191"/>
      <c r="U120" s="867">
        <f>SUM(AVERAGE(U5:U58),AVERAGE(U101:U116))</f>
        <v>67.316097222222226</v>
      </c>
      <c r="V120" s="191"/>
      <c r="W120" s="867">
        <f>SUM(AVERAGE(W5:W58),AVERAGE(W101:W116))</f>
        <v>59.884652777777788</v>
      </c>
      <c r="X120" s="191"/>
      <c r="Y120" s="867">
        <f>SUM(AVERAGE(Y5:Y58),AVERAGE(Y101:Y116))</f>
        <v>1.8840300925925932</v>
      </c>
      <c r="Z120" s="191"/>
      <c r="AA120" s="191">
        <f t="shared" ref="AA120:AH120" si="29">SUM(AVERAGE(AA5:AA58),AVERAGE(AA101:AA116))</f>
        <v>4.3837962962962961E-2</v>
      </c>
      <c r="AB120" s="191">
        <f t="shared" si="29"/>
        <v>0.2193148148148148</v>
      </c>
      <c r="AC120" s="191">
        <f t="shared" si="29"/>
        <v>81.445534722222192</v>
      </c>
      <c r="AD120" s="191">
        <f t="shared" si="29"/>
        <v>6.2650277777777763</v>
      </c>
      <c r="AE120" s="191">
        <f t="shared" si="29"/>
        <v>0.27687037037037038</v>
      </c>
      <c r="AF120" s="191">
        <f t="shared" si="29"/>
        <v>1.5380393518518516</v>
      </c>
      <c r="AG120" s="608">
        <f t="shared" si="29"/>
        <v>26.249597222222224</v>
      </c>
      <c r="AH120" s="606">
        <f t="shared" si="29"/>
        <v>0.55857175925925917</v>
      </c>
    </row>
    <row r="121" spans="1:34" ht="15.9" hidden="1">
      <c r="B121" s="191" t="s">
        <v>363</v>
      </c>
      <c r="C121" s="867" t="str">
        <f xml:space="preserve"> ROUND(MIN(C5:C60)+MIN(C101:C116), 0) &amp; " - " &amp; ROUND(MAX(C5:C60)+MAX(C101:C116),0)</f>
        <v>197 - 440</v>
      </c>
      <c r="D121" s="191"/>
      <c r="E121" s="867" t="str">
        <f xml:space="preserve"> ROUND(MIN(E5:E60)+MIN(E101:E116), 0) &amp; " - " &amp; ROUND(MAX(E5:E60)+MAX(E101:E116),0)</f>
        <v>0 - 98</v>
      </c>
      <c r="F121" s="191"/>
      <c r="G121" s="867" t="str">
        <f xml:space="preserve"> ROUND(MIN(G5:G60)+MIN(G101:G116), 0) &amp; " - " &amp; ROUND(MAX(G5:G60)+MAX(G101:G116),0)</f>
        <v>0 - 15</v>
      </c>
      <c r="H121" s="832"/>
      <c r="I121" s="867" t="str">
        <f xml:space="preserve"> ROUND(MIN(I5:I60)+MIN(I101:I116), 0) &amp; " - " &amp; ROUND(MAX(I5:I60)+MAX(I101:I116),0)</f>
        <v>0 - 8</v>
      </c>
      <c r="J121" s="832"/>
      <c r="K121" s="867" t="str">
        <f xml:space="preserve"> ROUND(MIN(K5:K60)+MIN(K101:K116), 0) &amp; " - " &amp; ROUND(MAX(K5:K60)+MAX(K101:K116),0)</f>
        <v>0 - 0</v>
      </c>
      <c r="L121" s="191"/>
      <c r="M121" s="867" t="str">
        <f xml:space="preserve"> ROUND(MIN(M5:M60)+MIN(M101:M116), 0) &amp; " - " &amp; ROUND(MAX(M5:M60)+MAX(M101:M116),0)</f>
        <v>0 - 63</v>
      </c>
      <c r="N121" s="191"/>
      <c r="O121" s="867" t="str">
        <f xml:space="preserve"> ROUND(MIN(O5:O60)+MIN(O101:O116), 0) &amp; " - " &amp; ROUND(MAX(O5:O60)+MAX(O101:O116),0)</f>
        <v>33 - 214</v>
      </c>
      <c r="P121" s="191"/>
      <c r="Q121" s="867" t="str">
        <f xml:space="preserve"> ROUND(MIN(Q5:Q60)+MIN(Q101:Q116), 0) &amp; " - " &amp; ROUND(MAX(Q5:Q60)+MAX(Q101:Q116),0)</f>
        <v>54 - 100</v>
      </c>
      <c r="R121" s="191"/>
      <c r="S121" s="867" t="str">
        <f xml:space="preserve"> ROUND(MIN(S5:S60)+MIN(S101:S116), 0) &amp; " - " &amp; ROUND(MAX(S5:S60)+MAX(S101:S116),0)</f>
        <v>0 - 1</v>
      </c>
      <c r="T121" s="191"/>
      <c r="U121" s="867" t="str">
        <f xml:space="preserve"> ROUND(MIN(U5:U60)+MIN(U101:U116), 0) &amp; " - " &amp; ROUND(MAX(U5:U60)+MAX(U101:U116),0)</f>
        <v>30 - 95</v>
      </c>
      <c r="V121" s="191"/>
      <c r="W121" s="867" t="str">
        <f xml:space="preserve"> ROUND(MIN(W5:W60)+MIN(W101:W116), 0) &amp; " - " &amp; ROUND(MAX(W5:W60)+MAX(W101:W116),0)</f>
        <v>29 - 94</v>
      </c>
      <c r="X121" s="191"/>
      <c r="Y121" s="867" t="str">
        <f xml:space="preserve"> ROUND(MIN(Y5:Y60)+MIN(Y101:Y116), 0) &amp; " - " &amp; ROUND(MAX(Y5:Y60)+MAX(Y101:Y116),0)</f>
        <v>0 - 6</v>
      </c>
      <c r="Z121" s="191"/>
      <c r="AA121" s="191" t="str">
        <f t="shared" ref="AA121:AH121" si="30" xml:space="preserve"> ROUND(MIN(AA5:AA60)+MIN(AA101:AA116), 0) &amp; " - " &amp; ROUND(MAX(AA5:AA60)+MAX(AA101:AA116),0)</f>
        <v>0 - 1</v>
      </c>
      <c r="AB121" s="191" t="str">
        <f t="shared" si="30"/>
        <v>0 - 6</v>
      </c>
      <c r="AC121" s="191" t="str">
        <f t="shared" si="30"/>
        <v>9 - 204</v>
      </c>
      <c r="AD121" s="191" t="str">
        <f t="shared" si="30"/>
        <v>1 - 16</v>
      </c>
      <c r="AE121" s="191" t="str">
        <f t="shared" si="30"/>
        <v>0 - 2</v>
      </c>
      <c r="AF121" s="191" t="str">
        <f t="shared" si="30"/>
        <v>0 - 11</v>
      </c>
      <c r="AG121" s="608" t="str">
        <f t="shared" si="30"/>
        <v>1 - 112</v>
      </c>
      <c r="AH121" s="606" t="str">
        <f t="shared" si="30"/>
        <v>0 - 2</v>
      </c>
    </row>
    <row r="122" spans="1:34" ht="15.9" hidden="1">
      <c r="B122" s="191" t="s">
        <v>364</v>
      </c>
      <c r="C122" s="867" t="e">
        <f>SUM(AVERAGE(C101:C116), AVERAGE(#REF!))</f>
        <v>#REF!</v>
      </c>
      <c r="D122" s="191"/>
      <c r="E122" s="867" t="e">
        <f>SUM(AVERAGE(E101:E116), AVERAGE(#REF!))</f>
        <v>#REF!</v>
      </c>
      <c r="F122" s="191"/>
      <c r="G122" s="867" t="e">
        <f>SUM(AVERAGE(G101:G116), AVERAGE(#REF!))</f>
        <v>#REF!</v>
      </c>
      <c r="H122" s="832"/>
      <c r="I122" s="867" t="e">
        <f>SUM(AVERAGE(I101:I116), AVERAGE(#REF!))</f>
        <v>#REF!</v>
      </c>
      <c r="J122" s="832"/>
      <c r="K122" s="867" t="e">
        <f>SUM(AVERAGE(K101:K116), AVERAGE(#REF!))</f>
        <v>#REF!</v>
      </c>
      <c r="L122" s="191"/>
      <c r="M122" s="867" t="e">
        <f>SUM(AVERAGE(M101:M116), AVERAGE(#REF!))</f>
        <v>#REF!</v>
      </c>
      <c r="N122" s="191"/>
      <c r="O122" s="867" t="e">
        <f>SUM(AVERAGE(O101:O116), AVERAGE(#REF!))</f>
        <v>#REF!</v>
      </c>
      <c r="P122" s="191"/>
      <c r="Q122" s="867" t="e">
        <f>SUM(AVERAGE(Q101:Q116), AVERAGE(#REF!))</f>
        <v>#REF!</v>
      </c>
      <c r="R122" s="191"/>
      <c r="S122" s="867" t="e">
        <f>SUM(AVERAGE(S101:S116), AVERAGE(#REF!))</f>
        <v>#REF!</v>
      </c>
      <c r="T122" s="191"/>
      <c r="U122" s="867" t="e">
        <f>SUM(AVERAGE(U101:U116), AVERAGE(#REF!))</f>
        <v>#REF!</v>
      </c>
      <c r="V122" s="191"/>
      <c r="W122" s="867" t="e">
        <f>SUM(AVERAGE(W101:W116), AVERAGE(#REF!))</f>
        <v>#REF!</v>
      </c>
      <c r="X122" s="191"/>
      <c r="Y122" s="867" t="e">
        <f>SUM(AVERAGE(Y101:Y116), AVERAGE(#REF!))</f>
        <v>#REF!</v>
      </c>
      <c r="Z122" s="191"/>
      <c r="AA122" s="191" t="e">
        <f>SUM(AVERAGE(AA101:AA116), AVERAGE(#REF!))</f>
        <v>#REF!</v>
      </c>
      <c r="AB122" s="191" t="e">
        <f>SUM(AVERAGE(AB101:AB116), AVERAGE(#REF!))</f>
        <v>#REF!</v>
      </c>
      <c r="AC122" s="191" t="e">
        <f>SUM(AVERAGE(AC101:AC116), AVERAGE(#REF!))</f>
        <v>#REF!</v>
      </c>
      <c r="AD122" s="191" t="e">
        <f>SUM(AVERAGE(AD101:AD116), AVERAGE(#REF!))</f>
        <v>#REF!</v>
      </c>
      <c r="AE122" s="191" t="e">
        <f>SUM(AVERAGE(AE101:AE116), AVERAGE(#REF!))</f>
        <v>#REF!</v>
      </c>
      <c r="AF122" s="191" t="e">
        <f>SUM(AVERAGE(AF101:AF116), AVERAGE(#REF!))</f>
        <v>#REF!</v>
      </c>
      <c r="AG122" s="608" t="e">
        <f>SUM(AVERAGE(AG101:AG116), AVERAGE(#REF!))</f>
        <v>#REF!</v>
      </c>
      <c r="AH122" s="606" t="e">
        <f>SUM(AVERAGE(AH101:AH116), AVERAGE(#REF!))</f>
        <v>#REF!</v>
      </c>
    </row>
    <row r="123" spans="1:34" ht="15.9" hidden="1">
      <c r="B123" s="191" t="s">
        <v>365</v>
      </c>
      <c r="C123" s="867" t="e">
        <f xml:space="preserve"> ROUND(MIN(#REF!)+MIN(C101:C116),0) &amp; " - " &amp; ROUND(MAX(#REF!)+MAX(C101:C116),0)</f>
        <v>#REF!</v>
      </c>
      <c r="D123" s="191"/>
      <c r="E123" s="867" t="e">
        <f xml:space="preserve"> ROUND(MIN(#REF!)+MIN(E101:E116),0) &amp; " - " &amp; ROUND(MAX(#REF!)+MAX(E101:E116),0)</f>
        <v>#REF!</v>
      </c>
      <c r="F123" s="191"/>
      <c r="G123" s="867" t="e">
        <f xml:space="preserve"> ROUND(MIN(#REF!)+MIN(G101:G116),0) &amp; " - " &amp; ROUND(MAX(#REF!)+MAX(G101:G116),0)</f>
        <v>#REF!</v>
      </c>
      <c r="H123" s="832"/>
      <c r="I123" s="867" t="e">
        <f xml:space="preserve"> ROUND(MIN(#REF!)+MIN(I101:I116),0) &amp; " - " &amp; ROUND(MAX(#REF!)+MAX(I101:I116),0)</f>
        <v>#REF!</v>
      </c>
      <c r="J123" s="832"/>
      <c r="K123" s="867" t="e">
        <f xml:space="preserve"> ROUND(MIN(#REF!)+MIN(K101:K116),0) &amp; " - " &amp; ROUND(MAX(#REF!)+MAX(K101:K116),0)</f>
        <v>#REF!</v>
      </c>
      <c r="L123" s="191"/>
      <c r="M123" s="867" t="e">
        <f xml:space="preserve"> ROUND(MIN(#REF!)+MIN(M101:M116),0) &amp; " - " &amp; ROUND(MAX(#REF!)+MAX(M101:M116),0)</f>
        <v>#REF!</v>
      </c>
      <c r="N123" s="191"/>
      <c r="O123" s="867" t="e">
        <f xml:space="preserve"> ROUND(MIN(#REF!)+MIN(O101:O116),0) &amp; " - " &amp; ROUND(MAX(#REF!)+MAX(O101:O116),0)</f>
        <v>#REF!</v>
      </c>
      <c r="P123" s="191"/>
      <c r="Q123" s="867" t="e">
        <f xml:space="preserve"> ROUND(MIN(#REF!)+MIN(Q101:Q116),0) &amp; " - " &amp; ROUND(MAX(#REF!)+MAX(Q101:Q116),0)</f>
        <v>#REF!</v>
      </c>
      <c r="R123" s="191"/>
      <c r="S123" s="867" t="e">
        <f xml:space="preserve"> ROUND(MIN(#REF!)+MIN(S101:S116),0) &amp; " - " &amp; ROUND(MAX(#REF!)+MAX(S101:S116),0)</f>
        <v>#REF!</v>
      </c>
      <c r="T123" s="191"/>
      <c r="U123" s="867" t="e">
        <f xml:space="preserve"> ROUND(MIN(#REF!)+MIN(U101:U116),0) &amp; " - " &amp; ROUND(MAX(#REF!)+MAX(U101:U116),0)</f>
        <v>#REF!</v>
      </c>
      <c r="V123" s="191"/>
      <c r="W123" s="867" t="e">
        <f xml:space="preserve"> ROUND(MIN(#REF!)+MIN(W101:W116),0) &amp; " - " &amp; ROUND(MAX(#REF!)+MAX(W101:W116),0)</f>
        <v>#REF!</v>
      </c>
      <c r="X123" s="191"/>
      <c r="Y123" s="867" t="e">
        <f xml:space="preserve"> ROUND(MIN(#REF!)+MIN(Y101:Y116),0) &amp; " - " &amp; ROUND(MAX(#REF!)+MAX(Y101:Y116),0)</f>
        <v>#REF!</v>
      </c>
      <c r="Z123" s="191"/>
      <c r="AA123" s="191" t="e">
        <f xml:space="preserve"> ROUND(MIN(#REF!)+MIN(AA101:AA116),0) &amp; " - " &amp; ROUND(MAX(#REF!)+MAX(AA101:AA116),0)</f>
        <v>#REF!</v>
      </c>
      <c r="AB123" s="191" t="e">
        <f xml:space="preserve"> ROUND(MIN(#REF!)+MIN(AB101:AB116),0) &amp; " - " &amp; ROUND(MAX(#REF!)+MAX(AB101:AB116),0)</f>
        <v>#REF!</v>
      </c>
      <c r="AC123" s="191" t="e">
        <f xml:space="preserve"> ROUND(MIN(#REF!)+MIN(AC101:AC116),0) &amp; " - " &amp; ROUND(MAX(#REF!)+MAX(AC101:AC116),0)</f>
        <v>#REF!</v>
      </c>
      <c r="AD123" s="191" t="e">
        <f xml:space="preserve"> ROUND(MIN(#REF!)+MIN(AD101:AD116),0) &amp; " - " &amp; ROUND(MAX(#REF!)+MAX(AD101:AD116),0)</f>
        <v>#REF!</v>
      </c>
      <c r="AE123" s="191" t="e">
        <f xml:space="preserve"> ROUND(MIN(#REF!)+MIN(AE101:AE116),0) &amp; " - " &amp; ROUND(MAX(#REF!)+MAX(AE101:AE116),0)</f>
        <v>#REF!</v>
      </c>
      <c r="AF123" s="191" t="e">
        <f xml:space="preserve"> ROUND(MIN(#REF!)+MIN(AF101:AF116),0) &amp; " - " &amp; ROUND(MAX(#REF!)+MAX(AF101:AF116),0)</f>
        <v>#REF!</v>
      </c>
      <c r="AG123" s="608" t="e">
        <f xml:space="preserve"> ROUND(MIN(#REF!)+MIN(AG101:AG116),0) &amp; " - " &amp; ROUND(MAX(#REF!)+MAX(AG101:AG116),0)</f>
        <v>#REF!</v>
      </c>
      <c r="AH123" s="606" t="e">
        <f xml:space="preserve"> ROUND(MIN(#REF!)+MIN(AH101:AH116),0) &amp; " - " &amp; ROUND(MAX(#REF!)+MAX(AH101:AH116),0)</f>
        <v>#REF!</v>
      </c>
    </row>
    <row r="124" spans="1:34" ht="15.9" hidden="1">
      <c r="B124" s="191" t="s">
        <v>366</v>
      </c>
      <c r="C124" s="867">
        <f>SUM(AVERAGE(C61:C92),AVERAGE(C101:C116))</f>
        <v>362.88718749999998</v>
      </c>
      <c r="D124" s="191"/>
      <c r="E124" s="867">
        <f>SUM(AVERAGE(E61:E92),AVERAGE(E101:E116))</f>
        <v>6.8581562500000004</v>
      </c>
      <c r="F124" s="191"/>
      <c r="G124" s="867">
        <f>SUM(AVERAGE(G61:G92),AVERAGE(G101:G116))</f>
        <v>2.69121875</v>
      </c>
      <c r="H124" s="832"/>
      <c r="I124" s="867">
        <f>SUM(AVERAGE(I61:I92),AVERAGE(I101:I116))</f>
        <v>1.89578125</v>
      </c>
      <c r="J124" s="832"/>
      <c r="K124" s="867">
        <f>SUM(AVERAGE(K61:K92),AVERAGE(K101:K116))</f>
        <v>2.6093750000000002E-2</v>
      </c>
      <c r="L124" s="191"/>
      <c r="M124" s="867">
        <f>SUM(AVERAGE(M61:M92),AVERAGE(M101:M116))</f>
        <v>0.62994143749999998</v>
      </c>
      <c r="N124" s="191"/>
      <c r="O124" s="867">
        <f>SUM(AVERAGE(O61:O92),AVERAGE(O101:O116))</f>
        <v>71.40787499999999</v>
      </c>
      <c r="P124" s="191"/>
      <c r="Q124" s="867">
        <f>SUM(AVERAGE(Q61:Q92),AVERAGE(Q101:Q116))</f>
        <v>86.555093749999997</v>
      </c>
      <c r="R124" s="191"/>
      <c r="S124" s="867">
        <f>SUM(AVERAGE(S61:S92),AVERAGE(S101:S116))</f>
        <v>1.8430312500000001</v>
      </c>
      <c r="T124" s="191"/>
      <c r="U124" s="867">
        <f>SUM(AVERAGE(U61:U92),AVERAGE(U101:U116))</f>
        <v>80.977218749999992</v>
      </c>
      <c r="V124" s="191"/>
      <c r="W124" s="867">
        <f>SUM(AVERAGE(W61:W92),AVERAGE(W101:W116))</f>
        <v>79.187593750000019</v>
      </c>
      <c r="X124" s="191"/>
      <c r="Y124" s="867">
        <f>SUM(AVERAGE(Y61:Y92),AVERAGE(Y101:Y116))</f>
        <v>0.68015625000000002</v>
      </c>
      <c r="Z124" s="191"/>
      <c r="AA124" s="191">
        <f t="shared" ref="AA124:AH124" si="31">SUM(AVERAGE(AA61:AA92),AVERAGE(AA101:AA116))</f>
        <v>3.2406249999999998E-2</v>
      </c>
      <c r="AB124" s="191">
        <f t="shared" si="31"/>
        <v>0.16237499999999999</v>
      </c>
      <c r="AC124" s="191">
        <f t="shared" si="31"/>
        <v>15.591531250000001</v>
      </c>
      <c r="AD124" s="191">
        <f t="shared" si="31"/>
        <v>1.3987500000000002</v>
      </c>
      <c r="AE124" s="191">
        <f t="shared" si="31"/>
        <v>0.38162499999999999</v>
      </c>
      <c r="AF124" s="191">
        <f t="shared" si="31"/>
        <v>2.1205937500000003</v>
      </c>
      <c r="AG124" s="608">
        <f t="shared" si="31"/>
        <v>46.150593750000006</v>
      </c>
      <c r="AH124" s="606">
        <f t="shared" si="31"/>
        <v>0.98193750000000002</v>
      </c>
    </row>
    <row r="125" spans="1:34" ht="15.9" hidden="1">
      <c r="B125" s="191" t="s">
        <v>367</v>
      </c>
      <c r="C125" s="867" t="str">
        <f xml:space="preserve"> ROUND(MIN(C61:C92)+MIN(C101:C116),0) &amp; " - " &amp; ROUND(MAX(C61:C92)+MAX(C101:C116),0)</f>
        <v>200 - 490</v>
      </c>
      <c r="D125" s="191"/>
      <c r="E125" s="867" t="str">
        <f xml:space="preserve"> ROUND(MIN(E61:E92)+MIN(E101:E116),0) &amp; " - " &amp; ROUND(MAX(E61:E92)+MAX(E101:E116),0)</f>
        <v>0 - 28</v>
      </c>
      <c r="F125" s="191"/>
      <c r="G125" s="867" t="str">
        <f xml:space="preserve"> ROUND(MIN(G61:G92)+MIN(G101:G116),0) &amp; " - " &amp; ROUND(MAX(G61:G92)+MAX(G101:G116),0)</f>
        <v>0 - 10</v>
      </c>
      <c r="H125" s="832"/>
      <c r="I125" s="867" t="str">
        <f xml:space="preserve"> ROUND(MIN(I61:I92)+MIN(I101:I116),0) &amp; " - " &amp; ROUND(MAX(I61:I92)+MAX(I101:I116),0)</f>
        <v>0 - 5</v>
      </c>
      <c r="J125" s="832"/>
      <c r="K125" s="867" t="str">
        <f xml:space="preserve"> ROUND(MIN(K61:K92)+MIN(K101:K116),0) &amp; " - " &amp; ROUND(MAX(K61:K92)+MAX(K101:K116),0)</f>
        <v>0 - 0</v>
      </c>
      <c r="L125" s="191"/>
      <c r="M125" s="867" t="str">
        <f xml:space="preserve"> ROUND(MIN(M61:M92)+MIN(M101:M116),0) &amp; " - " &amp; ROUND(MAX(M61:M92)+MAX(M101:M116),0)</f>
        <v>0 - 4</v>
      </c>
      <c r="N125" s="191"/>
      <c r="O125" s="867" t="str">
        <f xml:space="preserve"> ROUND(MIN(O61:O92)+MIN(O101:O116),0) &amp; " - " &amp; ROUND(MAX(O61:O92)+MAX(O101:O116),0)</f>
        <v>34 - 160</v>
      </c>
      <c r="P125" s="191"/>
      <c r="Q125" s="867" t="str">
        <f xml:space="preserve"> ROUND(MIN(Q61:Q92)+MIN(Q101:Q116),0) &amp; " - " &amp; ROUND(MAX(Q61:Q92)+MAX(Q101:Q116),0)</f>
        <v>59 - 111</v>
      </c>
      <c r="R125" s="191"/>
      <c r="S125" s="867" t="str">
        <f xml:space="preserve"> ROUND(MIN(S61:S92)+MIN(S101:S116),0) &amp; " - " &amp; ROUND(MAX(S61:S92)+MAX(S101:S116),0)</f>
        <v>0 - 41</v>
      </c>
      <c r="T125" s="191"/>
      <c r="U125" s="867" t="str">
        <f xml:space="preserve"> ROUND(MIN(U61:U92)+MIN(U101:U116),0) &amp; " - " &amp; ROUND(MAX(U61:U92)+MAX(U101:U116),0)</f>
        <v>30 - 101</v>
      </c>
      <c r="V125" s="191"/>
      <c r="W125" s="867" t="str">
        <f xml:space="preserve"> ROUND(MIN(W61:W92)+MIN(W101:W116),0) &amp; " - " &amp; ROUND(MAX(W61:W92)+MAX(W101:W116),0)</f>
        <v>29 - 101</v>
      </c>
      <c r="X125" s="191"/>
      <c r="Y125" s="867" t="str">
        <f xml:space="preserve"> ROUND(MIN(Y61:Y92)+MIN(Y101:Y116),0) &amp; " - " &amp; ROUND(MAX(Y61:Y92)+MAX(Y101:Y116),0)</f>
        <v>0 - 3</v>
      </c>
      <c r="Z125" s="191"/>
      <c r="AA125" s="191" t="str">
        <f t="shared" ref="AA125:AH125" si="32" xml:space="preserve"> ROUND(MIN(AA61:AA92)+MIN(AA101:AA116),0) &amp; " - " &amp; ROUND(MAX(AA61:AA92)+MAX(AA101:AA116),0)</f>
        <v>0 - 0</v>
      </c>
      <c r="AB125" s="191" t="str">
        <f t="shared" si="32"/>
        <v>0 - 2</v>
      </c>
      <c r="AC125" s="191" t="str">
        <f t="shared" si="32"/>
        <v>9 - 36</v>
      </c>
      <c r="AD125" s="191" t="str">
        <f t="shared" si="32"/>
        <v>1 - 8</v>
      </c>
      <c r="AE125" s="191" t="str">
        <f t="shared" si="32"/>
        <v>0 - 2</v>
      </c>
      <c r="AF125" s="191" t="str">
        <f t="shared" si="32"/>
        <v>0 - 9</v>
      </c>
      <c r="AG125" s="608" t="str">
        <f t="shared" si="32"/>
        <v>2 - 169</v>
      </c>
      <c r="AH125" s="606" t="str">
        <f t="shared" si="32"/>
        <v>0 - 4</v>
      </c>
    </row>
    <row r="126" spans="1:34" ht="15.9" hidden="1">
      <c r="A126" s="223"/>
      <c r="B126" s="191" t="s">
        <v>368</v>
      </c>
      <c r="C126" s="867">
        <f>SUM(AVERAGE(C93:C100), AVERAGE(C101:C116))</f>
        <v>331.92537500000003</v>
      </c>
      <c r="D126" s="191"/>
      <c r="E126" s="867">
        <f>SUM(AVERAGE(E93:E100), AVERAGE(E101:E116))</f>
        <v>0.60868750000000005</v>
      </c>
      <c r="F126" s="191"/>
      <c r="G126" s="867">
        <f>SUM(AVERAGE(G93:G100), AVERAGE(G101:G116))</f>
        <v>0.40931250000000002</v>
      </c>
      <c r="H126" s="832"/>
      <c r="I126" s="867">
        <f>SUM(AVERAGE(I93:I100), AVERAGE(I101:I116))</f>
        <v>0.13037500000000002</v>
      </c>
      <c r="J126" s="832"/>
      <c r="K126" s="867">
        <f>SUM(AVERAGE(K93:K100), AVERAGE(K101:K116))</f>
        <v>1.1250000000000001E-3</v>
      </c>
      <c r="L126" s="191"/>
      <c r="M126" s="867">
        <f>SUM(AVERAGE(M93:M100), AVERAGE(M101:M116))</f>
        <v>0</v>
      </c>
      <c r="N126" s="191"/>
      <c r="O126" s="867">
        <f>SUM(AVERAGE(O93:O100), AVERAGE(O101:O116))</f>
        <v>52.808437499999997</v>
      </c>
      <c r="P126" s="191"/>
      <c r="Q126" s="867">
        <f>SUM(AVERAGE(Q93:Q100), AVERAGE(Q101:Q116))</f>
        <v>82.863062500000012</v>
      </c>
      <c r="R126" s="191"/>
      <c r="S126" s="867">
        <f>SUM(AVERAGE(S93:S100), AVERAGE(S101:S116))</f>
        <v>0.432</v>
      </c>
      <c r="T126" s="191"/>
      <c r="U126" s="867">
        <f>SUM(AVERAGE(U93:U100), AVERAGE(U101:U116))</f>
        <v>79.296125000000004</v>
      </c>
      <c r="V126" s="191"/>
      <c r="W126" s="867">
        <f>SUM(AVERAGE(W93:W100), AVERAGE(W101:W116))</f>
        <v>77.41062500000001</v>
      </c>
      <c r="X126" s="191"/>
      <c r="Y126" s="867">
        <f>SUM(AVERAGE(Y93:Y100), AVERAGE(Y101:Y116))</f>
        <v>0.38206250000000003</v>
      </c>
      <c r="Z126" s="191"/>
      <c r="AA126" s="191">
        <f t="shared" ref="AA126:AH126" si="33">SUM(AVERAGE(AA93:AA100), AVERAGE(AA101:AA116))</f>
        <v>3.1125E-2</v>
      </c>
      <c r="AB126" s="191">
        <f t="shared" si="33"/>
        <v>0.15575</v>
      </c>
      <c r="AC126" s="191">
        <f t="shared" si="33"/>
        <v>12.5503125</v>
      </c>
      <c r="AD126" s="191">
        <f t="shared" si="33"/>
        <v>0.96537500000000009</v>
      </c>
      <c r="AE126" s="191">
        <f t="shared" si="33"/>
        <v>0.200125</v>
      </c>
      <c r="AF126" s="191">
        <f t="shared" si="33"/>
        <v>1.1076875000000002</v>
      </c>
      <c r="AG126" s="608">
        <f t="shared" si="33"/>
        <v>33.544499999999999</v>
      </c>
      <c r="AH126" s="606">
        <f t="shared" si="33"/>
        <v>0.7139375</v>
      </c>
    </row>
    <row r="127" spans="1:34" ht="15.9" hidden="1">
      <c r="B127" s="191" t="s">
        <v>369</v>
      </c>
      <c r="C127" s="867" t="str">
        <f>ROUND( MIN(C93:C100)+MIN(C101:C116),0) &amp; " - " &amp; ROUND(MAX(C93:C100)+MAX(C101:C116),0)</f>
        <v>237 - 421</v>
      </c>
      <c r="D127" s="191"/>
      <c r="E127" s="867" t="str">
        <f>ROUND( MIN(E93:E100)+MIN(E101:E116),0) &amp; " - " &amp; ROUND(MAX(E93:E100)+MAX(E101:E116),0)</f>
        <v>0 - 3</v>
      </c>
      <c r="F127" s="191"/>
      <c r="G127" s="867" t="str">
        <f>ROUND( MIN(G93:G100)+MIN(G101:G116),0) &amp; " - " &amp; ROUND(MAX(G93:G100)+MAX(G101:G116),0)</f>
        <v>0 - 4</v>
      </c>
      <c r="H127" s="832"/>
      <c r="I127" s="867" t="str">
        <f>ROUND( MIN(I93:I100)+MIN(I101:I116),0) &amp; " - " &amp; ROUND(MAX(I93:I100)+MAX(I101:I116),0)</f>
        <v>0 - 1</v>
      </c>
      <c r="J127" s="832"/>
      <c r="K127" s="867" t="str">
        <f>ROUND( MIN(K93:K100)+MIN(K101:K116),0) &amp; " - " &amp; ROUND(MAX(K93:K100)+MAX(K101:K116),0)</f>
        <v>0 - 0</v>
      </c>
      <c r="L127" s="191"/>
      <c r="M127" s="867" t="str">
        <f>ROUND( MIN(M93:M100)+MIN(M101:M116),0) &amp; " - " &amp; ROUND(MAX(M93:M100)+MAX(M101:M116),0)</f>
        <v>0 - 0</v>
      </c>
      <c r="N127" s="191"/>
      <c r="O127" s="867" t="str">
        <f>ROUND( MIN(O93:O100)+MIN(O101:O116),0) &amp; " - " &amp; ROUND(MAX(O93:O100)+MAX(O101:O116),0)</f>
        <v>38 - 87</v>
      </c>
      <c r="P127" s="191"/>
      <c r="Q127" s="867" t="str">
        <f>ROUND( MIN(Q93:Q100)+MIN(Q101:Q116),0) &amp; " - " &amp; ROUND(MAX(Q93:Q100)+MAX(Q101:Q116),0)</f>
        <v>61 - 101</v>
      </c>
      <c r="R127" s="191"/>
      <c r="S127" s="867" t="str">
        <f>ROUND( MIN(S93:S100)+MIN(S101:S116),0) &amp; " - " &amp; ROUND(MAX(S93:S100)+MAX(S101:S116),0)</f>
        <v>0 - 1</v>
      </c>
      <c r="T127" s="191"/>
      <c r="U127" s="867" t="str">
        <f>ROUND( MIN(U93:U100)+MIN(U101:U116),0) &amp; " - " &amp; ROUND(MAX(U93:U100)+MAX(U101:U116),0)</f>
        <v>57 - 95</v>
      </c>
      <c r="V127" s="191"/>
      <c r="W127" s="867" t="str">
        <f>ROUND( MIN(W93:W100)+MIN(W101:W116),0) &amp; " - " &amp; ROUND(MAX(W93:W100)+MAX(W101:W116),0)</f>
        <v>56 - 94</v>
      </c>
      <c r="X127" s="191"/>
      <c r="Y127" s="867" t="str">
        <f>ROUND( MIN(Y93:Y100)+MIN(Y101:Y116),0) &amp; " - " &amp; ROUND(MAX(Y93:Y100)+MAX(Y101:Y116),0)</f>
        <v>0 - 2</v>
      </c>
      <c r="Z127" s="191"/>
      <c r="AA127" s="191" t="str">
        <f t="shared" ref="AA127:AH127" si="34">ROUND( MIN(AA93:AA100)+MIN(AA101:AA116),0) &amp; " - " &amp; ROUND(MAX(AA93:AA100)+MAX(AA101:AA116),0)</f>
        <v>0 - 0</v>
      </c>
      <c r="AB127" s="191" t="str">
        <f t="shared" si="34"/>
        <v>0 - 2</v>
      </c>
      <c r="AC127" s="191" t="str">
        <f t="shared" si="34"/>
        <v>9 - 20</v>
      </c>
      <c r="AD127" s="191" t="str">
        <f t="shared" si="34"/>
        <v>1 - 2</v>
      </c>
      <c r="AE127" s="191" t="str">
        <f t="shared" si="34"/>
        <v>0 - 1</v>
      </c>
      <c r="AF127" s="191" t="str">
        <f t="shared" si="34"/>
        <v>0 - 5</v>
      </c>
      <c r="AG127" s="608" t="str">
        <f t="shared" si="34"/>
        <v>1 - 122</v>
      </c>
      <c r="AH127" s="606" t="str">
        <f t="shared" si="34"/>
        <v>0 - 3</v>
      </c>
    </row>
    <row r="129" spans="1:28" ht="15.9">
      <c r="C129" s="868" t="s">
        <v>405</v>
      </c>
      <c r="E129" s="868" t="s">
        <v>396</v>
      </c>
    </row>
    <row r="130" spans="1:28" ht="15.9">
      <c r="A130" s="223"/>
      <c r="B130" s="179" t="s">
        <v>406</v>
      </c>
      <c r="C130" s="868">
        <f>MAX(C5:C100)</f>
        <v>252.65199999999999</v>
      </c>
      <c r="E130" s="868">
        <f>MAX(C101:C116)</f>
        <v>237.81100000000001</v>
      </c>
      <c r="G130" s="868">
        <f>SUM(C130:E130)</f>
        <v>490.46299999999997</v>
      </c>
    </row>
    <row r="131" spans="1:28" ht="15.9">
      <c r="B131" s="223" t="s">
        <v>407</v>
      </c>
      <c r="C131" s="868">
        <f>MIN(C5:C100)</f>
        <v>72.195999999999998</v>
      </c>
      <c r="E131" s="868">
        <f>MIN(C101:C116)</f>
        <v>124.72499999999999</v>
      </c>
      <c r="G131" s="868">
        <f>SUM(C131:E131)</f>
        <v>196.92099999999999</v>
      </c>
    </row>
    <row r="134" spans="1:28" ht="15.9">
      <c r="A134" s="223"/>
      <c r="C134" s="921"/>
      <c r="D134" s="223"/>
      <c r="E134" s="921"/>
      <c r="F134" s="223"/>
      <c r="G134" s="921"/>
      <c r="H134" s="834"/>
      <c r="I134" s="921"/>
      <c r="J134" s="834"/>
      <c r="K134" s="921"/>
      <c r="L134" s="223"/>
      <c r="M134" s="921"/>
      <c r="N134" s="223"/>
      <c r="O134" s="921"/>
      <c r="P134" s="223"/>
      <c r="Q134" s="921"/>
      <c r="R134" s="223"/>
      <c r="S134" s="921"/>
      <c r="T134" s="223"/>
      <c r="U134" s="921"/>
      <c r="V134" s="223"/>
      <c r="W134" s="921"/>
      <c r="X134" s="223"/>
      <c r="Y134" s="921"/>
      <c r="Z134" s="223"/>
      <c r="AA134" s="223"/>
      <c r="AB134" s="223"/>
    </row>
    <row r="135" spans="1:28" ht="15.9">
      <c r="B135" s="223"/>
    </row>
    <row r="137" spans="1:28" ht="15.9">
      <c r="C137" s="921"/>
      <c r="D137" s="223"/>
      <c r="E137" s="921"/>
      <c r="F137" s="223"/>
      <c r="G137" s="921"/>
      <c r="H137" s="834"/>
      <c r="I137" s="921"/>
      <c r="J137" s="834"/>
      <c r="K137" s="921"/>
      <c r="L137" s="223"/>
      <c r="M137" s="921"/>
      <c r="N137" s="223"/>
      <c r="O137" s="921"/>
      <c r="P137" s="223"/>
      <c r="Q137" s="921"/>
      <c r="R137" s="223"/>
      <c r="S137" s="921"/>
      <c r="T137" s="223"/>
      <c r="U137" s="921"/>
      <c r="V137" s="223"/>
      <c r="W137" s="921"/>
      <c r="X137" s="223"/>
      <c r="Y137" s="921"/>
      <c r="Z137" s="223"/>
      <c r="AA137" s="223"/>
      <c r="AB137" s="223"/>
    </row>
    <row r="138" spans="1:28" ht="15.9">
      <c r="A138" s="223"/>
      <c r="C138" s="921"/>
      <c r="D138" s="223"/>
      <c r="E138" s="921"/>
      <c r="F138" s="223"/>
      <c r="G138" s="921"/>
      <c r="H138" s="834"/>
      <c r="I138" s="921"/>
      <c r="J138" s="834"/>
      <c r="K138" s="921"/>
      <c r="L138" s="223"/>
      <c r="M138" s="921"/>
      <c r="N138" s="223"/>
      <c r="O138" s="921"/>
      <c r="P138" s="223"/>
      <c r="Q138" s="921"/>
      <c r="R138" s="223"/>
      <c r="S138" s="921"/>
      <c r="T138" s="223"/>
      <c r="U138" s="921"/>
      <c r="V138" s="223"/>
      <c r="W138" s="921"/>
      <c r="X138" s="223"/>
      <c r="Y138" s="921"/>
      <c r="Z138" s="223"/>
      <c r="AA138" s="223"/>
      <c r="AB138" s="223"/>
    </row>
    <row r="139" spans="1:28" ht="15.9">
      <c r="B139" s="223"/>
      <c r="C139" s="921"/>
      <c r="D139" s="223"/>
      <c r="E139" s="921"/>
      <c r="F139" s="223"/>
      <c r="G139" s="921"/>
      <c r="H139" s="834"/>
      <c r="I139" s="921"/>
      <c r="J139" s="834"/>
      <c r="K139" s="921"/>
      <c r="L139" s="223"/>
      <c r="M139" s="921"/>
      <c r="N139" s="223"/>
      <c r="O139" s="921"/>
      <c r="P139" s="223"/>
      <c r="Q139" s="921"/>
      <c r="R139" s="223"/>
      <c r="S139" s="921"/>
      <c r="T139" s="223"/>
      <c r="U139" s="921"/>
      <c r="V139" s="223"/>
      <c r="W139" s="921"/>
      <c r="X139" s="223"/>
      <c r="Y139" s="921"/>
      <c r="Z139" s="223"/>
      <c r="AA139" s="223"/>
      <c r="AB139" s="223"/>
    </row>
    <row r="140" spans="1:28" ht="15.9">
      <c r="C140" s="921"/>
      <c r="D140" s="223"/>
      <c r="E140" s="921"/>
      <c r="F140" s="223"/>
      <c r="G140" s="921"/>
      <c r="H140" s="834"/>
      <c r="I140" s="921"/>
      <c r="J140" s="834"/>
      <c r="K140" s="921"/>
      <c r="L140" s="223"/>
      <c r="M140" s="921"/>
      <c r="N140" s="223"/>
      <c r="O140" s="921"/>
      <c r="P140" s="223"/>
      <c r="Q140" s="921"/>
      <c r="R140" s="223"/>
      <c r="S140" s="921"/>
      <c r="T140" s="223"/>
      <c r="U140" s="921"/>
      <c r="V140" s="223"/>
      <c r="W140" s="921"/>
      <c r="X140" s="223"/>
      <c r="Y140" s="921"/>
      <c r="Z140" s="223"/>
      <c r="AA140" s="223"/>
      <c r="AB140" s="223"/>
    </row>
    <row r="142" spans="1:28" ht="15.9">
      <c r="B142" s="223"/>
    </row>
    <row r="143" spans="1:28" ht="15.9">
      <c r="B143" s="223"/>
    </row>
    <row r="144" spans="1:28" ht="15.9">
      <c r="B144" s="223"/>
    </row>
    <row r="145" spans="2:2" ht="15.9">
      <c r="B145" s="223"/>
    </row>
    <row r="187" spans="1:34" ht="15.9"/>
    <row r="189" spans="1:34" ht="15.9">
      <c r="C189" s="921"/>
      <c r="D189" s="223"/>
      <c r="E189" s="921"/>
      <c r="F189" s="223"/>
      <c r="G189" s="921"/>
      <c r="H189" s="834"/>
      <c r="I189" s="921"/>
      <c r="J189" s="834"/>
      <c r="K189" s="921"/>
      <c r="L189" s="223"/>
      <c r="M189" s="921"/>
      <c r="N189" s="223"/>
      <c r="O189" s="921"/>
      <c r="P189" s="223"/>
      <c r="Q189" s="921"/>
      <c r="R189" s="223"/>
      <c r="S189" s="921"/>
      <c r="T189" s="223"/>
      <c r="U189" s="921"/>
      <c r="V189" s="223"/>
      <c r="W189" s="921"/>
      <c r="X189" s="223"/>
      <c r="Y189" s="921"/>
      <c r="Z189" s="223"/>
      <c r="AA189" s="223"/>
      <c r="AB189" s="223"/>
      <c r="AC189" s="248"/>
    </row>
    <row r="190" spans="1:34" ht="15.9">
      <c r="AC190" s="212"/>
      <c r="AD190" s="248"/>
      <c r="AE190" s="248"/>
      <c r="AF190" s="248"/>
      <c r="AG190" s="248"/>
      <c r="AH190" s="607"/>
    </row>
    <row r="191" spans="1:34" ht="15.9">
      <c r="C191" s="921"/>
      <c r="D191" s="223"/>
      <c r="E191" s="921"/>
      <c r="F191" s="223"/>
      <c r="G191" s="921"/>
      <c r="H191" s="834"/>
      <c r="I191" s="921"/>
      <c r="J191" s="834"/>
      <c r="K191" s="921"/>
      <c r="L191" s="223"/>
      <c r="M191" s="921"/>
      <c r="N191" s="223"/>
      <c r="O191" s="921"/>
      <c r="P191" s="223"/>
      <c r="Q191" s="921"/>
      <c r="R191" s="223"/>
      <c r="S191" s="921"/>
      <c r="T191" s="223"/>
      <c r="U191" s="921"/>
      <c r="V191" s="223"/>
      <c r="W191" s="921"/>
      <c r="X191" s="223"/>
      <c r="Y191" s="921"/>
      <c r="Z191" s="223"/>
      <c r="AA191" s="223"/>
      <c r="AB191" s="223"/>
      <c r="AD191" s="212"/>
      <c r="AE191" s="212"/>
      <c r="AF191" s="212"/>
      <c r="AG191" s="212"/>
      <c r="AH191" s="605"/>
    </row>
    <row r="192" spans="1:34" s="248" customFormat="1" ht="15.9">
      <c r="A192" s="179"/>
      <c r="B192" s="179"/>
      <c r="C192" s="868"/>
      <c r="D192" s="179"/>
      <c r="E192" s="868"/>
      <c r="F192" s="179"/>
      <c r="G192" s="868"/>
      <c r="H192" s="833"/>
      <c r="I192" s="868"/>
      <c r="J192" s="833"/>
      <c r="K192" s="868"/>
      <c r="L192" s="179"/>
      <c r="M192" s="868"/>
      <c r="N192" s="179"/>
      <c r="O192" s="868"/>
      <c r="P192" s="179"/>
      <c r="Q192" s="868"/>
      <c r="R192" s="179"/>
      <c r="S192" s="868"/>
      <c r="T192" s="179"/>
      <c r="U192" s="868"/>
      <c r="V192" s="179"/>
      <c r="W192" s="868"/>
      <c r="X192" s="179"/>
      <c r="Y192" s="868"/>
      <c r="Z192" s="179"/>
      <c r="AA192" s="179"/>
      <c r="AB192" s="179"/>
      <c r="AC192" s="179"/>
      <c r="AD192" s="179"/>
      <c r="AE192" s="179"/>
      <c r="AF192" s="179"/>
      <c r="AG192" s="179"/>
      <c r="AH192" s="604"/>
    </row>
    <row r="193" spans="1:34" s="212" customFormat="1" ht="15.9">
      <c r="A193" s="223"/>
      <c r="B193" s="179"/>
      <c r="C193" s="921"/>
      <c r="D193" s="223"/>
      <c r="E193" s="921"/>
      <c r="F193" s="223"/>
      <c r="G193" s="921"/>
      <c r="H193" s="834"/>
      <c r="I193" s="921"/>
      <c r="J193" s="834"/>
      <c r="K193" s="921"/>
      <c r="L193" s="223"/>
      <c r="M193" s="921"/>
      <c r="N193" s="223"/>
      <c r="O193" s="921"/>
      <c r="P193" s="223"/>
      <c r="Q193" s="921"/>
      <c r="R193" s="223"/>
      <c r="S193" s="921"/>
      <c r="T193" s="223"/>
      <c r="U193" s="921"/>
      <c r="V193" s="223"/>
      <c r="W193" s="921"/>
      <c r="X193" s="223"/>
      <c r="Y193" s="921"/>
      <c r="Z193" s="223"/>
      <c r="AA193" s="223"/>
      <c r="AB193" s="223"/>
      <c r="AC193" s="179"/>
      <c r="AD193" s="179"/>
      <c r="AE193" s="179"/>
      <c r="AF193" s="179"/>
      <c r="AG193" s="179"/>
      <c r="AH193" s="604"/>
    </row>
    <row r="194" spans="1:34" ht="15.9">
      <c r="B194" s="223"/>
    </row>
    <row r="195" spans="1:34" ht="15.9">
      <c r="C195" s="921"/>
      <c r="D195" s="223"/>
      <c r="E195" s="921"/>
      <c r="F195" s="223"/>
      <c r="G195" s="921"/>
      <c r="H195" s="834"/>
      <c r="I195" s="921"/>
      <c r="J195" s="834"/>
      <c r="K195" s="921"/>
      <c r="L195" s="223"/>
      <c r="M195" s="921"/>
      <c r="N195" s="223"/>
      <c r="O195" s="921"/>
      <c r="P195" s="223"/>
      <c r="Q195" s="921"/>
      <c r="R195" s="223"/>
      <c r="S195" s="921"/>
      <c r="T195" s="223"/>
      <c r="U195" s="921"/>
      <c r="V195" s="223"/>
      <c r="W195" s="921"/>
      <c r="X195" s="223"/>
      <c r="Y195" s="921"/>
      <c r="Z195" s="223"/>
      <c r="AA195" s="223"/>
      <c r="AB195" s="223"/>
    </row>
    <row r="196" spans="1:34" ht="15.9">
      <c r="B196" s="223"/>
    </row>
    <row r="198" spans="1:34" ht="15.9">
      <c r="B198" s="223"/>
    </row>
    <row r="200" spans="1:34" ht="15.9">
      <c r="B200" s="223"/>
    </row>
  </sheetData>
  <autoFilter ref="A4:AL116" xr:uid="{F44039BF-1609-4628-9E92-41A2B2AAE667}">
    <sortState xmlns:xlrd2="http://schemas.microsoft.com/office/spreadsheetml/2017/richdata2" ref="A6:AL116">
      <sortCondition ref="A4:A116"/>
    </sortState>
  </autoFilter>
  <mergeCells count="4">
    <mergeCell ref="B118:AH118"/>
    <mergeCell ref="A1:AH1"/>
    <mergeCell ref="A2:AH2"/>
    <mergeCell ref="A3:AH3"/>
  </mergeCells>
  <pageMargins left="0.7" right="0.7" top="0.75" bottom="0.75" header="0.3" footer="0.3"/>
  <pageSetup scale="43" fitToHeight="0" orientation="landscape" r:id="rId1"/>
  <headerFooter>
    <oddHeader xml:space="preserve">&amp;R&amp;14 2024 Nutrition Information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F89D6-025F-4822-8217-7774704508E3}">
  <sheetPr>
    <pageSetUpPr fitToPage="1"/>
  </sheetPr>
  <dimension ref="A1:JO109"/>
  <sheetViews>
    <sheetView topLeftCell="B1" zoomScale="90" zoomScaleNormal="90" zoomScalePageLayoutView="70" workbookViewId="0">
      <pane xSplit="1" ySplit="3" topLeftCell="C45" activePane="bottomRight" state="frozen"/>
      <selection pane="topRight" activeCell="C1" sqref="C1"/>
      <selection pane="bottomLeft" activeCell="B4" sqref="B4"/>
      <selection pane="bottomRight" activeCell="W46" sqref="W46"/>
    </sheetView>
    <sheetView topLeftCell="A71" zoomScale="80" zoomScaleNormal="80" workbookViewId="1">
      <selection activeCell="O93" sqref="O93"/>
    </sheetView>
    <sheetView workbookViewId="2">
      <selection activeCell="F4" sqref="F4"/>
    </sheetView>
  </sheetViews>
  <sheetFormatPr defaultColWidth="9.15234375" defaultRowHeight="12.9"/>
  <cols>
    <col min="1" max="1" width="9.15234375" style="373"/>
    <col min="2" max="2" width="46.3828125" style="373" customWidth="1"/>
    <col min="3" max="3" width="14.69140625" style="549" customWidth="1"/>
    <col min="4" max="4" width="14.69140625" style="844" customWidth="1"/>
    <col min="5" max="6" width="11" style="549" customWidth="1"/>
    <col min="7" max="7" width="9.3828125" style="549" bestFit="1" customWidth="1"/>
    <col min="8" max="8" width="9.3828125" style="549" customWidth="1"/>
    <col min="9" max="10" width="12.3046875" style="549" customWidth="1"/>
    <col min="11" max="11" width="9.3828125" style="549" bestFit="1" customWidth="1"/>
    <col min="12" max="12" width="9.3828125" style="549" customWidth="1"/>
    <col min="13" max="14" width="14.3828125" style="549" customWidth="1"/>
    <col min="15" max="15" width="9.3828125" style="549" bestFit="1" customWidth="1"/>
    <col min="16" max="16" width="9.3828125" style="549" customWidth="1"/>
    <col min="17" max="18" width="20" style="549" customWidth="1"/>
    <col min="19" max="19" width="9.3828125" style="549" bestFit="1" customWidth="1"/>
    <col min="20" max="20" width="9.3828125" style="549" customWidth="1"/>
    <col min="21" max="21" width="9.3828125" style="549" bestFit="1" customWidth="1"/>
    <col min="22" max="22" width="9.3828125" style="549" customWidth="1"/>
    <col min="23" max="23" width="9.3828125" style="549" bestFit="1" customWidth="1"/>
    <col min="24" max="24" width="9.3828125" style="549" customWidth="1"/>
    <col min="25" max="25" width="9.3828125" style="549" bestFit="1" customWidth="1"/>
    <col min="26" max="26" width="9.3828125" style="549" customWidth="1"/>
    <col min="27" max="27" width="9.3828125" style="373" bestFit="1" customWidth="1"/>
    <col min="28" max="28" width="12.15234375" style="373" customWidth="1"/>
    <col min="29" max="29" width="11" style="373" customWidth="1"/>
    <col min="30" max="32" width="10.84375" style="373" bestFit="1" customWidth="1"/>
    <col min="33" max="33" width="13.84375" style="373" customWidth="1"/>
    <col min="34" max="34" width="12.69140625" style="373" customWidth="1"/>
    <col min="35" max="16384" width="9.15234375" style="373"/>
  </cols>
  <sheetData>
    <row r="1" spans="1:275" s="465" customFormat="1" ht="22.5" customHeight="1">
      <c r="A1" s="1250" t="s">
        <v>426</v>
      </c>
      <c r="B1" s="1250"/>
      <c r="C1" s="1250"/>
      <c r="D1" s="1250"/>
      <c r="E1" s="1250"/>
      <c r="F1" s="1250"/>
      <c r="G1" s="1250"/>
      <c r="H1" s="1250"/>
      <c r="I1" s="1250"/>
      <c r="J1" s="1250"/>
      <c r="K1" s="1250"/>
      <c r="L1" s="1250"/>
      <c r="M1" s="1250"/>
      <c r="N1" s="1250"/>
      <c r="O1" s="1250"/>
      <c r="P1" s="1250"/>
      <c r="Q1" s="1250"/>
      <c r="R1" s="1250"/>
      <c r="S1" s="1250"/>
      <c r="T1" s="1250"/>
      <c r="U1" s="1250"/>
      <c r="V1" s="1250"/>
      <c r="W1" s="1250"/>
      <c r="X1" s="1250"/>
      <c r="Y1" s="1250"/>
      <c r="Z1" s="1250"/>
      <c r="AA1" s="1250"/>
      <c r="AB1" s="1250"/>
      <c r="AC1" s="1250"/>
      <c r="AD1" s="1250"/>
      <c r="AE1" s="1250"/>
      <c r="AF1" s="1250"/>
      <c r="AG1" s="1250"/>
      <c r="AH1" s="1250"/>
    </row>
    <row r="2" spans="1:275" ht="18.899999999999999" thickBot="1">
      <c r="A2" s="1261" t="s">
        <v>433</v>
      </c>
      <c r="B2" s="1262"/>
      <c r="C2" s="1262"/>
      <c r="D2" s="1262"/>
      <c r="E2" s="1262"/>
      <c r="F2" s="1262"/>
      <c r="G2" s="1262"/>
      <c r="H2" s="1262"/>
      <c r="I2" s="1262"/>
      <c r="J2" s="1262"/>
      <c r="K2" s="1262"/>
      <c r="L2" s="1262"/>
      <c r="M2" s="1262"/>
      <c r="N2" s="1262"/>
      <c r="O2" s="1262"/>
      <c r="P2" s="1262"/>
      <c r="Q2" s="1262"/>
      <c r="R2" s="1262"/>
      <c r="S2" s="1262"/>
      <c r="T2" s="1262"/>
      <c r="U2" s="1262"/>
      <c r="V2" s="1262"/>
      <c r="W2" s="1262"/>
      <c r="X2" s="1262"/>
      <c r="Y2" s="1262"/>
      <c r="Z2" s="1262"/>
      <c r="AA2" s="1262"/>
      <c r="AB2" s="1262"/>
      <c r="AC2" s="1262"/>
      <c r="AD2" s="1262"/>
      <c r="AE2" s="1262"/>
      <c r="AF2" s="1262"/>
      <c r="AG2" s="1262"/>
      <c r="AH2" s="1262"/>
    </row>
    <row r="3" spans="1:275" ht="45" customHeight="1" thickBot="1">
      <c r="A3" s="490"/>
      <c r="B3" s="489" t="s">
        <v>3</v>
      </c>
      <c r="C3" s="964" t="s">
        <v>4</v>
      </c>
      <c r="D3" s="499" t="s">
        <v>4</v>
      </c>
      <c r="E3" s="964" t="s">
        <v>5</v>
      </c>
      <c r="F3" s="499" t="s">
        <v>5</v>
      </c>
      <c r="G3" s="964" t="s">
        <v>6</v>
      </c>
      <c r="H3" s="499" t="s">
        <v>6</v>
      </c>
      <c r="I3" s="964" t="s">
        <v>7</v>
      </c>
      <c r="J3" s="499" t="s">
        <v>7</v>
      </c>
      <c r="K3" s="964" t="s">
        <v>8</v>
      </c>
      <c r="L3" s="499" t="s">
        <v>8</v>
      </c>
      <c r="M3" s="964" t="s">
        <v>9</v>
      </c>
      <c r="N3" s="499" t="s">
        <v>9</v>
      </c>
      <c r="O3" s="964" t="s">
        <v>10</v>
      </c>
      <c r="P3" s="499" t="s">
        <v>10</v>
      </c>
      <c r="Q3" s="964" t="s">
        <v>11</v>
      </c>
      <c r="R3" s="499" t="s">
        <v>11</v>
      </c>
      <c r="S3" s="964" t="s">
        <v>12</v>
      </c>
      <c r="T3" s="499" t="s">
        <v>12</v>
      </c>
      <c r="U3" s="964" t="s">
        <v>13</v>
      </c>
      <c r="V3" s="499" t="s">
        <v>13</v>
      </c>
      <c r="W3" s="964" t="s">
        <v>14</v>
      </c>
      <c r="X3" s="499" t="s">
        <v>14</v>
      </c>
      <c r="Y3" s="964" t="s">
        <v>15</v>
      </c>
      <c r="Z3" s="499" t="s">
        <v>15</v>
      </c>
      <c r="AA3" s="487" t="s">
        <v>16</v>
      </c>
      <c r="AB3" s="487" t="s">
        <v>17</v>
      </c>
      <c r="AC3" s="487" t="s">
        <v>18</v>
      </c>
      <c r="AD3" s="487" t="s">
        <v>19</v>
      </c>
      <c r="AE3" s="487" t="s">
        <v>20</v>
      </c>
      <c r="AF3" s="487" t="s">
        <v>21</v>
      </c>
      <c r="AG3" s="487" t="s">
        <v>22</v>
      </c>
      <c r="AH3" s="487" t="s">
        <v>23</v>
      </c>
      <c r="AI3" s="465"/>
      <c r="AJ3" s="465"/>
      <c r="AK3" s="465"/>
      <c r="AL3" s="465"/>
      <c r="AM3" s="465"/>
      <c r="AN3" s="465"/>
      <c r="AO3" s="465"/>
      <c r="AP3" s="465"/>
      <c r="AQ3" s="465"/>
      <c r="AR3" s="465"/>
      <c r="AS3" s="465"/>
      <c r="AT3" s="465"/>
      <c r="AU3" s="465"/>
      <c r="AV3" s="465"/>
      <c r="AW3" s="465"/>
      <c r="AX3" s="465"/>
      <c r="AY3" s="465"/>
      <c r="AZ3" s="465"/>
      <c r="BA3" s="465"/>
      <c r="BB3" s="465"/>
      <c r="BC3" s="465"/>
      <c r="BD3" s="465"/>
      <c r="BE3" s="465"/>
      <c r="BF3" s="465"/>
      <c r="BG3" s="465"/>
      <c r="BH3" s="465"/>
      <c r="BI3" s="465"/>
      <c r="BJ3" s="465"/>
      <c r="BK3" s="465"/>
      <c r="BL3" s="465"/>
      <c r="BM3" s="465"/>
      <c r="BN3" s="465"/>
      <c r="BO3" s="465"/>
      <c r="BP3" s="465"/>
      <c r="BQ3" s="465"/>
      <c r="BR3" s="465"/>
      <c r="BS3" s="465"/>
      <c r="BT3" s="465"/>
      <c r="BU3" s="465"/>
      <c r="BV3" s="465"/>
      <c r="BW3" s="465"/>
      <c r="BX3" s="465"/>
      <c r="BY3" s="465"/>
      <c r="BZ3" s="465"/>
      <c r="CA3" s="465"/>
      <c r="CB3" s="465"/>
      <c r="CC3" s="465"/>
      <c r="CD3" s="465"/>
      <c r="CE3" s="465"/>
      <c r="CF3" s="465"/>
      <c r="CG3" s="465"/>
      <c r="CH3" s="465"/>
      <c r="CI3" s="465"/>
      <c r="CJ3" s="465"/>
      <c r="CK3" s="465"/>
      <c r="CL3" s="465"/>
      <c r="CM3" s="465"/>
      <c r="CN3" s="465"/>
      <c r="CO3" s="465"/>
      <c r="CP3" s="465"/>
      <c r="CQ3" s="465"/>
      <c r="CR3" s="465"/>
      <c r="CS3" s="465"/>
      <c r="CT3" s="465"/>
      <c r="CU3" s="465"/>
      <c r="CV3" s="465"/>
      <c r="CW3" s="465"/>
      <c r="CX3" s="465"/>
      <c r="CY3" s="465"/>
      <c r="CZ3" s="465"/>
      <c r="DA3" s="465"/>
      <c r="DB3" s="465"/>
      <c r="DC3" s="465"/>
      <c r="DD3" s="465"/>
      <c r="DE3" s="465"/>
      <c r="DF3" s="465"/>
      <c r="DG3" s="465"/>
      <c r="DH3" s="465"/>
      <c r="DI3" s="465"/>
      <c r="DJ3" s="465"/>
      <c r="DK3" s="465"/>
      <c r="DL3" s="465"/>
      <c r="DM3" s="465"/>
      <c r="DN3" s="465"/>
      <c r="DO3" s="465"/>
      <c r="DP3" s="465"/>
      <c r="DQ3" s="465"/>
      <c r="DR3" s="465"/>
      <c r="DS3" s="465"/>
      <c r="DT3" s="465"/>
      <c r="DU3" s="465"/>
      <c r="DV3" s="465"/>
      <c r="DW3" s="465"/>
      <c r="DX3" s="465"/>
      <c r="DY3" s="465"/>
      <c r="DZ3" s="465"/>
      <c r="EA3" s="465"/>
      <c r="EB3" s="465"/>
      <c r="EC3" s="465"/>
      <c r="ED3" s="465"/>
      <c r="EE3" s="465"/>
      <c r="EF3" s="465"/>
      <c r="EG3" s="465"/>
      <c r="EH3" s="465"/>
      <c r="EI3" s="465"/>
      <c r="EJ3" s="465"/>
      <c r="EK3" s="465"/>
      <c r="EL3" s="465"/>
      <c r="EM3" s="465"/>
      <c r="EN3" s="465"/>
      <c r="EO3" s="465"/>
      <c r="EP3" s="465"/>
      <c r="EQ3" s="465"/>
      <c r="ER3" s="465"/>
      <c r="ES3" s="465"/>
      <c r="ET3" s="465"/>
      <c r="EU3" s="465"/>
      <c r="EV3" s="465"/>
      <c r="EW3" s="465"/>
      <c r="EX3" s="465"/>
      <c r="EY3" s="465"/>
      <c r="EZ3" s="465"/>
      <c r="FA3" s="465"/>
      <c r="FB3" s="465"/>
      <c r="FC3" s="465"/>
      <c r="FD3" s="465"/>
      <c r="FE3" s="465"/>
      <c r="FF3" s="465"/>
      <c r="FG3" s="465"/>
      <c r="FH3" s="465"/>
      <c r="FI3" s="465"/>
      <c r="FJ3" s="465"/>
      <c r="FK3" s="465"/>
      <c r="FL3" s="465"/>
      <c r="FM3" s="465"/>
      <c r="FN3" s="465"/>
      <c r="FO3" s="465"/>
      <c r="FP3" s="465"/>
      <c r="FQ3" s="465"/>
      <c r="FR3" s="465"/>
      <c r="FS3" s="465"/>
      <c r="FT3" s="465"/>
      <c r="FU3" s="465"/>
      <c r="FV3" s="465"/>
      <c r="FW3" s="465"/>
      <c r="FX3" s="465"/>
      <c r="FY3" s="465"/>
      <c r="FZ3" s="465"/>
      <c r="GA3" s="465"/>
      <c r="GB3" s="465"/>
      <c r="GC3" s="465"/>
      <c r="GD3" s="465"/>
      <c r="GE3" s="465"/>
      <c r="GF3" s="465"/>
      <c r="GG3" s="465"/>
      <c r="GH3" s="465"/>
      <c r="GI3" s="465"/>
      <c r="GJ3" s="465"/>
      <c r="GK3" s="465"/>
      <c r="GL3" s="465"/>
      <c r="GM3" s="465"/>
      <c r="GN3" s="465"/>
      <c r="GO3" s="465"/>
      <c r="GP3" s="465"/>
      <c r="GQ3" s="465"/>
      <c r="GR3" s="465"/>
      <c r="GS3" s="465"/>
      <c r="GT3" s="465"/>
      <c r="GU3" s="465"/>
      <c r="GV3" s="465"/>
      <c r="GW3" s="465"/>
      <c r="GX3" s="465"/>
      <c r="GY3" s="465"/>
      <c r="GZ3" s="465"/>
      <c r="HA3" s="465"/>
      <c r="HB3" s="465"/>
      <c r="HC3" s="465"/>
      <c r="HD3" s="465"/>
      <c r="HE3" s="465"/>
      <c r="HF3" s="465"/>
      <c r="HG3" s="465"/>
      <c r="HH3" s="465"/>
      <c r="HI3" s="465"/>
      <c r="HJ3" s="465"/>
      <c r="HK3" s="465"/>
      <c r="HL3" s="465"/>
      <c r="HM3" s="465"/>
      <c r="HN3" s="465"/>
      <c r="HO3" s="465"/>
      <c r="HP3" s="465"/>
      <c r="HQ3" s="465"/>
      <c r="HR3" s="465"/>
      <c r="HS3" s="465"/>
      <c r="HT3" s="465"/>
      <c r="HU3" s="465"/>
      <c r="HV3" s="465"/>
      <c r="HW3" s="465"/>
      <c r="HX3" s="465"/>
      <c r="HY3" s="465"/>
      <c r="HZ3" s="465"/>
      <c r="IA3" s="465"/>
      <c r="IB3" s="465"/>
      <c r="IC3" s="465"/>
      <c r="ID3" s="465"/>
      <c r="IE3" s="465"/>
      <c r="IF3" s="465"/>
      <c r="IG3" s="465"/>
      <c r="IH3" s="465"/>
      <c r="II3" s="465"/>
      <c r="IJ3" s="465"/>
      <c r="IK3" s="465"/>
      <c r="IL3" s="465"/>
      <c r="IM3" s="465"/>
      <c r="IN3" s="465"/>
      <c r="IO3" s="465"/>
      <c r="IP3" s="465"/>
      <c r="IQ3" s="465"/>
      <c r="IR3" s="465"/>
      <c r="IS3" s="465"/>
      <c r="IT3" s="465"/>
      <c r="IU3" s="465"/>
      <c r="IV3" s="465"/>
      <c r="IW3" s="465"/>
      <c r="IX3" s="465"/>
      <c r="IY3" s="465"/>
      <c r="IZ3" s="465"/>
      <c r="JA3" s="465"/>
      <c r="JB3" s="465"/>
      <c r="JC3" s="465"/>
      <c r="JD3" s="465"/>
      <c r="JE3" s="465"/>
      <c r="JF3" s="465"/>
      <c r="JG3" s="465"/>
      <c r="JH3" s="465"/>
      <c r="JI3" s="465"/>
      <c r="JJ3" s="465"/>
      <c r="JK3" s="465"/>
      <c r="JL3" s="465"/>
      <c r="JM3" s="465"/>
      <c r="JN3" s="465"/>
      <c r="JO3" s="465"/>
    </row>
    <row r="4" spans="1:275" s="470" customFormat="1" ht="18.75" customHeight="1" thickBot="1">
      <c r="A4" s="485" t="s">
        <v>296</v>
      </c>
      <c r="B4" s="485" t="s">
        <v>25</v>
      </c>
      <c r="C4" s="543">
        <v>323.70999999999998</v>
      </c>
      <c r="D4" s="841">
        <f>MROUND(C4,10)</f>
        <v>320</v>
      </c>
      <c r="E4" s="543">
        <v>0</v>
      </c>
      <c r="F4" s="841">
        <f>IF(E4&lt;5,0,(IF(E4&gt;50,MROUND(E4,10),MROUND(E4,5))))</f>
        <v>0</v>
      </c>
      <c r="G4" s="543">
        <v>0</v>
      </c>
      <c r="H4" s="835">
        <f>IF(G4&lt;0.5,0,IF(G4&gt;5,MROUND(G4,1),MROUND(G4,0.5)))</f>
        <v>0</v>
      </c>
      <c r="I4" s="576">
        <v>0</v>
      </c>
      <c r="J4" s="835">
        <f>IF(I4&lt;0.5,0,IF(I4&gt;5,MROUND(I4,1),MROUND(I4,0.5)))</f>
        <v>0</v>
      </c>
      <c r="K4" s="543">
        <v>0</v>
      </c>
      <c r="L4" s="835">
        <f>IF(K4&lt;0.5,0,IF(K4&gt;5,MROUND(K4,1),MROUND(K4,0.5)))</f>
        <v>0</v>
      </c>
      <c r="M4" s="544">
        <v>0</v>
      </c>
      <c r="N4" s="1005">
        <f>IF(M4&lt;2,0,IF(M4&gt;5,MROUND(M4,5),"less than 5 mg"))</f>
        <v>0</v>
      </c>
      <c r="O4" s="543">
        <v>52.14</v>
      </c>
      <c r="P4" s="841">
        <f>IF(O4&lt;5,0,IF(O4&gt;140,MROUND(O4,10),MROUND(O4,5)))</f>
        <v>50</v>
      </c>
      <c r="Q4" s="543">
        <v>81.944999999999993</v>
      </c>
      <c r="R4" s="841">
        <f>IF(Q4&lt;0.5,0,IF(Q4&gt;1,MROUND(Q4,1),"less than 1 g"))</f>
        <v>82</v>
      </c>
      <c r="S4" s="543">
        <v>2.7E-2</v>
      </c>
      <c r="T4" s="841">
        <f>IF(S4&lt;0.5,0,IF(S4&gt;1,MROUND(S4,1),"less than 1 g"))</f>
        <v>0</v>
      </c>
      <c r="U4" s="543">
        <v>79.424000000000007</v>
      </c>
      <c r="V4" s="841">
        <f>IF(U4&lt;0.5,0,IF(U4&gt;1,MROUND(U4,1),"less than 1 g"))</f>
        <v>79</v>
      </c>
      <c r="W4" s="543">
        <v>76.822000000000003</v>
      </c>
      <c r="X4" s="841">
        <f>IF(W4&lt;0.5,0,IF(W4&gt;1,MROUND(W4,1),"less than 1 g"))</f>
        <v>77</v>
      </c>
      <c r="Y4" s="543">
        <v>0</v>
      </c>
      <c r="Z4" s="841">
        <f>IF(Y4&lt;0.5,0,IF(Y4&gt;1,MROUND(Y4,1),"less than 1 g"))</f>
        <v>0</v>
      </c>
      <c r="AA4" s="515">
        <v>0</v>
      </c>
      <c r="AB4" s="576">
        <v>0</v>
      </c>
      <c r="AC4" s="595">
        <v>10.638</v>
      </c>
      <c r="AD4" s="576">
        <v>0.81799999999999995</v>
      </c>
      <c r="AE4" s="515">
        <v>4.3999999999999997E-2</v>
      </c>
      <c r="AF4" s="515">
        <v>0.24399999999999999</v>
      </c>
      <c r="AG4" s="515">
        <v>0.90400000000000003</v>
      </c>
      <c r="AH4" s="515">
        <v>1.9E-2</v>
      </c>
    </row>
    <row r="5" spans="1:275" s="574" customFormat="1" ht="15" customHeight="1" thickBot="1">
      <c r="A5" s="485" t="s">
        <v>296</v>
      </c>
      <c r="B5" s="484" t="s">
        <v>26</v>
      </c>
      <c r="C5" s="713">
        <v>385.46800000000002</v>
      </c>
      <c r="D5" s="841">
        <f t="shared" ref="D5:D60" si="0">MROUND(C5,10)</f>
        <v>390</v>
      </c>
      <c r="E5" s="713">
        <v>0.93500000000000005</v>
      </c>
      <c r="F5" s="841">
        <f t="shared" ref="F5:F60" si="1">IF(E5&lt;5,0,(IF(E5&gt;50,MROUND(E5,10),MROUND(E5,5))))</f>
        <v>0</v>
      </c>
      <c r="G5" s="713">
        <v>0.104</v>
      </c>
      <c r="H5" s="835">
        <f t="shared" ref="H5:H60" si="2">IF(G5&lt;0.5,0,IF(G5&gt;5,MROUND(G5,1),MROUND(G5,0.5)))</f>
        <v>0</v>
      </c>
      <c r="I5" s="714">
        <v>8.6999999999999994E-2</v>
      </c>
      <c r="J5" s="835">
        <f t="shared" ref="J5:J60" si="3">IF(I5&lt;0.5,0,IF(I5&gt;5,MROUND(I5,1),MROUND(I5,0.5)))</f>
        <v>0</v>
      </c>
      <c r="K5" s="713">
        <v>3.0000000000000001E-3</v>
      </c>
      <c r="L5" s="835">
        <f t="shared" ref="L5:L60" si="4">IF(K5&lt;0.5,0,IF(K5&gt;5,MROUND(K5,1),MROUND(K5,0.5)))</f>
        <v>0</v>
      </c>
      <c r="M5" s="713">
        <v>0</v>
      </c>
      <c r="N5" s="1005">
        <f t="shared" ref="N5:N60" si="5">IF(M5&lt;2,0,IF(M5&gt;5,MROUND(M5,5),"less than 5 mg"))</f>
        <v>0</v>
      </c>
      <c r="O5" s="713">
        <v>44.313000000000002</v>
      </c>
      <c r="P5" s="841">
        <f t="shared" ref="P5:P60" si="6">IF(O5&lt;5,0,IF(O5&gt;140,MROUND(O5,10),MROUND(O5,5)))</f>
        <v>45</v>
      </c>
      <c r="Q5" s="713">
        <v>97.552000000000007</v>
      </c>
      <c r="R5" s="841">
        <f t="shared" ref="R5:R60" si="7">IF(Q5&lt;0.5,0,IF(Q5&gt;1,MROUND(Q5,1),"less than 1 g"))</f>
        <v>98</v>
      </c>
      <c r="S5" s="713">
        <v>0.41899999999999998</v>
      </c>
      <c r="T5" s="841">
        <f t="shared" ref="T5:T60" si="8">IF(S5&lt;0.5,0,IF(S5&gt;1,MROUND(S5,1),"less than 1 g"))</f>
        <v>0</v>
      </c>
      <c r="U5" s="713">
        <v>93.16</v>
      </c>
      <c r="V5" s="841">
        <f t="shared" ref="V5:V60" si="9">IF(U5&lt;0.5,0,IF(U5&gt;1,MROUND(U5,1),"less than 1 g"))</f>
        <v>93</v>
      </c>
      <c r="W5" s="713">
        <v>90.391999999999996</v>
      </c>
      <c r="X5" s="841">
        <f t="shared" ref="X5:X60" si="10">IF(W5&lt;0.5,0,IF(W5&gt;1,MROUND(W5,1),"less than 1 g"))</f>
        <v>90</v>
      </c>
      <c r="Y5" s="713">
        <v>0.15</v>
      </c>
      <c r="Z5" s="841">
        <f t="shared" ref="Z5:Z60" si="11">IF(Y5&lt;0.5,0,IF(Y5&gt;1,MROUND(Y5,1),"less than 1 g"))</f>
        <v>0</v>
      </c>
      <c r="AA5" s="826">
        <v>0</v>
      </c>
      <c r="AB5" s="714">
        <v>0</v>
      </c>
      <c r="AC5" s="714">
        <v>9.9149999999999991</v>
      </c>
      <c r="AD5" s="715">
        <v>0.76300000000000001</v>
      </c>
      <c r="AE5" s="716">
        <v>7.0000000000000007E-2</v>
      </c>
      <c r="AF5" s="716">
        <v>0.41699999999999998</v>
      </c>
      <c r="AG5" s="716">
        <v>75.593999999999994</v>
      </c>
      <c r="AH5" s="719">
        <v>1.6080000000000001</v>
      </c>
      <c r="AI5" s="465"/>
      <c r="AJ5" s="465"/>
      <c r="AK5" s="465"/>
      <c r="AL5" s="465"/>
      <c r="AM5" s="465"/>
      <c r="AN5" s="465"/>
      <c r="AO5" s="465"/>
      <c r="AP5" s="465"/>
      <c r="AQ5" s="465"/>
      <c r="AR5" s="465"/>
      <c r="AS5" s="465"/>
      <c r="AT5" s="465"/>
      <c r="AU5" s="465"/>
      <c r="AV5" s="465"/>
      <c r="AW5" s="465"/>
      <c r="AX5" s="465"/>
      <c r="AY5" s="465"/>
      <c r="AZ5" s="465"/>
      <c r="BA5" s="465"/>
      <c r="BB5" s="465"/>
      <c r="BC5" s="465"/>
      <c r="BD5" s="465"/>
      <c r="BE5" s="465"/>
      <c r="BF5" s="465"/>
      <c r="BG5" s="465"/>
      <c r="BH5" s="465"/>
      <c r="BI5" s="465"/>
      <c r="BJ5" s="465"/>
      <c r="BK5" s="465"/>
      <c r="BL5" s="465"/>
      <c r="BM5" s="465"/>
      <c r="BN5" s="465"/>
      <c r="BO5" s="465"/>
      <c r="BP5" s="465"/>
      <c r="BQ5" s="465"/>
      <c r="BR5" s="465"/>
      <c r="BS5" s="465"/>
      <c r="BT5" s="465"/>
      <c r="BU5" s="465"/>
      <c r="BV5" s="465"/>
      <c r="BW5" s="465"/>
      <c r="BX5" s="465"/>
      <c r="BY5" s="465"/>
      <c r="BZ5" s="465"/>
      <c r="CA5" s="465"/>
      <c r="CB5" s="465"/>
      <c r="CC5" s="465"/>
      <c r="CD5" s="465"/>
      <c r="CE5" s="465"/>
      <c r="CF5" s="465"/>
      <c r="CG5" s="465"/>
      <c r="CH5" s="465"/>
      <c r="CI5" s="465"/>
      <c r="CJ5" s="465"/>
      <c r="CK5" s="465"/>
      <c r="CL5" s="465"/>
      <c r="CM5" s="465"/>
      <c r="CN5" s="465"/>
      <c r="CO5" s="465"/>
      <c r="CP5" s="465"/>
      <c r="CQ5" s="465"/>
      <c r="CR5" s="465"/>
      <c r="CS5" s="465"/>
      <c r="CT5" s="465"/>
      <c r="CU5" s="465"/>
      <c r="CV5" s="465"/>
      <c r="CW5" s="465"/>
      <c r="CX5" s="465"/>
      <c r="CY5" s="465"/>
      <c r="CZ5" s="465"/>
      <c r="DA5" s="465"/>
      <c r="DB5" s="465"/>
      <c r="DC5" s="465"/>
      <c r="DD5" s="465"/>
      <c r="DE5" s="465"/>
      <c r="DF5" s="465"/>
      <c r="DG5" s="465"/>
      <c r="DH5" s="465"/>
      <c r="DI5" s="465"/>
      <c r="DJ5" s="465"/>
      <c r="DK5" s="465"/>
      <c r="DL5" s="465"/>
      <c r="DM5" s="465"/>
      <c r="DN5" s="465"/>
      <c r="DO5" s="465"/>
      <c r="DP5" s="465"/>
      <c r="DQ5" s="465"/>
      <c r="DR5" s="465"/>
      <c r="DS5" s="465"/>
      <c r="DT5" s="465"/>
      <c r="DU5" s="465"/>
      <c r="DV5" s="465"/>
      <c r="DW5" s="465"/>
      <c r="DX5" s="465"/>
      <c r="DY5" s="465"/>
      <c r="DZ5" s="465"/>
      <c r="EA5" s="465"/>
      <c r="EB5" s="465"/>
      <c r="EC5" s="465"/>
      <c r="ED5" s="465"/>
      <c r="EE5" s="465"/>
      <c r="EF5" s="465"/>
      <c r="EG5" s="465"/>
      <c r="EH5" s="465"/>
      <c r="EI5" s="465"/>
      <c r="EJ5" s="465"/>
      <c r="EK5" s="465"/>
      <c r="EL5" s="465"/>
      <c r="EM5" s="465"/>
      <c r="EN5" s="465"/>
      <c r="EO5" s="465"/>
      <c r="EP5" s="465"/>
      <c r="EQ5" s="465"/>
      <c r="ER5" s="465"/>
      <c r="ES5" s="465"/>
      <c r="ET5" s="465"/>
      <c r="EU5" s="465"/>
      <c r="EV5" s="465"/>
      <c r="EW5" s="465"/>
      <c r="EX5" s="465"/>
      <c r="EY5" s="465"/>
      <c r="EZ5" s="465"/>
      <c r="FA5" s="465"/>
      <c r="FB5" s="465"/>
      <c r="FC5" s="465"/>
      <c r="FD5" s="465"/>
      <c r="FE5" s="465"/>
      <c r="FF5" s="465"/>
      <c r="FG5" s="465"/>
      <c r="FH5" s="465"/>
      <c r="FI5" s="465"/>
      <c r="FJ5" s="465"/>
      <c r="FK5" s="465"/>
      <c r="FL5" s="465"/>
      <c r="FM5" s="465"/>
      <c r="FN5" s="465"/>
      <c r="FO5" s="465"/>
      <c r="FP5" s="465"/>
      <c r="FQ5" s="465"/>
      <c r="FR5" s="465"/>
      <c r="FS5" s="465"/>
      <c r="FT5" s="465"/>
      <c r="FU5" s="465"/>
      <c r="FV5" s="465"/>
      <c r="FW5" s="465"/>
      <c r="FX5" s="465"/>
      <c r="FY5" s="465"/>
      <c r="FZ5" s="465"/>
      <c r="GA5" s="465"/>
      <c r="GB5" s="465"/>
      <c r="GC5" s="465"/>
      <c r="GD5" s="465"/>
      <c r="GE5" s="465"/>
      <c r="GF5" s="465"/>
      <c r="GG5" s="465"/>
      <c r="GH5" s="465"/>
      <c r="GI5" s="465"/>
      <c r="GJ5" s="465"/>
      <c r="GK5" s="465"/>
      <c r="GL5" s="465"/>
      <c r="GM5" s="465"/>
      <c r="GN5" s="465"/>
      <c r="GO5" s="465"/>
      <c r="GP5" s="465"/>
      <c r="GQ5" s="465"/>
      <c r="GR5" s="465"/>
      <c r="GS5" s="465"/>
      <c r="GT5" s="465"/>
      <c r="GU5" s="465"/>
      <c r="GV5" s="465"/>
      <c r="GW5" s="465"/>
      <c r="GX5" s="465"/>
      <c r="GY5" s="465"/>
      <c r="GZ5" s="465"/>
      <c r="HA5" s="465"/>
      <c r="HB5" s="465"/>
      <c r="HC5" s="465"/>
      <c r="HD5" s="465"/>
      <c r="HE5" s="465"/>
      <c r="HF5" s="465"/>
      <c r="HG5" s="465"/>
      <c r="HH5" s="465"/>
      <c r="HI5" s="465"/>
      <c r="HJ5" s="465"/>
      <c r="HK5" s="465"/>
      <c r="HL5" s="465"/>
      <c r="HM5" s="465"/>
      <c r="HN5" s="465"/>
      <c r="HO5" s="465"/>
      <c r="HP5" s="465"/>
      <c r="HQ5" s="465"/>
      <c r="HR5" s="465"/>
      <c r="HS5" s="465"/>
      <c r="HT5" s="465"/>
      <c r="HU5" s="465"/>
      <c r="HV5" s="465"/>
      <c r="HW5" s="465"/>
      <c r="HX5" s="465"/>
      <c r="HY5" s="465"/>
      <c r="HZ5" s="465"/>
      <c r="IA5" s="465"/>
      <c r="IB5" s="465"/>
      <c r="IC5" s="465"/>
      <c r="ID5" s="465"/>
      <c r="IE5" s="465"/>
      <c r="IF5" s="465"/>
      <c r="IG5" s="465"/>
      <c r="IH5" s="465"/>
      <c r="II5" s="465"/>
      <c r="IJ5" s="465"/>
      <c r="IK5" s="465"/>
      <c r="IL5" s="465"/>
      <c r="IM5" s="465"/>
      <c r="IN5" s="465"/>
      <c r="IO5" s="465"/>
      <c r="IP5" s="465"/>
      <c r="IQ5" s="465"/>
      <c r="IR5" s="465"/>
      <c r="IS5" s="465"/>
      <c r="IT5" s="465"/>
      <c r="IU5" s="465"/>
      <c r="IV5" s="465"/>
      <c r="IW5" s="465"/>
      <c r="IX5" s="465"/>
      <c r="IY5" s="465"/>
      <c r="IZ5" s="465"/>
      <c r="JA5" s="465"/>
      <c r="JB5" s="465"/>
      <c r="JC5" s="465"/>
      <c r="JD5" s="465"/>
      <c r="JE5" s="465"/>
      <c r="JF5" s="465"/>
      <c r="JG5" s="465"/>
      <c r="JH5" s="465"/>
      <c r="JI5" s="465"/>
      <c r="JJ5" s="465"/>
      <c r="JK5" s="465"/>
      <c r="JL5" s="465"/>
      <c r="JM5" s="465"/>
      <c r="JN5" s="465"/>
      <c r="JO5" s="465"/>
    </row>
    <row r="6" spans="1:275" s="465" customFormat="1" ht="15" customHeight="1" thickBot="1">
      <c r="A6" s="485" t="s">
        <v>296</v>
      </c>
      <c r="B6" s="484" t="s">
        <v>29</v>
      </c>
      <c r="C6" s="543">
        <v>365.64</v>
      </c>
      <c r="D6" s="841">
        <f t="shared" si="0"/>
        <v>370</v>
      </c>
      <c r="E6" s="543">
        <v>0</v>
      </c>
      <c r="F6" s="841">
        <f t="shared" si="1"/>
        <v>0</v>
      </c>
      <c r="G6" s="543">
        <v>0</v>
      </c>
      <c r="H6" s="835">
        <f t="shared" si="2"/>
        <v>0</v>
      </c>
      <c r="I6" s="576">
        <v>0</v>
      </c>
      <c r="J6" s="835">
        <f t="shared" si="3"/>
        <v>0</v>
      </c>
      <c r="K6" s="543">
        <v>0</v>
      </c>
      <c r="L6" s="835">
        <f t="shared" si="4"/>
        <v>0</v>
      </c>
      <c r="M6" s="543">
        <v>0</v>
      </c>
      <c r="N6" s="1005">
        <f t="shared" si="5"/>
        <v>0</v>
      </c>
      <c r="O6" s="543">
        <v>50.43</v>
      </c>
      <c r="P6" s="841">
        <f t="shared" si="6"/>
        <v>50</v>
      </c>
      <c r="Q6" s="543">
        <v>92.73</v>
      </c>
      <c r="R6" s="841">
        <f t="shared" si="7"/>
        <v>93</v>
      </c>
      <c r="S6" s="543">
        <v>3.6999999999999998E-2</v>
      </c>
      <c r="T6" s="841">
        <f t="shared" si="8"/>
        <v>0</v>
      </c>
      <c r="U6" s="543">
        <v>90.37</v>
      </c>
      <c r="V6" s="841">
        <f t="shared" si="9"/>
        <v>90</v>
      </c>
      <c r="W6" s="543">
        <v>90.37</v>
      </c>
      <c r="X6" s="841">
        <f t="shared" si="10"/>
        <v>90</v>
      </c>
      <c r="Y6" s="543">
        <v>0</v>
      </c>
      <c r="Z6" s="841">
        <f t="shared" si="11"/>
        <v>0</v>
      </c>
      <c r="AA6" s="576">
        <v>0</v>
      </c>
      <c r="AB6" s="576">
        <v>0</v>
      </c>
      <c r="AC6" s="576">
        <v>11.82</v>
      </c>
      <c r="AD6" s="576">
        <v>0.90900000000000003</v>
      </c>
      <c r="AE6" s="515">
        <v>7.6999999999999999E-2</v>
      </c>
      <c r="AF6" s="515">
        <v>0.43</v>
      </c>
      <c r="AG6" s="515">
        <v>1.252</v>
      </c>
      <c r="AH6" s="515">
        <v>2.7E-2</v>
      </c>
    </row>
    <row r="7" spans="1:275" s="465" customFormat="1" ht="15" customHeight="1" thickBot="1">
      <c r="A7" s="485" t="s">
        <v>296</v>
      </c>
      <c r="B7" s="484" t="s">
        <v>30</v>
      </c>
      <c r="C7" s="543">
        <v>367.01400000000001</v>
      </c>
      <c r="D7" s="841">
        <f t="shared" si="0"/>
        <v>370</v>
      </c>
      <c r="E7" s="543">
        <v>0.433</v>
      </c>
      <c r="F7" s="841">
        <f t="shared" si="1"/>
        <v>0</v>
      </c>
      <c r="G7" s="543">
        <v>4.8000000000000001E-2</v>
      </c>
      <c r="H7" s="835">
        <f t="shared" si="2"/>
        <v>0</v>
      </c>
      <c r="I7" s="576">
        <v>4.0000000000000001E-3</v>
      </c>
      <c r="J7" s="835">
        <f t="shared" si="3"/>
        <v>0</v>
      </c>
      <c r="K7" s="543">
        <v>0</v>
      </c>
      <c r="L7" s="835">
        <f t="shared" si="4"/>
        <v>0</v>
      </c>
      <c r="M7" s="543">
        <v>0</v>
      </c>
      <c r="N7" s="1005">
        <f t="shared" si="5"/>
        <v>0</v>
      </c>
      <c r="O7" s="543">
        <v>50.926000000000002</v>
      </c>
      <c r="P7" s="841">
        <f t="shared" si="6"/>
        <v>50</v>
      </c>
      <c r="Q7" s="543">
        <v>92.98</v>
      </c>
      <c r="R7" s="841">
        <f t="shared" si="7"/>
        <v>93</v>
      </c>
      <c r="S7" s="543">
        <v>0.24099999999999999</v>
      </c>
      <c r="T7" s="841">
        <f t="shared" si="8"/>
        <v>0</v>
      </c>
      <c r="U7" s="543">
        <v>90.299000000000007</v>
      </c>
      <c r="V7" s="841">
        <f t="shared" si="9"/>
        <v>90</v>
      </c>
      <c r="W7" s="543">
        <v>89.662999999999997</v>
      </c>
      <c r="X7" s="841">
        <f t="shared" si="10"/>
        <v>90</v>
      </c>
      <c r="Y7" s="543">
        <v>3.2000000000000001E-2</v>
      </c>
      <c r="Z7" s="841">
        <f t="shared" si="11"/>
        <v>0</v>
      </c>
      <c r="AA7" s="576">
        <v>0</v>
      </c>
      <c r="AB7" s="576">
        <v>0</v>
      </c>
      <c r="AC7" s="576">
        <v>12.228</v>
      </c>
      <c r="AD7" s="576">
        <v>0.94099999999999995</v>
      </c>
      <c r="AE7" s="515">
        <v>9.0999999999999998E-2</v>
      </c>
      <c r="AF7" s="515">
        <v>0.50700000000000001</v>
      </c>
      <c r="AG7" s="515">
        <v>5.2889999999999997</v>
      </c>
      <c r="AH7" s="515">
        <v>0.113</v>
      </c>
    </row>
    <row r="8" spans="1:275" s="465" customFormat="1" ht="15" customHeight="1" thickBot="1">
      <c r="A8" s="485" t="s">
        <v>296</v>
      </c>
      <c r="B8" s="484" t="s">
        <v>434</v>
      </c>
      <c r="C8" s="533">
        <v>261.923</v>
      </c>
      <c r="D8" s="841">
        <f t="shared" si="0"/>
        <v>260</v>
      </c>
      <c r="E8" s="533">
        <v>0.88</v>
      </c>
      <c r="F8" s="841">
        <f t="shared" si="1"/>
        <v>0</v>
      </c>
      <c r="G8" s="533">
        <v>9.8000000000000004E-2</v>
      </c>
      <c r="H8" s="835">
        <f t="shared" si="2"/>
        <v>0</v>
      </c>
      <c r="I8" s="554">
        <v>4.0000000000000001E-3</v>
      </c>
      <c r="J8" s="835">
        <f t="shared" si="3"/>
        <v>0</v>
      </c>
      <c r="K8" s="533">
        <v>0</v>
      </c>
      <c r="L8" s="835">
        <f t="shared" si="4"/>
        <v>0</v>
      </c>
      <c r="M8" s="533">
        <v>0</v>
      </c>
      <c r="N8" s="1005">
        <f t="shared" si="5"/>
        <v>0</v>
      </c>
      <c r="O8" s="533">
        <v>42.847000000000001</v>
      </c>
      <c r="P8" s="841">
        <f t="shared" si="6"/>
        <v>45</v>
      </c>
      <c r="Q8" s="533">
        <v>68.076999999999998</v>
      </c>
      <c r="R8" s="841">
        <f t="shared" si="7"/>
        <v>68</v>
      </c>
      <c r="S8" s="533">
        <v>0.33900000000000002</v>
      </c>
      <c r="T8" s="841">
        <f t="shared" si="8"/>
        <v>0</v>
      </c>
      <c r="U8" s="533">
        <v>62.895000000000003</v>
      </c>
      <c r="V8" s="841">
        <f t="shared" si="9"/>
        <v>63</v>
      </c>
      <c r="W8" s="533">
        <v>61.816000000000003</v>
      </c>
      <c r="X8" s="841">
        <f t="shared" si="10"/>
        <v>62</v>
      </c>
      <c r="Y8" s="533">
        <v>0.19700000000000001</v>
      </c>
      <c r="Z8" s="841">
        <f t="shared" si="11"/>
        <v>0</v>
      </c>
      <c r="AA8" s="554">
        <v>0</v>
      </c>
      <c r="AB8" s="554">
        <v>0</v>
      </c>
      <c r="AC8" s="554">
        <v>15.138999999999999</v>
      </c>
      <c r="AD8" s="554">
        <v>1.165</v>
      </c>
      <c r="AE8" s="512">
        <v>0.06</v>
      </c>
      <c r="AF8" s="512">
        <v>0.33600000000000002</v>
      </c>
      <c r="AG8" s="512">
        <v>47.551000000000002</v>
      </c>
      <c r="AH8" s="512">
        <v>1.012</v>
      </c>
    </row>
    <row r="9" spans="1:275" s="465" customFormat="1" ht="15" customHeight="1" thickBot="1">
      <c r="A9" s="485" t="s">
        <v>296</v>
      </c>
      <c r="B9" s="484" t="s">
        <v>301</v>
      </c>
      <c r="C9" s="711">
        <v>312.27499999999998</v>
      </c>
      <c r="D9" s="841">
        <f t="shared" si="0"/>
        <v>310</v>
      </c>
      <c r="E9" s="711">
        <v>0.13500000000000001</v>
      </c>
      <c r="F9" s="841">
        <f t="shared" si="1"/>
        <v>0</v>
      </c>
      <c r="G9" s="711">
        <v>1.4999999999999999E-2</v>
      </c>
      <c r="H9" s="835">
        <f t="shared" si="2"/>
        <v>0</v>
      </c>
      <c r="I9" s="694">
        <v>4.0000000000000001E-3</v>
      </c>
      <c r="J9" s="835">
        <f t="shared" si="3"/>
        <v>0</v>
      </c>
      <c r="K9" s="711">
        <v>0</v>
      </c>
      <c r="L9" s="835">
        <f t="shared" si="4"/>
        <v>0</v>
      </c>
      <c r="M9" s="711">
        <v>0</v>
      </c>
      <c r="N9" s="1005">
        <f t="shared" si="5"/>
        <v>0</v>
      </c>
      <c r="O9" s="711">
        <v>51.469000000000001</v>
      </c>
      <c r="P9" s="841">
        <f t="shared" si="6"/>
        <v>50</v>
      </c>
      <c r="Q9" s="711">
        <v>79.322000000000003</v>
      </c>
      <c r="R9" s="841">
        <f t="shared" si="7"/>
        <v>79</v>
      </c>
      <c r="S9" s="711">
        <v>7.0999999999999994E-2</v>
      </c>
      <c r="T9" s="841">
        <f t="shared" si="8"/>
        <v>0</v>
      </c>
      <c r="U9" s="711">
        <v>75.769000000000005</v>
      </c>
      <c r="V9" s="841">
        <f t="shared" si="9"/>
        <v>76</v>
      </c>
      <c r="W9" s="711">
        <v>75.147999999999996</v>
      </c>
      <c r="X9" s="841">
        <f t="shared" si="10"/>
        <v>75</v>
      </c>
      <c r="Y9" s="711">
        <v>7.4999999999999997E-2</v>
      </c>
      <c r="Z9" s="841">
        <f t="shared" si="11"/>
        <v>0</v>
      </c>
      <c r="AA9" s="694">
        <v>0</v>
      </c>
      <c r="AB9" s="694">
        <v>0</v>
      </c>
      <c r="AC9" s="694">
        <v>10.865</v>
      </c>
      <c r="AD9" s="694">
        <v>0.83599999999999997</v>
      </c>
      <c r="AE9" s="712">
        <v>4.2999999999999997E-2</v>
      </c>
      <c r="AF9" s="712">
        <v>0.24</v>
      </c>
      <c r="AG9" s="712">
        <v>22.486999999999998</v>
      </c>
      <c r="AH9" s="712">
        <v>0.47799999999999998</v>
      </c>
    </row>
    <row r="10" spans="1:275" s="465" customFormat="1" ht="15" customHeight="1" thickBot="1">
      <c r="A10" s="485" t="s">
        <v>296</v>
      </c>
      <c r="B10" s="484" t="s">
        <v>302</v>
      </c>
      <c r="C10" s="533">
        <v>335.43299999999999</v>
      </c>
      <c r="D10" s="841">
        <f t="shared" si="0"/>
        <v>340</v>
      </c>
      <c r="E10" s="533">
        <v>0</v>
      </c>
      <c r="F10" s="841">
        <f t="shared" si="1"/>
        <v>0</v>
      </c>
      <c r="G10" s="533">
        <v>0</v>
      </c>
      <c r="H10" s="835">
        <f t="shared" si="2"/>
        <v>0</v>
      </c>
      <c r="I10" s="554">
        <v>0</v>
      </c>
      <c r="J10" s="835">
        <f t="shared" si="3"/>
        <v>0</v>
      </c>
      <c r="K10" s="533">
        <v>0</v>
      </c>
      <c r="L10" s="835">
        <f t="shared" si="4"/>
        <v>0</v>
      </c>
      <c r="M10" s="533">
        <v>0</v>
      </c>
      <c r="N10" s="1005">
        <f t="shared" si="5"/>
        <v>0</v>
      </c>
      <c r="O10" s="533">
        <v>38.067</v>
      </c>
      <c r="P10" s="841">
        <f t="shared" si="6"/>
        <v>40</v>
      </c>
      <c r="Q10" s="533">
        <v>84.793000000000006</v>
      </c>
      <c r="R10" s="841">
        <f t="shared" si="7"/>
        <v>85</v>
      </c>
      <c r="S10" s="533">
        <v>0</v>
      </c>
      <c r="T10" s="841">
        <f t="shared" si="8"/>
        <v>0</v>
      </c>
      <c r="U10" s="533">
        <v>82.081000000000003</v>
      </c>
      <c r="V10" s="841">
        <f t="shared" si="9"/>
        <v>82</v>
      </c>
      <c r="W10" s="533">
        <v>82.081000000000003</v>
      </c>
      <c r="X10" s="841">
        <f t="shared" si="10"/>
        <v>82</v>
      </c>
      <c r="Y10" s="533">
        <v>0</v>
      </c>
      <c r="Z10" s="841">
        <f t="shared" si="11"/>
        <v>0</v>
      </c>
      <c r="AA10" s="554">
        <v>0</v>
      </c>
      <c r="AB10" s="554">
        <v>0</v>
      </c>
      <c r="AC10" s="554">
        <v>9.6440000000000001</v>
      </c>
      <c r="AD10" s="554">
        <v>0.74199999999999999</v>
      </c>
      <c r="AE10" s="512">
        <v>1.6E-2</v>
      </c>
      <c r="AF10" s="512">
        <v>8.8999999999999996E-2</v>
      </c>
      <c r="AG10" s="512">
        <v>1.359</v>
      </c>
      <c r="AH10" s="512">
        <v>2.9000000000000001E-2</v>
      </c>
    </row>
    <row r="11" spans="1:275" s="465" customFormat="1" ht="15" customHeight="1" thickBot="1">
      <c r="A11" s="485" t="s">
        <v>296</v>
      </c>
      <c r="B11" s="484" t="s">
        <v>31</v>
      </c>
      <c r="C11" s="542">
        <v>282.483</v>
      </c>
      <c r="D11" s="841">
        <f t="shared" si="0"/>
        <v>280</v>
      </c>
      <c r="E11" s="542">
        <v>0</v>
      </c>
      <c r="F11" s="841">
        <f t="shared" si="1"/>
        <v>0</v>
      </c>
      <c r="G11" s="542">
        <v>0</v>
      </c>
      <c r="H11" s="835">
        <f t="shared" si="2"/>
        <v>0</v>
      </c>
      <c r="I11" s="579">
        <v>0</v>
      </c>
      <c r="J11" s="835">
        <f t="shared" si="3"/>
        <v>0</v>
      </c>
      <c r="K11" s="542">
        <v>0</v>
      </c>
      <c r="L11" s="835">
        <f t="shared" si="4"/>
        <v>0</v>
      </c>
      <c r="M11" s="542">
        <v>0</v>
      </c>
      <c r="N11" s="1005">
        <f t="shared" si="5"/>
        <v>0</v>
      </c>
      <c r="O11" s="542">
        <v>48.411999999999999</v>
      </c>
      <c r="P11" s="841">
        <f t="shared" si="6"/>
        <v>50</v>
      </c>
      <c r="Q11" s="542">
        <v>72.662000000000006</v>
      </c>
      <c r="R11" s="841">
        <f t="shared" si="7"/>
        <v>73</v>
      </c>
      <c r="S11" s="542">
        <v>0.14499999999999999</v>
      </c>
      <c r="T11" s="841">
        <f t="shared" si="8"/>
        <v>0</v>
      </c>
      <c r="U11" s="542">
        <v>68.322999999999993</v>
      </c>
      <c r="V11" s="841">
        <f t="shared" si="9"/>
        <v>68</v>
      </c>
      <c r="W11" s="542">
        <v>66.045000000000002</v>
      </c>
      <c r="X11" s="841">
        <f t="shared" si="10"/>
        <v>66</v>
      </c>
      <c r="Y11" s="542">
        <v>3.6999999999999998E-2</v>
      </c>
      <c r="Z11" s="841">
        <f t="shared" si="11"/>
        <v>0</v>
      </c>
      <c r="AA11" s="579">
        <v>0</v>
      </c>
      <c r="AB11" s="579">
        <v>0</v>
      </c>
      <c r="AC11" s="579">
        <v>17.128</v>
      </c>
      <c r="AD11" s="578">
        <v>1.3180000000000001</v>
      </c>
      <c r="AE11" s="476">
        <v>3.7999999999999999E-2</v>
      </c>
      <c r="AF11" s="476">
        <v>0.20799999999999999</v>
      </c>
      <c r="AG11" s="476">
        <v>1.4890000000000001</v>
      </c>
      <c r="AH11" s="476">
        <v>3.2000000000000001E-2</v>
      </c>
    </row>
    <row r="12" spans="1:275" s="574" customFormat="1" ht="15" customHeight="1" thickBot="1">
      <c r="A12" s="485" t="s">
        <v>296</v>
      </c>
      <c r="B12" s="484" t="s">
        <v>32</v>
      </c>
      <c r="C12" s="713">
        <v>305.11799999999999</v>
      </c>
      <c r="D12" s="841">
        <f t="shared" si="0"/>
        <v>310</v>
      </c>
      <c r="E12" s="713">
        <v>0.435</v>
      </c>
      <c r="F12" s="841">
        <f t="shared" si="1"/>
        <v>0</v>
      </c>
      <c r="G12" s="713">
        <v>4.8000000000000001E-2</v>
      </c>
      <c r="H12" s="835">
        <f t="shared" si="2"/>
        <v>0</v>
      </c>
      <c r="I12" s="714">
        <v>0</v>
      </c>
      <c r="J12" s="835">
        <f t="shared" si="3"/>
        <v>0</v>
      </c>
      <c r="K12" s="713">
        <v>0</v>
      </c>
      <c r="L12" s="835">
        <f t="shared" si="4"/>
        <v>0</v>
      </c>
      <c r="M12" s="713">
        <v>0</v>
      </c>
      <c r="N12" s="1005">
        <f t="shared" si="5"/>
        <v>0</v>
      </c>
      <c r="O12" s="713">
        <v>41.152999999999999</v>
      </c>
      <c r="P12" s="841">
        <f t="shared" si="6"/>
        <v>40</v>
      </c>
      <c r="Q12" s="713">
        <v>79.192999999999998</v>
      </c>
      <c r="R12" s="841">
        <f t="shared" si="7"/>
        <v>79</v>
      </c>
      <c r="S12" s="713">
        <v>7.4999999999999997E-2</v>
      </c>
      <c r="T12" s="841">
        <f t="shared" si="8"/>
        <v>0</v>
      </c>
      <c r="U12" s="713">
        <v>73.683999999999997</v>
      </c>
      <c r="V12" s="841">
        <f t="shared" si="9"/>
        <v>74</v>
      </c>
      <c r="W12" s="713">
        <v>73.183999999999997</v>
      </c>
      <c r="X12" s="841">
        <f t="shared" si="10"/>
        <v>73</v>
      </c>
      <c r="Y12" s="713">
        <v>0.13400000000000001</v>
      </c>
      <c r="Z12" s="841">
        <f t="shared" si="11"/>
        <v>0</v>
      </c>
      <c r="AA12" s="714">
        <v>0</v>
      </c>
      <c r="AB12" s="714">
        <v>0</v>
      </c>
      <c r="AC12" s="714">
        <v>12.742000000000001</v>
      </c>
      <c r="AD12" s="715">
        <v>0.98</v>
      </c>
      <c r="AE12" s="716">
        <v>3.5000000000000003E-2</v>
      </c>
      <c r="AF12" s="716">
        <v>0.193</v>
      </c>
      <c r="AG12" s="716">
        <v>34.682000000000002</v>
      </c>
      <c r="AH12" s="716">
        <v>0.73799999999999999</v>
      </c>
      <c r="AI12" s="465"/>
      <c r="AJ12" s="465"/>
      <c r="AK12" s="465"/>
      <c r="AL12" s="465"/>
      <c r="AM12" s="465"/>
      <c r="AN12" s="465"/>
      <c r="AO12" s="465"/>
      <c r="AP12" s="465"/>
      <c r="AQ12" s="465"/>
      <c r="AR12" s="465"/>
      <c r="AS12" s="465"/>
      <c r="AT12" s="465"/>
      <c r="AU12" s="465"/>
      <c r="AV12" s="465"/>
      <c r="AW12" s="465"/>
      <c r="AX12" s="465"/>
      <c r="AY12" s="465"/>
      <c r="AZ12" s="465"/>
      <c r="BA12" s="465"/>
      <c r="BB12" s="465"/>
      <c r="BC12" s="465"/>
      <c r="BD12" s="465"/>
      <c r="BE12" s="465"/>
      <c r="BF12" s="465"/>
      <c r="BG12" s="465"/>
      <c r="BH12" s="465"/>
      <c r="BI12" s="465"/>
      <c r="BJ12" s="465"/>
      <c r="BK12" s="465"/>
      <c r="BL12" s="465"/>
      <c r="BM12" s="465"/>
      <c r="BN12" s="465"/>
      <c r="BO12" s="465"/>
      <c r="BP12" s="465"/>
      <c r="BQ12" s="465"/>
      <c r="BR12" s="465"/>
      <c r="BS12" s="465"/>
      <c r="BT12" s="465"/>
      <c r="BU12" s="465"/>
      <c r="BV12" s="465"/>
      <c r="BW12" s="465"/>
      <c r="BX12" s="465"/>
      <c r="BY12" s="465"/>
      <c r="BZ12" s="465"/>
      <c r="CA12" s="465"/>
      <c r="CB12" s="465"/>
      <c r="CC12" s="465"/>
      <c r="CD12" s="465"/>
      <c r="CE12" s="465"/>
      <c r="CF12" s="465"/>
      <c r="CG12" s="465"/>
      <c r="CH12" s="465"/>
      <c r="CI12" s="465"/>
      <c r="CJ12" s="465"/>
      <c r="CK12" s="465"/>
      <c r="CL12" s="465"/>
      <c r="CM12" s="465"/>
      <c r="CN12" s="465"/>
      <c r="CO12" s="465"/>
      <c r="CP12" s="465"/>
      <c r="CQ12" s="465"/>
      <c r="CR12" s="465"/>
      <c r="CS12" s="465"/>
      <c r="CT12" s="465"/>
      <c r="CU12" s="465"/>
      <c r="CV12" s="465"/>
      <c r="CW12" s="465"/>
      <c r="CX12" s="465"/>
      <c r="CY12" s="465"/>
      <c r="CZ12" s="465"/>
      <c r="DA12" s="465"/>
      <c r="DB12" s="465"/>
      <c r="DC12" s="465"/>
      <c r="DD12" s="465"/>
      <c r="DE12" s="465"/>
      <c r="DF12" s="465"/>
      <c r="DG12" s="465"/>
      <c r="DH12" s="465"/>
      <c r="DI12" s="465"/>
      <c r="DJ12" s="465"/>
      <c r="DK12" s="465"/>
      <c r="DL12" s="465"/>
      <c r="DM12" s="465"/>
      <c r="DN12" s="465"/>
      <c r="DO12" s="465"/>
      <c r="DP12" s="465"/>
      <c r="DQ12" s="465"/>
      <c r="DR12" s="465"/>
      <c r="DS12" s="465"/>
      <c r="DT12" s="465"/>
      <c r="DU12" s="465"/>
      <c r="DV12" s="465"/>
      <c r="DW12" s="465"/>
      <c r="DX12" s="465"/>
      <c r="DY12" s="465"/>
      <c r="DZ12" s="465"/>
      <c r="EA12" s="465"/>
      <c r="EB12" s="465"/>
      <c r="EC12" s="465"/>
      <c r="ED12" s="465"/>
      <c r="EE12" s="465"/>
      <c r="EF12" s="465"/>
      <c r="EG12" s="465"/>
      <c r="EH12" s="465"/>
      <c r="EI12" s="465"/>
      <c r="EJ12" s="465"/>
      <c r="EK12" s="465"/>
      <c r="EL12" s="465"/>
      <c r="EM12" s="465"/>
      <c r="EN12" s="465"/>
      <c r="EO12" s="465"/>
      <c r="EP12" s="465"/>
      <c r="EQ12" s="465"/>
      <c r="ER12" s="465"/>
      <c r="ES12" s="465"/>
      <c r="ET12" s="465"/>
      <c r="EU12" s="465"/>
      <c r="EV12" s="465"/>
      <c r="EW12" s="465"/>
      <c r="EX12" s="465"/>
      <c r="EY12" s="465"/>
      <c r="EZ12" s="465"/>
      <c r="FA12" s="465"/>
      <c r="FB12" s="465"/>
      <c r="FC12" s="465"/>
      <c r="FD12" s="465"/>
      <c r="FE12" s="465"/>
      <c r="FF12" s="465"/>
      <c r="FG12" s="465"/>
      <c r="FH12" s="465"/>
      <c r="FI12" s="465"/>
      <c r="FJ12" s="465"/>
      <c r="FK12" s="465"/>
      <c r="FL12" s="465"/>
      <c r="FM12" s="465"/>
      <c r="FN12" s="465"/>
      <c r="FO12" s="465"/>
      <c r="FP12" s="465"/>
      <c r="FQ12" s="465"/>
      <c r="FR12" s="465"/>
      <c r="FS12" s="465"/>
      <c r="FT12" s="465"/>
      <c r="FU12" s="465"/>
      <c r="FV12" s="465"/>
      <c r="FW12" s="465"/>
      <c r="FX12" s="465"/>
      <c r="FY12" s="465"/>
      <c r="FZ12" s="465"/>
      <c r="GA12" s="465"/>
      <c r="GB12" s="465"/>
      <c r="GC12" s="465"/>
      <c r="GD12" s="465"/>
      <c r="GE12" s="465"/>
      <c r="GF12" s="465"/>
      <c r="GG12" s="465"/>
      <c r="GH12" s="465"/>
      <c r="GI12" s="465"/>
      <c r="GJ12" s="465"/>
      <c r="GK12" s="465"/>
      <c r="GL12" s="465"/>
      <c r="GM12" s="465"/>
      <c r="GN12" s="465"/>
      <c r="GO12" s="465"/>
      <c r="GP12" s="465"/>
      <c r="GQ12" s="465"/>
      <c r="GR12" s="465"/>
      <c r="GS12" s="465"/>
      <c r="GT12" s="465"/>
      <c r="GU12" s="465"/>
      <c r="GV12" s="465"/>
      <c r="GW12" s="465"/>
      <c r="GX12" s="465"/>
      <c r="GY12" s="465"/>
      <c r="GZ12" s="465"/>
      <c r="HA12" s="465"/>
      <c r="HB12" s="465"/>
      <c r="HC12" s="465"/>
      <c r="HD12" s="465"/>
      <c r="HE12" s="465"/>
      <c r="HF12" s="465"/>
      <c r="HG12" s="465"/>
      <c r="HH12" s="465"/>
      <c r="HI12" s="465"/>
      <c r="HJ12" s="465"/>
      <c r="HK12" s="465"/>
      <c r="HL12" s="465"/>
      <c r="HM12" s="465"/>
      <c r="HN12" s="465"/>
      <c r="HO12" s="465"/>
      <c r="HP12" s="465"/>
      <c r="HQ12" s="465"/>
      <c r="HR12" s="465"/>
      <c r="HS12" s="465"/>
      <c r="HT12" s="465"/>
      <c r="HU12" s="465"/>
      <c r="HV12" s="465"/>
      <c r="HW12" s="465"/>
      <c r="HX12" s="465"/>
      <c r="HY12" s="465"/>
      <c r="HZ12" s="465"/>
      <c r="IA12" s="465"/>
      <c r="IB12" s="465"/>
      <c r="IC12" s="465"/>
      <c r="ID12" s="465"/>
      <c r="IE12" s="465"/>
      <c r="IF12" s="465"/>
      <c r="IG12" s="465"/>
      <c r="IH12" s="465"/>
      <c r="II12" s="465"/>
      <c r="IJ12" s="465"/>
      <c r="IK12" s="465"/>
      <c r="IL12" s="465"/>
      <c r="IM12" s="465"/>
      <c r="IN12" s="465"/>
      <c r="IO12" s="465"/>
      <c r="IP12" s="465"/>
      <c r="IQ12" s="465"/>
      <c r="IR12" s="465"/>
      <c r="IS12" s="465"/>
      <c r="IT12" s="465"/>
      <c r="IU12" s="465"/>
      <c r="IV12" s="465"/>
      <c r="IW12" s="465"/>
      <c r="IX12" s="465"/>
      <c r="IY12" s="465"/>
      <c r="IZ12" s="465"/>
      <c r="JA12" s="465"/>
      <c r="JB12" s="465"/>
      <c r="JC12" s="465"/>
      <c r="JD12" s="465"/>
      <c r="JE12" s="465"/>
      <c r="JF12" s="465"/>
      <c r="JG12" s="465"/>
      <c r="JH12" s="465"/>
      <c r="JI12" s="465"/>
      <c r="JJ12" s="465"/>
      <c r="JK12" s="465"/>
      <c r="JL12" s="465"/>
      <c r="JM12" s="465"/>
      <c r="JN12" s="465"/>
      <c r="JO12" s="465"/>
    </row>
    <row r="13" spans="1:275" s="465" customFormat="1" ht="15" customHeight="1" thickBot="1">
      <c r="A13" s="485" t="s">
        <v>296</v>
      </c>
      <c r="B13" s="484" t="s">
        <v>33</v>
      </c>
      <c r="C13" s="542">
        <v>342.51900000000001</v>
      </c>
      <c r="D13" s="841">
        <f t="shared" si="0"/>
        <v>340</v>
      </c>
      <c r="E13" s="542">
        <v>6.3E-2</v>
      </c>
      <c r="F13" s="841">
        <f t="shared" si="1"/>
        <v>0</v>
      </c>
      <c r="G13" s="542">
        <v>7.0000000000000001E-3</v>
      </c>
      <c r="H13" s="835">
        <f t="shared" si="2"/>
        <v>0</v>
      </c>
      <c r="I13" s="579">
        <v>1E-3</v>
      </c>
      <c r="J13" s="835">
        <f t="shared" si="3"/>
        <v>0</v>
      </c>
      <c r="K13" s="542">
        <v>0</v>
      </c>
      <c r="L13" s="835">
        <f t="shared" si="4"/>
        <v>0</v>
      </c>
      <c r="M13" s="542">
        <v>0</v>
      </c>
      <c r="N13" s="1005">
        <f t="shared" si="5"/>
        <v>0</v>
      </c>
      <c r="O13" s="542">
        <v>70</v>
      </c>
      <c r="P13" s="841">
        <f t="shared" si="6"/>
        <v>70</v>
      </c>
      <c r="Q13" s="542">
        <v>87.528999999999996</v>
      </c>
      <c r="R13" s="841">
        <f t="shared" si="7"/>
        <v>88</v>
      </c>
      <c r="S13" s="542">
        <v>0.157</v>
      </c>
      <c r="T13" s="841">
        <f t="shared" si="8"/>
        <v>0</v>
      </c>
      <c r="U13" s="542">
        <v>83.245999999999995</v>
      </c>
      <c r="V13" s="841">
        <f t="shared" si="9"/>
        <v>83</v>
      </c>
      <c r="W13" s="542">
        <v>83.186999999999998</v>
      </c>
      <c r="X13" s="841">
        <f t="shared" si="10"/>
        <v>83</v>
      </c>
      <c r="Y13" s="542">
        <v>4.2000000000000003E-2</v>
      </c>
      <c r="Z13" s="841">
        <f t="shared" si="11"/>
        <v>0</v>
      </c>
      <c r="AA13" s="579">
        <v>0</v>
      </c>
      <c r="AB13" s="579">
        <v>0</v>
      </c>
      <c r="AC13" s="579">
        <v>11.113</v>
      </c>
      <c r="AD13" s="578">
        <v>0.85499999999999998</v>
      </c>
      <c r="AE13" s="476">
        <v>4.8000000000000001E-2</v>
      </c>
      <c r="AF13" s="476">
        <v>0.26500000000000001</v>
      </c>
      <c r="AG13" s="476">
        <v>4.6660000000000004</v>
      </c>
      <c r="AH13" s="483">
        <v>9.9000000000000005E-2</v>
      </c>
    </row>
    <row r="14" spans="1:275" s="465" customFormat="1" ht="15" customHeight="1" thickBot="1">
      <c r="A14" s="485" t="s">
        <v>296</v>
      </c>
      <c r="B14" s="484" t="s">
        <v>34</v>
      </c>
      <c r="C14" s="542">
        <v>413.483</v>
      </c>
      <c r="D14" s="841">
        <f t="shared" si="0"/>
        <v>410</v>
      </c>
      <c r="E14" s="542">
        <v>4.5270000000000001</v>
      </c>
      <c r="F14" s="841">
        <f t="shared" si="1"/>
        <v>0</v>
      </c>
      <c r="G14" s="542">
        <v>0.503</v>
      </c>
      <c r="H14" s="835">
        <f t="shared" si="2"/>
        <v>0.5</v>
      </c>
      <c r="I14" s="579">
        <v>0.29799999999999999</v>
      </c>
      <c r="J14" s="835">
        <f t="shared" si="3"/>
        <v>0</v>
      </c>
      <c r="K14" s="542">
        <v>0</v>
      </c>
      <c r="L14" s="835">
        <f t="shared" si="4"/>
        <v>0</v>
      </c>
      <c r="M14" s="542">
        <v>0</v>
      </c>
      <c r="N14" s="1005">
        <f t="shared" si="5"/>
        <v>0</v>
      </c>
      <c r="O14" s="542">
        <v>78.06</v>
      </c>
      <c r="P14" s="841">
        <f t="shared" si="6"/>
        <v>80</v>
      </c>
      <c r="Q14" s="542">
        <v>105.40900000000001</v>
      </c>
      <c r="R14" s="841">
        <f t="shared" si="7"/>
        <v>105</v>
      </c>
      <c r="S14" s="542">
        <v>1.472</v>
      </c>
      <c r="T14" s="841">
        <f t="shared" si="8"/>
        <v>1</v>
      </c>
      <c r="U14" s="542">
        <v>100.134</v>
      </c>
      <c r="V14" s="841">
        <f>IF(U14&lt;0.5,0,IF(U14&gt;1,MROUND(U14,1),"less than 1 g"))</f>
        <v>100</v>
      </c>
      <c r="W14" s="542">
        <v>99.721000000000004</v>
      </c>
      <c r="X14" s="841">
        <f t="shared" si="10"/>
        <v>100</v>
      </c>
      <c r="Y14" s="550">
        <v>0.89700000000000002</v>
      </c>
      <c r="Z14" s="841" t="str">
        <f t="shared" si="11"/>
        <v>less than 1 g</v>
      </c>
      <c r="AA14" s="575">
        <v>7.0000000000000001E-3</v>
      </c>
      <c r="AB14" s="575">
        <v>3.3000000000000002E-2</v>
      </c>
      <c r="AC14" s="575">
        <v>18.483000000000001</v>
      </c>
      <c r="AD14" s="578">
        <v>1.4179999999999999</v>
      </c>
      <c r="AE14" s="476">
        <v>0.78100000000000003</v>
      </c>
      <c r="AF14" s="476">
        <v>4.3369999999999997</v>
      </c>
      <c r="AG14" s="476">
        <v>105.84099999999999</v>
      </c>
      <c r="AH14" s="483">
        <v>2.2519999999999998</v>
      </c>
    </row>
    <row r="15" spans="1:275" s="465" customFormat="1" ht="15" customHeight="1" thickBot="1">
      <c r="A15" s="485" t="s">
        <v>296</v>
      </c>
      <c r="B15" s="484" t="s">
        <v>35</v>
      </c>
      <c r="C15" s="545">
        <v>468.50200000000001</v>
      </c>
      <c r="D15" s="841">
        <f t="shared" si="0"/>
        <v>470</v>
      </c>
      <c r="E15" s="545">
        <v>4.5389999999999997</v>
      </c>
      <c r="F15" s="841">
        <f t="shared" si="1"/>
        <v>0</v>
      </c>
      <c r="G15" s="545">
        <v>3.577</v>
      </c>
      <c r="H15" s="835">
        <f t="shared" si="2"/>
        <v>3.5</v>
      </c>
      <c r="I15" s="578">
        <v>2.13</v>
      </c>
      <c r="J15" s="835">
        <f t="shared" si="3"/>
        <v>2</v>
      </c>
      <c r="K15" s="545">
        <v>0</v>
      </c>
      <c r="L15" s="835">
        <f t="shared" si="4"/>
        <v>0</v>
      </c>
      <c r="M15" s="545">
        <v>0</v>
      </c>
      <c r="N15" s="1005">
        <f t="shared" si="5"/>
        <v>0</v>
      </c>
      <c r="O15" s="545">
        <v>77.778000000000006</v>
      </c>
      <c r="P15" s="841">
        <f t="shared" si="6"/>
        <v>80</v>
      </c>
      <c r="Q15" s="545">
        <v>113.626</v>
      </c>
      <c r="R15" s="841">
        <f t="shared" si="7"/>
        <v>114</v>
      </c>
      <c r="S15" s="545">
        <v>2.4089999999999998</v>
      </c>
      <c r="T15" s="841">
        <f t="shared" si="8"/>
        <v>2</v>
      </c>
      <c r="U15" s="545">
        <v>106.813</v>
      </c>
      <c r="V15" s="841">
        <f t="shared" si="9"/>
        <v>107</v>
      </c>
      <c r="W15" s="545">
        <v>106.398</v>
      </c>
      <c r="X15" s="841">
        <f t="shared" si="10"/>
        <v>106</v>
      </c>
      <c r="Y15" s="545">
        <v>1.49</v>
      </c>
      <c r="Z15" s="841">
        <f t="shared" si="11"/>
        <v>1</v>
      </c>
      <c r="AA15" s="476">
        <v>7.0000000000000001E-3</v>
      </c>
      <c r="AB15" s="578">
        <v>3.3000000000000002E-2</v>
      </c>
      <c r="AC15" s="578">
        <v>22.603000000000002</v>
      </c>
      <c r="AD15" s="578">
        <v>1.7390000000000001</v>
      </c>
      <c r="AE15" s="476">
        <v>1.792</v>
      </c>
      <c r="AF15" s="476">
        <v>9.9559999999999995</v>
      </c>
      <c r="AG15" s="476">
        <v>157.80099999999999</v>
      </c>
      <c r="AH15" s="483">
        <v>3.3570000000000002</v>
      </c>
    </row>
    <row r="16" spans="1:275" s="465" customFormat="1" ht="15" customHeight="1" thickBot="1">
      <c r="A16" s="485" t="s">
        <v>296</v>
      </c>
      <c r="B16" s="484" t="s">
        <v>317</v>
      </c>
      <c r="C16" s="542">
        <v>499.404</v>
      </c>
      <c r="D16" s="841">
        <f t="shared" si="0"/>
        <v>500</v>
      </c>
      <c r="E16" s="542">
        <v>4.532</v>
      </c>
      <c r="F16" s="841">
        <f t="shared" si="1"/>
        <v>0</v>
      </c>
      <c r="G16" s="542">
        <v>8.798</v>
      </c>
      <c r="H16" s="835">
        <f t="shared" si="2"/>
        <v>9</v>
      </c>
      <c r="I16" s="579">
        <v>1.675</v>
      </c>
      <c r="J16" s="835">
        <f t="shared" si="3"/>
        <v>1.5</v>
      </c>
      <c r="K16" s="542">
        <v>0</v>
      </c>
      <c r="L16" s="835">
        <f t="shared" si="4"/>
        <v>0</v>
      </c>
      <c r="M16" s="542">
        <v>0</v>
      </c>
      <c r="N16" s="1005">
        <f t="shared" si="5"/>
        <v>0</v>
      </c>
      <c r="O16" s="542">
        <v>114.4</v>
      </c>
      <c r="P16" s="841">
        <f t="shared" si="6"/>
        <v>115</v>
      </c>
      <c r="Q16" s="542">
        <v>106.82599999999999</v>
      </c>
      <c r="R16" s="841">
        <f t="shared" si="7"/>
        <v>107</v>
      </c>
      <c r="S16" s="542">
        <v>2.3730000000000002</v>
      </c>
      <c r="T16" s="841">
        <f t="shared" si="8"/>
        <v>2</v>
      </c>
      <c r="U16" s="542">
        <v>101.553</v>
      </c>
      <c r="V16" s="841">
        <f t="shared" si="9"/>
        <v>102</v>
      </c>
      <c r="W16" s="542">
        <v>100.71899999999999</v>
      </c>
      <c r="X16" s="841">
        <f t="shared" si="10"/>
        <v>101</v>
      </c>
      <c r="Y16" s="550">
        <v>3.63</v>
      </c>
      <c r="Z16" s="841">
        <f t="shared" si="11"/>
        <v>4</v>
      </c>
      <c r="AA16" s="575">
        <v>7.0000000000000001E-3</v>
      </c>
      <c r="AB16" s="575">
        <v>3.3000000000000002E-2</v>
      </c>
      <c r="AC16" s="575">
        <v>27.905999999999999</v>
      </c>
      <c r="AD16" s="578">
        <v>2.1469999999999998</v>
      </c>
      <c r="AE16" s="476">
        <v>1.2669999999999999</v>
      </c>
      <c r="AF16" s="476">
        <v>7.0380000000000003</v>
      </c>
      <c r="AG16" s="476">
        <v>180.63900000000001</v>
      </c>
      <c r="AH16" s="483">
        <v>3.843</v>
      </c>
    </row>
    <row r="17" spans="1:34" s="465" customFormat="1" ht="15" customHeight="1" thickBot="1">
      <c r="A17" s="485" t="s">
        <v>296</v>
      </c>
      <c r="B17" s="484" t="s">
        <v>304</v>
      </c>
      <c r="C17" s="713">
        <v>323.85199999999998</v>
      </c>
      <c r="D17" s="841">
        <f t="shared" si="0"/>
        <v>320</v>
      </c>
      <c r="E17" s="713">
        <v>5.7000000000000002E-2</v>
      </c>
      <c r="F17" s="841">
        <f t="shared" si="1"/>
        <v>0</v>
      </c>
      <c r="G17" s="713">
        <v>6.0000000000000001E-3</v>
      </c>
      <c r="H17" s="835">
        <f t="shared" si="2"/>
        <v>0</v>
      </c>
      <c r="I17" s="714">
        <v>1E-3</v>
      </c>
      <c r="J17" s="835">
        <f t="shared" si="3"/>
        <v>0</v>
      </c>
      <c r="K17" s="713">
        <v>1E-3</v>
      </c>
      <c r="L17" s="835">
        <f t="shared" si="4"/>
        <v>0</v>
      </c>
      <c r="M17" s="713">
        <v>0</v>
      </c>
      <c r="N17" s="1005">
        <f t="shared" si="5"/>
        <v>0</v>
      </c>
      <c r="O17" s="713">
        <v>45.334000000000003</v>
      </c>
      <c r="P17" s="841">
        <f t="shared" si="6"/>
        <v>45</v>
      </c>
      <c r="Q17" s="713">
        <v>81.872</v>
      </c>
      <c r="R17" s="841">
        <f t="shared" si="7"/>
        <v>82</v>
      </c>
      <c r="S17" s="713">
        <v>9.5000000000000001E-2</v>
      </c>
      <c r="T17" s="841">
        <f t="shared" si="8"/>
        <v>0</v>
      </c>
      <c r="U17" s="713">
        <v>77.927000000000007</v>
      </c>
      <c r="V17" s="841">
        <f t="shared" si="9"/>
        <v>78</v>
      </c>
      <c r="W17" s="713">
        <v>77.730999999999995</v>
      </c>
      <c r="X17" s="841">
        <f t="shared" si="10"/>
        <v>78</v>
      </c>
      <c r="Y17" s="717">
        <v>2.8000000000000001E-2</v>
      </c>
      <c r="Z17" s="841">
        <f t="shared" si="11"/>
        <v>0</v>
      </c>
      <c r="AA17" s="718">
        <v>0</v>
      </c>
      <c r="AB17" s="718">
        <v>0</v>
      </c>
      <c r="AC17" s="718">
        <v>12.393000000000001</v>
      </c>
      <c r="AD17" s="715">
        <v>0.95299999999999996</v>
      </c>
      <c r="AE17" s="716">
        <v>3.3000000000000002E-2</v>
      </c>
      <c r="AF17" s="716">
        <v>0.182</v>
      </c>
      <c r="AG17" s="716">
        <v>4.8179999999999996</v>
      </c>
      <c r="AH17" s="719">
        <v>0.10299999999999999</v>
      </c>
    </row>
    <row r="18" spans="1:34" s="465" customFormat="1" ht="15" customHeight="1" thickBot="1">
      <c r="A18" s="485" t="s">
        <v>296</v>
      </c>
      <c r="B18" s="484" t="s">
        <v>36</v>
      </c>
      <c r="C18" s="542">
        <v>350.77300000000002</v>
      </c>
      <c r="D18" s="841">
        <f t="shared" si="0"/>
        <v>350</v>
      </c>
      <c r="E18" s="542">
        <v>0</v>
      </c>
      <c r="F18" s="841">
        <f t="shared" si="1"/>
        <v>0</v>
      </c>
      <c r="G18" s="542">
        <v>0</v>
      </c>
      <c r="H18" s="835">
        <f t="shared" si="2"/>
        <v>0</v>
      </c>
      <c r="I18" s="579">
        <v>0</v>
      </c>
      <c r="J18" s="835">
        <f t="shared" si="3"/>
        <v>0</v>
      </c>
      <c r="K18" s="542">
        <v>0</v>
      </c>
      <c r="L18" s="835">
        <f t="shared" si="4"/>
        <v>0</v>
      </c>
      <c r="M18" s="542">
        <v>0</v>
      </c>
      <c r="N18" s="1005">
        <f t="shared" si="5"/>
        <v>0</v>
      </c>
      <c r="O18" s="542">
        <v>37.994</v>
      </c>
      <c r="P18" s="841">
        <f t="shared" si="6"/>
        <v>40</v>
      </c>
      <c r="Q18" s="542">
        <v>88.64</v>
      </c>
      <c r="R18" s="841">
        <f t="shared" si="7"/>
        <v>89</v>
      </c>
      <c r="S18" s="542">
        <v>0</v>
      </c>
      <c r="T18" s="841">
        <f t="shared" si="8"/>
        <v>0</v>
      </c>
      <c r="U18" s="542">
        <v>85.864999999999995</v>
      </c>
      <c r="V18" s="841">
        <f t="shared" si="9"/>
        <v>86</v>
      </c>
      <c r="W18" s="542">
        <v>85.864999999999995</v>
      </c>
      <c r="X18" s="841">
        <f t="shared" si="10"/>
        <v>86</v>
      </c>
      <c r="Y18" s="550">
        <v>0</v>
      </c>
      <c r="Z18" s="841">
        <f t="shared" si="11"/>
        <v>0</v>
      </c>
      <c r="AA18" s="575">
        <v>0</v>
      </c>
      <c r="AB18" s="575">
        <v>0</v>
      </c>
      <c r="AC18" s="575">
        <v>9.7100000000000009</v>
      </c>
      <c r="AD18" s="578">
        <v>0.747</v>
      </c>
      <c r="AE18" s="476">
        <v>1.6E-2</v>
      </c>
      <c r="AF18" s="476">
        <v>0.09</v>
      </c>
      <c r="AG18" s="476">
        <v>1.881</v>
      </c>
      <c r="AH18" s="483">
        <v>0.04</v>
      </c>
    </row>
    <row r="19" spans="1:34" s="465" customFormat="1" ht="15" customHeight="1" thickBot="1">
      <c r="A19" s="485" t="s">
        <v>296</v>
      </c>
      <c r="B19" s="484" t="s">
        <v>37</v>
      </c>
      <c r="C19" s="545">
        <v>176.173</v>
      </c>
      <c r="D19" s="841">
        <f t="shared" si="0"/>
        <v>180</v>
      </c>
      <c r="E19" s="545">
        <v>0</v>
      </c>
      <c r="F19" s="841">
        <f t="shared" si="1"/>
        <v>0</v>
      </c>
      <c r="G19" s="545">
        <v>0</v>
      </c>
      <c r="H19" s="835">
        <f t="shared" si="2"/>
        <v>0</v>
      </c>
      <c r="I19" s="578">
        <v>0</v>
      </c>
      <c r="J19" s="835">
        <f t="shared" si="3"/>
        <v>0</v>
      </c>
      <c r="K19" s="545">
        <v>0</v>
      </c>
      <c r="L19" s="835">
        <f t="shared" si="4"/>
        <v>0</v>
      </c>
      <c r="M19" s="545">
        <v>0</v>
      </c>
      <c r="N19" s="1005">
        <f t="shared" si="5"/>
        <v>0</v>
      </c>
      <c r="O19" s="545">
        <v>46.384</v>
      </c>
      <c r="P19" s="841">
        <f t="shared" si="6"/>
        <v>45</v>
      </c>
      <c r="Q19" s="545">
        <v>45.972000000000001</v>
      </c>
      <c r="R19" s="841">
        <f t="shared" si="7"/>
        <v>46</v>
      </c>
      <c r="S19" s="545">
        <v>0</v>
      </c>
      <c r="T19" s="841">
        <f t="shared" si="8"/>
        <v>0</v>
      </c>
      <c r="U19" s="545">
        <v>44.609000000000002</v>
      </c>
      <c r="V19" s="841">
        <f t="shared" si="9"/>
        <v>45</v>
      </c>
      <c r="W19" s="545">
        <v>33.764000000000003</v>
      </c>
      <c r="X19" s="841">
        <f t="shared" si="10"/>
        <v>34</v>
      </c>
      <c r="Y19" s="545">
        <v>0</v>
      </c>
      <c r="Z19" s="841">
        <f t="shared" si="11"/>
        <v>0</v>
      </c>
      <c r="AA19" s="578">
        <v>0</v>
      </c>
      <c r="AB19" s="578">
        <v>0</v>
      </c>
      <c r="AC19" s="578">
        <v>8.8190000000000008</v>
      </c>
      <c r="AD19" s="578">
        <v>0.67800000000000005</v>
      </c>
      <c r="AE19" s="476">
        <v>1.6E-2</v>
      </c>
      <c r="AF19" s="476">
        <v>0.09</v>
      </c>
      <c r="AG19" s="476">
        <v>0.67700000000000005</v>
      </c>
      <c r="AH19" s="483">
        <v>1.4E-2</v>
      </c>
    </row>
    <row r="20" spans="1:34" s="465" customFormat="1" ht="15" customHeight="1" thickBot="1">
      <c r="A20" s="485" t="s">
        <v>296</v>
      </c>
      <c r="B20" s="484" t="s">
        <v>39</v>
      </c>
      <c r="C20" s="542">
        <v>326.97300000000001</v>
      </c>
      <c r="D20" s="841">
        <f t="shared" si="0"/>
        <v>330</v>
      </c>
      <c r="E20" s="542">
        <v>0</v>
      </c>
      <c r="F20" s="841">
        <f t="shared" si="1"/>
        <v>0</v>
      </c>
      <c r="G20" s="542">
        <v>0</v>
      </c>
      <c r="H20" s="835">
        <f t="shared" si="2"/>
        <v>0</v>
      </c>
      <c r="I20" s="579">
        <v>0</v>
      </c>
      <c r="J20" s="835">
        <f t="shared" si="3"/>
        <v>0</v>
      </c>
      <c r="K20" s="542">
        <v>0</v>
      </c>
      <c r="L20" s="835">
        <f t="shared" si="4"/>
        <v>0</v>
      </c>
      <c r="M20" s="542">
        <v>0</v>
      </c>
      <c r="N20" s="1005">
        <f t="shared" si="5"/>
        <v>0</v>
      </c>
      <c r="O20" s="542">
        <v>38.384999999999998</v>
      </c>
      <c r="P20" s="841">
        <f t="shared" si="6"/>
        <v>40</v>
      </c>
      <c r="Q20" s="542">
        <v>82.361999999999995</v>
      </c>
      <c r="R20" s="841">
        <f t="shared" si="7"/>
        <v>82</v>
      </c>
      <c r="S20" s="542">
        <v>0.32200000000000001</v>
      </c>
      <c r="T20" s="841">
        <f t="shared" si="8"/>
        <v>0</v>
      </c>
      <c r="U20" s="542">
        <v>79.805999999999997</v>
      </c>
      <c r="V20" s="841">
        <f t="shared" si="9"/>
        <v>80</v>
      </c>
      <c r="W20" s="542">
        <v>78.013000000000005</v>
      </c>
      <c r="X20" s="841">
        <f t="shared" si="10"/>
        <v>78</v>
      </c>
      <c r="Y20" s="550">
        <v>0.19900000000000001</v>
      </c>
      <c r="Z20" s="841">
        <f t="shared" si="11"/>
        <v>0</v>
      </c>
      <c r="AA20" s="575">
        <v>0</v>
      </c>
      <c r="AB20" s="575">
        <v>0</v>
      </c>
      <c r="AC20" s="575">
        <v>11.119</v>
      </c>
      <c r="AD20" s="578">
        <v>0.85499999999999998</v>
      </c>
      <c r="AE20" s="476">
        <v>7.0000000000000007E-2</v>
      </c>
      <c r="AF20" s="476">
        <v>0.38800000000000001</v>
      </c>
      <c r="AG20" s="476">
        <v>1.3420000000000001</v>
      </c>
      <c r="AH20" s="483">
        <v>2.9000000000000001E-2</v>
      </c>
    </row>
    <row r="21" spans="1:34" s="465" customFormat="1" ht="15" customHeight="1" thickBot="1">
      <c r="A21" s="485" t="s">
        <v>296</v>
      </c>
      <c r="B21" s="484" t="s">
        <v>40</v>
      </c>
      <c r="C21" s="543">
        <v>343.57100000000003</v>
      </c>
      <c r="D21" s="841">
        <f t="shared" si="0"/>
        <v>340</v>
      </c>
      <c r="E21" s="543">
        <v>0</v>
      </c>
      <c r="F21" s="841">
        <f t="shared" si="1"/>
        <v>0</v>
      </c>
      <c r="G21" s="543">
        <v>0</v>
      </c>
      <c r="H21" s="835">
        <f t="shared" si="2"/>
        <v>0</v>
      </c>
      <c r="I21" s="576">
        <v>0</v>
      </c>
      <c r="J21" s="835">
        <f t="shared" si="3"/>
        <v>0</v>
      </c>
      <c r="K21" s="543">
        <v>0</v>
      </c>
      <c r="L21" s="835">
        <f t="shared" si="4"/>
        <v>0</v>
      </c>
      <c r="M21" s="543">
        <v>0</v>
      </c>
      <c r="N21" s="1005">
        <f t="shared" si="5"/>
        <v>0</v>
      </c>
      <c r="O21" s="543">
        <v>52.033000000000001</v>
      </c>
      <c r="P21" s="841">
        <f t="shared" si="6"/>
        <v>50</v>
      </c>
      <c r="Q21" s="543">
        <v>87.117999999999995</v>
      </c>
      <c r="R21" s="841">
        <f t="shared" si="7"/>
        <v>87</v>
      </c>
      <c r="S21" s="543">
        <v>1.9E-2</v>
      </c>
      <c r="T21" s="841">
        <f t="shared" si="8"/>
        <v>0</v>
      </c>
      <c r="U21" s="543">
        <v>84.489000000000004</v>
      </c>
      <c r="V21" s="841">
        <f t="shared" si="9"/>
        <v>84</v>
      </c>
      <c r="W21" s="543">
        <v>79.540000000000006</v>
      </c>
      <c r="X21" s="841">
        <f t="shared" si="10"/>
        <v>80</v>
      </c>
      <c r="Y21" s="543">
        <v>0</v>
      </c>
      <c r="Z21" s="841">
        <f t="shared" si="11"/>
        <v>0</v>
      </c>
      <c r="AA21" s="576">
        <v>0</v>
      </c>
      <c r="AB21" s="576">
        <v>0</v>
      </c>
      <c r="AC21" s="576">
        <v>9.2829999999999995</v>
      </c>
      <c r="AD21" s="576">
        <v>0.71399999999999997</v>
      </c>
      <c r="AE21" s="515">
        <v>2.1000000000000001E-2</v>
      </c>
      <c r="AF21" s="515">
        <v>0.11700000000000001</v>
      </c>
      <c r="AG21" s="515">
        <v>0.88600000000000001</v>
      </c>
      <c r="AH21" s="515">
        <v>1.9E-2</v>
      </c>
    </row>
    <row r="22" spans="1:34" s="465" customFormat="1" ht="18.899999999999999" thickBot="1">
      <c r="A22" s="485" t="s">
        <v>296</v>
      </c>
      <c r="B22" s="484" t="s">
        <v>306</v>
      </c>
      <c r="C22" s="545">
        <v>420.72800000000001</v>
      </c>
      <c r="D22" s="841">
        <f t="shared" si="0"/>
        <v>420</v>
      </c>
      <c r="E22" s="545">
        <v>0.84799999999999998</v>
      </c>
      <c r="F22" s="841">
        <f t="shared" si="1"/>
        <v>0</v>
      </c>
      <c r="G22" s="545">
        <v>9.4E-2</v>
      </c>
      <c r="H22" s="835">
        <f t="shared" si="2"/>
        <v>0</v>
      </c>
      <c r="I22" s="578">
        <v>0</v>
      </c>
      <c r="J22" s="835">
        <f t="shared" si="3"/>
        <v>0</v>
      </c>
      <c r="K22" s="545">
        <v>0</v>
      </c>
      <c r="L22" s="835">
        <f t="shared" si="4"/>
        <v>0</v>
      </c>
      <c r="M22" s="545">
        <v>0</v>
      </c>
      <c r="N22" s="1005">
        <f t="shared" si="5"/>
        <v>0</v>
      </c>
      <c r="O22" s="545">
        <v>42.936</v>
      </c>
      <c r="P22" s="841">
        <f t="shared" si="6"/>
        <v>45</v>
      </c>
      <c r="Q22" s="545">
        <v>105.099</v>
      </c>
      <c r="R22" s="841">
        <f t="shared" si="7"/>
        <v>105</v>
      </c>
      <c r="S22" s="545">
        <v>0</v>
      </c>
      <c r="T22" s="841">
        <f t="shared" si="8"/>
        <v>0</v>
      </c>
      <c r="U22" s="545">
        <v>96.778999999999996</v>
      </c>
      <c r="V22" s="841">
        <f t="shared" si="9"/>
        <v>97</v>
      </c>
      <c r="W22" s="545">
        <v>96.778999999999996</v>
      </c>
      <c r="X22" s="841">
        <f t="shared" si="10"/>
        <v>97</v>
      </c>
      <c r="Y22" s="583">
        <v>0.754</v>
      </c>
      <c r="Z22" s="841" t="str">
        <f t="shared" si="11"/>
        <v>less than 1 g</v>
      </c>
      <c r="AA22" s="582">
        <v>0</v>
      </c>
      <c r="AB22" s="582">
        <v>0</v>
      </c>
      <c r="AC22" s="1154">
        <v>9.1029999999999998</v>
      </c>
      <c r="AD22" s="1155">
        <v>0.7</v>
      </c>
      <c r="AE22" s="584">
        <v>1.9E-2</v>
      </c>
      <c r="AF22" s="476">
        <v>0.105</v>
      </c>
      <c r="AG22" s="476">
        <v>1.6850000000000001</v>
      </c>
      <c r="AH22" s="476">
        <v>3.5999999999999997E-2</v>
      </c>
    </row>
    <row r="23" spans="1:34" s="465" customFormat="1" ht="15" customHeight="1" thickBot="1">
      <c r="A23" s="485" t="s">
        <v>296</v>
      </c>
      <c r="B23" s="484" t="s">
        <v>42</v>
      </c>
      <c r="C23" s="542">
        <v>375.32</v>
      </c>
      <c r="D23" s="841">
        <f t="shared" si="0"/>
        <v>380</v>
      </c>
      <c r="E23" s="542">
        <v>0.14499999999999999</v>
      </c>
      <c r="F23" s="841">
        <f t="shared" si="1"/>
        <v>0</v>
      </c>
      <c r="G23" s="542">
        <v>1.6E-2</v>
      </c>
      <c r="H23" s="835">
        <f t="shared" si="2"/>
        <v>0</v>
      </c>
      <c r="I23" s="579">
        <v>8.0000000000000002E-3</v>
      </c>
      <c r="J23" s="835">
        <f t="shared" si="3"/>
        <v>0</v>
      </c>
      <c r="K23" s="542">
        <v>8.0000000000000002E-3</v>
      </c>
      <c r="L23" s="835">
        <f t="shared" si="4"/>
        <v>0</v>
      </c>
      <c r="M23" s="542">
        <v>0</v>
      </c>
      <c r="N23" s="1005">
        <f t="shared" si="5"/>
        <v>0</v>
      </c>
      <c r="O23" s="542">
        <v>39.337000000000003</v>
      </c>
      <c r="P23" s="841">
        <f t="shared" si="6"/>
        <v>40</v>
      </c>
      <c r="Q23" s="542">
        <v>94.817999999999998</v>
      </c>
      <c r="R23" s="841">
        <f t="shared" si="7"/>
        <v>95</v>
      </c>
      <c r="S23" s="542">
        <v>0.25</v>
      </c>
      <c r="T23" s="841">
        <f t="shared" si="8"/>
        <v>0</v>
      </c>
      <c r="U23" s="542">
        <v>90.881</v>
      </c>
      <c r="V23" s="841">
        <f t="shared" si="9"/>
        <v>91</v>
      </c>
      <c r="W23" s="542">
        <v>89.218999999999994</v>
      </c>
      <c r="X23" s="841">
        <f t="shared" si="10"/>
        <v>89</v>
      </c>
      <c r="Y23" s="550">
        <v>0.218</v>
      </c>
      <c r="Z23" s="841">
        <f t="shared" si="11"/>
        <v>0</v>
      </c>
      <c r="AA23" s="586">
        <v>0.98499999999999999</v>
      </c>
      <c r="AB23" s="586">
        <v>4.923</v>
      </c>
      <c r="AC23" s="586">
        <v>11.071999999999999</v>
      </c>
      <c r="AD23" s="588">
        <v>0.85199999999999998</v>
      </c>
      <c r="AE23" s="476">
        <v>7.6999999999999999E-2</v>
      </c>
      <c r="AF23" s="476">
        <v>0.42899999999999999</v>
      </c>
      <c r="AG23" s="476">
        <v>55.774999999999999</v>
      </c>
      <c r="AH23" s="483">
        <v>1.1870000000000001</v>
      </c>
    </row>
    <row r="24" spans="1:34" s="465" customFormat="1" ht="15" customHeight="1" thickBot="1">
      <c r="A24" s="485" t="s">
        <v>296</v>
      </c>
      <c r="B24" s="484" t="s">
        <v>45</v>
      </c>
      <c r="C24" s="542">
        <v>321.03399999999999</v>
      </c>
      <c r="D24" s="841">
        <f t="shared" si="0"/>
        <v>320</v>
      </c>
      <c r="E24" s="542">
        <v>0</v>
      </c>
      <c r="F24" s="841">
        <f t="shared" si="1"/>
        <v>0</v>
      </c>
      <c r="G24" s="542">
        <v>0</v>
      </c>
      <c r="H24" s="835">
        <f t="shared" si="2"/>
        <v>0</v>
      </c>
      <c r="I24" s="579">
        <v>0</v>
      </c>
      <c r="J24" s="835">
        <f t="shared" si="3"/>
        <v>0</v>
      </c>
      <c r="K24" s="542">
        <v>0</v>
      </c>
      <c r="L24" s="835">
        <f t="shared" si="4"/>
        <v>0</v>
      </c>
      <c r="M24" s="542">
        <v>0</v>
      </c>
      <c r="N24" s="1005">
        <f t="shared" si="5"/>
        <v>0</v>
      </c>
      <c r="O24" s="542">
        <v>39.003999999999998</v>
      </c>
      <c r="P24" s="841">
        <f t="shared" si="6"/>
        <v>40</v>
      </c>
      <c r="Q24" s="542">
        <v>80.911000000000001</v>
      </c>
      <c r="R24" s="841">
        <f t="shared" si="7"/>
        <v>81</v>
      </c>
      <c r="S24" s="542">
        <v>0</v>
      </c>
      <c r="T24" s="841">
        <f t="shared" si="8"/>
        <v>0</v>
      </c>
      <c r="U24" s="542">
        <v>77.644999999999996</v>
      </c>
      <c r="V24" s="841">
        <f t="shared" si="9"/>
        <v>78</v>
      </c>
      <c r="W24" s="542">
        <v>77.338999999999999</v>
      </c>
      <c r="X24" s="841">
        <f t="shared" si="10"/>
        <v>77</v>
      </c>
      <c r="Y24" s="550">
        <v>8.0000000000000002E-3</v>
      </c>
      <c r="Z24" s="841">
        <f t="shared" si="11"/>
        <v>0</v>
      </c>
      <c r="AA24" s="575">
        <v>0</v>
      </c>
      <c r="AB24" s="575">
        <v>0</v>
      </c>
      <c r="AC24" s="575">
        <v>9.9320000000000004</v>
      </c>
      <c r="AD24" s="578">
        <v>0.76400000000000001</v>
      </c>
      <c r="AE24" s="476">
        <v>3.2000000000000001E-2</v>
      </c>
      <c r="AF24" s="476">
        <v>0.17699999999999999</v>
      </c>
      <c r="AG24" s="476">
        <v>11.505000000000001</v>
      </c>
      <c r="AH24" s="483">
        <v>0.245</v>
      </c>
    </row>
    <row r="25" spans="1:34" s="465" customFormat="1" ht="15" customHeight="1" thickBot="1">
      <c r="A25" s="485" t="s">
        <v>296</v>
      </c>
      <c r="B25" s="484" t="s">
        <v>46</v>
      </c>
      <c r="C25" s="542">
        <v>314.68799999999999</v>
      </c>
      <c r="D25" s="841">
        <f t="shared" si="0"/>
        <v>310</v>
      </c>
      <c r="E25" s="542">
        <v>0</v>
      </c>
      <c r="F25" s="841">
        <f t="shared" si="1"/>
        <v>0</v>
      </c>
      <c r="G25" s="542">
        <v>0</v>
      </c>
      <c r="H25" s="835">
        <f t="shared" si="2"/>
        <v>0</v>
      </c>
      <c r="I25" s="579">
        <v>0</v>
      </c>
      <c r="J25" s="835">
        <f t="shared" si="3"/>
        <v>0</v>
      </c>
      <c r="K25" s="542">
        <v>0</v>
      </c>
      <c r="L25" s="835">
        <f t="shared" si="4"/>
        <v>0</v>
      </c>
      <c r="M25" s="542">
        <v>0</v>
      </c>
      <c r="N25" s="1005">
        <f t="shared" si="5"/>
        <v>0</v>
      </c>
      <c r="O25" s="542">
        <v>78.674000000000007</v>
      </c>
      <c r="P25" s="841">
        <f t="shared" si="6"/>
        <v>80</v>
      </c>
      <c r="Q25" s="542">
        <v>79.867999999999995</v>
      </c>
      <c r="R25" s="841">
        <f t="shared" si="7"/>
        <v>80</v>
      </c>
      <c r="S25" s="542">
        <v>7.1999999999999995E-2</v>
      </c>
      <c r="T25" s="841">
        <f t="shared" si="8"/>
        <v>0</v>
      </c>
      <c r="U25" s="542">
        <v>75.090999999999994</v>
      </c>
      <c r="V25" s="841">
        <f t="shared" si="9"/>
        <v>75</v>
      </c>
      <c r="W25" s="542">
        <v>74.878</v>
      </c>
      <c r="X25" s="841">
        <f t="shared" si="10"/>
        <v>75</v>
      </c>
      <c r="Y25" s="550">
        <v>8.4000000000000005E-2</v>
      </c>
      <c r="Z25" s="841">
        <f t="shared" si="11"/>
        <v>0</v>
      </c>
      <c r="AA25" s="575">
        <v>0</v>
      </c>
      <c r="AB25" s="575">
        <v>0</v>
      </c>
      <c r="AC25" s="575">
        <v>10.112</v>
      </c>
      <c r="AD25" s="578">
        <v>0.77800000000000002</v>
      </c>
      <c r="AE25" s="476">
        <v>0.03</v>
      </c>
      <c r="AF25" s="476">
        <v>0.16600000000000001</v>
      </c>
      <c r="AG25" s="476">
        <v>13.285</v>
      </c>
      <c r="AH25" s="483">
        <v>0.28299999999999997</v>
      </c>
    </row>
    <row r="26" spans="1:34" s="465" customFormat="1" ht="15" customHeight="1" thickBot="1">
      <c r="A26" s="485" t="s">
        <v>296</v>
      </c>
      <c r="B26" s="484" t="s">
        <v>307</v>
      </c>
      <c r="C26" s="713">
        <v>352.17200000000003</v>
      </c>
      <c r="D26" s="841">
        <f t="shared" si="0"/>
        <v>350</v>
      </c>
      <c r="E26" s="713">
        <v>0</v>
      </c>
      <c r="F26" s="841">
        <f t="shared" si="1"/>
        <v>0</v>
      </c>
      <c r="G26" s="713">
        <v>0</v>
      </c>
      <c r="H26" s="835">
        <f t="shared" si="2"/>
        <v>0</v>
      </c>
      <c r="I26" s="714">
        <v>0</v>
      </c>
      <c r="J26" s="835">
        <f t="shared" si="3"/>
        <v>0</v>
      </c>
      <c r="K26" s="713">
        <v>0</v>
      </c>
      <c r="L26" s="835">
        <f t="shared" si="4"/>
        <v>0</v>
      </c>
      <c r="M26" s="713">
        <v>0</v>
      </c>
      <c r="N26" s="1005">
        <f t="shared" si="5"/>
        <v>0</v>
      </c>
      <c r="O26" s="713">
        <v>39.774999999999999</v>
      </c>
      <c r="P26" s="841">
        <f t="shared" si="6"/>
        <v>40</v>
      </c>
      <c r="Q26" s="713">
        <v>89.271000000000001</v>
      </c>
      <c r="R26" s="841">
        <f t="shared" si="7"/>
        <v>89</v>
      </c>
      <c r="S26" s="713">
        <v>0</v>
      </c>
      <c r="T26" s="841">
        <f t="shared" si="8"/>
        <v>0</v>
      </c>
      <c r="U26" s="713">
        <v>85.677000000000007</v>
      </c>
      <c r="V26" s="841">
        <f t="shared" si="9"/>
        <v>86</v>
      </c>
      <c r="W26" s="713">
        <v>85.677000000000007</v>
      </c>
      <c r="X26" s="841">
        <f t="shared" si="10"/>
        <v>86</v>
      </c>
      <c r="Y26" s="717">
        <v>0</v>
      </c>
      <c r="Z26" s="841">
        <f t="shared" si="11"/>
        <v>0</v>
      </c>
      <c r="AA26" s="718">
        <v>0</v>
      </c>
      <c r="AB26" s="718">
        <v>0</v>
      </c>
      <c r="AC26" s="718">
        <v>9.327</v>
      </c>
      <c r="AD26" s="715">
        <v>0.71699999999999997</v>
      </c>
      <c r="AE26" s="716">
        <v>0.02</v>
      </c>
      <c r="AF26" s="716">
        <v>0.112</v>
      </c>
      <c r="AG26" s="716">
        <v>8.4480000000000004</v>
      </c>
      <c r="AH26" s="720">
        <v>0.18</v>
      </c>
    </row>
    <row r="27" spans="1:34" s="465" customFormat="1" ht="15" customHeight="1" thickBot="1">
      <c r="A27" s="485" t="s">
        <v>296</v>
      </c>
      <c r="B27" s="484" t="s">
        <v>308</v>
      </c>
      <c r="C27" s="533">
        <v>330.94799999999998</v>
      </c>
      <c r="D27" s="841">
        <f t="shared" si="0"/>
        <v>330</v>
      </c>
      <c r="E27" s="533">
        <v>0</v>
      </c>
      <c r="F27" s="841">
        <f t="shared" si="1"/>
        <v>0</v>
      </c>
      <c r="G27" s="533">
        <v>0</v>
      </c>
      <c r="H27" s="835">
        <f t="shared" si="2"/>
        <v>0</v>
      </c>
      <c r="I27" s="554">
        <v>0</v>
      </c>
      <c r="J27" s="835">
        <f t="shared" si="3"/>
        <v>0</v>
      </c>
      <c r="K27" s="533">
        <v>0</v>
      </c>
      <c r="L27" s="835">
        <f t="shared" si="4"/>
        <v>0</v>
      </c>
      <c r="M27" s="533">
        <v>0</v>
      </c>
      <c r="N27" s="1005">
        <f t="shared" si="5"/>
        <v>0</v>
      </c>
      <c r="O27" s="533">
        <v>40.673999999999999</v>
      </c>
      <c r="P27" s="841">
        <f t="shared" si="6"/>
        <v>40</v>
      </c>
      <c r="Q27" s="533">
        <v>82.213999999999999</v>
      </c>
      <c r="R27" s="841">
        <f t="shared" si="7"/>
        <v>82</v>
      </c>
      <c r="S27" s="533">
        <v>0</v>
      </c>
      <c r="T27" s="841">
        <f t="shared" si="8"/>
        <v>0</v>
      </c>
      <c r="U27" s="533">
        <v>81.644999999999996</v>
      </c>
      <c r="V27" s="841">
        <f t="shared" si="9"/>
        <v>82</v>
      </c>
      <c r="W27" s="533">
        <v>81.644999999999996</v>
      </c>
      <c r="X27" s="841">
        <f t="shared" si="10"/>
        <v>82</v>
      </c>
      <c r="Y27" s="533">
        <v>0</v>
      </c>
      <c r="Z27" s="841">
        <f t="shared" si="11"/>
        <v>0</v>
      </c>
      <c r="AA27" s="554">
        <v>0</v>
      </c>
      <c r="AB27" s="554">
        <v>0</v>
      </c>
      <c r="AC27" s="554">
        <v>9.4149999999999991</v>
      </c>
      <c r="AD27" s="554">
        <v>0.72399999999999998</v>
      </c>
      <c r="AE27" s="512">
        <v>1.7000000000000001E-2</v>
      </c>
      <c r="AF27" s="512">
        <v>9.6000000000000002E-2</v>
      </c>
      <c r="AG27" s="512">
        <v>6.1280000000000001</v>
      </c>
      <c r="AH27" s="512">
        <v>0.13</v>
      </c>
    </row>
    <row r="28" spans="1:34" s="465" customFormat="1" ht="15" customHeight="1" thickBot="1">
      <c r="A28" s="485" t="s">
        <v>296</v>
      </c>
      <c r="B28" s="484" t="s">
        <v>48</v>
      </c>
      <c r="C28" s="542">
        <v>271.86</v>
      </c>
      <c r="D28" s="841">
        <f t="shared" si="0"/>
        <v>270</v>
      </c>
      <c r="E28" s="542">
        <v>0.54500000000000004</v>
      </c>
      <c r="F28" s="841">
        <f t="shared" si="1"/>
        <v>0</v>
      </c>
      <c r="G28" s="542">
        <v>6.0999999999999999E-2</v>
      </c>
      <c r="H28" s="835">
        <f t="shared" si="2"/>
        <v>0</v>
      </c>
      <c r="I28" s="579">
        <v>1E-3</v>
      </c>
      <c r="J28" s="835">
        <f t="shared" si="3"/>
        <v>0</v>
      </c>
      <c r="K28" s="542">
        <v>0</v>
      </c>
      <c r="L28" s="835">
        <f t="shared" si="4"/>
        <v>0</v>
      </c>
      <c r="M28" s="542">
        <v>0</v>
      </c>
      <c r="N28" s="1005">
        <f t="shared" si="5"/>
        <v>0</v>
      </c>
      <c r="O28" s="542">
        <v>14.307</v>
      </c>
      <c r="P28" s="841">
        <f t="shared" si="6"/>
        <v>15</v>
      </c>
      <c r="Q28" s="542">
        <v>70.896000000000001</v>
      </c>
      <c r="R28" s="841">
        <f t="shared" si="7"/>
        <v>71</v>
      </c>
      <c r="S28" s="542">
        <v>0.188</v>
      </c>
      <c r="T28" s="841">
        <f t="shared" si="8"/>
        <v>0</v>
      </c>
      <c r="U28" s="542">
        <v>67.724000000000004</v>
      </c>
      <c r="V28" s="841">
        <f t="shared" si="9"/>
        <v>68</v>
      </c>
      <c r="W28" s="542">
        <v>67.117000000000004</v>
      </c>
      <c r="X28" s="841">
        <f t="shared" si="10"/>
        <v>67</v>
      </c>
      <c r="Y28" s="550">
        <v>0.16</v>
      </c>
      <c r="Z28" s="841">
        <f t="shared" si="11"/>
        <v>0</v>
      </c>
      <c r="AA28" s="575">
        <v>0</v>
      </c>
      <c r="AB28" s="575">
        <v>0</v>
      </c>
      <c r="AC28" s="575">
        <v>14.457000000000001</v>
      </c>
      <c r="AD28" s="578">
        <v>1.1120000000000001</v>
      </c>
      <c r="AE28" s="476">
        <v>5.0999999999999997E-2</v>
      </c>
      <c r="AF28" s="476">
        <v>0.28399999999999997</v>
      </c>
      <c r="AG28" s="476">
        <v>40.856999999999999</v>
      </c>
      <c r="AH28" s="476">
        <v>0.86899999999999999</v>
      </c>
    </row>
    <row r="29" spans="1:34" s="465" customFormat="1" ht="15" customHeight="1" thickBot="1">
      <c r="A29" s="485" t="s">
        <v>296</v>
      </c>
      <c r="B29" s="484" t="s">
        <v>50</v>
      </c>
      <c r="C29" s="542">
        <v>353.89400000000001</v>
      </c>
      <c r="D29" s="841">
        <f t="shared" si="0"/>
        <v>350</v>
      </c>
      <c r="E29" s="542">
        <v>0.219</v>
      </c>
      <c r="F29" s="841">
        <f t="shared" si="1"/>
        <v>0</v>
      </c>
      <c r="G29" s="542">
        <v>2.4E-2</v>
      </c>
      <c r="H29" s="835">
        <f t="shared" si="2"/>
        <v>0</v>
      </c>
      <c r="I29" s="579">
        <v>6.0000000000000001E-3</v>
      </c>
      <c r="J29" s="835">
        <f t="shared" si="3"/>
        <v>0</v>
      </c>
      <c r="K29" s="542">
        <v>2.4E-2</v>
      </c>
      <c r="L29" s="835">
        <f t="shared" si="4"/>
        <v>0</v>
      </c>
      <c r="M29" s="542">
        <v>0</v>
      </c>
      <c r="N29" s="1005">
        <f t="shared" si="5"/>
        <v>0</v>
      </c>
      <c r="O29" s="542">
        <v>53.28</v>
      </c>
      <c r="P29" s="841">
        <f t="shared" si="6"/>
        <v>55</v>
      </c>
      <c r="Q29" s="542">
        <v>89.994</v>
      </c>
      <c r="R29" s="841">
        <f t="shared" si="7"/>
        <v>90</v>
      </c>
      <c r="S29" s="542">
        <v>0.16400000000000001</v>
      </c>
      <c r="T29" s="841">
        <f t="shared" si="8"/>
        <v>0</v>
      </c>
      <c r="U29" s="542">
        <v>85.876999999999995</v>
      </c>
      <c r="V29" s="841">
        <f t="shared" si="9"/>
        <v>86</v>
      </c>
      <c r="W29" s="542">
        <v>84.558999999999997</v>
      </c>
      <c r="X29" s="841">
        <f t="shared" si="10"/>
        <v>85</v>
      </c>
      <c r="Y29" s="550">
        <v>4.9000000000000002E-2</v>
      </c>
      <c r="Z29" s="841">
        <f t="shared" si="11"/>
        <v>0</v>
      </c>
      <c r="AA29" s="575">
        <v>0</v>
      </c>
      <c r="AB29" s="575">
        <v>0</v>
      </c>
      <c r="AC29" s="575">
        <v>11.852</v>
      </c>
      <c r="AD29" s="578">
        <v>0.91200000000000003</v>
      </c>
      <c r="AE29" s="476">
        <v>0.11</v>
      </c>
      <c r="AF29" s="476">
        <v>0.61299999999999999</v>
      </c>
      <c r="AG29" s="476">
        <v>25.792999999999999</v>
      </c>
      <c r="AH29" s="483">
        <v>0.54900000000000004</v>
      </c>
    </row>
    <row r="30" spans="1:34" s="465" customFormat="1" ht="15" customHeight="1" thickBot="1">
      <c r="A30" s="485" t="s">
        <v>296</v>
      </c>
      <c r="B30" s="484" t="s">
        <v>51</v>
      </c>
      <c r="C30" s="542">
        <v>352.86</v>
      </c>
      <c r="D30" s="841">
        <f t="shared" si="0"/>
        <v>350</v>
      </c>
      <c r="E30" s="542">
        <v>0.11</v>
      </c>
      <c r="F30" s="841">
        <f t="shared" si="1"/>
        <v>0</v>
      </c>
      <c r="G30" s="542">
        <v>1.2E-2</v>
      </c>
      <c r="H30" s="835">
        <f t="shared" si="2"/>
        <v>0</v>
      </c>
      <c r="I30" s="579">
        <v>3.0000000000000001E-3</v>
      </c>
      <c r="J30" s="835">
        <f t="shared" si="3"/>
        <v>0</v>
      </c>
      <c r="K30" s="542">
        <v>1.2E-2</v>
      </c>
      <c r="L30" s="835">
        <f t="shared" si="4"/>
        <v>0</v>
      </c>
      <c r="M30" s="542">
        <v>0</v>
      </c>
      <c r="N30" s="1005">
        <f t="shared" si="5"/>
        <v>0</v>
      </c>
      <c r="O30" s="542">
        <v>53.238999999999997</v>
      </c>
      <c r="P30" s="841">
        <f t="shared" si="6"/>
        <v>55</v>
      </c>
      <c r="Q30" s="542">
        <v>89.622</v>
      </c>
      <c r="R30" s="841">
        <f t="shared" si="7"/>
        <v>90</v>
      </c>
      <c r="S30" s="542">
        <v>8.3000000000000004E-2</v>
      </c>
      <c r="T30" s="841">
        <f t="shared" si="8"/>
        <v>0</v>
      </c>
      <c r="U30" s="542">
        <v>83.808000000000007</v>
      </c>
      <c r="V30" s="841">
        <f t="shared" si="9"/>
        <v>84</v>
      </c>
      <c r="W30" s="542">
        <v>81.852999999999994</v>
      </c>
      <c r="X30" s="841">
        <f t="shared" si="10"/>
        <v>82</v>
      </c>
      <c r="Y30" s="550">
        <v>2.7E-2</v>
      </c>
      <c r="Z30" s="841">
        <f t="shared" si="11"/>
        <v>0</v>
      </c>
      <c r="AA30" s="575">
        <v>0</v>
      </c>
      <c r="AB30" s="575">
        <v>0</v>
      </c>
      <c r="AC30" s="575">
        <v>10.577999999999999</v>
      </c>
      <c r="AD30" s="578">
        <v>0.81399999999999995</v>
      </c>
      <c r="AE30" s="476">
        <v>6.6000000000000003E-2</v>
      </c>
      <c r="AF30" s="476">
        <v>0.36599999999999999</v>
      </c>
      <c r="AG30" s="476">
        <v>13.387</v>
      </c>
      <c r="AH30" s="483">
        <v>0.28499999999999998</v>
      </c>
    </row>
    <row r="31" spans="1:34" s="465" customFormat="1" ht="15" customHeight="1" thickBot="1">
      <c r="A31" s="485" t="s">
        <v>296</v>
      </c>
      <c r="B31" s="484" t="s">
        <v>52</v>
      </c>
      <c r="C31" s="542">
        <v>322.892</v>
      </c>
      <c r="D31" s="841">
        <f t="shared" si="0"/>
        <v>320</v>
      </c>
      <c r="E31" s="542">
        <v>0.10199999999999999</v>
      </c>
      <c r="F31" s="841">
        <f t="shared" si="1"/>
        <v>0</v>
      </c>
      <c r="G31" s="542">
        <v>1.0999999999999999E-2</v>
      </c>
      <c r="H31" s="835">
        <f t="shared" si="2"/>
        <v>0</v>
      </c>
      <c r="I31" s="579">
        <v>3.0000000000000001E-3</v>
      </c>
      <c r="J31" s="835">
        <f t="shared" si="3"/>
        <v>0</v>
      </c>
      <c r="K31" s="542">
        <v>1.0999999999999999E-2</v>
      </c>
      <c r="L31" s="835">
        <f t="shared" si="4"/>
        <v>0</v>
      </c>
      <c r="M31" s="542">
        <v>0</v>
      </c>
      <c r="N31" s="1005">
        <f t="shared" si="5"/>
        <v>0</v>
      </c>
      <c r="O31" s="542">
        <v>45.595999999999997</v>
      </c>
      <c r="P31" s="841">
        <f t="shared" si="6"/>
        <v>45</v>
      </c>
      <c r="Q31" s="542">
        <v>81.61</v>
      </c>
      <c r="R31" s="841">
        <f t="shared" si="7"/>
        <v>82</v>
      </c>
      <c r="S31" s="542">
        <v>0.25</v>
      </c>
      <c r="T31" s="841">
        <f t="shared" si="8"/>
        <v>0</v>
      </c>
      <c r="U31" s="542">
        <v>78.319999999999993</v>
      </c>
      <c r="V31" s="841">
        <f t="shared" si="9"/>
        <v>78</v>
      </c>
      <c r="W31" s="542">
        <v>76.736999999999995</v>
      </c>
      <c r="X31" s="841">
        <f t="shared" si="10"/>
        <v>77</v>
      </c>
      <c r="Y31" s="550">
        <v>0.13100000000000001</v>
      </c>
      <c r="Z31" s="841">
        <f t="shared" si="11"/>
        <v>0</v>
      </c>
      <c r="AA31" s="575">
        <v>0</v>
      </c>
      <c r="AB31" s="575">
        <v>0</v>
      </c>
      <c r="AC31" s="575">
        <v>11.548</v>
      </c>
      <c r="AD31" s="578">
        <v>0.88800000000000001</v>
      </c>
      <c r="AE31" s="476">
        <v>8.6999999999999994E-2</v>
      </c>
      <c r="AF31" s="476">
        <v>0.48199999999999998</v>
      </c>
      <c r="AG31" s="476">
        <v>12.635</v>
      </c>
      <c r="AH31" s="483">
        <v>0.26900000000000002</v>
      </c>
    </row>
    <row r="32" spans="1:34" s="465" customFormat="1" ht="15" customHeight="1" thickBot="1">
      <c r="A32" s="485" t="s">
        <v>296</v>
      </c>
      <c r="B32" s="484" t="s">
        <v>53</v>
      </c>
      <c r="C32" s="542">
        <v>355.69299999999998</v>
      </c>
      <c r="D32" s="841">
        <f t="shared" si="0"/>
        <v>360</v>
      </c>
      <c r="E32" s="542">
        <v>9.4E-2</v>
      </c>
      <c r="F32" s="841">
        <f t="shared" si="1"/>
        <v>0</v>
      </c>
      <c r="G32" s="542">
        <v>0.01</v>
      </c>
      <c r="H32" s="835">
        <f t="shared" si="2"/>
        <v>0</v>
      </c>
      <c r="I32" s="579">
        <v>3.0000000000000001E-3</v>
      </c>
      <c r="J32" s="835">
        <f t="shared" si="3"/>
        <v>0</v>
      </c>
      <c r="K32" s="542">
        <v>0.01</v>
      </c>
      <c r="L32" s="835">
        <f t="shared" si="4"/>
        <v>0</v>
      </c>
      <c r="M32" s="542">
        <v>0</v>
      </c>
      <c r="N32" s="1005">
        <f t="shared" si="5"/>
        <v>0</v>
      </c>
      <c r="O32" s="542">
        <v>50.956000000000003</v>
      </c>
      <c r="P32" s="841">
        <f t="shared" si="6"/>
        <v>50</v>
      </c>
      <c r="Q32" s="542">
        <v>89.712999999999994</v>
      </c>
      <c r="R32" s="841">
        <f t="shared" si="7"/>
        <v>90</v>
      </c>
      <c r="S32" s="542">
        <v>0.115</v>
      </c>
      <c r="T32" s="841">
        <f t="shared" si="8"/>
        <v>0</v>
      </c>
      <c r="U32" s="542">
        <v>86.400999999999996</v>
      </c>
      <c r="V32" s="841">
        <f t="shared" si="9"/>
        <v>86</v>
      </c>
      <c r="W32" s="542">
        <v>85.090999999999994</v>
      </c>
      <c r="X32" s="841">
        <f t="shared" si="10"/>
        <v>85</v>
      </c>
      <c r="Y32" s="550">
        <v>5.1999999999999998E-2</v>
      </c>
      <c r="Z32" s="841">
        <f t="shared" si="11"/>
        <v>0</v>
      </c>
      <c r="AA32" s="575">
        <v>0</v>
      </c>
      <c r="AB32" s="575">
        <v>0</v>
      </c>
      <c r="AC32" s="575">
        <v>11.609</v>
      </c>
      <c r="AD32" s="578">
        <v>0.89300000000000002</v>
      </c>
      <c r="AE32" s="476">
        <v>0.27400000000000002</v>
      </c>
      <c r="AF32" s="476">
        <v>1.5229999999999999</v>
      </c>
      <c r="AG32" s="476">
        <v>21.114000000000001</v>
      </c>
      <c r="AH32" s="483">
        <v>0.44900000000000001</v>
      </c>
    </row>
    <row r="33" spans="1:34" s="465" customFormat="1" ht="15" customHeight="1" thickBot="1">
      <c r="A33" s="485" t="s">
        <v>296</v>
      </c>
      <c r="B33" s="484" t="s">
        <v>54</v>
      </c>
      <c r="C33" s="542">
        <v>358.91300000000001</v>
      </c>
      <c r="D33" s="841">
        <f t="shared" si="0"/>
        <v>360</v>
      </c>
      <c r="E33" s="542">
        <v>0.16700000000000001</v>
      </c>
      <c r="F33" s="841">
        <f t="shared" si="1"/>
        <v>0</v>
      </c>
      <c r="G33" s="542">
        <v>1.9E-2</v>
      </c>
      <c r="H33" s="835">
        <f t="shared" si="2"/>
        <v>0</v>
      </c>
      <c r="I33" s="579">
        <v>3.0000000000000001E-3</v>
      </c>
      <c r="J33" s="835">
        <f t="shared" si="3"/>
        <v>0</v>
      </c>
      <c r="K33" s="542">
        <v>1.2E-2</v>
      </c>
      <c r="L33" s="835">
        <f t="shared" si="4"/>
        <v>0</v>
      </c>
      <c r="M33" s="542">
        <v>0</v>
      </c>
      <c r="N33" s="1005">
        <f t="shared" si="5"/>
        <v>0</v>
      </c>
      <c r="O33" s="542">
        <v>52.908999999999999</v>
      </c>
      <c r="P33" s="841">
        <f t="shared" si="6"/>
        <v>55</v>
      </c>
      <c r="Q33" s="542">
        <v>90.888000000000005</v>
      </c>
      <c r="R33" s="841">
        <f t="shared" si="7"/>
        <v>91</v>
      </c>
      <c r="S33" s="542">
        <v>0.20599999999999999</v>
      </c>
      <c r="T33" s="841">
        <f t="shared" si="8"/>
        <v>0</v>
      </c>
      <c r="U33" s="542">
        <v>87.483999999999995</v>
      </c>
      <c r="V33" s="841">
        <f t="shared" si="9"/>
        <v>87</v>
      </c>
      <c r="W33" s="542">
        <v>86.224000000000004</v>
      </c>
      <c r="X33" s="841">
        <f t="shared" si="10"/>
        <v>86</v>
      </c>
      <c r="Y33" s="550">
        <v>0.13400000000000001</v>
      </c>
      <c r="Z33" s="841">
        <f t="shared" si="11"/>
        <v>0</v>
      </c>
      <c r="AA33" s="575">
        <v>0</v>
      </c>
      <c r="AB33" s="575">
        <v>0</v>
      </c>
      <c r="AC33" s="575">
        <v>11.893000000000001</v>
      </c>
      <c r="AD33" s="578">
        <v>0.91500000000000004</v>
      </c>
      <c r="AE33" s="476">
        <v>0.13200000000000001</v>
      </c>
      <c r="AF33" s="476">
        <v>0.73199999999999998</v>
      </c>
      <c r="AG33" s="476">
        <v>20.77</v>
      </c>
      <c r="AH33" s="483">
        <v>0.442</v>
      </c>
    </row>
    <row r="34" spans="1:34" s="465" customFormat="1" ht="15" customHeight="1" thickBot="1">
      <c r="A34" s="485" t="s">
        <v>296</v>
      </c>
      <c r="B34" s="484" t="s">
        <v>55</v>
      </c>
      <c r="C34" s="542">
        <v>462.04500000000002</v>
      </c>
      <c r="D34" s="841">
        <f t="shared" si="0"/>
        <v>460</v>
      </c>
      <c r="E34" s="542">
        <v>0.315</v>
      </c>
      <c r="F34" s="841">
        <f t="shared" si="1"/>
        <v>0</v>
      </c>
      <c r="G34" s="542">
        <v>3.5000000000000003E-2</v>
      </c>
      <c r="H34" s="835">
        <f t="shared" si="2"/>
        <v>0</v>
      </c>
      <c r="I34" s="579">
        <v>2E-3</v>
      </c>
      <c r="J34" s="835">
        <f t="shared" si="3"/>
        <v>0</v>
      </c>
      <c r="K34" s="542">
        <v>0</v>
      </c>
      <c r="L34" s="835">
        <f t="shared" si="4"/>
        <v>0</v>
      </c>
      <c r="M34" s="542">
        <v>0</v>
      </c>
      <c r="N34" s="1005">
        <f t="shared" si="5"/>
        <v>0</v>
      </c>
      <c r="O34" s="542">
        <v>60.401000000000003</v>
      </c>
      <c r="P34" s="841">
        <f t="shared" si="6"/>
        <v>60</v>
      </c>
      <c r="Q34" s="542">
        <v>110.64700000000001</v>
      </c>
      <c r="R34" s="841">
        <f t="shared" si="7"/>
        <v>111</v>
      </c>
      <c r="S34" s="542">
        <v>0.31</v>
      </c>
      <c r="T34" s="841">
        <f t="shared" si="8"/>
        <v>0</v>
      </c>
      <c r="U34" s="542">
        <v>51.834000000000003</v>
      </c>
      <c r="V34" s="841">
        <f t="shared" si="9"/>
        <v>52</v>
      </c>
      <c r="W34" s="542">
        <v>51.319000000000003</v>
      </c>
      <c r="X34" s="841">
        <f t="shared" si="10"/>
        <v>51</v>
      </c>
      <c r="Y34" s="550">
        <v>0.11899999999999999</v>
      </c>
      <c r="Z34" s="841">
        <f t="shared" si="11"/>
        <v>0</v>
      </c>
      <c r="AA34" s="575">
        <v>0</v>
      </c>
      <c r="AB34" s="575">
        <v>0</v>
      </c>
      <c r="AC34" s="575">
        <v>12.891999999999999</v>
      </c>
      <c r="AD34" s="578">
        <v>0.99199999999999999</v>
      </c>
      <c r="AE34" s="476">
        <v>5.8000000000000003E-2</v>
      </c>
      <c r="AF34" s="476">
        <v>0.32</v>
      </c>
      <c r="AG34" s="476">
        <v>22.384</v>
      </c>
      <c r="AH34" s="483">
        <v>0.47599999999999998</v>
      </c>
    </row>
    <row r="35" spans="1:34" s="465" customFormat="1" ht="15" customHeight="1" thickBot="1">
      <c r="A35" s="485" t="s">
        <v>296</v>
      </c>
      <c r="B35" s="484" t="s">
        <v>310</v>
      </c>
      <c r="C35" s="711">
        <v>364.33199999999999</v>
      </c>
      <c r="D35" s="841">
        <f t="shared" si="0"/>
        <v>360</v>
      </c>
      <c r="E35" s="711">
        <v>0</v>
      </c>
      <c r="F35" s="841">
        <f t="shared" si="1"/>
        <v>0</v>
      </c>
      <c r="G35" s="711">
        <v>0</v>
      </c>
      <c r="H35" s="835">
        <f t="shared" si="2"/>
        <v>0</v>
      </c>
      <c r="I35" s="694">
        <v>0</v>
      </c>
      <c r="J35" s="835">
        <f t="shared" si="3"/>
        <v>0</v>
      </c>
      <c r="K35" s="711">
        <v>0</v>
      </c>
      <c r="L35" s="835">
        <f t="shared" si="4"/>
        <v>0</v>
      </c>
      <c r="M35" s="711">
        <v>0</v>
      </c>
      <c r="N35" s="1005">
        <f t="shared" si="5"/>
        <v>0</v>
      </c>
      <c r="O35" s="711">
        <v>40.624000000000002</v>
      </c>
      <c r="P35" s="841">
        <f t="shared" si="6"/>
        <v>40</v>
      </c>
      <c r="Q35" s="711">
        <v>92.355999999999995</v>
      </c>
      <c r="R35" s="841">
        <f t="shared" si="7"/>
        <v>92</v>
      </c>
      <c r="S35" s="711">
        <v>0</v>
      </c>
      <c r="T35" s="841">
        <f t="shared" si="8"/>
        <v>0</v>
      </c>
      <c r="U35" s="711">
        <v>88.64</v>
      </c>
      <c r="V35" s="841">
        <f t="shared" si="9"/>
        <v>89</v>
      </c>
      <c r="W35" s="711">
        <v>88.64</v>
      </c>
      <c r="X35" s="841">
        <f t="shared" si="10"/>
        <v>89</v>
      </c>
      <c r="Y35" s="711">
        <v>0</v>
      </c>
      <c r="Z35" s="841">
        <f t="shared" si="11"/>
        <v>0</v>
      </c>
      <c r="AA35" s="694">
        <v>0</v>
      </c>
      <c r="AB35" s="694">
        <v>0</v>
      </c>
      <c r="AC35" s="694">
        <v>9.2210000000000001</v>
      </c>
      <c r="AD35" s="694">
        <v>0.70899999999999996</v>
      </c>
      <c r="AE35" s="712">
        <v>2.1000000000000001E-2</v>
      </c>
      <c r="AF35" s="712">
        <v>0.11600000000000001</v>
      </c>
      <c r="AG35" s="712">
        <v>9.2210000000000001</v>
      </c>
      <c r="AH35" s="712">
        <v>0.70899999999999996</v>
      </c>
    </row>
    <row r="36" spans="1:34" s="465" customFormat="1" ht="15" customHeight="1" thickBot="1">
      <c r="A36" s="485" t="s">
        <v>296</v>
      </c>
      <c r="B36" s="484" t="s">
        <v>336</v>
      </c>
      <c r="C36" s="711">
        <v>336.07400000000001</v>
      </c>
      <c r="D36" s="841">
        <f t="shared" si="0"/>
        <v>340</v>
      </c>
      <c r="E36" s="711">
        <v>0</v>
      </c>
      <c r="F36" s="841">
        <f t="shared" si="1"/>
        <v>0</v>
      </c>
      <c r="G36" s="711">
        <v>0</v>
      </c>
      <c r="H36" s="835">
        <f t="shared" si="2"/>
        <v>0</v>
      </c>
      <c r="I36" s="694">
        <v>0</v>
      </c>
      <c r="J36" s="835">
        <f t="shared" si="3"/>
        <v>0</v>
      </c>
      <c r="K36" s="711">
        <v>0</v>
      </c>
      <c r="L36" s="835">
        <f t="shared" si="4"/>
        <v>0</v>
      </c>
      <c r="M36" s="711">
        <v>0</v>
      </c>
      <c r="N36" s="1005">
        <f t="shared" si="5"/>
        <v>0</v>
      </c>
      <c r="O36" s="711">
        <v>41.048000000000002</v>
      </c>
      <c r="P36" s="841">
        <f t="shared" si="6"/>
        <v>40</v>
      </c>
      <c r="Q36" s="711">
        <v>83.488</v>
      </c>
      <c r="R36" s="841">
        <f t="shared" si="7"/>
        <v>83</v>
      </c>
      <c r="S36" s="711">
        <v>0</v>
      </c>
      <c r="T36" s="841">
        <f t="shared" si="8"/>
        <v>0</v>
      </c>
      <c r="U36" s="711">
        <v>81.341999999999999</v>
      </c>
      <c r="V36" s="841">
        <f t="shared" si="9"/>
        <v>81</v>
      </c>
      <c r="W36" s="711">
        <v>81.341999999999999</v>
      </c>
      <c r="X36" s="841">
        <f t="shared" si="10"/>
        <v>81</v>
      </c>
      <c r="Y36" s="711">
        <v>0</v>
      </c>
      <c r="Z36" s="841">
        <f t="shared" si="11"/>
        <v>0</v>
      </c>
      <c r="AA36" s="694">
        <v>0</v>
      </c>
      <c r="AB36" s="694">
        <v>0</v>
      </c>
      <c r="AC36" s="694">
        <v>9.3670000000000009</v>
      </c>
      <c r="AD36" s="694">
        <v>0.72099999999999997</v>
      </c>
      <c r="AE36" s="712">
        <v>1.7999999999999999E-2</v>
      </c>
      <c r="AF36" s="712">
        <v>9.7000000000000003E-2</v>
      </c>
      <c r="AG36" s="712">
        <v>0.73499999999999999</v>
      </c>
      <c r="AH36" s="712">
        <v>1.6E-2</v>
      </c>
    </row>
    <row r="37" spans="1:34" s="465" customFormat="1" ht="18.899999999999999" thickBot="1">
      <c r="A37" s="485" t="s">
        <v>296</v>
      </c>
      <c r="B37" s="484" t="s">
        <v>311</v>
      </c>
      <c r="C37" s="542">
        <v>302</v>
      </c>
      <c r="D37" s="841">
        <f t="shared" si="0"/>
        <v>300</v>
      </c>
      <c r="E37" s="542">
        <v>0</v>
      </c>
      <c r="F37" s="841">
        <f t="shared" si="1"/>
        <v>0</v>
      </c>
      <c r="G37" s="542">
        <v>0</v>
      </c>
      <c r="H37" s="835">
        <f t="shared" si="2"/>
        <v>0</v>
      </c>
      <c r="I37" s="579">
        <v>0</v>
      </c>
      <c r="J37" s="835">
        <f t="shared" si="3"/>
        <v>0</v>
      </c>
      <c r="K37" s="542">
        <v>0</v>
      </c>
      <c r="L37" s="835">
        <f t="shared" si="4"/>
        <v>0</v>
      </c>
      <c r="M37" s="542">
        <v>0</v>
      </c>
      <c r="N37" s="1005">
        <f t="shared" si="5"/>
        <v>0</v>
      </c>
      <c r="O37" s="542">
        <v>47.040999999999997</v>
      </c>
      <c r="P37" s="841">
        <f t="shared" si="6"/>
        <v>45</v>
      </c>
      <c r="Q37" s="542">
        <v>77.391999999999996</v>
      </c>
      <c r="R37" s="841">
        <f t="shared" si="7"/>
        <v>77</v>
      </c>
      <c r="S37" s="542">
        <v>0.19800000000000001</v>
      </c>
      <c r="T37" s="841">
        <f t="shared" si="8"/>
        <v>0</v>
      </c>
      <c r="U37" s="542">
        <v>75.185000000000002</v>
      </c>
      <c r="V37" s="841">
        <f t="shared" si="9"/>
        <v>75</v>
      </c>
      <c r="W37" s="542">
        <v>74.480999999999995</v>
      </c>
      <c r="X37" s="841">
        <f t="shared" si="10"/>
        <v>74</v>
      </c>
      <c r="Y37" s="550">
        <v>0.14000000000000001</v>
      </c>
      <c r="Z37" s="841">
        <f t="shared" si="11"/>
        <v>0</v>
      </c>
      <c r="AA37" s="575">
        <v>0</v>
      </c>
      <c r="AB37" s="575">
        <v>0</v>
      </c>
      <c r="AC37" s="575">
        <v>10.050000000000001</v>
      </c>
      <c r="AD37" s="578">
        <v>0.77300000000000002</v>
      </c>
      <c r="AE37" s="476">
        <v>7.5999999999999998E-2</v>
      </c>
      <c r="AF37" s="476">
        <v>0.42099999999999999</v>
      </c>
      <c r="AG37" s="476">
        <v>1.264</v>
      </c>
      <c r="AH37" s="483">
        <v>2.7E-2</v>
      </c>
    </row>
    <row r="38" spans="1:34" s="465" customFormat="1" ht="15" customHeight="1" thickBot="1">
      <c r="A38" s="485" t="s">
        <v>296</v>
      </c>
      <c r="B38" s="484" t="s">
        <v>58</v>
      </c>
      <c r="C38" s="542">
        <v>347.541</v>
      </c>
      <c r="D38" s="841">
        <f t="shared" si="0"/>
        <v>350</v>
      </c>
      <c r="E38" s="542">
        <v>7.72</v>
      </c>
      <c r="F38" s="841">
        <f t="shared" si="1"/>
        <v>10</v>
      </c>
      <c r="G38" s="542">
        <v>0.85799999999999998</v>
      </c>
      <c r="H38" s="835">
        <f t="shared" si="2"/>
        <v>1</v>
      </c>
      <c r="I38" s="579">
        <v>0</v>
      </c>
      <c r="J38" s="835">
        <f t="shared" si="3"/>
        <v>0</v>
      </c>
      <c r="K38" s="542">
        <v>0</v>
      </c>
      <c r="L38" s="835">
        <f t="shared" si="4"/>
        <v>0</v>
      </c>
      <c r="M38" s="542">
        <v>0</v>
      </c>
      <c r="N38" s="1005">
        <f t="shared" si="5"/>
        <v>0</v>
      </c>
      <c r="O38" s="542">
        <v>51.228999999999999</v>
      </c>
      <c r="P38" s="841">
        <f t="shared" si="6"/>
        <v>50</v>
      </c>
      <c r="Q38" s="542">
        <v>88.108000000000004</v>
      </c>
      <c r="R38" s="841">
        <f t="shared" si="7"/>
        <v>88</v>
      </c>
      <c r="S38" s="542">
        <v>0.16400000000000001</v>
      </c>
      <c r="T38" s="841">
        <f t="shared" si="8"/>
        <v>0</v>
      </c>
      <c r="U38" s="542">
        <v>84.525000000000006</v>
      </c>
      <c r="V38" s="841">
        <f t="shared" si="9"/>
        <v>85</v>
      </c>
      <c r="W38" s="542">
        <v>83.81</v>
      </c>
      <c r="X38" s="841">
        <f t="shared" si="10"/>
        <v>84</v>
      </c>
      <c r="Y38" s="550">
        <v>5.5E-2</v>
      </c>
      <c r="Z38" s="841">
        <f t="shared" si="11"/>
        <v>0</v>
      </c>
      <c r="AA38" s="575">
        <v>0</v>
      </c>
      <c r="AB38" s="580">
        <v>0</v>
      </c>
      <c r="AC38" s="575">
        <v>13.670999999999999</v>
      </c>
      <c r="AD38" s="578">
        <v>1.052</v>
      </c>
      <c r="AE38" s="476">
        <v>7.5999999999999998E-2</v>
      </c>
      <c r="AF38" s="476">
        <v>0.42499999999999999</v>
      </c>
      <c r="AG38" s="476">
        <v>1.4379999999999999</v>
      </c>
      <c r="AH38" s="483">
        <v>3.1E-2</v>
      </c>
    </row>
    <row r="39" spans="1:34" s="465" customFormat="1" ht="15" customHeight="1" thickBot="1">
      <c r="A39" s="485" t="s">
        <v>296</v>
      </c>
      <c r="B39" s="484" t="s">
        <v>59</v>
      </c>
      <c r="C39" s="542">
        <v>319.346</v>
      </c>
      <c r="D39" s="841">
        <f t="shared" si="0"/>
        <v>320</v>
      </c>
      <c r="E39" s="542">
        <v>0</v>
      </c>
      <c r="F39" s="841">
        <f t="shared" si="1"/>
        <v>0</v>
      </c>
      <c r="G39" s="542">
        <v>0</v>
      </c>
      <c r="H39" s="835">
        <f t="shared" si="2"/>
        <v>0</v>
      </c>
      <c r="I39" s="579">
        <v>0</v>
      </c>
      <c r="J39" s="835">
        <f t="shared" si="3"/>
        <v>0</v>
      </c>
      <c r="K39" s="542">
        <v>0</v>
      </c>
      <c r="L39" s="835">
        <f t="shared" si="4"/>
        <v>0</v>
      </c>
      <c r="M39" s="542">
        <v>0</v>
      </c>
      <c r="N39" s="1005">
        <f t="shared" si="5"/>
        <v>0</v>
      </c>
      <c r="O39" s="542">
        <v>50.012</v>
      </c>
      <c r="P39" s="841">
        <f t="shared" si="6"/>
        <v>50</v>
      </c>
      <c r="Q39" s="542">
        <v>79.718000000000004</v>
      </c>
      <c r="R39" s="841">
        <f t="shared" si="7"/>
        <v>80</v>
      </c>
      <c r="S39" s="542">
        <v>7.8E-2</v>
      </c>
      <c r="T39" s="841">
        <f t="shared" si="8"/>
        <v>0</v>
      </c>
      <c r="U39" s="542">
        <v>76.994</v>
      </c>
      <c r="V39" s="841">
        <f t="shared" si="9"/>
        <v>77</v>
      </c>
      <c r="W39" s="542">
        <v>75.668999999999997</v>
      </c>
      <c r="X39" s="841">
        <f t="shared" si="10"/>
        <v>76</v>
      </c>
      <c r="Y39" s="550">
        <v>5.6000000000000001E-2</v>
      </c>
      <c r="Z39" s="841">
        <f t="shared" si="11"/>
        <v>0</v>
      </c>
      <c r="AA39" s="575">
        <v>0</v>
      </c>
      <c r="AB39" s="580">
        <v>0</v>
      </c>
      <c r="AC39" s="575">
        <v>11.63</v>
      </c>
      <c r="AD39" s="578">
        <v>0.89500000000000002</v>
      </c>
      <c r="AE39" s="476">
        <v>0.39900000000000002</v>
      </c>
      <c r="AF39" s="476">
        <v>2.2160000000000002</v>
      </c>
      <c r="AG39" s="476">
        <v>17.611999999999998</v>
      </c>
      <c r="AH39" s="483">
        <v>0.375</v>
      </c>
    </row>
    <row r="40" spans="1:34" s="465" customFormat="1" ht="15" customHeight="1" thickBot="1">
      <c r="A40" s="485" t="s">
        <v>296</v>
      </c>
      <c r="B40" s="484" t="s">
        <v>60</v>
      </c>
      <c r="C40" s="542">
        <v>341.95299999999997</v>
      </c>
      <c r="D40" s="841">
        <f t="shared" si="0"/>
        <v>340</v>
      </c>
      <c r="E40" s="542">
        <v>3.4000000000000002E-2</v>
      </c>
      <c r="F40" s="841">
        <f t="shared" si="1"/>
        <v>0</v>
      </c>
      <c r="G40" s="579">
        <v>4.0000000000000001E-3</v>
      </c>
      <c r="H40" s="835">
        <f t="shared" si="2"/>
        <v>0</v>
      </c>
      <c r="I40" s="579">
        <v>4.0000000000000001E-3</v>
      </c>
      <c r="J40" s="835">
        <f t="shared" si="3"/>
        <v>0</v>
      </c>
      <c r="K40" s="542">
        <v>0</v>
      </c>
      <c r="L40" s="835">
        <f t="shared" si="4"/>
        <v>0</v>
      </c>
      <c r="M40" s="542">
        <v>0</v>
      </c>
      <c r="N40" s="1005">
        <f t="shared" si="5"/>
        <v>0</v>
      </c>
      <c r="O40" s="542">
        <v>50.429000000000002</v>
      </c>
      <c r="P40" s="841">
        <f t="shared" si="6"/>
        <v>50</v>
      </c>
      <c r="Q40" s="542">
        <v>86.82</v>
      </c>
      <c r="R40" s="841">
        <f t="shared" si="7"/>
        <v>87</v>
      </c>
      <c r="S40" s="542">
        <v>1.198</v>
      </c>
      <c r="T40" s="841">
        <f t="shared" si="8"/>
        <v>1</v>
      </c>
      <c r="U40" s="542">
        <v>82.311999999999998</v>
      </c>
      <c r="V40" s="841">
        <f t="shared" si="9"/>
        <v>82</v>
      </c>
      <c r="W40" s="542">
        <v>81.497</v>
      </c>
      <c r="X40" s="841">
        <f t="shared" si="10"/>
        <v>81</v>
      </c>
      <c r="Y40" s="550">
        <v>0.41799999999999998</v>
      </c>
      <c r="Z40" s="841">
        <f t="shared" si="11"/>
        <v>0</v>
      </c>
      <c r="AA40" s="575">
        <v>0</v>
      </c>
      <c r="AB40" s="575">
        <v>0</v>
      </c>
      <c r="AC40" s="575">
        <v>14.159000000000001</v>
      </c>
      <c r="AD40" s="578">
        <v>1.089</v>
      </c>
      <c r="AE40" s="476">
        <v>0.15</v>
      </c>
      <c r="AF40" s="476">
        <v>0.83399999999999996</v>
      </c>
      <c r="AG40" s="476">
        <v>34.601999999999997</v>
      </c>
      <c r="AH40" s="483">
        <v>0.73599999999999999</v>
      </c>
    </row>
    <row r="41" spans="1:34" s="465" customFormat="1" ht="15" customHeight="1" thickBot="1">
      <c r="A41" s="485" t="s">
        <v>296</v>
      </c>
      <c r="B41" s="484" t="s">
        <v>61</v>
      </c>
      <c r="C41" s="552">
        <v>235.488</v>
      </c>
      <c r="D41" s="841">
        <f t="shared" si="0"/>
        <v>240</v>
      </c>
      <c r="E41" s="552">
        <v>0.67100000000000004</v>
      </c>
      <c r="F41" s="841">
        <f t="shared" si="1"/>
        <v>0</v>
      </c>
      <c r="G41" s="552">
        <v>7.3999999999999996E-2</v>
      </c>
      <c r="H41" s="835">
        <f t="shared" si="2"/>
        <v>0</v>
      </c>
      <c r="I41" s="552">
        <v>3.0000000000000001E-3</v>
      </c>
      <c r="J41" s="835">
        <f t="shared" si="3"/>
        <v>0</v>
      </c>
      <c r="K41" s="552">
        <v>0</v>
      </c>
      <c r="L41" s="835">
        <f t="shared" si="4"/>
        <v>0</v>
      </c>
      <c r="M41" s="552">
        <v>0</v>
      </c>
      <c r="N41" s="1005">
        <f t="shared" si="5"/>
        <v>0</v>
      </c>
      <c r="O41" s="552">
        <v>42.369</v>
      </c>
      <c r="P41" s="841">
        <f t="shared" si="6"/>
        <v>40</v>
      </c>
      <c r="Q41" s="552">
        <v>60.743000000000002</v>
      </c>
      <c r="R41" s="841">
        <f t="shared" si="7"/>
        <v>61</v>
      </c>
      <c r="S41" s="552">
        <v>0.28699999999999998</v>
      </c>
      <c r="T41" s="841">
        <f t="shared" si="8"/>
        <v>0</v>
      </c>
      <c r="U41" s="552">
        <v>57.555</v>
      </c>
      <c r="V41" s="841">
        <f t="shared" si="9"/>
        <v>58</v>
      </c>
      <c r="W41" s="552">
        <v>56.798999999999999</v>
      </c>
      <c r="X41" s="841">
        <f t="shared" si="10"/>
        <v>57</v>
      </c>
      <c r="Y41" s="552">
        <v>0.17799999999999999</v>
      </c>
      <c r="Z41" s="841">
        <f t="shared" si="11"/>
        <v>0</v>
      </c>
      <c r="AA41" s="1135">
        <v>0</v>
      </c>
      <c r="AB41" s="1135">
        <v>0</v>
      </c>
      <c r="AC41" s="1135">
        <v>13.83</v>
      </c>
      <c r="AD41" s="1135">
        <v>1.0640000000000001</v>
      </c>
      <c r="AE41" s="1135">
        <v>6.8000000000000005E-2</v>
      </c>
      <c r="AF41" s="1135">
        <v>0.378</v>
      </c>
      <c r="AG41" s="1135">
        <v>39.316000000000003</v>
      </c>
      <c r="AH41" s="1135">
        <v>0.83699999999999997</v>
      </c>
    </row>
    <row r="42" spans="1:34" s="465" customFormat="1" ht="15" customHeight="1" thickBot="1">
      <c r="A42" s="485" t="s">
        <v>296</v>
      </c>
      <c r="B42" s="484" t="s">
        <v>312</v>
      </c>
      <c r="C42" s="713">
        <v>297.608</v>
      </c>
      <c r="D42" s="841">
        <f t="shared" si="0"/>
        <v>300</v>
      </c>
      <c r="E42" s="713">
        <v>0.17699999999999999</v>
      </c>
      <c r="F42" s="841">
        <f t="shared" si="1"/>
        <v>0</v>
      </c>
      <c r="G42" s="713">
        <v>0.02</v>
      </c>
      <c r="H42" s="835">
        <f t="shared" si="2"/>
        <v>0</v>
      </c>
      <c r="I42" s="713">
        <v>0</v>
      </c>
      <c r="J42" s="835">
        <f t="shared" si="3"/>
        <v>0</v>
      </c>
      <c r="K42" s="713">
        <v>0</v>
      </c>
      <c r="L42" s="835">
        <f t="shared" si="4"/>
        <v>0</v>
      </c>
      <c r="M42" s="713">
        <v>0</v>
      </c>
      <c r="N42" s="1005">
        <f t="shared" si="5"/>
        <v>0</v>
      </c>
      <c r="O42" s="713">
        <v>46.658000000000001</v>
      </c>
      <c r="P42" s="841">
        <f t="shared" si="6"/>
        <v>45</v>
      </c>
      <c r="Q42" s="713">
        <v>76.009</v>
      </c>
      <c r="R42" s="841">
        <f t="shared" si="7"/>
        <v>76</v>
      </c>
      <c r="S42" s="713">
        <v>3.7999999999999999E-2</v>
      </c>
      <c r="T42" s="841">
        <f t="shared" si="8"/>
        <v>0</v>
      </c>
      <c r="U42" s="713">
        <v>72.960999999999999</v>
      </c>
      <c r="V42" s="841">
        <f t="shared" si="9"/>
        <v>73</v>
      </c>
      <c r="W42" s="713">
        <v>72.757000000000005</v>
      </c>
      <c r="X42" s="841">
        <f t="shared" si="10"/>
        <v>73</v>
      </c>
      <c r="Y42" s="717">
        <v>5.0999999999999997E-2</v>
      </c>
      <c r="Z42" s="841">
        <f t="shared" si="11"/>
        <v>0</v>
      </c>
      <c r="AA42" s="718">
        <v>0</v>
      </c>
      <c r="AB42" s="718">
        <v>0</v>
      </c>
      <c r="AC42" s="718">
        <v>12.37</v>
      </c>
      <c r="AD42" s="715">
        <v>0.95199999999999996</v>
      </c>
      <c r="AE42" s="716">
        <v>5.3999999999999999E-2</v>
      </c>
      <c r="AF42" s="716">
        <v>0.30199999999999999</v>
      </c>
      <c r="AG42" s="716">
        <v>14.715999999999999</v>
      </c>
      <c r="AH42" s="719">
        <v>0.313</v>
      </c>
    </row>
    <row r="43" spans="1:34" s="465" customFormat="1" ht="15" customHeight="1" thickBot="1">
      <c r="A43" s="485" t="s">
        <v>296</v>
      </c>
      <c r="B43" s="484" t="s">
        <v>64</v>
      </c>
      <c r="C43" s="713">
        <v>331.67899999999997</v>
      </c>
      <c r="D43" s="841">
        <f t="shared" si="0"/>
        <v>330</v>
      </c>
      <c r="E43" s="713">
        <v>0</v>
      </c>
      <c r="F43" s="841">
        <f t="shared" si="1"/>
        <v>0</v>
      </c>
      <c r="G43" s="713">
        <v>0</v>
      </c>
      <c r="H43" s="835">
        <f t="shared" si="2"/>
        <v>0</v>
      </c>
      <c r="I43" s="713">
        <v>0</v>
      </c>
      <c r="J43" s="835">
        <f t="shared" si="3"/>
        <v>0</v>
      </c>
      <c r="K43" s="713">
        <v>0</v>
      </c>
      <c r="L43" s="835">
        <f t="shared" si="4"/>
        <v>0</v>
      </c>
      <c r="M43" s="713">
        <v>0</v>
      </c>
      <c r="N43" s="1005">
        <f t="shared" si="5"/>
        <v>0</v>
      </c>
      <c r="O43" s="713">
        <v>51.594999999999999</v>
      </c>
      <c r="P43" s="841">
        <f t="shared" si="6"/>
        <v>50</v>
      </c>
      <c r="Q43" s="713">
        <v>83.802999999999997</v>
      </c>
      <c r="R43" s="841">
        <f t="shared" si="7"/>
        <v>84</v>
      </c>
      <c r="S43" s="713">
        <v>2.7E-2</v>
      </c>
      <c r="T43" s="841">
        <f t="shared" si="8"/>
        <v>0</v>
      </c>
      <c r="U43" s="713">
        <v>81.405000000000001</v>
      </c>
      <c r="V43" s="841">
        <f t="shared" si="9"/>
        <v>81</v>
      </c>
      <c r="W43" s="713">
        <v>81.405000000000001</v>
      </c>
      <c r="X43" s="841">
        <f t="shared" si="10"/>
        <v>81</v>
      </c>
      <c r="Y43" s="717">
        <v>0</v>
      </c>
      <c r="Z43" s="841">
        <f t="shared" si="11"/>
        <v>0</v>
      </c>
      <c r="AA43" s="718">
        <v>0</v>
      </c>
      <c r="AB43" s="718">
        <v>0</v>
      </c>
      <c r="AC43" s="718">
        <v>11.965999999999999</v>
      </c>
      <c r="AD43" s="715">
        <v>0.92</v>
      </c>
      <c r="AE43" s="716">
        <v>7.5999999999999998E-2</v>
      </c>
      <c r="AF43" s="716">
        <v>0.42099999999999999</v>
      </c>
      <c r="AG43" s="716">
        <v>25.992999999999999</v>
      </c>
      <c r="AH43" s="719">
        <v>0.55300000000000005</v>
      </c>
    </row>
    <row r="44" spans="1:34" s="465" customFormat="1" ht="15" customHeight="1" thickBot="1">
      <c r="A44" s="485" t="s">
        <v>296</v>
      </c>
      <c r="B44" s="484" t="s">
        <v>313</v>
      </c>
      <c r="C44" s="713">
        <v>282.40199999999999</v>
      </c>
      <c r="D44" s="841">
        <f t="shared" si="0"/>
        <v>280</v>
      </c>
      <c r="E44" s="713">
        <v>0</v>
      </c>
      <c r="F44" s="841">
        <f t="shared" si="1"/>
        <v>0</v>
      </c>
      <c r="G44" s="713">
        <v>0</v>
      </c>
      <c r="H44" s="835">
        <f t="shared" si="2"/>
        <v>0</v>
      </c>
      <c r="I44" s="713">
        <v>0</v>
      </c>
      <c r="J44" s="835">
        <f t="shared" si="3"/>
        <v>0</v>
      </c>
      <c r="K44" s="713">
        <v>0</v>
      </c>
      <c r="L44" s="835">
        <f t="shared" si="4"/>
        <v>0</v>
      </c>
      <c r="M44" s="713">
        <v>0</v>
      </c>
      <c r="N44" s="1005">
        <f t="shared" si="5"/>
        <v>0</v>
      </c>
      <c r="O44" s="713">
        <v>41.222999999999999</v>
      </c>
      <c r="P44" s="841">
        <f t="shared" si="6"/>
        <v>40</v>
      </c>
      <c r="Q44" s="713">
        <v>71.289000000000001</v>
      </c>
      <c r="R44" s="841">
        <f t="shared" si="7"/>
        <v>71</v>
      </c>
      <c r="S44" s="713">
        <v>0</v>
      </c>
      <c r="T44" s="841">
        <f t="shared" si="8"/>
        <v>0</v>
      </c>
      <c r="U44" s="713">
        <v>68.480999999999995</v>
      </c>
      <c r="V44" s="841">
        <f t="shared" si="9"/>
        <v>68</v>
      </c>
      <c r="W44" s="713">
        <v>68.480999999999995</v>
      </c>
      <c r="X44" s="841">
        <f t="shared" si="10"/>
        <v>68</v>
      </c>
      <c r="Y44" s="717">
        <v>0</v>
      </c>
      <c r="Z44" s="841">
        <f t="shared" si="11"/>
        <v>0</v>
      </c>
      <c r="AA44" s="718">
        <v>0</v>
      </c>
      <c r="AB44" s="718">
        <v>0</v>
      </c>
      <c r="AC44" s="718">
        <v>9.7309999999999999</v>
      </c>
      <c r="AD44" s="715">
        <v>0.749</v>
      </c>
      <c r="AE44" s="716">
        <v>1.2E-2</v>
      </c>
      <c r="AF44" s="716">
        <v>6.9000000000000006E-2</v>
      </c>
      <c r="AG44" s="716">
        <v>0.51800000000000002</v>
      </c>
      <c r="AH44" s="719">
        <v>1.0999999999999999E-2</v>
      </c>
    </row>
    <row r="45" spans="1:34" s="465" customFormat="1" ht="15" customHeight="1" thickBot="1">
      <c r="A45" s="485" t="s">
        <v>296</v>
      </c>
      <c r="B45" s="484" t="s">
        <v>65</v>
      </c>
      <c r="C45" s="542">
        <v>363.685</v>
      </c>
      <c r="D45" s="841">
        <f t="shared" si="0"/>
        <v>360</v>
      </c>
      <c r="E45" s="542">
        <v>0</v>
      </c>
      <c r="F45" s="841">
        <f t="shared" si="1"/>
        <v>0</v>
      </c>
      <c r="G45" s="542">
        <v>0</v>
      </c>
      <c r="H45" s="835">
        <f t="shared" si="2"/>
        <v>0</v>
      </c>
      <c r="I45" s="542">
        <v>0</v>
      </c>
      <c r="J45" s="835">
        <f t="shared" si="3"/>
        <v>0</v>
      </c>
      <c r="K45" s="542">
        <v>0</v>
      </c>
      <c r="L45" s="835">
        <f t="shared" si="4"/>
        <v>0</v>
      </c>
      <c r="M45" s="542">
        <v>0</v>
      </c>
      <c r="N45" s="1005">
        <f t="shared" si="5"/>
        <v>0</v>
      </c>
      <c r="O45" s="542">
        <v>52.030999999999999</v>
      </c>
      <c r="P45" s="841">
        <f t="shared" si="6"/>
        <v>50</v>
      </c>
      <c r="Q45" s="542">
        <v>91.906999999999996</v>
      </c>
      <c r="R45" s="841">
        <f t="shared" si="7"/>
        <v>92</v>
      </c>
      <c r="S45" s="542">
        <v>0</v>
      </c>
      <c r="T45" s="841">
        <f t="shared" si="8"/>
        <v>0</v>
      </c>
      <c r="U45" s="542">
        <v>86.512</v>
      </c>
      <c r="V45" s="841">
        <f t="shared" si="9"/>
        <v>87</v>
      </c>
      <c r="W45" s="542">
        <v>86.512</v>
      </c>
      <c r="X45" s="841">
        <f t="shared" si="10"/>
        <v>87</v>
      </c>
      <c r="Y45" s="550">
        <v>0</v>
      </c>
      <c r="Z45" s="841">
        <f t="shared" si="11"/>
        <v>0</v>
      </c>
      <c r="AA45" s="575">
        <v>0</v>
      </c>
      <c r="AB45" s="575">
        <v>0</v>
      </c>
      <c r="AC45" s="575">
        <v>9.3829999999999991</v>
      </c>
      <c r="AD45" s="578">
        <v>0.72199999999999998</v>
      </c>
      <c r="AE45" s="476">
        <v>2.9000000000000001E-2</v>
      </c>
      <c r="AF45" s="476">
        <v>0.16</v>
      </c>
      <c r="AG45" s="476">
        <v>1.1850000000000001</v>
      </c>
      <c r="AH45" s="483">
        <v>2.5000000000000001E-2</v>
      </c>
    </row>
    <row r="46" spans="1:34" s="465" customFormat="1" ht="15" customHeight="1" thickBot="1">
      <c r="A46" s="485" t="s">
        <v>296</v>
      </c>
      <c r="B46" s="484" t="s">
        <v>314</v>
      </c>
      <c r="C46" s="533">
        <v>367.37200000000001</v>
      </c>
      <c r="D46" s="841">
        <f t="shared" si="0"/>
        <v>370</v>
      </c>
      <c r="E46" s="533">
        <v>0</v>
      </c>
      <c r="F46" s="841">
        <f t="shared" si="1"/>
        <v>0</v>
      </c>
      <c r="G46" s="533">
        <v>0</v>
      </c>
      <c r="H46" s="835">
        <f t="shared" si="2"/>
        <v>0</v>
      </c>
      <c r="I46" s="533">
        <v>0</v>
      </c>
      <c r="J46" s="835">
        <f t="shared" si="3"/>
        <v>0</v>
      </c>
      <c r="K46" s="533">
        <v>0</v>
      </c>
      <c r="L46" s="835">
        <f t="shared" si="4"/>
        <v>0</v>
      </c>
      <c r="M46" s="533">
        <v>0</v>
      </c>
      <c r="N46" s="1005">
        <f t="shared" si="5"/>
        <v>0</v>
      </c>
      <c r="O46" s="533">
        <v>40.572000000000003</v>
      </c>
      <c r="P46" s="841">
        <f t="shared" si="6"/>
        <v>40</v>
      </c>
      <c r="Q46" s="533">
        <v>91.74</v>
      </c>
      <c r="R46" s="841">
        <f t="shared" si="7"/>
        <v>92</v>
      </c>
      <c r="S46" s="533">
        <v>6.7000000000000004E-2</v>
      </c>
      <c r="T46" s="841">
        <f t="shared" si="8"/>
        <v>0</v>
      </c>
      <c r="U46" s="533">
        <v>86.494</v>
      </c>
      <c r="V46" s="841">
        <f t="shared" si="9"/>
        <v>86</v>
      </c>
      <c r="W46" s="533">
        <v>86.494</v>
      </c>
      <c r="X46" s="841">
        <f t="shared" si="10"/>
        <v>86</v>
      </c>
      <c r="Y46" s="533">
        <v>8.0000000000000002E-3</v>
      </c>
      <c r="Z46" s="841">
        <f t="shared" si="11"/>
        <v>0</v>
      </c>
      <c r="AA46" s="554">
        <v>0</v>
      </c>
      <c r="AB46" s="554">
        <v>0</v>
      </c>
      <c r="AC46" s="554">
        <v>9.4570000000000007</v>
      </c>
      <c r="AD46" s="554">
        <v>0.72699999999999998</v>
      </c>
      <c r="AE46" s="512">
        <v>2.1000000000000001E-2</v>
      </c>
      <c r="AF46" s="512">
        <v>0.11799999999999999</v>
      </c>
      <c r="AG46" s="512">
        <v>1.4670000000000001</v>
      </c>
      <c r="AH46" s="512">
        <v>3.1E-2</v>
      </c>
    </row>
    <row r="47" spans="1:34" s="465" customFormat="1" ht="15" customHeight="1" thickBot="1">
      <c r="A47" s="485" t="s">
        <v>296</v>
      </c>
      <c r="B47" s="484" t="s">
        <v>66</v>
      </c>
      <c r="C47" s="542">
        <v>368.44099999999997</v>
      </c>
      <c r="D47" s="841">
        <f t="shared" si="0"/>
        <v>370</v>
      </c>
      <c r="E47" s="542">
        <v>0.11600000000000001</v>
      </c>
      <c r="F47" s="841">
        <f t="shared" si="1"/>
        <v>0</v>
      </c>
      <c r="G47" s="542">
        <v>1.2999999999999999E-2</v>
      </c>
      <c r="H47" s="835">
        <f t="shared" si="2"/>
        <v>0</v>
      </c>
      <c r="I47" s="542">
        <v>0</v>
      </c>
      <c r="J47" s="835">
        <f t="shared" si="3"/>
        <v>0</v>
      </c>
      <c r="K47" s="542">
        <v>0</v>
      </c>
      <c r="L47" s="835">
        <f t="shared" si="4"/>
        <v>0</v>
      </c>
      <c r="M47" s="542">
        <v>0</v>
      </c>
      <c r="N47" s="1005">
        <f t="shared" si="5"/>
        <v>0</v>
      </c>
      <c r="O47" s="542">
        <v>52.832000000000001</v>
      </c>
      <c r="P47" s="841">
        <f t="shared" si="6"/>
        <v>55</v>
      </c>
      <c r="Q47" s="542">
        <v>92.86</v>
      </c>
      <c r="R47" s="841">
        <f t="shared" si="7"/>
        <v>93</v>
      </c>
      <c r="S47" s="542">
        <v>0.251</v>
      </c>
      <c r="T47" s="841">
        <f t="shared" si="8"/>
        <v>0</v>
      </c>
      <c r="U47" s="542">
        <v>90.161000000000001</v>
      </c>
      <c r="V47" s="841">
        <f t="shared" si="9"/>
        <v>90</v>
      </c>
      <c r="W47" s="542">
        <v>88.93</v>
      </c>
      <c r="X47" s="841">
        <f t="shared" si="10"/>
        <v>89</v>
      </c>
      <c r="Y47" s="550">
        <v>0.22700000000000001</v>
      </c>
      <c r="Z47" s="841">
        <f t="shared" si="11"/>
        <v>0</v>
      </c>
      <c r="AA47" s="575">
        <v>0</v>
      </c>
      <c r="AB47" s="575">
        <v>0</v>
      </c>
      <c r="AC47" s="575">
        <v>11.917999999999999</v>
      </c>
      <c r="AD47" s="578">
        <v>0.91700000000000004</v>
      </c>
      <c r="AE47" s="476">
        <v>0.156</v>
      </c>
      <c r="AF47" s="476">
        <v>0.86599999999999999</v>
      </c>
      <c r="AG47" s="476">
        <v>15.69</v>
      </c>
      <c r="AH47" s="483">
        <v>0.33400000000000002</v>
      </c>
    </row>
    <row r="48" spans="1:34" s="465" customFormat="1" ht="15" customHeight="1" thickBot="1">
      <c r="A48" s="485" t="s">
        <v>296</v>
      </c>
      <c r="B48" s="484" t="s">
        <v>67</v>
      </c>
      <c r="C48" s="542">
        <v>365.85300000000001</v>
      </c>
      <c r="D48" s="841">
        <f t="shared" si="0"/>
        <v>370</v>
      </c>
      <c r="E48" s="542">
        <v>2.4E-2</v>
      </c>
      <c r="F48" s="841">
        <f t="shared" si="1"/>
        <v>0</v>
      </c>
      <c r="G48" s="542">
        <v>3.0000000000000001E-3</v>
      </c>
      <c r="H48" s="835">
        <f t="shared" si="2"/>
        <v>0</v>
      </c>
      <c r="I48" s="542">
        <v>0</v>
      </c>
      <c r="J48" s="835">
        <f t="shared" si="3"/>
        <v>0</v>
      </c>
      <c r="K48" s="542">
        <v>0</v>
      </c>
      <c r="L48" s="835">
        <f t="shared" si="4"/>
        <v>0</v>
      </c>
      <c r="M48" s="542">
        <v>0</v>
      </c>
      <c r="N48" s="1005">
        <f t="shared" si="5"/>
        <v>0</v>
      </c>
      <c r="O48" s="542">
        <v>51.756</v>
      </c>
      <c r="P48" s="841">
        <f t="shared" si="6"/>
        <v>50</v>
      </c>
      <c r="Q48" s="542">
        <v>92.519000000000005</v>
      </c>
      <c r="R48" s="841">
        <f t="shared" si="7"/>
        <v>93</v>
      </c>
      <c r="S48" s="542">
        <v>0.1</v>
      </c>
      <c r="T48" s="841">
        <f t="shared" si="8"/>
        <v>0</v>
      </c>
      <c r="U48" s="542">
        <v>89.715000000000003</v>
      </c>
      <c r="V48" s="841">
        <f t="shared" si="9"/>
        <v>90</v>
      </c>
      <c r="W48" s="542">
        <v>89.212000000000003</v>
      </c>
      <c r="X48" s="841">
        <f t="shared" si="10"/>
        <v>89</v>
      </c>
      <c r="Y48" s="550">
        <v>0.111</v>
      </c>
      <c r="Z48" s="841">
        <f t="shared" si="11"/>
        <v>0</v>
      </c>
      <c r="AA48" s="575">
        <v>0</v>
      </c>
      <c r="AB48" s="575">
        <v>0</v>
      </c>
      <c r="AC48" s="575">
        <v>11.631</v>
      </c>
      <c r="AD48" s="578">
        <v>0.89500000000000002</v>
      </c>
      <c r="AE48" s="476">
        <v>9.0999999999999998E-2</v>
      </c>
      <c r="AF48" s="476">
        <v>0.50700000000000001</v>
      </c>
      <c r="AG48" s="476">
        <v>3.4159999999999999</v>
      </c>
      <c r="AH48" s="483">
        <v>7.2999999999999995E-2</v>
      </c>
    </row>
    <row r="49" spans="1:36" s="465" customFormat="1" ht="15" customHeight="1" thickBot="1">
      <c r="A49" s="485" t="s">
        <v>296</v>
      </c>
      <c r="B49" s="484" t="s">
        <v>68</v>
      </c>
      <c r="C49" s="542">
        <v>313.57</v>
      </c>
      <c r="D49" s="841">
        <f t="shared" si="0"/>
        <v>310</v>
      </c>
      <c r="E49" s="542">
        <v>0.28399999999999997</v>
      </c>
      <c r="F49" s="841">
        <f t="shared" si="1"/>
        <v>0</v>
      </c>
      <c r="G49" s="542">
        <v>3.2000000000000001E-2</v>
      </c>
      <c r="H49" s="835">
        <f t="shared" si="2"/>
        <v>0</v>
      </c>
      <c r="I49" s="542">
        <v>1E-3</v>
      </c>
      <c r="J49" s="835">
        <f t="shared" si="3"/>
        <v>0</v>
      </c>
      <c r="K49" s="542">
        <v>0</v>
      </c>
      <c r="L49" s="835">
        <f t="shared" si="4"/>
        <v>0</v>
      </c>
      <c r="M49" s="542">
        <v>0</v>
      </c>
      <c r="N49" s="1005">
        <f t="shared" si="5"/>
        <v>0</v>
      </c>
      <c r="O49" s="542">
        <v>47.265999999999998</v>
      </c>
      <c r="P49" s="841">
        <f t="shared" si="6"/>
        <v>45</v>
      </c>
      <c r="Q49" s="542">
        <v>79.882000000000005</v>
      </c>
      <c r="R49" s="841">
        <f t="shared" si="7"/>
        <v>80</v>
      </c>
      <c r="S49" s="542">
        <v>0.22600000000000001</v>
      </c>
      <c r="T49" s="841">
        <f t="shared" si="8"/>
        <v>0</v>
      </c>
      <c r="U49" s="542">
        <v>76.296000000000006</v>
      </c>
      <c r="V49" s="841">
        <f t="shared" si="9"/>
        <v>76</v>
      </c>
      <c r="W49" s="542">
        <v>75.366</v>
      </c>
      <c r="X49" s="841">
        <f t="shared" si="10"/>
        <v>75</v>
      </c>
      <c r="Y49" s="550">
        <v>0.19500000000000001</v>
      </c>
      <c r="Z49" s="841">
        <f t="shared" si="11"/>
        <v>0</v>
      </c>
      <c r="AA49" s="575">
        <v>0</v>
      </c>
      <c r="AB49" s="575">
        <v>0</v>
      </c>
      <c r="AC49" s="575">
        <v>13.026</v>
      </c>
      <c r="AD49" s="578">
        <v>1.002</v>
      </c>
      <c r="AE49" s="476">
        <v>0.106</v>
      </c>
      <c r="AF49" s="476">
        <v>0.59099999999999997</v>
      </c>
      <c r="AG49" s="476">
        <v>24.702999999999999</v>
      </c>
      <c r="AH49" s="483">
        <v>0.52600000000000002</v>
      </c>
    </row>
    <row r="50" spans="1:36" s="465" customFormat="1" ht="15" customHeight="1" thickBot="1">
      <c r="A50" s="485" t="s">
        <v>296</v>
      </c>
      <c r="B50" s="484" t="s">
        <v>69</v>
      </c>
      <c r="C50" s="542">
        <v>360.38299999999998</v>
      </c>
      <c r="D50" s="841">
        <f t="shared" si="0"/>
        <v>360</v>
      </c>
      <c r="E50" s="542">
        <v>0.29799999999999999</v>
      </c>
      <c r="F50" s="841">
        <f t="shared" si="1"/>
        <v>0</v>
      </c>
      <c r="G50" s="542">
        <v>3.3000000000000002E-2</v>
      </c>
      <c r="H50" s="835">
        <f t="shared" si="2"/>
        <v>0</v>
      </c>
      <c r="I50" s="542">
        <v>1E-3</v>
      </c>
      <c r="J50" s="835">
        <f t="shared" si="3"/>
        <v>0</v>
      </c>
      <c r="K50" s="542">
        <v>0</v>
      </c>
      <c r="L50" s="835">
        <f t="shared" si="4"/>
        <v>0</v>
      </c>
      <c r="M50" s="542">
        <v>0</v>
      </c>
      <c r="N50" s="1005">
        <f t="shared" si="5"/>
        <v>0</v>
      </c>
      <c r="O50" s="542">
        <v>58.722999999999999</v>
      </c>
      <c r="P50" s="841">
        <f t="shared" si="6"/>
        <v>60</v>
      </c>
      <c r="Q50" s="542">
        <v>91.564999999999998</v>
      </c>
      <c r="R50" s="841">
        <f t="shared" si="7"/>
        <v>92</v>
      </c>
      <c r="S50" s="542">
        <v>0.249</v>
      </c>
      <c r="T50" s="841">
        <f t="shared" si="8"/>
        <v>0</v>
      </c>
      <c r="U50" s="542">
        <v>87.64</v>
      </c>
      <c r="V50" s="841">
        <f t="shared" si="9"/>
        <v>88</v>
      </c>
      <c r="W50" s="542">
        <v>86.718999999999994</v>
      </c>
      <c r="X50" s="841">
        <f t="shared" si="10"/>
        <v>87</v>
      </c>
      <c r="Y50" s="550">
        <v>0.20399999999999999</v>
      </c>
      <c r="Z50" s="841">
        <f t="shared" si="11"/>
        <v>0</v>
      </c>
      <c r="AA50" s="575">
        <v>0</v>
      </c>
      <c r="AB50" s="575">
        <v>0</v>
      </c>
      <c r="AC50" s="575">
        <v>13.259</v>
      </c>
      <c r="AD50" s="578">
        <v>1.02</v>
      </c>
      <c r="AE50" s="476">
        <v>9.2999999999999999E-2</v>
      </c>
      <c r="AF50" s="476">
        <v>0.51800000000000002</v>
      </c>
      <c r="AG50" s="476">
        <v>22.753</v>
      </c>
      <c r="AH50" s="483">
        <v>0.48399999999999999</v>
      </c>
    </row>
    <row r="51" spans="1:36" s="723" customFormat="1" ht="15" customHeight="1" thickBot="1">
      <c r="A51" s="485" t="s">
        <v>296</v>
      </c>
      <c r="B51" s="484" t="s">
        <v>71</v>
      </c>
      <c r="C51" s="713">
        <v>347.02</v>
      </c>
      <c r="D51" s="841">
        <f t="shared" si="0"/>
        <v>350</v>
      </c>
      <c r="E51" s="713">
        <v>0.13400000000000001</v>
      </c>
      <c r="F51" s="841">
        <f t="shared" si="1"/>
        <v>0</v>
      </c>
      <c r="G51" s="713">
        <v>1.4999999999999999E-2</v>
      </c>
      <c r="H51" s="835">
        <f t="shared" si="2"/>
        <v>0</v>
      </c>
      <c r="I51" s="713">
        <v>1E-3</v>
      </c>
      <c r="J51" s="835">
        <f t="shared" si="3"/>
        <v>0</v>
      </c>
      <c r="K51" s="713">
        <v>3.0000000000000001E-3</v>
      </c>
      <c r="L51" s="835">
        <f t="shared" si="4"/>
        <v>0</v>
      </c>
      <c r="M51" s="713">
        <v>0</v>
      </c>
      <c r="N51" s="1005">
        <f t="shared" si="5"/>
        <v>0</v>
      </c>
      <c r="O51" s="713">
        <v>52.917000000000002</v>
      </c>
      <c r="P51" s="841">
        <f t="shared" si="6"/>
        <v>55</v>
      </c>
      <c r="Q51" s="713">
        <v>87.637</v>
      </c>
      <c r="R51" s="841">
        <f t="shared" si="7"/>
        <v>88</v>
      </c>
      <c r="S51" s="713">
        <v>0.1</v>
      </c>
      <c r="T51" s="841">
        <f t="shared" si="8"/>
        <v>0</v>
      </c>
      <c r="U51" s="713">
        <v>84.793999999999997</v>
      </c>
      <c r="V51" s="841">
        <f t="shared" si="9"/>
        <v>85</v>
      </c>
      <c r="W51" s="713">
        <v>83.819000000000003</v>
      </c>
      <c r="X51" s="841">
        <f t="shared" si="10"/>
        <v>84</v>
      </c>
      <c r="Y51" s="717">
        <v>0.16500000000000001</v>
      </c>
      <c r="Z51" s="841">
        <f t="shared" si="11"/>
        <v>0</v>
      </c>
      <c r="AA51" s="718">
        <v>0</v>
      </c>
      <c r="AB51" s="718">
        <v>0</v>
      </c>
      <c r="AC51" s="718">
        <v>11.253</v>
      </c>
      <c r="AD51" s="715">
        <v>0.86599999999999999</v>
      </c>
      <c r="AE51" s="716">
        <v>0.107</v>
      </c>
      <c r="AF51" s="716">
        <v>0.59699999999999998</v>
      </c>
      <c r="AG51" s="716">
        <v>12.311999999999999</v>
      </c>
      <c r="AH51" s="719">
        <v>0.26200000000000001</v>
      </c>
    </row>
    <row r="52" spans="1:36" s="465" customFormat="1" ht="15" customHeight="1" thickBot="1">
      <c r="A52" s="485" t="s">
        <v>296</v>
      </c>
      <c r="B52" s="484" t="s">
        <v>72</v>
      </c>
      <c r="C52" s="713">
        <v>398.77199999999999</v>
      </c>
      <c r="D52" s="841">
        <f t="shared" si="0"/>
        <v>400</v>
      </c>
      <c r="E52" s="713">
        <v>0</v>
      </c>
      <c r="F52" s="841">
        <f t="shared" si="1"/>
        <v>0</v>
      </c>
      <c r="G52" s="713">
        <v>0</v>
      </c>
      <c r="H52" s="835">
        <f t="shared" si="2"/>
        <v>0</v>
      </c>
      <c r="I52" s="713">
        <v>0</v>
      </c>
      <c r="J52" s="835">
        <f t="shared" si="3"/>
        <v>0</v>
      </c>
      <c r="K52" s="713">
        <v>0</v>
      </c>
      <c r="L52" s="835">
        <f t="shared" si="4"/>
        <v>0</v>
      </c>
      <c r="M52" s="713">
        <v>0</v>
      </c>
      <c r="N52" s="1005">
        <f t="shared" si="5"/>
        <v>0</v>
      </c>
      <c r="O52" s="713">
        <v>89.631</v>
      </c>
      <c r="P52" s="841">
        <f t="shared" si="6"/>
        <v>90</v>
      </c>
      <c r="Q52" s="713">
        <v>101.56</v>
      </c>
      <c r="R52" s="841">
        <f t="shared" si="7"/>
        <v>102</v>
      </c>
      <c r="S52" s="713">
        <v>3.2000000000000001E-2</v>
      </c>
      <c r="T52" s="841">
        <f t="shared" si="8"/>
        <v>0</v>
      </c>
      <c r="U52" s="713">
        <v>98.822000000000003</v>
      </c>
      <c r="V52" s="841">
        <f t="shared" si="9"/>
        <v>99</v>
      </c>
      <c r="W52" s="713">
        <v>98.822000000000003</v>
      </c>
      <c r="X52" s="841">
        <f t="shared" si="10"/>
        <v>99</v>
      </c>
      <c r="Y52" s="717">
        <v>0.378</v>
      </c>
      <c r="Z52" s="841">
        <f t="shared" si="11"/>
        <v>0</v>
      </c>
      <c r="AA52" s="718">
        <v>0</v>
      </c>
      <c r="AB52" s="718">
        <v>0</v>
      </c>
      <c r="AC52" s="718">
        <v>10.741</v>
      </c>
      <c r="AD52" s="715">
        <v>0.82599999999999996</v>
      </c>
      <c r="AE52" s="716">
        <v>9.8000000000000004E-2</v>
      </c>
      <c r="AF52" s="716">
        <v>0.54600000000000004</v>
      </c>
      <c r="AG52" s="716">
        <v>1.4470000000000001</v>
      </c>
      <c r="AH52" s="719">
        <v>3.1E-2</v>
      </c>
    </row>
    <row r="53" spans="1:36" s="465" customFormat="1" ht="15" customHeight="1" thickBot="1">
      <c r="A53" s="485" t="s">
        <v>296</v>
      </c>
      <c r="B53" s="484" t="s">
        <v>73</v>
      </c>
      <c r="C53" s="690">
        <v>308.36399999999998</v>
      </c>
      <c r="D53" s="841">
        <f t="shared" si="0"/>
        <v>310</v>
      </c>
      <c r="E53" s="690">
        <v>18.771999999999998</v>
      </c>
      <c r="F53" s="841">
        <f t="shared" si="1"/>
        <v>20</v>
      </c>
      <c r="G53" s="690">
        <v>2.0859999999999999</v>
      </c>
      <c r="H53" s="835">
        <f t="shared" si="2"/>
        <v>2</v>
      </c>
      <c r="I53" s="690">
        <v>1.871</v>
      </c>
      <c r="J53" s="835">
        <f t="shared" si="3"/>
        <v>2</v>
      </c>
      <c r="K53" s="690">
        <v>2E-3</v>
      </c>
      <c r="L53" s="835">
        <f t="shared" si="4"/>
        <v>0</v>
      </c>
      <c r="M53" s="690">
        <v>0</v>
      </c>
      <c r="N53" s="1005">
        <f t="shared" si="5"/>
        <v>0</v>
      </c>
      <c r="O53" s="690">
        <v>50.085999999999999</v>
      </c>
      <c r="P53" s="841">
        <f t="shared" si="6"/>
        <v>50</v>
      </c>
      <c r="Q53" s="690">
        <v>72.625</v>
      </c>
      <c r="R53" s="841">
        <f t="shared" si="7"/>
        <v>73</v>
      </c>
      <c r="S53" s="690">
        <v>0.47399999999999998</v>
      </c>
      <c r="T53" s="841">
        <f t="shared" si="8"/>
        <v>0</v>
      </c>
      <c r="U53" s="690">
        <v>69.885999999999996</v>
      </c>
      <c r="V53" s="841">
        <f t="shared" si="9"/>
        <v>70</v>
      </c>
      <c r="W53" s="690">
        <v>60.936999999999998</v>
      </c>
      <c r="X53" s="841">
        <f t="shared" si="10"/>
        <v>61</v>
      </c>
      <c r="Y53" s="690">
        <v>0.11</v>
      </c>
      <c r="Z53" s="841">
        <f t="shared" si="11"/>
        <v>0</v>
      </c>
      <c r="AA53" s="819">
        <v>0</v>
      </c>
      <c r="AB53" s="819">
        <v>0</v>
      </c>
      <c r="AC53" s="819">
        <v>10.635999999999999</v>
      </c>
      <c r="AD53" s="819">
        <v>0.81</v>
      </c>
      <c r="AE53" s="819">
        <v>5.5E-2</v>
      </c>
      <c r="AF53" s="819">
        <v>0.30599999999999999</v>
      </c>
      <c r="AG53" s="819">
        <v>6.66</v>
      </c>
      <c r="AH53" s="819">
        <v>0.14199999999999999</v>
      </c>
    </row>
    <row r="54" spans="1:36" s="465" customFormat="1" ht="15" customHeight="1" thickBot="1">
      <c r="A54" s="485" t="s">
        <v>296</v>
      </c>
      <c r="B54" s="484" t="s">
        <v>75</v>
      </c>
      <c r="C54" s="542">
        <v>322.23099999999999</v>
      </c>
      <c r="D54" s="841">
        <f t="shared" si="0"/>
        <v>320</v>
      </c>
      <c r="E54" s="542">
        <v>0</v>
      </c>
      <c r="F54" s="841">
        <f t="shared" si="1"/>
        <v>0</v>
      </c>
      <c r="G54" s="542">
        <v>0</v>
      </c>
      <c r="H54" s="835">
        <f t="shared" si="2"/>
        <v>0</v>
      </c>
      <c r="I54" s="542">
        <v>0</v>
      </c>
      <c r="J54" s="835">
        <f t="shared" si="3"/>
        <v>0</v>
      </c>
      <c r="K54" s="542">
        <v>0</v>
      </c>
      <c r="L54" s="835">
        <f t="shared" si="4"/>
        <v>0</v>
      </c>
      <c r="M54" s="542">
        <v>0</v>
      </c>
      <c r="N54" s="1005">
        <f t="shared" si="5"/>
        <v>0</v>
      </c>
      <c r="O54" s="542">
        <v>53.488999999999997</v>
      </c>
      <c r="P54" s="841">
        <f t="shared" si="6"/>
        <v>55</v>
      </c>
      <c r="Q54" s="542">
        <v>81.209000000000003</v>
      </c>
      <c r="R54" s="841">
        <f t="shared" si="7"/>
        <v>81</v>
      </c>
      <c r="S54" s="542">
        <v>5.1999999999999998E-2</v>
      </c>
      <c r="T54" s="841">
        <f t="shared" si="8"/>
        <v>0</v>
      </c>
      <c r="U54" s="542">
        <v>78.718000000000004</v>
      </c>
      <c r="V54" s="841">
        <f t="shared" si="9"/>
        <v>79</v>
      </c>
      <c r="W54" s="542">
        <v>78.622</v>
      </c>
      <c r="X54" s="841">
        <f t="shared" si="10"/>
        <v>79</v>
      </c>
      <c r="Y54" s="550">
        <v>0</v>
      </c>
      <c r="Z54" s="841">
        <f t="shared" si="11"/>
        <v>0</v>
      </c>
      <c r="AA54" s="575">
        <v>0</v>
      </c>
      <c r="AB54" s="575">
        <v>0</v>
      </c>
      <c r="AC54" s="575">
        <v>10.85</v>
      </c>
      <c r="AD54" s="578">
        <v>0.83499999999999996</v>
      </c>
      <c r="AE54" s="476">
        <v>7.2999999999999995E-2</v>
      </c>
      <c r="AF54" s="476">
        <v>0.40799999999999997</v>
      </c>
      <c r="AG54" s="476">
        <v>24.577999999999999</v>
      </c>
      <c r="AH54" s="476">
        <v>0.52300000000000002</v>
      </c>
    </row>
    <row r="55" spans="1:36" s="723" customFormat="1" ht="15" customHeight="1" thickBot="1">
      <c r="A55" s="485" t="s">
        <v>296</v>
      </c>
      <c r="B55" s="484" t="s">
        <v>76</v>
      </c>
      <c r="C55" s="1156">
        <v>360.13299999999998</v>
      </c>
      <c r="D55" s="841">
        <f t="shared" si="0"/>
        <v>360</v>
      </c>
      <c r="E55" s="1156">
        <v>0.107</v>
      </c>
      <c r="F55" s="841">
        <f t="shared" si="1"/>
        <v>0</v>
      </c>
      <c r="G55" s="1156">
        <v>1.2E-2</v>
      </c>
      <c r="H55" s="835">
        <f t="shared" si="2"/>
        <v>0</v>
      </c>
      <c r="I55" s="1156">
        <v>1E-3</v>
      </c>
      <c r="J55" s="835">
        <f t="shared" si="3"/>
        <v>0</v>
      </c>
      <c r="K55" s="1156">
        <v>3.0000000000000001E-3</v>
      </c>
      <c r="L55" s="835">
        <f t="shared" si="4"/>
        <v>0</v>
      </c>
      <c r="M55" s="1156">
        <v>0</v>
      </c>
      <c r="N55" s="1005">
        <f t="shared" si="5"/>
        <v>0</v>
      </c>
      <c r="O55" s="1156">
        <v>50.128</v>
      </c>
      <c r="P55" s="841">
        <f t="shared" si="6"/>
        <v>50</v>
      </c>
      <c r="Q55" s="1156">
        <v>91.49</v>
      </c>
      <c r="R55" s="841">
        <f t="shared" si="7"/>
        <v>91</v>
      </c>
      <c r="S55" s="1156">
        <v>6.4000000000000001E-2</v>
      </c>
      <c r="T55" s="841">
        <f t="shared" si="8"/>
        <v>0</v>
      </c>
      <c r="U55" s="1156">
        <v>88.459000000000003</v>
      </c>
      <c r="V55" s="841">
        <f t="shared" si="9"/>
        <v>88</v>
      </c>
      <c r="W55" s="1156">
        <v>87.966999999999999</v>
      </c>
      <c r="X55" s="841">
        <f t="shared" si="10"/>
        <v>88</v>
      </c>
      <c r="Y55" s="1157">
        <v>7.5999999999999998E-2</v>
      </c>
      <c r="Z55" s="841">
        <f t="shared" si="11"/>
        <v>0</v>
      </c>
      <c r="AA55" s="1158">
        <v>0</v>
      </c>
      <c r="AB55" s="1158">
        <v>0</v>
      </c>
      <c r="AC55" s="1158">
        <v>11.003</v>
      </c>
      <c r="AD55" s="825">
        <v>0.84599999999999997</v>
      </c>
      <c r="AE55" s="1159">
        <v>9.4E-2</v>
      </c>
      <c r="AF55" s="1159">
        <v>0.52500000000000002</v>
      </c>
      <c r="AG55" s="1159">
        <v>10.148</v>
      </c>
      <c r="AH55" s="1159">
        <v>0.216</v>
      </c>
    </row>
    <row r="56" spans="1:36" s="465" customFormat="1" ht="15" customHeight="1" thickBot="1">
      <c r="A56" s="485" t="s">
        <v>296</v>
      </c>
      <c r="B56" s="484" t="s">
        <v>78</v>
      </c>
      <c r="C56" s="713">
        <v>334.46899999999999</v>
      </c>
      <c r="D56" s="841">
        <f t="shared" si="0"/>
        <v>330</v>
      </c>
      <c r="E56" s="713">
        <v>1.4E-2</v>
      </c>
      <c r="F56" s="841">
        <f t="shared" si="1"/>
        <v>0</v>
      </c>
      <c r="G56" s="713">
        <v>1.2999999999999999E-2</v>
      </c>
      <c r="H56" s="835">
        <f t="shared" si="2"/>
        <v>0</v>
      </c>
      <c r="I56" s="713">
        <v>0</v>
      </c>
      <c r="J56" s="835">
        <f t="shared" si="3"/>
        <v>0</v>
      </c>
      <c r="K56" s="713">
        <v>0</v>
      </c>
      <c r="L56" s="835">
        <f t="shared" si="4"/>
        <v>0</v>
      </c>
      <c r="M56" s="713">
        <v>0</v>
      </c>
      <c r="N56" s="1005">
        <f t="shared" si="5"/>
        <v>0</v>
      </c>
      <c r="O56" s="713">
        <v>56.988999999999997</v>
      </c>
      <c r="P56" s="841">
        <f t="shared" si="6"/>
        <v>55</v>
      </c>
      <c r="Q56" s="713">
        <v>80.725999999999999</v>
      </c>
      <c r="R56" s="841">
        <f t="shared" si="7"/>
        <v>81</v>
      </c>
      <c r="S56" s="713">
        <v>0.308</v>
      </c>
      <c r="T56" s="841">
        <f t="shared" si="8"/>
        <v>0</v>
      </c>
      <c r="U56" s="713">
        <v>75.186000000000007</v>
      </c>
      <c r="V56" s="841">
        <f t="shared" si="9"/>
        <v>75</v>
      </c>
      <c r="W56" s="713">
        <v>73.016000000000005</v>
      </c>
      <c r="X56" s="841">
        <f t="shared" si="10"/>
        <v>73</v>
      </c>
      <c r="Y56" s="717">
        <v>0.57399999999999995</v>
      </c>
      <c r="Z56" s="841" t="str">
        <f t="shared" si="11"/>
        <v>less than 1 g</v>
      </c>
      <c r="AA56" s="718">
        <v>0</v>
      </c>
      <c r="AB56" s="718">
        <v>0</v>
      </c>
      <c r="AC56" s="718">
        <v>18.199000000000002</v>
      </c>
      <c r="AD56" s="715">
        <v>1.4</v>
      </c>
      <c r="AE56" s="716">
        <v>0.24299999999999999</v>
      </c>
      <c r="AF56" s="716">
        <v>1.35</v>
      </c>
      <c r="AG56" s="716">
        <v>26.736999999999998</v>
      </c>
      <c r="AH56" s="719">
        <v>0.56899999999999995</v>
      </c>
    </row>
    <row r="57" spans="1:36" s="465" customFormat="1" ht="15" customHeight="1" thickBot="1">
      <c r="A57" s="485" t="s">
        <v>296</v>
      </c>
      <c r="B57" s="484" t="s">
        <v>324</v>
      </c>
      <c r="C57" s="713">
        <v>355.36399999999998</v>
      </c>
      <c r="D57" s="841">
        <f t="shared" si="0"/>
        <v>360</v>
      </c>
      <c r="E57" s="713">
        <v>0</v>
      </c>
      <c r="F57" s="841">
        <f t="shared" si="1"/>
        <v>0</v>
      </c>
      <c r="G57" s="713">
        <v>0</v>
      </c>
      <c r="H57" s="835">
        <f t="shared" si="2"/>
        <v>0</v>
      </c>
      <c r="I57" s="713">
        <v>0</v>
      </c>
      <c r="J57" s="835">
        <f t="shared" si="3"/>
        <v>0</v>
      </c>
      <c r="K57" s="713">
        <v>0</v>
      </c>
      <c r="L57" s="835">
        <f t="shared" si="4"/>
        <v>0</v>
      </c>
      <c r="M57" s="713">
        <v>0</v>
      </c>
      <c r="N57" s="1005">
        <f t="shared" si="5"/>
        <v>0</v>
      </c>
      <c r="O57" s="713">
        <v>70.391999999999996</v>
      </c>
      <c r="P57" s="841">
        <f t="shared" si="6"/>
        <v>70</v>
      </c>
      <c r="Q57" s="713">
        <v>90.206000000000003</v>
      </c>
      <c r="R57" s="841">
        <f t="shared" si="7"/>
        <v>90</v>
      </c>
      <c r="S57" s="713">
        <v>3.5000000000000003E-2</v>
      </c>
      <c r="T57" s="841">
        <f t="shared" si="8"/>
        <v>0</v>
      </c>
      <c r="U57" s="713">
        <v>87.66</v>
      </c>
      <c r="V57" s="841">
        <f t="shared" si="9"/>
        <v>88</v>
      </c>
      <c r="W57" s="713">
        <v>87.66</v>
      </c>
      <c r="X57" s="841">
        <f t="shared" si="10"/>
        <v>88</v>
      </c>
      <c r="Y57" s="717">
        <v>0.189</v>
      </c>
      <c r="Z57" s="841">
        <f t="shared" si="11"/>
        <v>0</v>
      </c>
      <c r="AA57" s="718">
        <v>0</v>
      </c>
      <c r="AB57" s="718">
        <v>0</v>
      </c>
      <c r="AC57" s="718">
        <v>11.422000000000001</v>
      </c>
      <c r="AD57" s="715">
        <v>0.879</v>
      </c>
      <c r="AE57" s="716">
        <v>8.5000000000000006E-2</v>
      </c>
      <c r="AF57" s="716">
        <v>0.47</v>
      </c>
      <c r="AG57" s="716">
        <v>1.208</v>
      </c>
      <c r="AH57" s="719">
        <v>2.5999999999999999E-2</v>
      </c>
    </row>
    <row r="58" spans="1:36" s="465" customFormat="1" ht="15" customHeight="1" thickBot="1">
      <c r="A58" s="485" t="s">
        <v>296</v>
      </c>
      <c r="B58" s="486" t="s">
        <v>435</v>
      </c>
      <c r="C58" s="546">
        <v>335.46199999999999</v>
      </c>
      <c r="D58" s="841">
        <f t="shared" si="0"/>
        <v>340</v>
      </c>
      <c r="E58" s="546">
        <v>0</v>
      </c>
      <c r="F58" s="841">
        <f t="shared" si="1"/>
        <v>0</v>
      </c>
      <c r="G58" s="546">
        <v>0</v>
      </c>
      <c r="H58" s="835">
        <f t="shared" si="2"/>
        <v>0</v>
      </c>
      <c r="I58" s="546">
        <v>0</v>
      </c>
      <c r="J58" s="835">
        <f t="shared" si="3"/>
        <v>0</v>
      </c>
      <c r="K58" s="546">
        <v>0</v>
      </c>
      <c r="L58" s="835">
        <f t="shared" si="4"/>
        <v>0</v>
      </c>
      <c r="M58" s="546">
        <v>0</v>
      </c>
      <c r="N58" s="1005">
        <f t="shared" si="5"/>
        <v>0</v>
      </c>
      <c r="O58" s="546">
        <v>151.35499999999999</v>
      </c>
      <c r="P58" s="841">
        <f t="shared" si="6"/>
        <v>150</v>
      </c>
      <c r="Q58" s="546">
        <v>85.828000000000003</v>
      </c>
      <c r="R58" s="841">
        <f t="shared" si="7"/>
        <v>86</v>
      </c>
      <c r="S58" s="546">
        <v>3.1E-2</v>
      </c>
      <c r="T58" s="841">
        <f t="shared" si="8"/>
        <v>0</v>
      </c>
      <c r="U58" s="546">
        <v>78.096999999999994</v>
      </c>
      <c r="V58" s="841">
        <f t="shared" si="9"/>
        <v>78</v>
      </c>
      <c r="W58" s="546">
        <v>78.096999999999994</v>
      </c>
      <c r="X58" s="841">
        <f t="shared" si="10"/>
        <v>78</v>
      </c>
      <c r="Y58" s="551">
        <v>5.0000000000000001E-3</v>
      </c>
      <c r="Z58" s="841">
        <f t="shared" si="11"/>
        <v>0</v>
      </c>
      <c r="AA58" s="593">
        <v>0</v>
      </c>
      <c r="AB58" s="593">
        <v>0</v>
      </c>
      <c r="AC58" s="593">
        <v>11.643000000000001</v>
      </c>
      <c r="AD58" s="585">
        <v>0.89600000000000002</v>
      </c>
      <c r="AE58" s="473">
        <v>0.78700000000000003</v>
      </c>
      <c r="AF58" s="473">
        <v>4.3739999999999997</v>
      </c>
      <c r="AG58" s="473">
        <v>30.001999999999999</v>
      </c>
      <c r="AH58" s="494">
        <v>0.63800000000000001</v>
      </c>
    </row>
    <row r="59" spans="1:36" s="465" customFormat="1" ht="15" customHeight="1" thickBot="1">
      <c r="A59" s="485" t="s">
        <v>296</v>
      </c>
      <c r="B59" s="482" t="s">
        <v>315</v>
      </c>
      <c r="C59" s="690">
        <v>284.94900000000001</v>
      </c>
      <c r="D59" s="841">
        <f t="shared" si="0"/>
        <v>280</v>
      </c>
      <c r="E59" s="690">
        <v>8.0000000000000002E-3</v>
      </c>
      <c r="F59" s="841">
        <f t="shared" si="1"/>
        <v>0</v>
      </c>
      <c r="G59" s="690">
        <v>1E-3</v>
      </c>
      <c r="H59" s="835">
        <f t="shared" si="2"/>
        <v>0</v>
      </c>
      <c r="I59" s="690">
        <v>0</v>
      </c>
      <c r="J59" s="835">
        <f t="shared" si="3"/>
        <v>0</v>
      </c>
      <c r="K59" s="690">
        <v>0</v>
      </c>
      <c r="L59" s="835">
        <f t="shared" si="4"/>
        <v>0</v>
      </c>
      <c r="M59" s="690">
        <v>0</v>
      </c>
      <c r="N59" s="1005">
        <f t="shared" si="5"/>
        <v>0</v>
      </c>
      <c r="O59" s="690">
        <v>50.956000000000003</v>
      </c>
      <c r="P59" s="841">
        <f t="shared" si="6"/>
        <v>50</v>
      </c>
      <c r="Q59" s="690">
        <v>70.335999999999999</v>
      </c>
      <c r="R59" s="841">
        <f t="shared" si="7"/>
        <v>70</v>
      </c>
      <c r="S59" s="690">
        <v>8.5000000000000006E-2</v>
      </c>
      <c r="T59" s="841">
        <f t="shared" si="8"/>
        <v>0</v>
      </c>
      <c r="U59" s="690">
        <v>66.578000000000003</v>
      </c>
      <c r="V59" s="841">
        <f t="shared" si="9"/>
        <v>67</v>
      </c>
      <c r="W59" s="690">
        <v>66.578000000000003</v>
      </c>
      <c r="X59" s="841">
        <f t="shared" si="10"/>
        <v>67</v>
      </c>
      <c r="Y59" s="690">
        <v>0.33500000000000002</v>
      </c>
      <c r="Z59" s="841">
        <f t="shared" si="11"/>
        <v>0</v>
      </c>
      <c r="AA59" s="819">
        <v>0</v>
      </c>
      <c r="AB59" s="819">
        <v>0</v>
      </c>
      <c r="AC59" s="819">
        <v>12.97</v>
      </c>
      <c r="AD59" s="819">
        <v>0.998</v>
      </c>
      <c r="AE59" s="819">
        <v>5.3999999999999999E-2</v>
      </c>
      <c r="AF59" s="819">
        <v>0.3</v>
      </c>
      <c r="AG59" s="819">
        <v>16.172999999999998</v>
      </c>
      <c r="AH59" s="819">
        <v>0.34399999999999997</v>
      </c>
    </row>
    <row r="60" spans="1:36" s="465" customFormat="1" ht="15" customHeight="1" thickBot="1">
      <c r="A60" s="682" t="s">
        <v>436</v>
      </c>
      <c r="B60" s="479" t="s">
        <v>94</v>
      </c>
      <c r="C60" s="542">
        <v>428.43400000000003</v>
      </c>
      <c r="D60" s="841">
        <f t="shared" si="0"/>
        <v>430</v>
      </c>
      <c r="E60" s="542">
        <v>12.897</v>
      </c>
      <c r="F60" s="841">
        <f t="shared" si="1"/>
        <v>15</v>
      </c>
      <c r="G60" s="542">
        <v>5.2850000000000001</v>
      </c>
      <c r="H60" s="835">
        <f t="shared" si="2"/>
        <v>5</v>
      </c>
      <c r="I60" s="542">
        <v>4.2850000000000001</v>
      </c>
      <c r="J60" s="835">
        <f t="shared" si="3"/>
        <v>4.5</v>
      </c>
      <c r="K60" s="542">
        <v>1.4E-2</v>
      </c>
      <c r="L60" s="835">
        <f t="shared" si="4"/>
        <v>0</v>
      </c>
      <c r="M60" s="542">
        <v>0</v>
      </c>
      <c r="N60" s="1005">
        <f t="shared" si="5"/>
        <v>0</v>
      </c>
      <c r="O60" s="542">
        <v>222.21600000000001</v>
      </c>
      <c r="P60" s="841">
        <f t="shared" si="6"/>
        <v>220</v>
      </c>
      <c r="Q60" s="542">
        <v>95.268000000000001</v>
      </c>
      <c r="R60" s="841">
        <f t="shared" si="7"/>
        <v>95</v>
      </c>
      <c r="S60" s="542">
        <v>0.152</v>
      </c>
      <c r="T60" s="841">
        <f t="shared" si="8"/>
        <v>0</v>
      </c>
      <c r="U60" s="542">
        <v>85.378</v>
      </c>
      <c r="V60" s="841">
        <f t="shared" si="9"/>
        <v>85</v>
      </c>
      <c r="W60" s="542">
        <v>73.831999999999994</v>
      </c>
      <c r="X60" s="841">
        <f t="shared" si="10"/>
        <v>74</v>
      </c>
      <c r="Y60" s="550">
        <v>0.80900000000000005</v>
      </c>
      <c r="Z60" s="841" t="str">
        <f t="shared" si="11"/>
        <v>less than 1 g</v>
      </c>
      <c r="AA60" s="575">
        <v>0</v>
      </c>
      <c r="AB60" s="575">
        <v>0</v>
      </c>
      <c r="AC60" s="575">
        <v>47.313000000000002</v>
      </c>
      <c r="AD60" s="578">
        <v>3.6930000000000001</v>
      </c>
      <c r="AE60" s="476">
        <v>0.35299999999999998</v>
      </c>
      <c r="AF60" s="476">
        <v>1.9630000000000001</v>
      </c>
      <c r="AG60" s="476">
        <v>9.0280000000000005</v>
      </c>
      <c r="AH60" s="476">
        <v>0.192</v>
      </c>
    </row>
    <row r="61" spans="1:36" s="465" customFormat="1" ht="15" customHeight="1" thickBot="1">
      <c r="A61" s="485" t="s">
        <v>92</v>
      </c>
      <c r="B61" s="478" t="s">
        <v>93</v>
      </c>
      <c r="C61" s="545">
        <v>404.096</v>
      </c>
      <c r="D61" s="841">
        <f t="shared" ref="D61:D92" si="12">MROUND(C61,10)</f>
        <v>400</v>
      </c>
      <c r="E61" s="545">
        <v>19.552</v>
      </c>
      <c r="F61" s="841">
        <f t="shared" ref="F61:F92" si="13">IF(E61&lt;5,0,(IF(E61&gt;50,MROUND(E61,10),MROUND(E61,5))))</f>
        <v>20</v>
      </c>
      <c r="G61" s="545">
        <v>5.9859999999999998</v>
      </c>
      <c r="H61" s="835">
        <f t="shared" ref="H61:H92" si="14">IF(G61&lt;0.5,0,IF(G61&gt;5,MROUND(G61,1),MROUND(G61,0.5)))</f>
        <v>6</v>
      </c>
      <c r="I61" s="545">
        <v>4.6399999999999997</v>
      </c>
      <c r="J61" s="835">
        <f t="shared" ref="J61:J92" si="15">IF(I61&lt;0.5,0,IF(I61&gt;5,MROUND(I61,1),MROUND(I61,0.5)))</f>
        <v>4.5</v>
      </c>
      <c r="K61" s="545">
        <v>3.0000000000000001E-3</v>
      </c>
      <c r="L61" s="835">
        <f t="shared" ref="L61:L92" si="16">IF(K61&lt;0.5,0,IF(K61&gt;5,MROUND(K61,1),MROUND(K61,0.5)))</f>
        <v>0</v>
      </c>
      <c r="M61" s="545">
        <v>0</v>
      </c>
      <c r="N61" s="1005">
        <f t="shared" ref="N61:N92" si="17">IF(M61&lt;2,0,IF(M61&gt;5,MROUND(M61,5),"less than 5 mg"))</f>
        <v>0</v>
      </c>
      <c r="O61" s="545">
        <v>85.908000000000001</v>
      </c>
      <c r="P61" s="841">
        <f t="shared" ref="P61:P92" si="18">IF(O61&lt;5,0,IF(O61&gt;140,MROUND(O61,10),MROUND(O61,5)))</f>
        <v>85</v>
      </c>
      <c r="Q61" s="545">
        <v>95.004000000000005</v>
      </c>
      <c r="R61" s="841">
        <f t="shared" ref="R61:R92" si="19">IF(Q61&lt;0.5,0,IF(Q61&gt;1,MROUND(Q61,1),"less than 1 g"))</f>
        <v>95</v>
      </c>
      <c r="S61" s="545">
        <v>0.81</v>
      </c>
      <c r="T61" s="841" t="str">
        <f t="shared" ref="T61:T92" si="20">IF(S61&lt;0.5,0,IF(S61&gt;1,MROUND(S61,1),"less than 1 g"))</f>
        <v>less than 1 g</v>
      </c>
      <c r="U61" s="545">
        <v>89.296000000000006</v>
      </c>
      <c r="V61" s="841">
        <f t="shared" ref="V61:V92" si="21">IF(U61&lt;0.5,0,IF(U61&gt;1,MROUND(U61,1),"less than 1 g"))</f>
        <v>89</v>
      </c>
      <c r="W61" s="545">
        <v>81.006</v>
      </c>
      <c r="X61" s="841">
        <f t="shared" ref="X61:X92" si="22">IF(W61&lt;0.5,0,IF(W61&gt;1,MROUND(W61,1),"less than 1 g"))</f>
        <v>81</v>
      </c>
      <c r="Y61" s="545">
        <v>0.74299999999999999</v>
      </c>
      <c r="Z61" s="841" t="str">
        <f t="shared" ref="Z61:Z92" si="23">IF(Y61&lt;0.5,0,IF(Y61&gt;1,MROUND(Y61,1),"less than 1 g"))</f>
        <v>less than 1 g</v>
      </c>
      <c r="AA61" s="578">
        <v>1.4E-2</v>
      </c>
      <c r="AB61" s="578">
        <v>7.1999999999999995E-2</v>
      </c>
      <c r="AC61" s="578">
        <v>17.995000000000001</v>
      </c>
      <c r="AD61" s="578">
        <v>1.3839999999999999</v>
      </c>
      <c r="AE61" s="476">
        <v>0.64600000000000002</v>
      </c>
      <c r="AF61" s="476">
        <v>3.5859999999999999</v>
      </c>
      <c r="AG61" s="476">
        <v>85.632000000000005</v>
      </c>
      <c r="AH61" s="476">
        <v>1.8220000000000001</v>
      </c>
    </row>
    <row r="62" spans="1:36" s="465" customFormat="1" ht="15" customHeight="1" thickBot="1">
      <c r="A62" s="485" t="s">
        <v>92</v>
      </c>
      <c r="B62" s="478" t="s">
        <v>95</v>
      </c>
      <c r="C62" s="542">
        <v>459.28899999999999</v>
      </c>
      <c r="D62" s="841">
        <f t="shared" si="12"/>
        <v>460</v>
      </c>
      <c r="E62" s="542">
        <v>26.69</v>
      </c>
      <c r="F62" s="841">
        <f t="shared" si="13"/>
        <v>25</v>
      </c>
      <c r="G62" s="542">
        <v>6.7729999999999997</v>
      </c>
      <c r="H62" s="835">
        <f t="shared" si="14"/>
        <v>7</v>
      </c>
      <c r="I62" s="542">
        <v>5.4429999999999996</v>
      </c>
      <c r="J62" s="835">
        <f t="shared" si="15"/>
        <v>5</v>
      </c>
      <c r="K62" s="542">
        <v>6.2E-2</v>
      </c>
      <c r="L62" s="835">
        <f t="shared" si="16"/>
        <v>0</v>
      </c>
      <c r="M62" s="542">
        <v>7.367</v>
      </c>
      <c r="N62" s="1005">
        <f t="shared" si="17"/>
        <v>5</v>
      </c>
      <c r="O62" s="542">
        <v>97.778999999999996</v>
      </c>
      <c r="P62" s="841">
        <f t="shared" si="18"/>
        <v>100</v>
      </c>
      <c r="Q62" s="542">
        <v>98.433000000000007</v>
      </c>
      <c r="R62" s="841">
        <f t="shared" si="19"/>
        <v>98</v>
      </c>
      <c r="S62" s="542">
        <v>3.1E-2</v>
      </c>
      <c r="T62" s="841">
        <f t="shared" si="20"/>
        <v>0</v>
      </c>
      <c r="U62" s="542">
        <v>90.031000000000006</v>
      </c>
      <c r="V62" s="841">
        <f t="shared" si="21"/>
        <v>90</v>
      </c>
      <c r="W62" s="542">
        <v>89.48</v>
      </c>
      <c r="X62" s="841">
        <f t="shared" si="22"/>
        <v>89</v>
      </c>
      <c r="Y62" s="550">
        <v>0.84599999999999997</v>
      </c>
      <c r="Z62" s="841" t="str">
        <f t="shared" si="23"/>
        <v>less than 1 g</v>
      </c>
      <c r="AA62" s="575">
        <v>0</v>
      </c>
      <c r="AB62" s="575">
        <v>0</v>
      </c>
      <c r="AC62" s="575">
        <v>28.692</v>
      </c>
      <c r="AD62" s="578">
        <v>2.2069999999999999</v>
      </c>
      <c r="AE62" s="476">
        <v>0.126</v>
      </c>
      <c r="AF62" s="476">
        <v>0.69899999999999995</v>
      </c>
      <c r="AG62" s="476">
        <v>25.696999999999999</v>
      </c>
      <c r="AH62" s="476">
        <v>0.54700000000000004</v>
      </c>
    </row>
    <row r="63" spans="1:36" s="465" customFormat="1" ht="15" customHeight="1" thickBot="1">
      <c r="A63" s="485" t="s">
        <v>92</v>
      </c>
      <c r="B63" s="478" t="s">
        <v>182</v>
      </c>
      <c r="C63" s="713">
        <v>474.18099999999998</v>
      </c>
      <c r="D63" s="841">
        <f t="shared" si="12"/>
        <v>470</v>
      </c>
      <c r="E63" s="713">
        <v>31.8</v>
      </c>
      <c r="F63" s="841">
        <f t="shared" si="13"/>
        <v>30</v>
      </c>
      <c r="G63" s="713">
        <v>7.3959999999999999</v>
      </c>
      <c r="H63" s="835">
        <f t="shared" si="14"/>
        <v>7</v>
      </c>
      <c r="I63" s="713">
        <v>5.6070000000000002</v>
      </c>
      <c r="J63" s="835">
        <f t="shared" si="15"/>
        <v>6</v>
      </c>
      <c r="K63" s="713">
        <v>0</v>
      </c>
      <c r="L63" s="835">
        <f t="shared" si="16"/>
        <v>0</v>
      </c>
      <c r="M63" s="713">
        <v>3.028</v>
      </c>
      <c r="N63" s="1005" t="str">
        <f t="shared" si="17"/>
        <v>less than 5 mg</v>
      </c>
      <c r="O63" s="713">
        <v>142.65600000000001</v>
      </c>
      <c r="P63" s="841">
        <f t="shared" si="18"/>
        <v>140</v>
      </c>
      <c r="Q63" s="713">
        <v>101.60299999999999</v>
      </c>
      <c r="R63" s="841">
        <f t="shared" si="19"/>
        <v>102</v>
      </c>
      <c r="S63" s="713">
        <v>0.64700000000000002</v>
      </c>
      <c r="T63" s="841" t="str">
        <f t="shared" si="20"/>
        <v>less than 1 g</v>
      </c>
      <c r="U63" s="713">
        <v>90.564999999999998</v>
      </c>
      <c r="V63" s="841">
        <f t="shared" si="21"/>
        <v>91</v>
      </c>
      <c r="W63" s="713">
        <v>90.215000000000003</v>
      </c>
      <c r="X63" s="841">
        <f t="shared" si="22"/>
        <v>90</v>
      </c>
      <c r="Y63" s="717">
        <v>1.3320000000000001</v>
      </c>
      <c r="Z63" s="841">
        <f t="shared" si="23"/>
        <v>1</v>
      </c>
      <c r="AA63" s="718">
        <v>1E-3</v>
      </c>
      <c r="AB63" s="718">
        <v>5.0000000000000001E-3</v>
      </c>
      <c r="AC63" s="718">
        <v>19.658999999999999</v>
      </c>
      <c r="AD63" s="715">
        <v>1.512</v>
      </c>
      <c r="AE63" s="716">
        <v>0.69499999999999995</v>
      </c>
      <c r="AF63" s="716">
        <v>3.8620000000000001</v>
      </c>
      <c r="AG63" s="716">
        <v>103.682</v>
      </c>
      <c r="AH63" s="716">
        <v>2.2120000000000002</v>
      </c>
      <c r="AI63" s="813"/>
      <c r="AJ63" s="813"/>
    </row>
    <row r="64" spans="1:36" s="465" customFormat="1" ht="15" customHeight="1" thickBot="1">
      <c r="A64" s="485" t="s">
        <v>92</v>
      </c>
      <c r="B64" s="478" t="s">
        <v>98</v>
      </c>
      <c r="C64" s="767">
        <v>442.536</v>
      </c>
      <c r="D64" s="841">
        <f t="shared" si="12"/>
        <v>440</v>
      </c>
      <c r="E64" s="767">
        <v>26.847999999999999</v>
      </c>
      <c r="F64" s="841">
        <f t="shared" si="13"/>
        <v>25</v>
      </c>
      <c r="G64" s="767">
        <v>6.8140000000000001</v>
      </c>
      <c r="H64" s="835">
        <f t="shared" si="14"/>
        <v>7</v>
      </c>
      <c r="I64" s="767">
        <v>5.4749999999999996</v>
      </c>
      <c r="J64" s="835">
        <f t="shared" si="15"/>
        <v>5</v>
      </c>
      <c r="K64" s="767">
        <v>0</v>
      </c>
      <c r="L64" s="835">
        <f t="shared" si="16"/>
        <v>0</v>
      </c>
      <c r="M64" s="767">
        <v>7.4109999999999996</v>
      </c>
      <c r="N64" s="1005">
        <f t="shared" si="17"/>
        <v>5</v>
      </c>
      <c r="O64" s="767">
        <v>98.884</v>
      </c>
      <c r="P64" s="841">
        <f t="shared" si="18"/>
        <v>100</v>
      </c>
      <c r="Q64" s="767">
        <v>95.120999999999995</v>
      </c>
      <c r="R64" s="841">
        <f t="shared" si="19"/>
        <v>95</v>
      </c>
      <c r="S64" s="767">
        <v>3.1E-2</v>
      </c>
      <c r="T64" s="841">
        <f t="shared" si="20"/>
        <v>0</v>
      </c>
      <c r="U64" s="767">
        <v>86.67</v>
      </c>
      <c r="V64" s="841">
        <f t="shared" si="21"/>
        <v>87</v>
      </c>
      <c r="W64" s="767">
        <v>86.114999999999995</v>
      </c>
      <c r="X64" s="841">
        <f t="shared" si="22"/>
        <v>86</v>
      </c>
      <c r="Y64" s="768">
        <v>0.85099999999999998</v>
      </c>
      <c r="Z64" s="841" t="str">
        <f t="shared" si="23"/>
        <v>less than 1 g</v>
      </c>
      <c r="AA64" s="768">
        <v>0</v>
      </c>
      <c r="AB64" s="768">
        <v>0</v>
      </c>
      <c r="AC64" s="768">
        <v>25.36</v>
      </c>
      <c r="AD64" s="716">
        <v>1.9510000000000001</v>
      </c>
      <c r="AE64" s="716">
        <v>0.127</v>
      </c>
      <c r="AF64" s="716">
        <v>0.70299999999999996</v>
      </c>
      <c r="AG64" s="716">
        <v>21.952999999999999</v>
      </c>
      <c r="AH64" s="716">
        <v>0.46700000000000003</v>
      </c>
    </row>
    <row r="65" spans="1:45" s="465" customFormat="1" ht="15" customHeight="1" thickBot="1">
      <c r="A65" s="485" t="s">
        <v>92</v>
      </c>
      <c r="B65" s="478" t="s">
        <v>99</v>
      </c>
      <c r="C65" s="545">
        <v>443.75700000000001</v>
      </c>
      <c r="D65" s="841">
        <f t="shared" si="12"/>
        <v>440</v>
      </c>
      <c r="E65" s="545">
        <v>54.451999999999998</v>
      </c>
      <c r="F65" s="841">
        <f t="shared" si="13"/>
        <v>50</v>
      </c>
      <c r="G65" s="545">
        <v>9.891</v>
      </c>
      <c r="H65" s="835">
        <f t="shared" si="14"/>
        <v>10</v>
      </c>
      <c r="I65" s="545">
        <v>7.3259999999999996</v>
      </c>
      <c r="J65" s="835">
        <f t="shared" si="15"/>
        <v>7</v>
      </c>
      <c r="K65" s="545">
        <v>6.3E-2</v>
      </c>
      <c r="L65" s="835">
        <f t="shared" si="16"/>
        <v>0</v>
      </c>
      <c r="M65" s="545">
        <v>7.431</v>
      </c>
      <c r="N65" s="1005">
        <f t="shared" si="17"/>
        <v>5</v>
      </c>
      <c r="O65" s="545">
        <v>98.655000000000001</v>
      </c>
      <c r="P65" s="841">
        <f t="shared" si="18"/>
        <v>100</v>
      </c>
      <c r="Q65" s="545">
        <v>103.553</v>
      </c>
      <c r="R65" s="841">
        <f t="shared" si="19"/>
        <v>104</v>
      </c>
      <c r="S65" s="545">
        <v>0.89500000000000002</v>
      </c>
      <c r="T65" s="841" t="str">
        <f t="shared" si="20"/>
        <v>less than 1 g</v>
      </c>
      <c r="U65" s="545">
        <v>93.662000000000006</v>
      </c>
      <c r="V65" s="841">
        <f t="shared" si="21"/>
        <v>94</v>
      </c>
      <c r="W65" s="545">
        <v>86.352999999999994</v>
      </c>
      <c r="X65" s="841">
        <f t="shared" si="22"/>
        <v>86</v>
      </c>
      <c r="Y65" s="545">
        <v>1.405</v>
      </c>
      <c r="Z65" s="841">
        <f t="shared" si="23"/>
        <v>1</v>
      </c>
      <c r="AA65" s="578">
        <v>2.5999999999999999E-2</v>
      </c>
      <c r="AB65" s="578">
        <v>0.129</v>
      </c>
      <c r="AC65" s="578">
        <v>29.234000000000002</v>
      </c>
      <c r="AD65" s="578">
        <v>2.2490000000000001</v>
      </c>
      <c r="AE65" s="476">
        <v>1.07</v>
      </c>
      <c r="AF65" s="476">
        <v>5.9429999999999996</v>
      </c>
      <c r="AG65" s="476">
        <v>70.186999999999998</v>
      </c>
      <c r="AH65" s="476">
        <v>1.4930000000000001</v>
      </c>
    </row>
    <row r="66" spans="1:45" s="465" customFormat="1" ht="15" customHeight="1" thickBot="1">
      <c r="A66" s="485" t="s">
        <v>92</v>
      </c>
      <c r="B66" s="478" t="s">
        <v>100</v>
      </c>
      <c r="C66" s="545">
        <v>419.39100000000002</v>
      </c>
      <c r="D66" s="841">
        <f t="shared" si="12"/>
        <v>420</v>
      </c>
      <c r="E66" s="545">
        <v>23.943000000000001</v>
      </c>
      <c r="F66" s="841">
        <f t="shared" si="13"/>
        <v>25</v>
      </c>
      <c r="G66" s="545">
        <v>6.5</v>
      </c>
      <c r="H66" s="835">
        <f t="shared" si="14"/>
        <v>7</v>
      </c>
      <c r="I66" s="545">
        <v>5.56</v>
      </c>
      <c r="J66" s="835">
        <f t="shared" si="15"/>
        <v>6</v>
      </c>
      <c r="K66" s="545">
        <v>3.0000000000000001E-3</v>
      </c>
      <c r="L66" s="835">
        <f t="shared" si="16"/>
        <v>0</v>
      </c>
      <c r="M66" s="545">
        <v>1E-3</v>
      </c>
      <c r="N66" s="1005">
        <f t="shared" si="17"/>
        <v>0</v>
      </c>
      <c r="O66" s="545">
        <v>107.94</v>
      </c>
      <c r="P66" s="841">
        <f t="shared" si="18"/>
        <v>110</v>
      </c>
      <c r="Q66" s="545">
        <v>98.314999999999998</v>
      </c>
      <c r="R66" s="841">
        <f t="shared" si="19"/>
        <v>98</v>
      </c>
      <c r="S66" s="545">
        <v>0.93300000000000005</v>
      </c>
      <c r="T66" s="841" t="str">
        <f t="shared" si="20"/>
        <v>less than 1 g</v>
      </c>
      <c r="U66" s="545">
        <v>90.709000000000003</v>
      </c>
      <c r="V66" s="841">
        <f t="shared" si="21"/>
        <v>91</v>
      </c>
      <c r="W66" s="545">
        <v>84.793000000000006</v>
      </c>
      <c r="X66" s="841">
        <f t="shared" si="22"/>
        <v>85</v>
      </c>
      <c r="Y66" s="545">
        <v>1.0229999999999999</v>
      </c>
      <c r="Z66" s="841">
        <f t="shared" si="23"/>
        <v>1</v>
      </c>
      <c r="AA66" s="578">
        <v>1.2999999999999999E-2</v>
      </c>
      <c r="AB66" s="578">
        <v>6.4000000000000001E-2</v>
      </c>
      <c r="AC66" s="578">
        <v>17.978000000000002</v>
      </c>
      <c r="AD66" s="578">
        <v>1.383</v>
      </c>
      <c r="AE66" s="476">
        <v>0.85299999999999998</v>
      </c>
      <c r="AF66" s="476">
        <v>4.74</v>
      </c>
      <c r="AG66" s="476">
        <v>129.315</v>
      </c>
      <c r="AH66" s="476">
        <v>2.7509999999999999</v>
      </c>
    </row>
    <row r="67" spans="1:45" s="465" customFormat="1" ht="15" customHeight="1" thickBot="1">
      <c r="A67" s="485" t="s">
        <v>92</v>
      </c>
      <c r="B67" s="478" t="s">
        <v>101</v>
      </c>
      <c r="C67" s="545">
        <v>399.80700000000002</v>
      </c>
      <c r="D67" s="841">
        <f t="shared" si="12"/>
        <v>400</v>
      </c>
      <c r="E67" s="545">
        <v>37.610999999999997</v>
      </c>
      <c r="F67" s="841">
        <f t="shared" si="13"/>
        <v>40</v>
      </c>
      <c r="G67" s="545">
        <v>8.8030000000000008</v>
      </c>
      <c r="H67" s="835">
        <f t="shared" si="14"/>
        <v>9</v>
      </c>
      <c r="I67" s="545">
        <v>6.5019999999999998</v>
      </c>
      <c r="J67" s="835">
        <f t="shared" si="15"/>
        <v>7</v>
      </c>
      <c r="K67" s="545">
        <v>0</v>
      </c>
      <c r="L67" s="835">
        <f t="shared" si="16"/>
        <v>0</v>
      </c>
      <c r="M67" s="545">
        <v>1E-3</v>
      </c>
      <c r="N67" s="1005">
        <f t="shared" si="17"/>
        <v>0</v>
      </c>
      <c r="O67" s="545">
        <v>117.893</v>
      </c>
      <c r="P67" s="841">
        <f t="shared" si="18"/>
        <v>120</v>
      </c>
      <c r="Q67" s="545">
        <v>96.935000000000002</v>
      </c>
      <c r="R67" s="841">
        <f t="shared" si="19"/>
        <v>97</v>
      </c>
      <c r="S67" s="545">
        <v>1.32</v>
      </c>
      <c r="T67" s="841">
        <f t="shared" si="20"/>
        <v>1</v>
      </c>
      <c r="U67" s="545">
        <v>89.799000000000007</v>
      </c>
      <c r="V67" s="841">
        <f t="shared" si="21"/>
        <v>90</v>
      </c>
      <c r="W67" s="545">
        <v>81.436999999999998</v>
      </c>
      <c r="X67" s="841">
        <f t="shared" si="22"/>
        <v>81</v>
      </c>
      <c r="Y67" s="545">
        <v>1.444</v>
      </c>
      <c r="Z67" s="841">
        <f t="shared" si="23"/>
        <v>1</v>
      </c>
      <c r="AA67" s="578">
        <v>2.5999999999999999E-2</v>
      </c>
      <c r="AB67" s="578">
        <v>0.13100000000000001</v>
      </c>
      <c r="AC67" s="578">
        <v>22.219000000000001</v>
      </c>
      <c r="AD67" s="578">
        <v>1.7090000000000001</v>
      </c>
      <c r="AE67" s="476">
        <v>1.4379999999999999</v>
      </c>
      <c r="AF67" s="476">
        <v>7.99</v>
      </c>
      <c r="AG67" s="476">
        <v>108.91</v>
      </c>
      <c r="AH67" s="476">
        <v>2.3170000000000002</v>
      </c>
    </row>
    <row r="68" spans="1:45" s="723" customFormat="1" ht="15" customHeight="1" thickBot="1">
      <c r="A68" s="485" t="s">
        <v>92</v>
      </c>
      <c r="B68" s="814" t="s">
        <v>102</v>
      </c>
      <c r="C68" s="542">
        <v>434.166</v>
      </c>
      <c r="D68" s="841">
        <f t="shared" si="12"/>
        <v>430</v>
      </c>
      <c r="E68" s="542">
        <v>23.591000000000001</v>
      </c>
      <c r="F68" s="841">
        <f t="shared" si="13"/>
        <v>25</v>
      </c>
      <c r="G68" s="542">
        <v>6.4980000000000002</v>
      </c>
      <c r="H68" s="835">
        <f t="shared" si="14"/>
        <v>6</v>
      </c>
      <c r="I68" s="542">
        <v>5.681</v>
      </c>
      <c r="J68" s="835">
        <f t="shared" si="15"/>
        <v>6</v>
      </c>
      <c r="K68" s="542">
        <v>0</v>
      </c>
      <c r="L68" s="835">
        <f t="shared" si="16"/>
        <v>0</v>
      </c>
      <c r="M68" s="542">
        <v>0</v>
      </c>
      <c r="N68" s="1005">
        <f t="shared" si="17"/>
        <v>0</v>
      </c>
      <c r="O68" s="542">
        <v>95.912000000000006</v>
      </c>
      <c r="P68" s="841">
        <f t="shared" si="18"/>
        <v>95</v>
      </c>
      <c r="Q68" s="542">
        <v>94.32</v>
      </c>
      <c r="R68" s="841">
        <f t="shared" si="19"/>
        <v>94</v>
      </c>
      <c r="S68" s="542">
        <v>0.63300000000000001</v>
      </c>
      <c r="T68" s="841" t="str">
        <f t="shared" si="20"/>
        <v>less than 1 g</v>
      </c>
      <c r="U68" s="542">
        <v>88.265000000000001</v>
      </c>
      <c r="V68" s="841">
        <f t="shared" si="21"/>
        <v>88</v>
      </c>
      <c r="W68" s="542">
        <v>79.167000000000002</v>
      </c>
      <c r="X68" s="841">
        <f t="shared" si="22"/>
        <v>79</v>
      </c>
      <c r="Y68" s="550">
        <v>0.35599999999999998</v>
      </c>
      <c r="Z68" s="841">
        <f t="shared" si="23"/>
        <v>0</v>
      </c>
      <c r="AA68" s="575">
        <v>0</v>
      </c>
      <c r="AB68" s="575">
        <v>0</v>
      </c>
      <c r="AC68" s="575">
        <v>13.079000000000001</v>
      </c>
      <c r="AD68" s="578">
        <v>1.006</v>
      </c>
      <c r="AE68" s="476">
        <v>0.184</v>
      </c>
      <c r="AF68" s="476">
        <v>1.0209999999999999</v>
      </c>
      <c r="AG68" s="476">
        <v>13.036</v>
      </c>
      <c r="AH68" s="476">
        <v>0.27700000000000002</v>
      </c>
    </row>
    <row r="69" spans="1:45" s="465" customFormat="1" ht="15" customHeight="1" thickBot="1">
      <c r="A69" s="485" t="s">
        <v>92</v>
      </c>
      <c r="B69" s="478" t="s">
        <v>104</v>
      </c>
      <c r="C69" s="690">
        <v>467.19200000000001</v>
      </c>
      <c r="D69" s="841">
        <f t="shared" si="12"/>
        <v>470</v>
      </c>
      <c r="E69" s="690">
        <v>29.323</v>
      </c>
      <c r="F69" s="841">
        <f t="shared" si="13"/>
        <v>30</v>
      </c>
      <c r="G69" s="690">
        <v>7.1269999999999998</v>
      </c>
      <c r="H69" s="835">
        <f t="shared" si="14"/>
        <v>7</v>
      </c>
      <c r="I69" s="690">
        <v>5.069</v>
      </c>
      <c r="J69" s="835">
        <f t="shared" si="15"/>
        <v>5</v>
      </c>
      <c r="K69" s="690">
        <v>0.25700000000000001</v>
      </c>
      <c r="L69" s="835">
        <f t="shared" si="16"/>
        <v>0</v>
      </c>
      <c r="M69" s="690">
        <v>3.0289999999999999</v>
      </c>
      <c r="N69" s="1005" t="str">
        <f t="shared" si="17"/>
        <v>less than 5 mg</v>
      </c>
      <c r="O69" s="690">
        <v>136.506</v>
      </c>
      <c r="P69" s="841">
        <f t="shared" si="18"/>
        <v>135</v>
      </c>
      <c r="Q69" s="690">
        <v>100.664</v>
      </c>
      <c r="R69" s="841">
        <f t="shared" si="19"/>
        <v>101</v>
      </c>
      <c r="S69" s="690">
        <v>0.499</v>
      </c>
      <c r="T69" s="841">
        <f t="shared" si="20"/>
        <v>0</v>
      </c>
      <c r="U69" s="690">
        <v>90.227999999999994</v>
      </c>
      <c r="V69" s="841">
        <f t="shared" si="21"/>
        <v>90</v>
      </c>
      <c r="W69" s="690">
        <v>88.198999999999998</v>
      </c>
      <c r="X69" s="841">
        <f t="shared" si="22"/>
        <v>88</v>
      </c>
      <c r="Y69" s="690">
        <v>1.052</v>
      </c>
      <c r="Z69" s="841">
        <f t="shared" si="23"/>
        <v>1</v>
      </c>
      <c r="AA69" s="819">
        <v>2E-3</v>
      </c>
      <c r="AB69" s="819">
        <v>8.9999999999999993E-3</v>
      </c>
      <c r="AC69" s="819">
        <v>14.516</v>
      </c>
      <c r="AD69" s="819">
        <v>0.377</v>
      </c>
      <c r="AE69" s="819">
        <v>0.54800000000000004</v>
      </c>
      <c r="AF69" s="819">
        <v>3.0449999999999999</v>
      </c>
      <c r="AG69" s="819">
        <v>63.843000000000004</v>
      </c>
      <c r="AH69" s="819">
        <v>1.3580000000000001</v>
      </c>
      <c r="AI69" s="813"/>
      <c r="AJ69" s="813"/>
      <c r="AK69" s="813"/>
      <c r="AL69" s="813"/>
      <c r="AM69" s="813"/>
      <c r="AN69" s="813"/>
      <c r="AO69" s="813"/>
      <c r="AP69" s="813"/>
      <c r="AQ69" s="813"/>
      <c r="AR69" s="813"/>
      <c r="AS69" s="813"/>
    </row>
    <row r="70" spans="1:45" s="465" customFormat="1" ht="15" customHeight="1" thickBot="1">
      <c r="A70" s="485" t="s">
        <v>92</v>
      </c>
      <c r="B70" s="478" t="s">
        <v>103</v>
      </c>
      <c r="C70" s="542">
        <v>487.18900000000002</v>
      </c>
      <c r="D70" s="841">
        <f t="shared" si="12"/>
        <v>490</v>
      </c>
      <c r="E70" s="542">
        <v>10.243</v>
      </c>
      <c r="F70" s="841">
        <f t="shared" si="13"/>
        <v>10</v>
      </c>
      <c r="G70" s="542">
        <v>4.92</v>
      </c>
      <c r="H70" s="835">
        <f t="shared" si="14"/>
        <v>5</v>
      </c>
      <c r="I70" s="542">
        <v>3.8580000000000001</v>
      </c>
      <c r="J70" s="835">
        <f t="shared" si="15"/>
        <v>4</v>
      </c>
      <c r="K70" s="542">
        <v>0</v>
      </c>
      <c r="L70" s="835">
        <f t="shared" si="16"/>
        <v>0</v>
      </c>
      <c r="M70" s="542">
        <v>0</v>
      </c>
      <c r="N70" s="1005">
        <f t="shared" si="17"/>
        <v>0</v>
      </c>
      <c r="O70" s="542">
        <v>93.558000000000007</v>
      </c>
      <c r="P70" s="841">
        <f t="shared" si="18"/>
        <v>95</v>
      </c>
      <c r="Q70" s="542">
        <v>111.49299999999999</v>
      </c>
      <c r="R70" s="841">
        <f t="shared" si="19"/>
        <v>111</v>
      </c>
      <c r="S70" s="542">
        <v>0.13300000000000001</v>
      </c>
      <c r="T70" s="841">
        <f t="shared" si="20"/>
        <v>0</v>
      </c>
      <c r="U70" s="542">
        <v>105.16800000000001</v>
      </c>
      <c r="V70" s="841">
        <f t="shared" si="21"/>
        <v>105</v>
      </c>
      <c r="W70" s="542">
        <v>104.91</v>
      </c>
      <c r="X70" s="841">
        <f t="shared" si="22"/>
        <v>105</v>
      </c>
      <c r="Y70" s="550">
        <v>0.59099999999999997</v>
      </c>
      <c r="Z70" s="841" t="str">
        <f t="shared" si="23"/>
        <v>less than 1 g</v>
      </c>
      <c r="AA70" s="575">
        <v>0</v>
      </c>
      <c r="AB70" s="575">
        <v>0</v>
      </c>
      <c r="AC70" s="575">
        <v>11.766999999999999</v>
      </c>
      <c r="AD70" s="578">
        <v>0.90500000000000003</v>
      </c>
      <c r="AE70" s="476">
        <v>0.34100000000000003</v>
      </c>
      <c r="AF70" s="476">
        <v>1.895</v>
      </c>
      <c r="AG70" s="476">
        <v>18.245000000000001</v>
      </c>
      <c r="AH70" s="476">
        <v>0.38800000000000001</v>
      </c>
    </row>
    <row r="71" spans="1:45" s="465" customFormat="1" ht="18.899999999999999" thickBot="1">
      <c r="A71" s="485" t="s">
        <v>92</v>
      </c>
      <c r="B71" s="475" t="s">
        <v>318</v>
      </c>
      <c r="C71" s="781">
        <v>429.18700000000001</v>
      </c>
      <c r="D71" s="841">
        <f t="shared" si="12"/>
        <v>430</v>
      </c>
      <c r="E71" s="781">
        <v>3.4350000000000001</v>
      </c>
      <c r="F71" s="841">
        <f t="shared" si="13"/>
        <v>0</v>
      </c>
      <c r="G71" s="781">
        <v>4.0259999999999998</v>
      </c>
      <c r="H71" s="835">
        <f t="shared" si="14"/>
        <v>4</v>
      </c>
      <c r="I71" s="781">
        <v>3.605</v>
      </c>
      <c r="J71" s="835">
        <f t="shared" si="15"/>
        <v>3.5</v>
      </c>
      <c r="K71" s="781">
        <v>0</v>
      </c>
      <c r="L71" s="835">
        <f t="shared" si="16"/>
        <v>0</v>
      </c>
      <c r="M71" s="781">
        <v>0</v>
      </c>
      <c r="N71" s="1005">
        <f t="shared" si="17"/>
        <v>0</v>
      </c>
      <c r="O71" s="781">
        <v>104.711</v>
      </c>
      <c r="P71" s="841">
        <f t="shared" si="18"/>
        <v>105</v>
      </c>
      <c r="Q71" s="781">
        <v>100.512</v>
      </c>
      <c r="R71" s="841">
        <f t="shared" si="19"/>
        <v>101</v>
      </c>
      <c r="S71" s="781">
        <v>1.1160000000000001</v>
      </c>
      <c r="T71" s="841">
        <f t="shared" si="20"/>
        <v>1</v>
      </c>
      <c r="U71" s="781">
        <v>94.269000000000005</v>
      </c>
      <c r="V71" s="841">
        <f t="shared" si="21"/>
        <v>94</v>
      </c>
      <c r="W71" s="781">
        <v>93.762</v>
      </c>
      <c r="X71" s="841">
        <f t="shared" si="22"/>
        <v>94</v>
      </c>
      <c r="Y71" s="781">
        <v>1.0109999999999999</v>
      </c>
      <c r="Z71" s="841">
        <f t="shared" si="23"/>
        <v>1</v>
      </c>
      <c r="AA71" s="782">
        <v>5.0000000000000001E-3</v>
      </c>
      <c r="AB71" s="782">
        <v>2.5000000000000001E-2</v>
      </c>
      <c r="AC71" s="782">
        <v>17.07</v>
      </c>
      <c r="AD71" s="782">
        <v>1.3129999999999999</v>
      </c>
      <c r="AE71" s="783">
        <v>0.746</v>
      </c>
      <c r="AF71" s="783">
        <v>4.1470000000000002</v>
      </c>
      <c r="AG71" s="783">
        <v>90.905000000000001</v>
      </c>
      <c r="AH71" s="783">
        <v>1.9339999999999999</v>
      </c>
    </row>
    <row r="72" spans="1:45" s="465" customFormat="1" ht="15" customHeight="1" thickBot="1">
      <c r="A72" s="485" t="s">
        <v>92</v>
      </c>
      <c r="B72" s="484" t="s">
        <v>105</v>
      </c>
      <c r="C72" s="545">
        <v>516.76199999999994</v>
      </c>
      <c r="D72" s="841">
        <f t="shared" si="12"/>
        <v>520</v>
      </c>
      <c r="E72" s="545">
        <v>33.642000000000003</v>
      </c>
      <c r="F72" s="841">
        <f t="shared" si="13"/>
        <v>35</v>
      </c>
      <c r="G72" s="545">
        <v>7.4189999999999996</v>
      </c>
      <c r="H72" s="835">
        <f t="shared" si="14"/>
        <v>7</v>
      </c>
      <c r="I72" s="545">
        <v>5.0620000000000003</v>
      </c>
      <c r="J72" s="835">
        <f t="shared" si="15"/>
        <v>5</v>
      </c>
      <c r="K72" s="545">
        <v>4.9000000000000002E-2</v>
      </c>
      <c r="L72" s="835">
        <f t="shared" si="16"/>
        <v>0</v>
      </c>
      <c r="M72" s="545">
        <v>2.9540000000000002</v>
      </c>
      <c r="N72" s="1005" t="str">
        <f t="shared" si="17"/>
        <v>less than 5 mg</v>
      </c>
      <c r="O72" s="545">
        <v>133.57</v>
      </c>
      <c r="P72" s="841">
        <f t="shared" si="18"/>
        <v>135</v>
      </c>
      <c r="Q72" s="545">
        <v>119.06100000000001</v>
      </c>
      <c r="R72" s="841">
        <f t="shared" si="19"/>
        <v>119</v>
      </c>
      <c r="S72" s="545">
        <v>2.0699999999999998</v>
      </c>
      <c r="T72" s="841">
        <f t="shared" si="20"/>
        <v>2</v>
      </c>
      <c r="U72" s="545">
        <v>105.977</v>
      </c>
      <c r="V72" s="841">
        <f t="shared" si="21"/>
        <v>106</v>
      </c>
      <c r="W72" s="545">
        <v>97.448999999999998</v>
      </c>
      <c r="X72" s="841">
        <f t="shared" si="22"/>
        <v>97</v>
      </c>
      <c r="Y72" s="545">
        <v>2.2450000000000001</v>
      </c>
      <c r="Z72" s="841">
        <f t="shared" si="23"/>
        <v>2</v>
      </c>
      <c r="AA72" s="578">
        <v>1.2999999999999999E-2</v>
      </c>
      <c r="AB72" s="578">
        <v>6.7000000000000004E-2</v>
      </c>
      <c r="AC72" s="578">
        <v>22.605</v>
      </c>
      <c r="AD72" s="578">
        <v>1.7390000000000001</v>
      </c>
      <c r="AE72" s="476">
        <v>1.153</v>
      </c>
      <c r="AF72" s="476">
        <v>6.4059999999999997</v>
      </c>
      <c r="AG72" s="476">
        <v>180.17</v>
      </c>
      <c r="AH72" s="476">
        <v>3.8330000000000002</v>
      </c>
    </row>
    <row r="73" spans="1:45" s="465" customFormat="1" ht="15" customHeight="1" thickBot="1">
      <c r="A73" s="485" t="s">
        <v>92</v>
      </c>
      <c r="B73" s="484" t="s">
        <v>319</v>
      </c>
      <c r="C73" s="542">
        <v>525.846</v>
      </c>
      <c r="D73" s="841">
        <f t="shared" si="12"/>
        <v>530</v>
      </c>
      <c r="E73" s="542">
        <v>74.492999999999995</v>
      </c>
      <c r="F73" s="841">
        <f t="shared" si="13"/>
        <v>70</v>
      </c>
      <c r="G73" s="542">
        <v>12.047000000000001</v>
      </c>
      <c r="H73" s="835">
        <f t="shared" si="14"/>
        <v>12</v>
      </c>
      <c r="I73" s="542">
        <v>4.87</v>
      </c>
      <c r="J73" s="835">
        <f t="shared" si="15"/>
        <v>5</v>
      </c>
      <c r="K73" s="542">
        <v>0</v>
      </c>
      <c r="L73" s="835">
        <f t="shared" si="16"/>
        <v>0</v>
      </c>
      <c r="M73" s="542">
        <v>0</v>
      </c>
      <c r="N73" s="1005">
        <f t="shared" si="17"/>
        <v>0</v>
      </c>
      <c r="O73" s="542">
        <v>149.79900000000001</v>
      </c>
      <c r="P73" s="841">
        <f t="shared" si="18"/>
        <v>150</v>
      </c>
      <c r="Q73" s="542">
        <v>103.71</v>
      </c>
      <c r="R73" s="841">
        <f t="shared" si="19"/>
        <v>104</v>
      </c>
      <c r="S73" s="542">
        <v>0.96299999999999997</v>
      </c>
      <c r="T73" s="841" t="str">
        <f t="shared" si="20"/>
        <v>less than 1 g</v>
      </c>
      <c r="U73" s="542">
        <v>98.39</v>
      </c>
      <c r="V73" s="841">
        <f t="shared" si="21"/>
        <v>98</v>
      </c>
      <c r="W73" s="542">
        <v>97.763999999999996</v>
      </c>
      <c r="X73" s="841">
        <f t="shared" si="22"/>
        <v>98</v>
      </c>
      <c r="Y73" s="550">
        <v>3.069</v>
      </c>
      <c r="Z73" s="841">
        <f t="shared" si="23"/>
        <v>3</v>
      </c>
      <c r="AA73" s="575">
        <v>0</v>
      </c>
      <c r="AB73" s="575">
        <v>0</v>
      </c>
      <c r="AC73" s="575">
        <v>21.445</v>
      </c>
      <c r="AD73" s="578">
        <v>1.65</v>
      </c>
      <c r="AE73" s="476">
        <v>0.93500000000000005</v>
      </c>
      <c r="AF73" s="476">
        <v>5.194</v>
      </c>
      <c r="AG73" s="476">
        <v>102.08799999999999</v>
      </c>
      <c r="AH73" s="476">
        <v>2.1720000000000002</v>
      </c>
    </row>
    <row r="74" spans="1:45" s="465" customFormat="1" ht="15" customHeight="1" thickBot="1">
      <c r="A74" s="485" t="s">
        <v>92</v>
      </c>
      <c r="B74" s="484" t="s">
        <v>108</v>
      </c>
      <c r="C74" s="545">
        <v>372.12400000000002</v>
      </c>
      <c r="D74" s="841">
        <f t="shared" si="12"/>
        <v>370</v>
      </c>
      <c r="E74" s="545">
        <v>27.617999999999999</v>
      </c>
      <c r="F74" s="841">
        <f t="shared" si="13"/>
        <v>30</v>
      </c>
      <c r="G74" s="545">
        <v>6.9219999999999997</v>
      </c>
      <c r="H74" s="835">
        <f t="shared" si="14"/>
        <v>7</v>
      </c>
      <c r="I74" s="545">
        <v>5.4139999999999997</v>
      </c>
      <c r="J74" s="835">
        <f t="shared" si="15"/>
        <v>5</v>
      </c>
      <c r="K74" s="545">
        <v>0</v>
      </c>
      <c r="L74" s="835">
        <f t="shared" si="16"/>
        <v>0</v>
      </c>
      <c r="M74" s="545">
        <v>0</v>
      </c>
      <c r="N74" s="1005">
        <f t="shared" si="17"/>
        <v>0</v>
      </c>
      <c r="O74" s="545">
        <v>75.959999999999994</v>
      </c>
      <c r="P74" s="841">
        <f t="shared" si="18"/>
        <v>75</v>
      </c>
      <c r="Q74" s="545">
        <v>93.822000000000003</v>
      </c>
      <c r="R74" s="841">
        <f t="shared" si="19"/>
        <v>94</v>
      </c>
      <c r="S74" s="545">
        <v>0.86599999999999999</v>
      </c>
      <c r="T74" s="841" t="str">
        <f t="shared" si="20"/>
        <v>less than 1 g</v>
      </c>
      <c r="U74" s="545">
        <v>88.436000000000007</v>
      </c>
      <c r="V74" s="841">
        <f t="shared" si="21"/>
        <v>88</v>
      </c>
      <c r="W74" s="545">
        <v>81.450999999999993</v>
      </c>
      <c r="X74" s="841">
        <f t="shared" si="22"/>
        <v>81</v>
      </c>
      <c r="Y74" s="545">
        <v>0.90400000000000003</v>
      </c>
      <c r="Z74" s="841" t="str">
        <f t="shared" si="23"/>
        <v>less than 1 g</v>
      </c>
      <c r="AA74" s="578">
        <v>2.5999999999999999E-2</v>
      </c>
      <c r="AB74" s="578">
        <v>0.129</v>
      </c>
      <c r="AC74" s="578">
        <v>14.204000000000001</v>
      </c>
      <c r="AD74" s="578">
        <v>1.093</v>
      </c>
      <c r="AE74" s="476">
        <v>1.0429999999999999</v>
      </c>
      <c r="AF74" s="476">
        <v>5.7960000000000003</v>
      </c>
      <c r="AG74" s="476">
        <v>58.204999999999998</v>
      </c>
      <c r="AH74" s="476">
        <v>1.238</v>
      </c>
    </row>
    <row r="75" spans="1:45" s="465" customFormat="1" ht="15" customHeight="1" thickBot="1">
      <c r="A75" s="485" t="s">
        <v>92</v>
      </c>
      <c r="B75" s="484" t="s">
        <v>109</v>
      </c>
      <c r="C75" s="542">
        <v>403.40100000000001</v>
      </c>
      <c r="D75" s="841">
        <f t="shared" si="12"/>
        <v>400</v>
      </c>
      <c r="E75" s="542">
        <v>10.506</v>
      </c>
      <c r="F75" s="841">
        <f t="shared" si="13"/>
        <v>10</v>
      </c>
      <c r="G75" s="542">
        <v>5.4059999999999997</v>
      </c>
      <c r="H75" s="835">
        <f t="shared" si="14"/>
        <v>5</v>
      </c>
      <c r="I75" s="542">
        <v>3.9569999999999999</v>
      </c>
      <c r="J75" s="835">
        <f t="shared" si="15"/>
        <v>4</v>
      </c>
      <c r="K75" s="542">
        <v>0</v>
      </c>
      <c r="L75" s="835">
        <f t="shared" si="16"/>
        <v>0</v>
      </c>
      <c r="M75" s="542">
        <v>0.04</v>
      </c>
      <c r="N75" s="1005">
        <f t="shared" si="17"/>
        <v>0</v>
      </c>
      <c r="O75" s="542">
        <v>97.241</v>
      </c>
      <c r="P75" s="841">
        <f t="shared" si="18"/>
        <v>95</v>
      </c>
      <c r="Q75" s="542">
        <v>90.57</v>
      </c>
      <c r="R75" s="841">
        <f t="shared" si="19"/>
        <v>91</v>
      </c>
      <c r="S75" s="542">
        <v>0.121</v>
      </c>
      <c r="T75" s="841">
        <f t="shared" si="20"/>
        <v>0</v>
      </c>
      <c r="U75" s="542">
        <v>84.599000000000004</v>
      </c>
      <c r="V75" s="841">
        <f t="shared" si="21"/>
        <v>85</v>
      </c>
      <c r="W75" s="542">
        <v>84.367000000000004</v>
      </c>
      <c r="X75" s="841">
        <f t="shared" si="22"/>
        <v>84</v>
      </c>
      <c r="Y75" s="550">
        <v>0.60599999999999998</v>
      </c>
      <c r="Z75" s="841" t="str">
        <f t="shared" si="23"/>
        <v>less than 1 g</v>
      </c>
      <c r="AA75" s="575">
        <v>0</v>
      </c>
      <c r="AB75" s="575">
        <v>0</v>
      </c>
      <c r="AC75" s="575">
        <v>12.768000000000001</v>
      </c>
      <c r="AD75" s="578">
        <v>0.98199999999999998</v>
      </c>
      <c r="AE75" s="476">
        <v>0.35</v>
      </c>
      <c r="AF75" s="476">
        <v>1.944</v>
      </c>
      <c r="AG75" s="476">
        <v>18.414000000000001</v>
      </c>
      <c r="AH75" s="476">
        <v>0.39200000000000002</v>
      </c>
    </row>
    <row r="76" spans="1:45" s="465" customFormat="1" ht="15" customHeight="1" thickBot="1">
      <c r="A76" s="485" t="s">
        <v>92</v>
      </c>
      <c r="B76" s="484" t="s">
        <v>320</v>
      </c>
      <c r="C76" s="725">
        <v>351.46199999999999</v>
      </c>
      <c r="D76" s="841">
        <f t="shared" si="12"/>
        <v>350</v>
      </c>
      <c r="E76" s="725">
        <v>0</v>
      </c>
      <c r="F76" s="841">
        <f t="shared" si="13"/>
        <v>0</v>
      </c>
      <c r="G76" s="725">
        <v>3.7930000000000001</v>
      </c>
      <c r="H76" s="835">
        <f t="shared" si="14"/>
        <v>4</v>
      </c>
      <c r="I76" s="725">
        <v>3.5169999999999999</v>
      </c>
      <c r="J76" s="835">
        <f t="shared" si="15"/>
        <v>3.5</v>
      </c>
      <c r="K76" s="725">
        <v>0</v>
      </c>
      <c r="L76" s="835">
        <f t="shared" si="16"/>
        <v>0</v>
      </c>
      <c r="M76" s="725">
        <v>0</v>
      </c>
      <c r="N76" s="1005">
        <f t="shared" si="17"/>
        <v>0</v>
      </c>
      <c r="O76" s="725">
        <v>76.176000000000002</v>
      </c>
      <c r="P76" s="841">
        <f t="shared" si="18"/>
        <v>75</v>
      </c>
      <c r="Q76" s="725">
        <v>79.724000000000004</v>
      </c>
      <c r="R76" s="841">
        <f t="shared" si="19"/>
        <v>80</v>
      </c>
      <c r="S76" s="725">
        <v>6.0000000000000001E-3</v>
      </c>
      <c r="T76" s="841">
        <f t="shared" si="20"/>
        <v>0</v>
      </c>
      <c r="U76" s="725">
        <v>74.790999999999997</v>
      </c>
      <c r="V76" s="841">
        <f t="shared" si="21"/>
        <v>75</v>
      </c>
      <c r="W76" s="725">
        <v>74.572000000000003</v>
      </c>
      <c r="X76" s="841">
        <f t="shared" si="22"/>
        <v>75</v>
      </c>
      <c r="Y76" s="725">
        <v>0.34499999999999997</v>
      </c>
      <c r="Z76" s="841">
        <f t="shared" si="23"/>
        <v>0</v>
      </c>
      <c r="AA76" s="715">
        <v>0</v>
      </c>
      <c r="AB76" s="715">
        <v>0</v>
      </c>
      <c r="AC76" s="715">
        <v>9.9600000000000009</v>
      </c>
      <c r="AD76" s="715">
        <v>0.76600000000000001</v>
      </c>
      <c r="AE76" s="716">
        <v>8.5000000000000006E-2</v>
      </c>
      <c r="AF76" s="716">
        <v>0.47199999999999998</v>
      </c>
      <c r="AG76" s="716">
        <v>9.1110000000000007</v>
      </c>
      <c r="AH76" s="716">
        <v>0.19400000000000001</v>
      </c>
    </row>
    <row r="77" spans="1:45" s="465" customFormat="1" ht="15" customHeight="1" thickBot="1">
      <c r="A77" s="485" t="s">
        <v>92</v>
      </c>
      <c r="B77" s="484" t="s">
        <v>111</v>
      </c>
      <c r="C77" s="542">
        <v>383.56299999999999</v>
      </c>
      <c r="D77" s="841">
        <f t="shared" si="12"/>
        <v>380</v>
      </c>
      <c r="E77" s="542">
        <v>13.525</v>
      </c>
      <c r="F77" s="841">
        <f t="shared" si="13"/>
        <v>15</v>
      </c>
      <c r="G77" s="542">
        <v>5.3520000000000003</v>
      </c>
      <c r="H77" s="835">
        <f t="shared" si="14"/>
        <v>5</v>
      </c>
      <c r="I77" s="542">
        <v>4.54</v>
      </c>
      <c r="J77" s="835">
        <f t="shared" si="15"/>
        <v>4.5</v>
      </c>
      <c r="K77" s="542">
        <v>3.2000000000000001E-2</v>
      </c>
      <c r="L77" s="835">
        <f t="shared" si="16"/>
        <v>0</v>
      </c>
      <c r="M77" s="542">
        <v>3.7240000000000002</v>
      </c>
      <c r="N77" s="1005" t="str">
        <f t="shared" si="17"/>
        <v>less than 5 mg</v>
      </c>
      <c r="O77" s="542">
        <v>89.474999999999994</v>
      </c>
      <c r="P77" s="841">
        <f t="shared" si="18"/>
        <v>90</v>
      </c>
      <c r="Q77" s="542">
        <v>83.852999999999994</v>
      </c>
      <c r="R77" s="841">
        <f t="shared" si="19"/>
        <v>84</v>
      </c>
      <c r="S77" s="542">
        <v>0.58599999999999997</v>
      </c>
      <c r="T77" s="841" t="str">
        <f t="shared" si="20"/>
        <v>less than 1 g</v>
      </c>
      <c r="U77" s="542">
        <v>76.616</v>
      </c>
      <c r="V77" s="841">
        <f t="shared" si="21"/>
        <v>77</v>
      </c>
      <c r="W77" s="542">
        <v>75.730999999999995</v>
      </c>
      <c r="X77" s="841">
        <f t="shared" si="22"/>
        <v>76</v>
      </c>
      <c r="Y77" s="550">
        <v>0.77700000000000002</v>
      </c>
      <c r="Z77" s="841" t="str">
        <f t="shared" si="23"/>
        <v>less than 1 g</v>
      </c>
      <c r="AA77" s="575">
        <v>0</v>
      </c>
      <c r="AB77" s="575">
        <v>0</v>
      </c>
      <c r="AC77" s="575">
        <v>22.716000000000001</v>
      </c>
      <c r="AD77" s="578">
        <v>1.7470000000000001</v>
      </c>
      <c r="AE77" s="476">
        <v>0.28799999999999998</v>
      </c>
      <c r="AF77" s="476">
        <v>1.6020000000000001</v>
      </c>
      <c r="AG77" s="476">
        <v>50.091999999999999</v>
      </c>
      <c r="AH77" s="476">
        <v>1.0660000000000001</v>
      </c>
    </row>
    <row r="78" spans="1:45" s="465" customFormat="1" ht="15" customHeight="1" thickBot="1">
      <c r="A78" s="485" t="s">
        <v>92</v>
      </c>
      <c r="B78" s="484" t="s">
        <v>112</v>
      </c>
      <c r="C78" s="542">
        <v>335.572</v>
      </c>
      <c r="D78" s="841">
        <f t="shared" si="12"/>
        <v>340</v>
      </c>
      <c r="E78" s="542">
        <v>6.9000000000000006E-2</v>
      </c>
      <c r="F78" s="841">
        <f t="shared" si="13"/>
        <v>0</v>
      </c>
      <c r="G78" s="542">
        <v>3.871</v>
      </c>
      <c r="H78" s="835">
        <f t="shared" si="14"/>
        <v>4</v>
      </c>
      <c r="I78" s="542">
        <v>3.59</v>
      </c>
      <c r="J78" s="835">
        <f t="shared" si="15"/>
        <v>3.5</v>
      </c>
      <c r="K78" s="542">
        <v>0</v>
      </c>
      <c r="L78" s="835">
        <f t="shared" si="16"/>
        <v>0</v>
      </c>
      <c r="M78" s="542">
        <v>0</v>
      </c>
      <c r="N78" s="1005">
        <f t="shared" si="17"/>
        <v>0</v>
      </c>
      <c r="O78" s="542">
        <v>79.781000000000006</v>
      </c>
      <c r="P78" s="841">
        <f t="shared" si="18"/>
        <v>80</v>
      </c>
      <c r="Q78" s="542">
        <v>75.477999999999994</v>
      </c>
      <c r="R78" s="841">
        <f t="shared" si="19"/>
        <v>75</v>
      </c>
      <c r="S78" s="542">
        <v>1.1439999999999999</v>
      </c>
      <c r="T78" s="841">
        <f t="shared" si="20"/>
        <v>1</v>
      </c>
      <c r="U78" s="542">
        <v>69.472999999999999</v>
      </c>
      <c r="V78" s="841">
        <f t="shared" si="21"/>
        <v>69</v>
      </c>
      <c r="W78" s="542">
        <v>68.256</v>
      </c>
      <c r="X78" s="841">
        <f t="shared" si="22"/>
        <v>68</v>
      </c>
      <c r="Y78" s="550">
        <v>0.70199999999999996</v>
      </c>
      <c r="Z78" s="841" t="str">
        <f t="shared" si="23"/>
        <v>less than 1 g</v>
      </c>
      <c r="AA78" s="575">
        <v>0</v>
      </c>
      <c r="AB78" s="575">
        <v>0</v>
      </c>
      <c r="AC78" s="575">
        <v>19.971</v>
      </c>
      <c r="AD78" s="578">
        <v>1.536</v>
      </c>
      <c r="AE78" s="476">
        <v>0.45300000000000001</v>
      </c>
      <c r="AF78" s="476">
        <v>2.5150000000000001</v>
      </c>
      <c r="AG78" s="476">
        <v>78.454999999999998</v>
      </c>
      <c r="AH78" s="476">
        <v>1.669</v>
      </c>
    </row>
    <row r="79" spans="1:45" s="465" customFormat="1" ht="15" customHeight="1" thickBot="1">
      <c r="A79" s="485" t="s">
        <v>92</v>
      </c>
      <c r="B79" s="484" t="s">
        <v>321</v>
      </c>
      <c r="C79" s="542">
        <v>339.76400000000001</v>
      </c>
      <c r="D79" s="841">
        <f t="shared" si="12"/>
        <v>340</v>
      </c>
      <c r="E79" s="542">
        <v>0.81599999999999995</v>
      </c>
      <c r="F79" s="841">
        <f t="shared" si="13"/>
        <v>0</v>
      </c>
      <c r="G79" s="542">
        <v>3.8340000000000001</v>
      </c>
      <c r="H79" s="835">
        <f t="shared" si="14"/>
        <v>4</v>
      </c>
      <c r="I79" s="542">
        <v>0.81599999999999995</v>
      </c>
      <c r="J79" s="835">
        <f t="shared" si="15"/>
        <v>1</v>
      </c>
      <c r="K79" s="542">
        <v>6.0000000000000001E-3</v>
      </c>
      <c r="L79" s="835">
        <f t="shared" si="16"/>
        <v>0</v>
      </c>
      <c r="M79" s="542">
        <v>0</v>
      </c>
      <c r="N79" s="1005">
        <f t="shared" si="17"/>
        <v>0</v>
      </c>
      <c r="O79" s="542">
        <v>77.662000000000006</v>
      </c>
      <c r="P79" s="841">
        <f t="shared" si="18"/>
        <v>80</v>
      </c>
      <c r="Q79" s="542">
        <v>76.427999999999997</v>
      </c>
      <c r="R79" s="841">
        <f t="shared" si="19"/>
        <v>76</v>
      </c>
      <c r="S79" s="542">
        <v>0.84499999999999997</v>
      </c>
      <c r="T79" s="841" t="str">
        <f t="shared" si="20"/>
        <v>less than 1 g</v>
      </c>
      <c r="U79" s="542">
        <v>70.808999999999997</v>
      </c>
      <c r="V79" s="841">
        <f t="shared" si="21"/>
        <v>71</v>
      </c>
      <c r="W79" s="542">
        <v>69.616</v>
      </c>
      <c r="X79" s="841">
        <f t="shared" si="22"/>
        <v>70</v>
      </c>
      <c r="Y79" s="550">
        <v>0.59199999999999997</v>
      </c>
      <c r="Z79" s="841" t="str">
        <f t="shared" si="23"/>
        <v>less than 1 g</v>
      </c>
      <c r="AA79" s="575">
        <v>0</v>
      </c>
      <c r="AB79" s="575">
        <v>0</v>
      </c>
      <c r="AC79" s="575">
        <v>13.727</v>
      </c>
      <c r="AD79" s="578">
        <v>1.056</v>
      </c>
      <c r="AE79" s="476">
        <v>0.20300000000000001</v>
      </c>
      <c r="AF79" s="476">
        <v>1.127</v>
      </c>
      <c r="AG79" s="476">
        <v>39.481999999999999</v>
      </c>
      <c r="AH79" s="476">
        <v>0.84</v>
      </c>
    </row>
    <row r="80" spans="1:45" s="465" customFormat="1" ht="15" customHeight="1" thickBot="1">
      <c r="A80" s="485" t="s">
        <v>92</v>
      </c>
      <c r="B80" s="484" t="s">
        <v>115</v>
      </c>
      <c r="C80" s="542">
        <v>353.35300000000001</v>
      </c>
      <c r="D80" s="841">
        <f t="shared" si="12"/>
        <v>350</v>
      </c>
      <c r="E80" s="542">
        <v>0</v>
      </c>
      <c r="F80" s="841">
        <f t="shared" si="13"/>
        <v>0</v>
      </c>
      <c r="G80" s="542">
        <v>0</v>
      </c>
      <c r="H80" s="835">
        <f t="shared" si="14"/>
        <v>0</v>
      </c>
      <c r="I80" s="542">
        <v>0</v>
      </c>
      <c r="J80" s="835">
        <f t="shared" si="15"/>
        <v>0</v>
      </c>
      <c r="K80" s="542">
        <v>0</v>
      </c>
      <c r="L80" s="835">
        <f t="shared" si="16"/>
        <v>0</v>
      </c>
      <c r="M80" s="542">
        <v>0</v>
      </c>
      <c r="N80" s="1005">
        <f t="shared" si="17"/>
        <v>0</v>
      </c>
      <c r="O80" s="542">
        <v>70.203000000000003</v>
      </c>
      <c r="P80" s="841">
        <f t="shared" si="18"/>
        <v>70</v>
      </c>
      <c r="Q80" s="542">
        <v>65.088999999999999</v>
      </c>
      <c r="R80" s="841">
        <f t="shared" si="19"/>
        <v>65</v>
      </c>
      <c r="S80" s="542">
        <v>19.283000000000001</v>
      </c>
      <c r="T80" s="841">
        <f t="shared" si="20"/>
        <v>19</v>
      </c>
      <c r="U80" s="542">
        <v>62.145000000000003</v>
      </c>
      <c r="V80" s="841">
        <f t="shared" si="21"/>
        <v>62</v>
      </c>
      <c r="W80" s="542">
        <v>81.272000000000006</v>
      </c>
      <c r="X80" s="841">
        <f t="shared" si="22"/>
        <v>81</v>
      </c>
      <c r="Y80" s="550">
        <v>0.16500000000000001</v>
      </c>
      <c r="Z80" s="841">
        <f t="shared" si="23"/>
        <v>0</v>
      </c>
      <c r="AA80" s="575">
        <v>0</v>
      </c>
      <c r="AB80" s="575">
        <v>0</v>
      </c>
      <c r="AC80" s="575">
        <v>11.577999999999999</v>
      </c>
      <c r="AD80" s="578">
        <v>0.89100000000000001</v>
      </c>
      <c r="AE80" s="476">
        <v>0.109</v>
      </c>
      <c r="AF80" s="476">
        <v>0.60399999999999998</v>
      </c>
      <c r="AG80" s="476">
        <v>29.59</v>
      </c>
      <c r="AH80" s="476">
        <v>0.63</v>
      </c>
    </row>
    <row r="81" spans="1:34" s="465" customFormat="1" ht="15" customHeight="1" thickBot="1">
      <c r="A81" s="485" t="s">
        <v>92</v>
      </c>
      <c r="B81" s="484" t="s">
        <v>116</v>
      </c>
      <c r="C81" s="545">
        <v>470.95</v>
      </c>
      <c r="D81" s="841">
        <f t="shared" si="12"/>
        <v>470</v>
      </c>
      <c r="E81" s="545">
        <v>0</v>
      </c>
      <c r="F81" s="841">
        <f t="shared" si="13"/>
        <v>0</v>
      </c>
      <c r="G81" s="545">
        <v>0</v>
      </c>
      <c r="H81" s="835">
        <f t="shared" si="14"/>
        <v>0</v>
      </c>
      <c r="I81" s="545">
        <v>0</v>
      </c>
      <c r="J81" s="835">
        <f t="shared" si="15"/>
        <v>0</v>
      </c>
      <c r="K81" s="545">
        <v>0</v>
      </c>
      <c r="L81" s="835">
        <f t="shared" si="16"/>
        <v>0</v>
      </c>
      <c r="M81" s="545">
        <v>0</v>
      </c>
      <c r="N81" s="1005">
        <f t="shared" si="17"/>
        <v>0</v>
      </c>
      <c r="O81" s="545">
        <v>89.08</v>
      </c>
      <c r="P81" s="841">
        <f t="shared" si="18"/>
        <v>90</v>
      </c>
      <c r="Q81" s="545">
        <v>106.533</v>
      </c>
      <c r="R81" s="841">
        <f t="shared" si="19"/>
        <v>107</v>
      </c>
      <c r="S81" s="545">
        <v>0.64900000000000002</v>
      </c>
      <c r="T81" s="841" t="str">
        <f t="shared" si="20"/>
        <v>less than 1 g</v>
      </c>
      <c r="U81" s="545">
        <v>101.526</v>
      </c>
      <c r="V81" s="841">
        <f t="shared" si="21"/>
        <v>102</v>
      </c>
      <c r="W81" s="545">
        <v>101.319</v>
      </c>
      <c r="X81" s="841">
        <f t="shared" si="22"/>
        <v>101</v>
      </c>
      <c r="Y81" s="545">
        <v>0.71399999999999997</v>
      </c>
      <c r="Z81" s="841" t="str">
        <f t="shared" si="23"/>
        <v>less than 1 g</v>
      </c>
      <c r="AA81" s="578">
        <v>0</v>
      </c>
      <c r="AB81" s="578">
        <v>0</v>
      </c>
      <c r="AC81" s="578">
        <v>14.645</v>
      </c>
      <c r="AD81" s="578">
        <v>1.127</v>
      </c>
      <c r="AE81" s="476">
        <v>1.0840000000000001</v>
      </c>
      <c r="AF81" s="476">
        <v>6.0220000000000002</v>
      </c>
      <c r="AG81" s="476">
        <v>60.012999999999998</v>
      </c>
      <c r="AH81" s="476">
        <v>1.2769999999999999</v>
      </c>
    </row>
    <row r="82" spans="1:34" s="465" customFormat="1" ht="15" customHeight="1" thickBot="1">
      <c r="A82" s="485" t="s">
        <v>92</v>
      </c>
      <c r="B82" s="484" t="s">
        <v>322</v>
      </c>
      <c r="C82" s="533">
        <v>414.47800000000001</v>
      </c>
      <c r="D82" s="841">
        <f t="shared" si="12"/>
        <v>410</v>
      </c>
      <c r="E82" s="533">
        <v>0</v>
      </c>
      <c r="F82" s="841">
        <f t="shared" si="13"/>
        <v>0</v>
      </c>
      <c r="G82" s="533">
        <v>0</v>
      </c>
      <c r="H82" s="835">
        <f t="shared" si="14"/>
        <v>0</v>
      </c>
      <c r="I82" s="533">
        <v>0</v>
      </c>
      <c r="J82" s="835">
        <f t="shared" si="15"/>
        <v>0</v>
      </c>
      <c r="K82" s="533">
        <v>0</v>
      </c>
      <c r="L82" s="835">
        <f t="shared" si="16"/>
        <v>0</v>
      </c>
      <c r="M82" s="533">
        <v>0</v>
      </c>
      <c r="N82" s="1005">
        <f t="shared" si="17"/>
        <v>0</v>
      </c>
      <c r="O82" s="533">
        <v>73.67</v>
      </c>
      <c r="P82" s="841">
        <f t="shared" si="18"/>
        <v>75</v>
      </c>
      <c r="Q82" s="533">
        <v>95.95</v>
      </c>
      <c r="R82" s="841">
        <f t="shared" si="19"/>
        <v>96</v>
      </c>
      <c r="S82" s="533">
        <v>1.2E-2</v>
      </c>
      <c r="T82" s="841">
        <f t="shared" si="20"/>
        <v>0</v>
      </c>
      <c r="U82" s="533">
        <v>91.667000000000002</v>
      </c>
      <c r="V82" s="841">
        <f t="shared" si="21"/>
        <v>92</v>
      </c>
      <c r="W82" s="533">
        <v>91.438000000000002</v>
      </c>
      <c r="X82" s="841">
        <f t="shared" si="22"/>
        <v>91</v>
      </c>
      <c r="Y82" s="533">
        <v>0.34100000000000003</v>
      </c>
      <c r="Z82" s="841">
        <f t="shared" si="23"/>
        <v>0</v>
      </c>
      <c r="AA82" s="554">
        <v>0</v>
      </c>
      <c r="AB82" s="554">
        <v>0</v>
      </c>
      <c r="AC82" s="554">
        <v>9.6880000000000006</v>
      </c>
      <c r="AD82" s="554">
        <v>0.745</v>
      </c>
      <c r="AE82" s="512">
        <v>9.0999999999999998E-2</v>
      </c>
      <c r="AF82" s="512">
        <v>0.50700000000000001</v>
      </c>
      <c r="AG82" s="512">
        <v>9.7240000000000002</v>
      </c>
      <c r="AH82" s="512">
        <v>0.20699999999999999</v>
      </c>
    </row>
    <row r="83" spans="1:34" s="465" customFormat="1" ht="15" customHeight="1" thickBot="1">
      <c r="A83" s="485" t="s">
        <v>92</v>
      </c>
      <c r="B83" s="484" t="s">
        <v>118</v>
      </c>
      <c r="C83" s="690">
        <v>460.80700000000002</v>
      </c>
      <c r="D83" s="841">
        <f t="shared" si="12"/>
        <v>460</v>
      </c>
      <c r="E83" s="690">
        <v>26.728000000000002</v>
      </c>
      <c r="F83" s="841">
        <f t="shared" si="13"/>
        <v>25</v>
      </c>
      <c r="G83" s="690">
        <v>6.77</v>
      </c>
      <c r="H83" s="835">
        <f t="shared" si="14"/>
        <v>7</v>
      </c>
      <c r="I83" s="690">
        <v>5.4329999999999998</v>
      </c>
      <c r="J83" s="835">
        <f t="shared" si="15"/>
        <v>5</v>
      </c>
      <c r="K83" s="690">
        <v>1E-3</v>
      </c>
      <c r="L83" s="835">
        <f t="shared" si="16"/>
        <v>0</v>
      </c>
      <c r="M83" s="690">
        <v>7.3529999999999998</v>
      </c>
      <c r="N83" s="1005">
        <f t="shared" si="17"/>
        <v>5</v>
      </c>
      <c r="O83" s="690">
        <v>100.60599999999999</v>
      </c>
      <c r="P83" s="841">
        <f t="shared" si="18"/>
        <v>100</v>
      </c>
      <c r="Q83" s="690">
        <v>100.31699999999999</v>
      </c>
      <c r="R83" s="841">
        <f t="shared" si="19"/>
        <v>100</v>
      </c>
      <c r="S83" s="690">
        <v>0.22</v>
      </c>
      <c r="T83" s="841">
        <f t="shared" si="20"/>
        <v>0</v>
      </c>
      <c r="U83" s="690">
        <v>91.027000000000001</v>
      </c>
      <c r="V83" s="841">
        <f t="shared" si="21"/>
        <v>91</v>
      </c>
      <c r="W83" s="690">
        <v>88.614000000000004</v>
      </c>
      <c r="X83" s="841">
        <f t="shared" si="22"/>
        <v>89</v>
      </c>
      <c r="Y83" s="690">
        <v>0.89400000000000002</v>
      </c>
      <c r="Z83" s="841" t="str">
        <f t="shared" si="23"/>
        <v>less than 1 g</v>
      </c>
      <c r="AA83" s="819">
        <v>0</v>
      </c>
      <c r="AB83" s="819">
        <v>0</v>
      </c>
      <c r="AC83" s="819">
        <v>26.355</v>
      </c>
      <c r="AD83" s="819">
        <v>2.0270000000000001</v>
      </c>
      <c r="AE83" s="819">
        <v>0.193</v>
      </c>
      <c r="AF83" s="819">
        <v>1.0740000000000001</v>
      </c>
      <c r="AG83" s="819">
        <v>36.848999999999997</v>
      </c>
      <c r="AH83" s="819">
        <v>0.78400000000000003</v>
      </c>
    </row>
    <row r="84" spans="1:34" s="465" customFormat="1" ht="15" customHeight="1" thickBot="1">
      <c r="A84" s="485" t="s">
        <v>92</v>
      </c>
      <c r="B84" s="484" t="s">
        <v>183</v>
      </c>
      <c r="C84" s="542">
        <v>303.738</v>
      </c>
      <c r="D84" s="841">
        <f t="shared" si="12"/>
        <v>300</v>
      </c>
      <c r="E84" s="542">
        <v>0.58799999999999997</v>
      </c>
      <c r="F84" s="841">
        <f t="shared" si="13"/>
        <v>0</v>
      </c>
      <c r="G84" s="542">
        <v>4.3390000000000004</v>
      </c>
      <c r="H84" s="835">
        <f t="shared" si="14"/>
        <v>4.5</v>
      </c>
      <c r="I84" s="542">
        <v>4.0110000000000001</v>
      </c>
      <c r="J84" s="835">
        <f t="shared" si="15"/>
        <v>4</v>
      </c>
      <c r="K84" s="542">
        <v>2E-3</v>
      </c>
      <c r="L84" s="835">
        <f t="shared" si="16"/>
        <v>0</v>
      </c>
      <c r="M84" s="542">
        <v>0</v>
      </c>
      <c r="N84" s="1005">
        <f t="shared" si="17"/>
        <v>0</v>
      </c>
      <c r="O84" s="542">
        <v>94.230999999999995</v>
      </c>
      <c r="P84" s="841">
        <f t="shared" si="18"/>
        <v>95</v>
      </c>
      <c r="Q84" s="542">
        <v>65.561999999999998</v>
      </c>
      <c r="R84" s="841">
        <f t="shared" si="19"/>
        <v>66</v>
      </c>
      <c r="S84" s="542">
        <v>0.373</v>
      </c>
      <c r="T84" s="841">
        <f t="shared" si="20"/>
        <v>0</v>
      </c>
      <c r="U84" s="542">
        <v>59.429000000000002</v>
      </c>
      <c r="V84" s="841">
        <f t="shared" si="21"/>
        <v>59</v>
      </c>
      <c r="W84" s="542">
        <v>56.978999999999999</v>
      </c>
      <c r="X84" s="841">
        <f t="shared" si="22"/>
        <v>57</v>
      </c>
      <c r="Y84" s="550">
        <v>0.59399999999999997</v>
      </c>
      <c r="Z84" s="841" t="str">
        <f t="shared" si="23"/>
        <v>less than 1 g</v>
      </c>
      <c r="AA84" s="575">
        <v>0</v>
      </c>
      <c r="AB84" s="575">
        <v>0</v>
      </c>
      <c r="AC84" s="575">
        <v>11.824999999999999</v>
      </c>
      <c r="AD84" s="578">
        <v>0.91</v>
      </c>
      <c r="AE84" s="476">
        <v>0.185</v>
      </c>
      <c r="AF84" s="476">
        <v>1.0249999999999999</v>
      </c>
      <c r="AG84" s="476">
        <v>59.444000000000003</v>
      </c>
      <c r="AH84" s="476">
        <v>1.2649999999999999</v>
      </c>
    </row>
    <row r="85" spans="1:34" s="465" customFormat="1" ht="15" customHeight="1" thickBot="1">
      <c r="A85" s="485" t="s">
        <v>92</v>
      </c>
      <c r="B85" s="484" t="s">
        <v>323</v>
      </c>
      <c r="C85" s="711">
        <v>403.75200000000001</v>
      </c>
      <c r="D85" s="841">
        <f t="shared" si="12"/>
        <v>400</v>
      </c>
      <c r="E85" s="711">
        <v>6.3E-2</v>
      </c>
      <c r="F85" s="841">
        <f t="shared" si="13"/>
        <v>0</v>
      </c>
      <c r="G85" s="711">
        <v>3.8679999999999999</v>
      </c>
      <c r="H85" s="835">
        <f t="shared" si="14"/>
        <v>4</v>
      </c>
      <c r="I85" s="711">
        <v>3.58</v>
      </c>
      <c r="J85" s="835">
        <f t="shared" si="15"/>
        <v>3.5</v>
      </c>
      <c r="K85" s="711">
        <v>1E-3</v>
      </c>
      <c r="L85" s="835">
        <f t="shared" si="16"/>
        <v>0</v>
      </c>
      <c r="M85" s="711">
        <v>0</v>
      </c>
      <c r="N85" s="1005">
        <f t="shared" si="17"/>
        <v>0</v>
      </c>
      <c r="O85" s="711">
        <v>79.155000000000001</v>
      </c>
      <c r="P85" s="841">
        <f t="shared" si="18"/>
        <v>80</v>
      </c>
      <c r="Q85" s="711">
        <v>92.977999999999994</v>
      </c>
      <c r="R85" s="841">
        <f t="shared" si="19"/>
        <v>93</v>
      </c>
      <c r="S85" s="711">
        <v>0.14699999999999999</v>
      </c>
      <c r="T85" s="841">
        <f t="shared" si="20"/>
        <v>0</v>
      </c>
      <c r="U85" s="711">
        <v>88.013999999999996</v>
      </c>
      <c r="V85" s="841">
        <f t="shared" si="21"/>
        <v>88</v>
      </c>
      <c r="W85" s="711">
        <v>86.465000000000003</v>
      </c>
      <c r="X85" s="841">
        <f t="shared" si="22"/>
        <v>86</v>
      </c>
      <c r="Y85" s="711">
        <v>0.41099999999999998</v>
      </c>
      <c r="Z85" s="841">
        <f t="shared" si="23"/>
        <v>0</v>
      </c>
      <c r="AA85" s="694">
        <v>0</v>
      </c>
      <c r="AB85" s="694">
        <v>0</v>
      </c>
      <c r="AC85" s="694">
        <v>10.731999999999999</v>
      </c>
      <c r="AD85" s="694">
        <v>0.82599999999999996</v>
      </c>
      <c r="AE85" s="712">
        <v>0.14399999999999999</v>
      </c>
      <c r="AF85" s="724">
        <v>0.8</v>
      </c>
      <c r="AG85" s="712">
        <v>19.832000000000001</v>
      </c>
      <c r="AH85" s="712">
        <v>0.42199999999999999</v>
      </c>
    </row>
    <row r="86" spans="1:34" s="465" customFormat="1" ht="15" customHeight="1" thickBot="1">
      <c r="A86" s="485" t="s">
        <v>92</v>
      </c>
      <c r="B86" s="484" t="s">
        <v>120</v>
      </c>
      <c r="C86" s="725">
        <v>417.61399999999998</v>
      </c>
      <c r="D86" s="841">
        <f t="shared" si="12"/>
        <v>420</v>
      </c>
      <c r="E86" s="725">
        <v>27.619</v>
      </c>
      <c r="F86" s="841">
        <f t="shared" si="13"/>
        <v>30</v>
      </c>
      <c r="G86" s="725">
        <v>6.8970000000000002</v>
      </c>
      <c r="H86" s="835">
        <f t="shared" si="14"/>
        <v>7</v>
      </c>
      <c r="I86" s="725">
        <v>5.38</v>
      </c>
      <c r="J86" s="835">
        <f t="shared" si="15"/>
        <v>5</v>
      </c>
      <c r="K86" s="725">
        <v>0</v>
      </c>
      <c r="L86" s="835">
        <f t="shared" si="16"/>
        <v>0</v>
      </c>
      <c r="M86" s="725">
        <v>0</v>
      </c>
      <c r="N86" s="1005">
        <f t="shared" si="17"/>
        <v>0</v>
      </c>
      <c r="O86" s="725">
        <v>87.637</v>
      </c>
      <c r="P86" s="841">
        <f t="shared" si="18"/>
        <v>90</v>
      </c>
      <c r="Q86" s="725">
        <v>105.16200000000001</v>
      </c>
      <c r="R86" s="841">
        <f t="shared" si="19"/>
        <v>105</v>
      </c>
      <c r="S86" s="725">
        <v>0.89700000000000002</v>
      </c>
      <c r="T86" s="841" t="str">
        <f t="shared" si="20"/>
        <v>less than 1 g</v>
      </c>
      <c r="U86" s="725">
        <v>98.144000000000005</v>
      </c>
      <c r="V86" s="841">
        <f t="shared" si="21"/>
        <v>98</v>
      </c>
      <c r="W86" s="725">
        <v>90.998000000000005</v>
      </c>
      <c r="X86" s="841">
        <f t="shared" si="22"/>
        <v>91</v>
      </c>
      <c r="Y86" s="725">
        <v>0.97299999999999998</v>
      </c>
      <c r="Z86" s="841" t="str">
        <f t="shared" si="23"/>
        <v>less than 1 g</v>
      </c>
      <c r="AA86" s="715">
        <v>2.5999999999999999E-2</v>
      </c>
      <c r="AB86" s="715">
        <v>0.129</v>
      </c>
      <c r="AC86" s="715">
        <v>15.318</v>
      </c>
      <c r="AD86" s="715">
        <v>1.1779999999999999</v>
      </c>
      <c r="AE86" s="716">
        <v>1.087</v>
      </c>
      <c r="AF86" s="716">
        <v>6.04</v>
      </c>
      <c r="AG86" s="716">
        <v>71.719899999999996</v>
      </c>
      <c r="AH86" s="716">
        <v>1.5149999999999999</v>
      </c>
    </row>
    <row r="87" spans="1:34" s="465" customFormat="1" ht="15" customHeight="1" thickBot="1">
      <c r="A87" s="485" t="s">
        <v>394</v>
      </c>
      <c r="B87" s="484" t="s">
        <v>122</v>
      </c>
      <c r="C87" s="542">
        <v>158.36799999999999</v>
      </c>
      <c r="D87" s="841">
        <f t="shared" si="12"/>
        <v>160</v>
      </c>
      <c r="E87" s="542">
        <v>9.4E-2</v>
      </c>
      <c r="F87" s="841">
        <f t="shared" si="13"/>
        <v>0</v>
      </c>
      <c r="G87" s="542">
        <v>0.01</v>
      </c>
      <c r="H87" s="835">
        <f t="shared" si="14"/>
        <v>0</v>
      </c>
      <c r="I87" s="542">
        <v>0.01</v>
      </c>
      <c r="J87" s="835">
        <f t="shared" si="15"/>
        <v>0</v>
      </c>
      <c r="K87" s="542">
        <v>0</v>
      </c>
      <c r="L87" s="835">
        <f t="shared" si="16"/>
        <v>0</v>
      </c>
      <c r="M87" s="542">
        <v>0</v>
      </c>
      <c r="N87" s="1005">
        <f t="shared" si="17"/>
        <v>0</v>
      </c>
      <c r="O87" s="542">
        <v>32.112000000000002</v>
      </c>
      <c r="P87" s="841">
        <f t="shared" si="18"/>
        <v>30</v>
      </c>
      <c r="Q87" s="542">
        <v>55.588999999999999</v>
      </c>
      <c r="R87" s="841">
        <f t="shared" si="19"/>
        <v>56</v>
      </c>
      <c r="S87" s="542">
        <v>4.1000000000000002E-2</v>
      </c>
      <c r="T87" s="841">
        <f t="shared" si="20"/>
        <v>0</v>
      </c>
      <c r="U87" s="542">
        <v>0.11</v>
      </c>
      <c r="V87" s="841">
        <f t="shared" si="21"/>
        <v>0</v>
      </c>
      <c r="W87" s="542">
        <v>0</v>
      </c>
      <c r="X87" s="841">
        <f t="shared" si="22"/>
        <v>0</v>
      </c>
      <c r="Y87" s="542">
        <v>0.44800000000000001</v>
      </c>
      <c r="Z87" s="841">
        <f t="shared" si="23"/>
        <v>0</v>
      </c>
      <c r="AA87" s="579">
        <v>0</v>
      </c>
      <c r="AB87" s="579">
        <v>0</v>
      </c>
      <c r="AC87" s="579">
        <v>16.835000000000001</v>
      </c>
      <c r="AD87" s="578">
        <v>1.2949999999999999</v>
      </c>
      <c r="AE87" s="476">
        <v>7.0999999999999994E-2</v>
      </c>
      <c r="AF87" s="476">
        <v>0.39200000000000002</v>
      </c>
      <c r="AG87" s="476">
        <v>22.760999999999999</v>
      </c>
      <c r="AH87" s="476">
        <v>0.48399999999999999</v>
      </c>
    </row>
    <row r="88" spans="1:34" s="465" customFormat="1" ht="15" customHeight="1" thickBot="1">
      <c r="A88" s="485" t="s">
        <v>394</v>
      </c>
      <c r="B88" s="484" t="s">
        <v>123</v>
      </c>
      <c r="C88" s="713">
        <v>158.53700000000001</v>
      </c>
      <c r="D88" s="841">
        <f t="shared" si="12"/>
        <v>160</v>
      </c>
      <c r="E88" s="713">
        <v>9.2999999999999999E-2</v>
      </c>
      <c r="F88" s="841">
        <f t="shared" si="13"/>
        <v>0</v>
      </c>
      <c r="G88" s="713">
        <v>0.01</v>
      </c>
      <c r="H88" s="835">
        <f t="shared" si="14"/>
        <v>0</v>
      </c>
      <c r="I88" s="713">
        <v>0.01</v>
      </c>
      <c r="J88" s="835">
        <f t="shared" si="15"/>
        <v>0</v>
      </c>
      <c r="K88" s="713">
        <v>0</v>
      </c>
      <c r="L88" s="835">
        <f t="shared" si="16"/>
        <v>0</v>
      </c>
      <c r="M88" s="713">
        <v>0</v>
      </c>
      <c r="N88" s="1005">
        <f t="shared" si="17"/>
        <v>0</v>
      </c>
      <c r="O88" s="713">
        <v>33.936</v>
      </c>
      <c r="P88" s="841">
        <f t="shared" si="18"/>
        <v>35</v>
      </c>
      <c r="Q88" s="713">
        <v>55.49</v>
      </c>
      <c r="R88" s="841">
        <f t="shared" si="19"/>
        <v>55</v>
      </c>
      <c r="S88" s="713">
        <v>0.01</v>
      </c>
      <c r="T88" s="841">
        <f t="shared" si="20"/>
        <v>0</v>
      </c>
      <c r="U88" s="713">
        <v>0.112</v>
      </c>
      <c r="V88" s="841">
        <f t="shared" si="21"/>
        <v>0</v>
      </c>
      <c r="W88" s="713">
        <v>0</v>
      </c>
      <c r="X88" s="841">
        <f t="shared" si="22"/>
        <v>0</v>
      </c>
      <c r="Y88" s="713">
        <v>3.3000000000000002E-2</v>
      </c>
      <c r="Z88" s="841">
        <f t="shared" si="23"/>
        <v>0</v>
      </c>
      <c r="AA88" s="714">
        <v>0</v>
      </c>
      <c r="AB88" s="714">
        <v>0</v>
      </c>
      <c r="AC88" s="714">
        <v>16.84</v>
      </c>
      <c r="AD88" s="715">
        <v>1.2949999999999999</v>
      </c>
      <c r="AE88" s="716">
        <v>7.0999999999999994E-2</v>
      </c>
      <c r="AF88" s="716">
        <v>0.39300000000000002</v>
      </c>
      <c r="AG88" s="716">
        <v>31.574999999999999</v>
      </c>
      <c r="AH88" s="716">
        <v>0.67200000000000004</v>
      </c>
    </row>
    <row r="89" spans="1:34" s="465" customFormat="1" ht="15" customHeight="1" thickBot="1">
      <c r="A89" s="485" t="s">
        <v>394</v>
      </c>
      <c r="B89" s="484" t="s">
        <v>395</v>
      </c>
      <c r="C89" s="713">
        <v>157.298</v>
      </c>
      <c r="D89" s="841">
        <f t="shared" si="12"/>
        <v>160</v>
      </c>
      <c r="E89" s="713">
        <v>0.112</v>
      </c>
      <c r="F89" s="841">
        <f t="shared" si="13"/>
        <v>0</v>
      </c>
      <c r="G89" s="713">
        <v>1.2999999999999999E-2</v>
      </c>
      <c r="H89" s="835">
        <f t="shared" si="14"/>
        <v>0</v>
      </c>
      <c r="I89" s="713">
        <v>0.01</v>
      </c>
      <c r="J89" s="835">
        <f t="shared" si="15"/>
        <v>0</v>
      </c>
      <c r="K89" s="713">
        <v>0</v>
      </c>
      <c r="L89" s="835">
        <f t="shared" si="16"/>
        <v>0</v>
      </c>
      <c r="M89" s="713">
        <v>0</v>
      </c>
      <c r="N89" s="1005">
        <f t="shared" si="17"/>
        <v>0</v>
      </c>
      <c r="O89" s="713">
        <v>32.881</v>
      </c>
      <c r="P89" s="841">
        <f t="shared" si="18"/>
        <v>35</v>
      </c>
      <c r="Q89" s="713">
        <v>54.841000000000001</v>
      </c>
      <c r="R89" s="841">
        <f t="shared" si="19"/>
        <v>55</v>
      </c>
      <c r="S89" s="713">
        <v>2.1000000000000001E-2</v>
      </c>
      <c r="T89" s="841">
        <f t="shared" si="20"/>
        <v>0</v>
      </c>
      <c r="U89" s="713">
        <v>0.19500000000000001</v>
      </c>
      <c r="V89" s="841">
        <f t="shared" si="21"/>
        <v>0</v>
      </c>
      <c r="W89" s="713">
        <v>0</v>
      </c>
      <c r="X89" s="841">
        <f t="shared" si="22"/>
        <v>0</v>
      </c>
      <c r="Y89" s="713">
        <v>1.7000000000000001E-2</v>
      </c>
      <c r="Z89" s="841">
        <f t="shared" si="23"/>
        <v>0</v>
      </c>
      <c r="AA89" s="714">
        <v>0</v>
      </c>
      <c r="AB89" s="714">
        <v>0</v>
      </c>
      <c r="AC89" s="714">
        <v>16.811</v>
      </c>
      <c r="AD89" s="715">
        <v>1.2929999999999999</v>
      </c>
      <c r="AE89" s="716">
        <v>8.5999999999999993E-2</v>
      </c>
      <c r="AF89" s="716">
        <v>0.47599999999999998</v>
      </c>
      <c r="AG89" s="716">
        <v>29.966000000000001</v>
      </c>
      <c r="AH89" s="716">
        <v>0.63800000000000001</v>
      </c>
    </row>
    <row r="90" spans="1:34" s="465" customFormat="1" ht="15" customHeight="1" thickBot="1">
      <c r="A90" s="485" t="s">
        <v>394</v>
      </c>
      <c r="B90" s="484" t="s">
        <v>124</v>
      </c>
      <c r="C90" s="713">
        <v>151.61099999999999</v>
      </c>
      <c r="D90" s="841">
        <f t="shared" si="12"/>
        <v>150</v>
      </c>
      <c r="E90" s="713">
        <v>0.129</v>
      </c>
      <c r="F90" s="841">
        <f t="shared" si="13"/>
        <v>0</v>
      </c>
      <c r="G90" s="713">
        <v>1.4E-2</v>
      </c>
      <c r="H90" s="835">
        <f t="shared" si="14"/>
        <v>0</v>
      </c>
      <c r="I90" s="713">
        <v>0.01</v>
      </c>
      <c r="J90" s="835">
        <f t="shared" si="15"/>
        <v>0</v>
      </c>
      <c r="K90" s="713">
        <v>0</v>
      </c>
      <c r="L90" s="835">
        <f t="shared" si="16"/>
        <v>0</v>
      </c>
      <c r="M90" s="713">
        <v>0</v>
      </c>
      <c r="N90" s="1005">
        <f t="shared" si="17"/>
        <v>0</v>
      </c>
      <c r="O90" s="713">
        <v>31.395</v>
      </c>
      <c r="P90" s="841">
        <f t="shared" si="18"/>
        <v>30</v>
      </c>
      <c r="Q90" s="713">
        <v>52.648000000000003</v>
      </c>
      <c r="R90" s="841">
        <f t="shared" si="19"/>
        <v>53</v>
      </c>
      <c r="S90" s="713">
        <v>3.1E-2</v>
      </c>
      <c r="T90" s="841">
        <f t="shared" si="20"/>
        <v>0</v>
      </c>
      <c r="U90" s="713">
        <v>0.27100000000000002</v>
      </c>
      <c r="V90" s="841">
        <f t="shared" si="21"/>
        <v>0</v>
      </c>
      <c r="W90" s="713">
        <v>0</v>
      </c>
      <c r="X90" s="841">
        <f t="shared" si="22"/>
        <v>0</v>
      </c>
      <c r="Y90" s="713">
        <v>0</v>
      </c>
      <c r="Z90" s="841">
        <f t="shared" si="23"/>
        <v>0</v>
      </c>
      <c r="AA90" s="714">
        <v>0</v>
      </c>
      <c r="AB90" s="714">
        <v>0</v>
      </c>
      <c r="AC90" s="714">
        <v>16.66</v>
      </c>
      <c r="AD90" s="715">
        <v>1.282</v>
      </c>
      <c r="AE90" s="716">
        <v>9.8000000000000004E-2</v>
      </c>
      <c r="AF90" s="716">
        <v>0.54400000000000004</v>
      </c>
      <c r="AG90" s="716">
        <v>27.547999999999998</v>
      </c>
      <c r="AH90" s="716">
        <v>0.58599999999999997</v>
      </c>
    </row>
    <row r="91" spans="1:34" s="465" customFormat="1" ht="15" customHeight="1" thickBot="1">
      <c r="A91" s="485" t="s">
        <v>394</v>
      </c>
      <c r="B91" s="484" t="s">
        <v>335</v>
      </c>
      <c r="C91" s="713">
        <v>208.376</v>
      </c>
      <c r="D91" s="841">
        <f t="shared" si="12"/>
        <v>210</v>
      </c>
      <c r="E91" s="713">
        <v>0</v>
      </c>
      <c r="F91" s="841">
        <f t="shared" si="13"/>
        <v>0</v>
      </c>
      <c r="G91" s="713">
        <v>0</v>
      </c>
      <c r="H91" s="835">
        <f t="shared" si="14"/>
        <v>0</v>
      </c>
      <c r="I91" s="713">
        <v>0</v>
      </c>
      <c r="J91" s="835">
        <f t="shared" si="15"/>
        <v>0</v>
      </c>
      <c r="K91" s="713">
        <v>0</v>
      </c>
      <c r="L91" s="835">
        <f t="shared" si="16"/>
        <v>0</v>
      </c>
      <c r="M91" s="713">
        <v>0</v>
      </c>
      <c r="N91" s="1005">
        <f t="shared" si="17"/>
        <v>0</v>
      </c>
      <c r="O91" s="713">
        <v>32.372999999999998</v>
      </c>
      <c r="P91" s="841">
        <f t="shared" si="18"/>
        <v>30</v>
      </c>
      <c r="Q91" s="713">
        <v>54.515000000000001</v>
      </c>
      <c r="R91" s="841">
        <f t="shared" si="19"/>
        <v>55</v>
      </c>
      <c r="S91" s="713">
        <v>0.37</v>
      </c>
      <c r="T91" s="841">
        <f t="shared" si="20"/>
        <v>0</v>
      </c>
      <c r="U91" s="713">
        <v>0</v>
      </c>
      <c r="V91" s="841">
        <f t="shared" si="21"/>
        <v>0</v>
      </c>
      <c r="W91" s="713">
        <v>0</v>
      </c>
      <c r="X91" s="841">
        <f t="shared" si="22"/>
        <v>0</v>
      </c>
      <c r="Y91" s="713">
        <v>3.5999999999999997E-2</v>
      </c>
      <c r="Z91" s="841">
        <f t="shared" si="23"/>
        <v>0</v>
      </c>
      <c r="AA91" s="714">
        <v>0</v>
      </c>
      <c r="AB91" s="714">
        <v>0</v>
      </c>
      <c r="AC91" s="714">
        <v>11.477</v>
      </c>
      <c r="AD91" s="715">
        <v>0.88300000000000001</v>
      </c>
      <c r="AE91" s="716">
        <v>4.8000000000000001E-2</v>
      </c>
      <c r="AF91" s="716">
        <v>0.26500000000000001</v>
      </c>
      <c r="AG91" s="716">
        <v>6.9279999999999999</v>
      </c>
      <c r="AH91" s="716">
        <v>0.14699999999999999</v>
      </c>
    </row>
    <row r="92" spans="1:34" s="465" customFormat="1" ht="15" customHeight="1">
      <c r="A92" s="485" t="s">
        <v>394</v>
      </c>
      <c r="B92" s="484" t="s">
        <v>127</v>
      </c>
      <c r="C92" s="542">
        <v>160.15600000000001</v>
      </c>
      <c r="D92" s="841">
        <f t="shared" si="12"/>
        <v>160</v>
      </c>
      <c r="E92" s="542">
        <v>9.4E-2</v>
      </c>
      <c r="F92" s="841">
        <f t="shared" si="13"/>
        <v>0</v>
      </c>
      <c r="G92" s="542">
        <v>0.01</v>
      </c>
      <c r="H92" s="835">
        <f t="shared" si="14"/>
        <v>0</v>
      </c>
      <c r="I92" s="542">
        <v>0</v>
      </c>
      <c r="J92" s="835">
        <f t="shared" si="15"/>
        <v>0</v>
      </c>
      <c r="K92" s="542">
        <v>0</v>
      </c>
      <c r="L92" s="835">
        <f t="shared" si="16"/>
        <v>0</v>
      </c>
      <c r="M92" s="542">
        <v>0</v>
      </c>
      <c r="N92" s="1005">
        <f t="shared" si="17"/>
        <v>0</v>
      </c>
      <c r="O92" s="542">
        <v>48.03</v>
      </c>
      <c r="P92" s="841">
        <f t="shared" si="18"/>
        <v>50</v>
      </c>
      <c r="Q92" s="542">
        <v>55.311999999999998</v>
      </c>
      <c r="R92" s="841">
        <f t="shared" si="19"/>
        <v>55</v>
      </c>
      <c r="S92" s="542">
        <v>0</v>
      </c>
      <c r="T92" s="841">
        <f t="shared" si="20"/>
        <v>0</v>
      </c>
      <c r="U92" s="542">
        <v>0.11</v>
      </c>
      <c r="V92" s="841">
        <f t="shared" si="21"/>
        <v>0</v>
      </c>
      <c r="W92" s="542">
        <v>0</v>
      </c>
      <c r="X92" s="841">
        <f t="shared" si="22"/>
        <v>0</v>
      </c>
      <c r="Y92" s="542">
        <v>1.7000000000000001E-2</v>
      </c>
      <c r="Z92" s="841">
        <f t="shared" si="23"/>
        <v>0</v>
      </c>
      <c r="AA92" s="579">
        <v>0</v>
      </c>
      <c r="AB92" s="579">
        <v>0</v>
      </c>
      <c r="AC92" s="579">
        <v>10.731999999999999</v>
      </c>
      <c r="AD92" s="578">
        <v>0.82599999999999996</v>
      </c>
      <c r="AE92" s="476">
        <v>7.0999999999999994E-2</v>
      </c>
      <c r="AF92" s="476">
        <v>0.39200000000000002</v>
      </c>
      <c r="AG92" s="476">
        <v>30.815000000000001</v>
      </c>
      <c r="AH92" s="476">
        <v>0.65600000000000003</v>
      </c>
    </row>
    <row r="93" spans="1:34" s="465" customFormat="1" ht="18.45">
      <c r="A93" s="472"/>
      <c r="B93" s="472"/>
      <c r="C93" s="547"/>
      <c r="D93" s="842"/>
      <c r="E93" s="547"/>
      <c r="F93" s="547"/>
      <c r="G93" s="547"/>
      <c r="H93" s="547"/>
      <c r="I93" s="547"/>
      <c r="J93" s="547"/>
      <c r="K93" s="547"/>
      <c r="L93" s="547"/>
      <c r="M93" s="547"/>
      <c r="N93" s="547"/>
      <c r="O93" s="547"/>
      <c r="P93" s="547"/>
      <c r="Q93" s="547"/>
      <c r="R93" s="547"/>
      <c r="S93" s="547"/>
      <c r="T93" s="547"/>
      <c r="U93" s="547"/>
      <c r="V93" s="547"/>
      <c r="W93" s="547"/>
      <c r="X93" s="547"/>
      <c r="Y93" s="547"/>
      <c r="Z93" s="547"/>
      <c r="AA93" s="472"/>
      <c r="AB93" s="472"/>
      <c r="AC93" s="467"/>
    </row>
    <row r="94" spans="1:34" s="465" customFormat="1" ht="15" customHeight="1">
      <c r="A94" s="467"/>
      <c r="B94" s="1249" t="s">
        <v>168</v>
      </c>
      <c r="C94" s="1249"/>
      <c r="D94" s="1249"/>
      <c r="E94" s="1249"/>
      <c r="F94" s="1249"/>
      <c r="G94" s="1249"/>
      <c r="H94" s="1249"/>
      <c r="I94" s="1249"/>
      <c r="J94" s="1249"/>
      <c r="K94" s="1249"/>
      <c r="L94" s="1249"/>
      <c r="M94" s="1249"/>
      <c r="N94" s="1249"/>
      <c r="O94" s="1249"/>
      <c r="P94" s="1249"/>
      <c r="Q94" s="1249"/>
      <c r="R94" s="1249"/>
      <c r="S94" s="1249"/>
      <c r="T94" s="1249"/>
      <c r="U94" s="1249"/>
      <c r="V94" s="1249"/>
      <c r="W94" s="1249"/>
      <c r="X94" s="1249"/>
      <c r="Y94" s="1249"/>
      <c r="Z94" s="1249"/>
      <c r="AA94" s="1249"/>
      <c r="AB94" s="1249"/>
      <c r="AC94" s="1249"/>
      <c r="AD94" s="1249"/>
      <c r="AE94" s="1249"/>
      <c r="AF94" s="1249"/>
      <c r="AG94" s="1249"/>
      <c r="AH94" s="1249"/>
    </row>
    <row r="95" spans="1:34" s="465" customFormat="1" ht="18.45">
      <c r="A95" s="467"/>
      <c r="B95" s="1249"/>
      <c r="C95" s="1249"/>
      <c r="D95" s="1249"/>
      <c r="E95" s="1249"/>
      <c r="F95" s="1249"/>
      <c r="G95" s="1249"/>
      <c r="H95" s="1249"/>
      <c r="I95" s="1249"/>
      <c r="J95" s="1249"/>
      <c r="K95" s="1249"/>
      <c r="L95" s="1249"/>
      <c r="M95" s="1249"/>
      <c r="N95" s="1249"/>
      <c r="O95" s="1249"/>
      <c r="P95" s="1249"/>
      <c r="Q95" s="1249"/>
      <c r="R95" s="1249"/>
      <c r="S95" s="1249"/>
      <c r="T95" s="1249"/>
      <c r="U95" s="1249"/>
      <c r="V95" s="1249"/>
      <c r="W95" s="1249"/>
      <c r="X95" s="1249"/>
      <c r="Y95" s="1249"/>
      <c r="Z95" s="1249"/>
      <c r="AA95" s="1249"/>
      <c r="AB95" s="1249"/>
      <c r="AC95" s="1249"/>
      <c r="AD95" s="1249"/>
      <c r="AE95" s="1249"/>
      <c r="AF95" s="1249"/>
      <c r="AG95" s="1249"/>
      <c r="AH95" s="1249"/>
    </row>
    <row r="96" spans="1:34" s="465" customFormat="1" ht="29.25" customHeight="1">
      <c r="A96" s="467"/>
      <c r="B96" s="1249"/>
      <c r="C96" s="1249"/>
      <c r="D96" s="1249"/>
      <c r="E96" s="1249"/>
      <c r="F96" s="1249"/>
      <c r="G96" s="1249"/>
      <c r="H96" s="1249"/>
      <c r="I96" s="1249"/>
      <c r="J96" s="1249"/>
      <c r="K96" s="1249"/>
      <c r="L96" s="1249"/>
      <c r="M96" s="1249"/>
      <c r="N96" s="1249"/>
      <c r="O96" s="1249"/>
      <c r="P96" s="1249"/>
      <c r="Q96" s="1249"/>
      <c r="R96" s="1249"/>
      <c r="S96" s="1249"/>
      <c r="T96" s="1249"/>
      <c r="U96" s="1249"/>
      <c r="V96" s="1249"/>
      <c r="W96" s="1249"/>
      <c r="X96" s="1249"/>
      <c r="Y96" s="1249"/>
      <c r="Z96" s="1249"/>
      <c r="AA96" s="1249"/>
      <c r="AB96" s="1249"/>
      <c r="AC96" s="1249"/>
      <c r="AD96" s="1249"/>
      <c r="AE96" s="1249"/>
      <c r="AF96" s="1249"/>
      <c r="AG96" s="1249"/>
      <c r="AH96" s="1249"/>
    </row>
    <row r="97" spans="1:34" s="465" customFormat="1" ht="18.899999999999999" thickBot="1">
      <c r="A97" s="472"/>
      <c r="B97" s="472"/>
      <c r="C97" s="547"/>
      <c r="D97" s="842"/>
      <c r="E97" s="547"/>
      <c r="F97" s="547"/>
      <c r="G97" s="547"/>
      <c r="H97" s="547"/>
      <c r="I97" s="547"/>
      <c r="J97" s="547"/>
      <c r="K97" s="547"/>
      <c r="L97" s="547"/>
      <c r="M97" s="547"/>
      <c r="N97" s="547"/>
      <c r="O97" s="547"/>
      <c r="P97" s="547"/>
      <c r="Q97" s="547"/>
      <c r="R97" s="547"/>
      <c r="S97" s="547"/>
      <c r="T97" s="547"/>
      <c r="U97" s="547"/>
      <c r="V97" s="547"/>
      <c r="W97" s="547"/>
      <c r="X97" s="547"/>
      <c r="Y97" s="547"/>
      <c r="Z97" s="547"/>
      <c r="AA97" s="472"/>
      <c r="AB97" s="472"/>
      <c r="AC97" s="467"/>
    </row>
    <row r="98" spans="1:34" s="465" customFormat="1" ht="18.45" hidden="1">
      <c r="A98" s="471"/>
      <c r="B98" s="466" t="s">
        <v>184</v>
      </c>
      <c r="C98" s="548">
        <f>AVERAGE(C5:C57)</f>
        <v>342.97605660377366</v>
      </c>
      <c r="D98" s="468"/>
      <c r="E98" s="548">
        <f>AVERAGE(E5:E57)</f>
        <v>0.89494339622641506</v>
      </c>
      <c r="F98" s="548"/>
      <c r="G98" s="548">
        <f>AVERAGE(G5:G57)</f>
        <v>0.31413207547169814</v>
      </c>
      <c r="H98" s="548"/>
      <c r="I98" s="548">
        <f>AVERAGE(I5:I57)</f>
        <v>0.11537735849056609</v>
      </c>
      <c r="J98" s="548"/>
      <c r="K98" s="548">
        <f>AVERAGE(K5:K57)</f>
        <v>1.6792452830188679E-3</v>
      </c>
      <c r="L98" s="548"/>
      <c r="M98" s="548">
        <f>AVERAGE(M5:M57)</f>
        <v>0</v>
      </c>
      <c r="N98" s="548"/>
      <c r="O98" s="548">
        <f>AVERAGE(O5:O57)</f>
        <v>51.47383018867923</v>
      </c>
      <c r="P98" s="548"/>
      <c r="Q98" s="548">
        <f>AVERAGE(Q5:Q57)</f>
        <v>86.186150943396214</v>
      </c>
      <c r="R98" s="548"/>
      <c r="S98" s="548">
        <f>AVERAGE(S5:S57)</f>
        <v>0.25962264150943398</v>
      </c>
      <c r="T98" s="548"/>
      <c r="U98" s="548">
        <f>AVERAGE(U5:U57)</f>
        <v>81.508150943396203</v>
      </c>
      <c r="V98" s="548"/>
      <c r="W98" s="548">
        <f>AVERAGE(W5:W57)</f>
        <v>80.396811320754679</v>
      </c>
      <c r="X98" s="548"/>
      <c r="Y98" s="548">
        <f>AVERAGE(Y5:Y57)</f>
        <v>0.22230188679245277</v>
      </c>
      <c r="Z98" s="548"/>
      <c r="AA98" s="468">
        <f t="shared" ref="AA98:AH98" si="24">AVERAGE(AA5:AA57)</f>
        <v>1.89811320754717E-2</v>
      </c>
      <c r="AB98" s="468">
        <f t="shared" si="24"/>
        <v>9.4754716981132081E-2</v>
      </c>
      <c r="AC98" s="468">
        <f t="shared" si="24"/>
        <v>12.141</v>
      </c>
      <c r="AD98" s="468">
        <f t="shared" si="24"/>
        <v>0.93377358490566054</v>
      </c>
      <c r="AE98" s="468">
        <f t="shared" si="24"/>
        <v>0.14430188679245282</v>
      </c>
      <c r="AF98" s="468">
        <f t="shared" si="24"/>
        <v>0.80243396226415087</v>
      </c>
      <c r="AG98" s="468">
        <f t="shared" si="24"/>
        <v>22.636584905660371</v>
      </c>
      <c r="AH98" s="468">
        <f t="shared" si="24"/>
        <v>0.49137735849056574</v>
      </c>
    </row>
    <row r="99" spans="1:34" s="465" customFormat="1" ht="18.45" hidden="1">
      <c r="A99" s="470"/>
      <c r="B99" s="469" t="s">
        <v>185</v>
      </c>
      <c r="C99" s="548" t="str">
        <f xml:space="preserve"> ROUND(MIN(C5:C57),0) &amp; " - " &amp; ROUND(MAX(C5:C57),0)</f>
        <v>176 - 499</v>
      </c>
      <c r="D99" s="468"/>
      <c r="E99" s="548" t="str">
        <f xml:space="preserve"> ROUND(MIN(E5:E57),0) &amp; " - " &amp; ROUND(MAX(E5:E57),0)</f>
        <v>0 - 19</v>
      </c>
      <c r="F99" s="548"/>
      <c r="G99" s="548" t="str">
        <f xml:space="preserve"> ROUND(MIN(G5:G57),0) &amp; " - " &amp; ROUND(MAX(G5:G57),0)</f>
        <v>0 - 9</v>
      </c>
      <c r="H99" s="548"/>
      <c r="I99" s="548" t="str">
        <f xml:space="preserve"> ROUND(MIN(I5:I57),0) &amp; " - " &amp; ROUND(MAX(I5:I57),0)</f>
        <v>0 - 2</v>
      </c>
      <c r="J99" s="548"/>
      <c r="K99" s="548" t="str">
        <f xml:space="preserve"> ROUND(MIN(K5:K57),0) &amp; " - " &amp; ROUND(MAX(K5:K57),0)</f>
        <v>0 - 0</v>
      </c>
      <c r="L99" s="548"/>
      <c r="M99" s="548" t="str">
        <f xml:space="preserve"> ROUND(MIN(M5:M57),0) &amp; " - " &amp; ROUND(MAX(M5:M57),0)</f>
        <v>0 - 0</v>
      </c>
      <c r="N99" s="548"/>
      <c r="O99" s="548" t="str">
        <f xml:space="preserve"> ROUND(MIN(O5:O57),0) &amp; " - " &amp; ROUND(MAX(O5:O57),0)</f>
        <v>14 - 114</v>
      </c>
      <c r="P99" s="548"/>
      <c r="Q99" s="548" t="str">
        <f xml:space="preserve"> ROUND(MIN(Q5:Q57),0) &amp; " - " &amp; ROUND(MAX(Q5:Q57),0)</f>
        <v>46 - 114</v>
      </c>
      <c r="R99" s="548"/>
      <c r="S99" s="548" t="str">
        <f xml:space="preserve"> ROUND(MIN(S5:S57),0) &amp; " - " &amp; ROUND(MAX(S5:S57),0)</f>
        <v>0 - 2</v>
      </c>
      <c r="T99" s="548"/>
      <c r="U99" s="548" t="str">
        <f xml:space="preserve"> ROUND(MIN(U5:U57),0) &amp; " - " &amp; ROUND(MAX(U5:U57),0)</f>
        <v>45 - 107</v>
      </c>
      <c r="V99" s="548"/>
      <c r="W99" s="548" t="str">
        <f xml:space="preserve"> ROUND(MIN(W5:W57),0) &amp; " - " &amp; ROUND(MAX(W5:W57),0)</f>
        <v>34 - 106</v>
      </c>
      <c r="X99" s="548"/>
      <c r="Y99" s="548" t="str">
        <f xml:space="preserve"> ROUND(MIN(Y5:Y57),0) &amp; " - " &amp; ROUND(MAX(Y5:Y57),0)</f>
        <v>0 - 4</v>
      </c>
      <c r="Z99" s="548"/>
      <c r="AA99" s="466" t="str">
        <f t="shared" ref="AA99:AH99" si="25" xml:space="preserve"> ROUND(MIN(AA5:AA57),0) &amp; " - " &amp; ROUND(MAX(AA5:AA57),0)</f>
        <v>0 - 1</v>
      </c>
      <c r="AB99" s="466" t="str">
        <f t="shared" si="25"/>
        <v>0 - 5</v>
      </c>
      <c r="AC99" s="466" t="str">
        <f t="shared" si="25"/>
        <v>9 - 28</v>
      </c>
      <c r="AD99" s="466" t="str">
        <f t="shared" si="25"/>
        <v>1 - 2</v>
      </c>
      <c r="AE99" s="466" t="str">
        <f t="shared" si="25"/>
        <v>0 - 2</v>
      </c>
      <c r="AF99" s="466" t="str">
        <f t="shared" si="25"/>
        <v>0 - 10</v>
      </c>
      <c r="AG99" s="466" t="str">
        <f t="shared" si="25"/>
        <v>1 - 181</v>
      </c>
      <c r="AH99" s="466" t="str">
        <f t="shared" si="25"/>
        <v>0 - 4</v>
      </c>
    </row>
    <row r="100" spans="1:34" s="465" customFormat="1" ht="18.45" hidden="1">
      <c r="A100" s="467"/>
      <c r="B100" s="466" t="s">
        <v>186</v>
      </c>
      <c r="C100" s="548" t="e">
        <f>AVERAGE(#REF!)</f>
        <v>#REF!</v>
      </c>
      <c r="D100" s="468"/>
      <c r="E100" s="548" t="e">
        <f>AVERAGE(#REF!)</f>
        <v>#REF!</v>
      </c>
      <c r="F100" s="548"/>
      <c r="G100" s="548" t="e">
        <f>AVERAGE(#REF!)</f>
        <v>#REF!</v>
      </c>
      <c r="H100" s="548"/>
      <c r="I100" s="548" t="e">
        <f>AVERAGE(#REF!)</f>
        <v>#REF!</v>
      </c>
      <c r="J100" s="548"/>
      <c r="K100" s="548" t="e">
        <f>AVERAGE(#REF!)</f>
        <v>#REF!</v>
      </c>
      <c r="L100" s="548"/>
      <c r="M100" s="548" t="e">
        <f>AVERAGE(#REF!)</f>
        <v>#REF!</v>
      </c>
      <c r="N100" s="548"/>
      <c r="O100" s="548" t="e">
        <f>AVERAGE(#REF!)</f>
        <v>#REF!</v>
      </c>
      <c r="P100" s="548"/>
      <c r="Q100" s="548" t="e">
        <f>AVERAGE(#REF!)</f>
        <v>#REF!</v>
      </c>
      <c r="R100" s="548"/>
      <c r="S100" s="548" t="e">
        <f>AVERAGE(#REF!)</f>
        <v>#REF!</v>
      </c>
      <c r="T100" s="548"/>
      <c r="U100" s="548" t="e">
        <f>AVERAGE(#REF!)</f>
        <v>#REF!</v>
      </c>
      <c r="V100" s="548"/>
      <c r="W100" s="548" t="e">
        <f>AVERAGE(#REF!)</f>
        <v>#REF!</v>
      </c>
      <c r="X100" s="548"/>
      <c r="Y100" s="548" t="e">
        <f>AVERAGE(#REF!)</f>
        <v>#REF!</v>
      </c>
      <c r="Z100" s="548"/>
      <c r="AA100" s="468" t="e">
        <f>AVERAGE(#REF!)</f>
        <v>#REF!</v>
      </c>
      <c r="AB100" s="468" t="e">
        <f>AVERAGE(#REF!)</f>
        <v>#REF!</v>
      </c>
      <c r="AC100" s="468" t="e">
        <f>AVERAGE(#REF!)</f>
        <v>#REF!</v>
      </c>
      <c r="AD100" s="468" t="e">
        <f>AVERAGE(#REF!)</f>
        <v>#REF!</v>
      </c>
      <c r="AE100" s="468" t="e">
        <f>AVERAGE(#REF!)</f>
        <v>#REF!</v>
      </c>
      <c r="AF100" s="468" t="e">
        <f>AVERAGE(#REF!)</f>
        <v>#REF!</v>
      </c>
      <c r="AG100" s="468" t="e">
        <f>AVERAGE(#REF!)</f>
        <v>#REF!</v>
      </c>
      <c r="AH100" s="468" t="e">
        <f>AVERAGE(#REF!)</f>
        <v>#REF!</v>
      </c>
    </row>
    <row r="101" spans="1:34" s="465" customFormat="1" ht="18.45" hidden="1">
      <c r="A101" s="467"/>
      <c r="B101" s="466" t="s">
        <v>187</v>
      </c>
      <c r="C101" s="548" t="e">
        <f>ROUND( MIN(#REF!),0) &amp; " - " &amp; ROUND(MAX(#REF!),0)</f>
        <v>#REF!</v>
      </c>
      <c r="D101" s="468"/>
      <c r="E101" s="548" t="e">
        <f>ROUND( MIN(#REF!),0) &amp; " - " &amp; ROUND(MAX(#REF!),0)</f>
        <v>#REF!</v>
      </c>
      <c r="F101" s="548"/>
      <c r="G101" s="548" t="e">
        <f>ROUND( MIN(#REF!),0) &amp; " - " &amp; ROUND(MAX(#REF!),0)</f>
        <v>#REF!</v>
      </c>
      <c r="H101" s="548"/>
      <c r="I101" s="548" t="e">
        <f>ROUND( MIN(#REF!),0) &amp; " - " &amp; ROUND(MAX(#REF!),0)</f>
        <v>#REF!</v>
      </c>
      <c r="J101" s="548"/>
      <c r="K101" s="548" t="e">
        <f>ROUND( MIN(#REF!),0) &amp; " - " &amp; ROUND(MAX(#REF!),0)</f>
        <v>#REF!</v>
      </c>
      <c r="L101" s="548"/>
      <c r="M101" s="548" t="e">
        <f>ROUND( MIN(#REF!),0) &amp; " - " &amp; ROUND(MAX(#REF!),0)</f>
        <v>#REF!</v>
      </c>
      <c r="N101" s="548"/>
      <c r="O101" s="548" t="e">
        <f>ROUND( MIN(#REF!),0) &amp; " - " &amp; ROUND(MAX(#REF!),0)</f>
        <v>#REF!</v>
      </c>
      <c r="P101" s="548"/>
      <c r="Q101" s="548" t="e">
        <f>ROUND( MIN(#REF!),0) &amp; " - " &amp; ROUND(MAX(#REF!),0)</f>
        <v>#REF!</v>
      </c>
      <c r="R101" s="548"/>
      <c r="S101" s="548" t="e">
        <f>ROUND( MIN(#REF!),0) &amp; " - " &amp; ROUND(MAX(#REF!),0)</f>
        <v>#REF!</v>
      </c>
      <c r="T101" s="548"/>
      <c r="U101" s="548" t="e">
        <f>ROUND( MIN(#REF!),0) &amp; " - " &amp; ROUND(MAX(#REF!),0)</f>
        <v>#REF!</v>
      </c>
      <c r="V101" s="548"/>
      <c r="W101" s="548" t="e">
        <f>ROUND( MIN(#REF!),0) &amp; " - " &amp; ROUND(MAX(#REF!),0)</f>
        <v>#REF!</v>
      </c>
      <c r="X101" s="548"/>
      <c r="Y101" s="548" t="e">
        <f>ROUND( MIN(#REF!),0) &amp; " - " &amp; ROUND(MAX(#REF!),0)</f>
        <v>#REF!</v>
      </c>
      <c r="Z101" s="548"/>
      <c r="AA101" s="466" t="e">
        <f>ROUND( MIN(#REF!),0) &amp; " - " &amp; ROUND(MAX(#REF!),0)</f>
        <v>#REF!</v>
      </c>
      <c r="AB101" s="466" t="e">
        <f>ROUND( MIN(#REF!),0) &amp; " - " &amp; ROUND(MAX(#REF!),0)</f>
        <v>#REF!</v>
      </c>
      <c r="AC101" s="466" t="e">
        <f>ROUND( MIN(#REF!),0) &amp; " - " &amp; ROUND(MAX(#REF!),0)</f>
        <v>#REF!</v>
      </c>
      <c r="AD101" s="466" t="e">
        <f>ROUND( MIN(#REF!),0) &amp; " - " &amp; ROUND(MAX(#REF!),0)</f>
        <v>#REF!</v>
      </c>
      <c r="AE101" s="466" t="e">
        <f>ROUND( MIN(#REF!),0) &amp; " - " &amp; ROUND(MAX(#REF!),0)</f>
        <v>#REF!</v>
      </c>
      <c r="AF101" s="466" t="e">
        <f>ROUND( MIN(#REF!),0) &amp; " - " &amp; ROUND(MAX(#REF!),0)</f>
        <v>#REF!</v>
      </c>
      <c r="AG101" s="466" t="e">
        <f>ROUND( MIN(#REF!),0) &amp; " - " &amp; ROUND(MAX(#REF!),0)</f>
        <v>#REF!</v>
      </c>
      <c r="AH101" s="466" t="e">
        <f>ROUND( MIN(#REF!),0) &amp; " - " &amp; ROUND(MAX(#REF!),0)</f>
        <v>#REF!</v>
      </c>
    </row>
    <row r="102" spans="1:34" s="465" customFormat="1" ht="18.45" hidden="1">
      <c r="A102" s="467"/>
      <c r="B102" s="466" t="s">
        <v>188</v>
      </c>
      <c r="C102" s="548">
        <f>AVERAGE(C60:C86)</f>
        <v>420.08929629629625</v>
      </c>
      <c r="D102" s="468"/>
      <c r="E102" s="548">
        <f>AVERAGE(E60:E86)</f>
        <v>19.113037037037035</v>
      </c>
      <c r="F102" s="548"/>
      <c r="G102" s="548">
        <f>AVERAGE(G60:G86)</f>
        <v>5.5754444444444449</v>
      </c>
      <c r="H102" s="548"/>
      <c r="I102" s="548">
        <f>AVERAGE(I60:I86)</f>
        <v>4.1933703703703697</v>
      </c>
      <c r="J102" s="548"/>
      <c r="K102" s="548">
        <f>AVERAGE(K60:K86)</f>
        <v>1.825925925925926E-2</v>
      </c>
      <c r="L102" s="548"/>
      <c r="M102" s="548">
        <f>AVERAGE(M60:M86)</f>
        <v>1.5681111111111112</v>
      </c>
      <c r="N102" s="548"/>
      <c r="O102" s="548">
        <f>AVERAGE(O60:O86)</f>
        <v>102.84681481481481</v>
      </c>
      <c r="P102" s="548"/>
      <c r="Q102" s="548">
        <f>AVERAGE(Q60:Q86)</f>
        <v>94.276222222222188</v>
      </c>
      <c r="R102" s="548"/>
      <c r="S102" s="548">
        <f>AVERAGE(S60:S86)</f>
        <v>1.3104444444444443</v>
      </c>
      <c r="T102" s="548"/>
      <c r="U102" s="548">
        <f>AVERAGE(U60:U86)</f>
        <v>87.225296296296278</v>
      </c>
      <c r="V102" s="548"/>
      <c r="W102" s="548">
        <f>AVERAGE(W60:W86)</f>
        <v>84.650370370370368</v>
      </c>
      <c r="X102" s="548"/>
      <c r="Y102" s="548">
        <f>AVERAGE(Y60:Y86)</f>
        <v>0.91833333333333311</v>
      </c>
      <c r="Z102" s="548"/>
      <c r="AA102" s="468">
        <f t="shared" ref="AA102:AH102" si="26">AVERAGE(AA60:AA86)</f>
        <v>5.6296296296296294E-3</v>
      </c>
      <c r="AB102" s="468">
        <f t="shared" si="26"/>
        <v>2.8148148148148148E-2</v>
      </c>
      <c r="AC102" s="468">
        <f t="shared" si="26"/>
        <v>18.608111111111107</v>
      </c>
      <c r="AD102" s="468">
        <f t="shared" si="26"/>
        <v>1.4059999999999999</v>
      </c>
      <c r="AE102" s="468">
        <f t="shared" si="26"/>
        <v>0.53814814814814815</v>
      </c>
      <c r="AF102" s="468">
        <f t="shared" si="26"/>
        <v>2.9897037037037046</v>
      </c>
      <c r="AG102" s="468">
        <f t="shared" si="26"/>
        <v>57.911922222222209</v>
      </c>
      <c r="AH102" s="468">
        <f t="shared" si="26"/>
        <v>1.2319259259259259</v>
      </c>
    </row>
    <row r="103" spans="1:34" s="465" customFormat="1" ht="18.45" hidden="1">
      <c r="A103" s="467"/>
      <c r="B103" s="466" t="s">
        <v>189</v>
      </c>
      <c r="C103" s="548" t="str">
        <f>ROUND( MIN(C60:C86),0) &amp; " - " &amp; ROUND(MAX(C60:C86),0)</f>
        <v>304 - 526</v>
      </c>
      <c r="D103" s="468"/>
      <c r="E103" s="548" t="str">
        <f>ROUND( MIN(E60:E86),0) &amp; " - " &amp; ROUND(MAX(E60:E86),0)</f>
        <v>0 - 74</v>
      </c>
      <c r="F103" s="548"/>
      <c r="G103" s="548" t="str">
        <f>ROUND( MIN(G60:G86),0) &amp; " - " &amp; ROUND(MAX(G60:G86),0)</f>
        <v>0 - 12</v>
      </c>
      <c r="H103" s="548"/>
      <c r="I103" s="548" t="str">
        <f>ROUND( MIN(I60:I86),0) &amp; " - " &amp; ROUND(MAX(I60:I86),0)</f>
        <v>0 - 7</v>
      </c>
      <c r="J103" s="548"/>
      <c r="K103" s="548" t="str">
        <f>ROUND( MIN(K60:K86),0) &amp; " - " &amp; ROUND(MAX(K60:K86),0)</f>
        <v>0 - 0</v>
      </c>
      <c r="L103" s="548"/>
      <c r="M103" s="548" t="str">
        <f>ROUND( MIN(M60:M86),0) &amp; " - " &amp; ROUND(MAX(M60:M86),0)</f>
        <v>0 - 7</v>
      </c>
      <c r="N103" s="548"/>
      <c r="O103" s="548" t="str">
        <f>ROUND( MIN(O60:O86),0) &amp; " - " &amp; ROUND(MAX(O60:O86),0)</f>
        <v>70 - 222</v>
      </c>
      <c r="P103" s="548"/>
      <c r="Q103" s="548" t="str">
        <f>ROUND( MIN(Q60:Q86),0) &amp; " - " &amp; ROUND(MAX(Q60:Q86),0)</f>
        <v>65 - 119</v>
      </c>
      <c r="R103" s="548"/>
      <c r="S103" s="548" t="str">
        <f>ROUND( MIN(S60:S86),0) &amp; " - " &amp; ROUND(MAX(S60:S86),0)</f>
        <v>0 - 19</v>
      </c>
      <c r="T103" s="548"/>
      <c r="U103" s="548" t="str">
        <f>ROUND( MIN(U60:U86),0) &amp; " - " &amp; ROUND(MAX(U60:U86),0)</f>
        <v>59 - 106</v>
      </c>
      <c r="V103" s="548"/>
      <c r="W103" s="548" t="str">
        <f>ROUND( MIN(W60:W86),0) &amp; " - " &amp; ROUND(MAX(W60:W86),0)</f>
        <v>57 - 105</v>
      </c>
      <c r="X103" s="548"/>
      <c r="Y103" s="548" t="str">
        <f>ROUND( MIN(Y60:Y86),0) &amp; " - " &amp; ROUND(MAX(Y60:Y86),0)</f>
        <v>0 - 3</v>
      </c>
      <c r="Z103" s="548"/>
      <c r="AA103" s="466" t="str">
        <f t="shared" ref="AA103:AH103" si="27">ROUND( MIN(AA60:AA86),0) &amp; " - " &amp; ROUND(MAX(AA60:AA86),0)</f>
        <v>0 - 0</v>
      </c>
      <c r="AB103" s="466" t="str">
        <f t="shared" si="27"/>
        <v>0 - 0</v>
      </c>
      <c r="AC103" s="466" t="str">
        <f t="shared" si="27"/>
        <v>10 - 47</v>
      </c>
      <c r="AD103" s="466" t="str">
        <f t="shared" si="27"/>
        <v>0 - 4</v>
      </c>
      <c r="AE103" s="466" t="str">
        <f t="shared" si="27"/>
        <v>0 - 1</v>
      </c>
      <c r="AF103" s="466" t="str">
        <f t="shared" si="27"/>
        <v>0 - 8</v>
      </c>
      <c r="AG103" s="466" t="str">
        <f t="shared" si="27"/>
        <v>9 - 180</v>
      </c>
      <c r="AH103" s="466" t="str">
        <f t="shared" si="27"/>
        <v>0 - 4</v>
      </c>
    </row>
    <row r="104" spans="1:34" s="465" customFormat="1" ht="31.95" hidden="1" customHeight="1">
      <c r="A104" s="467"/>
      <c r="B104" s="466" t="s">
        <v>190</v>
      </c>
      <c r="C104" s="548">
        <f>AVERAGE(C87:C92)</f>
        <v>165.72433333333333</v>
      </c>
      <c r="D104" s="468"/>
      <c r="E104" s="548">
        <f>AVERAGE(E87:E92)</f>
        <v>8.7000000000000008E-2</v>
      </c>
      <c r="F104" s="548"/>
      <c r="G104" s="548">
        <f>AVERAGE(G87:G92)</f>
        <v>9.4999999999999998E-3</v>
      </c>
      <c r="H104" s="548"/>
      <c r="I104" s="548">
        <f>AVERAGE(I87:I92)</f>
        <v>6.6666666666666671E-3</v>
      </c>
      <c r="J104" s="548"/>
      <c r="K104" s="548">
        <f>AVERAGE(K87:K92)</f>
        <v>0</v>
      </c>
      <c r="L104" s="548"/>
      <c r="M104" s="548">
        <f>AVERAGE(M87:M92)</f>
        <v>0</v>
      </c>
      <c r="N104" s="548"/>
      <c r="O104" s="548">
        <f>AVERAGE(O87:O92)</f>
        <v>35.121166666666667</v>
      </c>
      <c r="P104" s="548"/>
      <c r="Q104" s="548">
        <f>AVERAGE(Q87:Q92)</f>
        <v>54.732500000000009</v>
      </c>
      <c r="R104" s="548"/>
      <c r="S104" s="548">
        <f>AVERAGE(S87:S92)</f>
        <v>7.8833333333333325E-2</v>
      </c>
      <c r="T104" s="548"/>
      <c r="U104" s="548">
        <f>AVERAGE(U87:U92)</f>
        <v>0.13300000000000001</v>
      </c>
      <c r="V104" s="548"/>
      <c r="W104" s="548">
        <f>AVERAGE(W87:W92)</f>
        <v>0</v>
      </c>
      <c r="X104" s="548"/>
      <c r="Y104" s="548">
        <f>AVERAGE(Y87:Y92)</f>
        <v>9.1833333333333336E-2</v>
      </c>
      <c r="Z104" s="548"/>
      <c r="AA104" s="468">
        <f t="shared" ref="AA104:AH104" si="28">AVERAGE(AA87:AA92)</f>
        <v>0</v>
      </c>
      <c r="AB104" s="468">
        <f t="shared" si="28"/>
        <v>0</v>
      </c>
      <c r="AC104" s="468">
        <f t="shared" si="28"/>
        <v>14.8925</v>
      </c>
      <c r="AD104" s="468">
        <f t="shared" si="28"/>
        <v>1.1456666666666666</v>
      </c>
      <c r="AE104" s="468">
        <f t="shared" si="28"/>
        <v>7.4166666666666659E-2</v>
      </c>
      <c r="AF104" s="468">
        <f t="shared" si="28"/>
        <v>0.41033333333333338</v>
      </c>
      <c r="AG104" s="468">
        <f t="shared" si="28"/>
        <v>24.932166666666664</v>
      </c>
      <c r="AH104" s="468">
        <f t="shared" si="28"/>
        <v>0.53049999999999997</v>
      </c>
    </row>
    <row r="105" spans="1:34" s="465" customFormat="1" ht="30.65" hidden="1" customHeight="1">
      <c r="A105" s="467"/>
      <c r="B105" s="466" t="s">
        <v>191</v>
      </c>
      <c r="C105" s="548" t="str">
        <f>ROUND( MIN(C87:C92),0) &amp; " - " &amp;ROUND( MAX(C87:C92),0)</f>
        <v>152 - 208</v>
      </c>
      <c r="D105" s="468"/>
      <c r="E105" s="548" t="str">
        <f>ROUND( MIN(E87:E92),0) &amp; " - " &amp;ROUND( MAX(E87:E92),0)</f>
        <v>0 - 0</v>
      </c>
      <c r="F105" s="548"/>
      <c r="G105" s="548" t="str">
        <f>ROUND( MIN(G87:G92),0) &amp; " - " &amp;ROUND( MAX(G87:G92),0)</f>
        <v>0 - 0</v>
      </c>
      <c r="H105" s="548"/>
      <c r="I105" s="548" t="str">
        <f>ROUND( MIN(I87:I92),0) &amp; " - " &amp;ROUND( MAX(I87:I92),0)</f>
        <v>0 - 0</v>
      </c>
      <c r="J105" s="548"/>
      <c r="K105" s="548" t="str">
        <f>ROUND( MIN(K87:K92),0) &amp; " - " &amp;ROUND( MAX(K87:K92),0)</f>
        <v>0 - 0</v>
      </c>
      <c r="L105" s="548"/>
      <c r="M105" s="548" t="str">
        <f>ROUND( MIN(M87:M92),0) &amp; " - " &amp;ROUND( MAX(M87:M92),0)</f>
        <v>0 - 0</v>
      </c>
      <c r="N105" s="548"/>
      <c r="O105" s="548" t="str">
        <f>ROUND( MIN(O87:O92),0) &amp; " - " &amp;ROUND( MAX(O87:O92),0)</f>
        <v>31 - 48</v>
      </c>
      <c r="P105" s="548"/>
      <c r="Q105" s="548" t="str">
        <f>ROUND( MIN(Q87:Q92),0) &amp; " - " &amp;ROUND( MAX(Q87:Q92),0)</f>
        <v>53 - 56</v>
      </c>
      <c r="R105" s="548"/>
      <c r="S105" s="548" t="str">
        <f>ROUND( MIN(S87:S92),0) &amp; " - " &amp;ROUND( MAX(S87:S92),0)</f>
        <v>0 - 0</v>
      </c>
      <c r="T105" s="548"/>
      <c r="U105" s="548" t="str">
        <f>ROUND( MIN(U87:U92),0) &amp; " - " &amp;ROUND( MAX(U87:U92),0)</f>
        <v>0 - 0</v>
      </c>
      <c r="V105" s="548"/>
      <c r="W105" s="548" t="str">
        <f>ROUND( MIN(W87:W92),0) &amp; " - " &amp;ROUND( MAX(W87:W92),0)</f>
        <v>0 - 0</v>
      </c>
      <c r="X105" s="548"/>
      <c r="Y105" s="548" t="str">
        <f>ROUND( MIN(Y87:Y92),0) &amp; " - " &amp;ROUND( MAX(Y87:Y92),0)</f>
        <v>0 - 0</v>
      </c>
      <c r="Z105" s="548"/>
      <c r="AA105" s="466" t="str">
        <f t="shared" ref="AA105:AH105" si="29">ROUND( MIN(AA87:AA92),0) &amp; " - " &amp;ROUND( MAX(AA87:AA92),0)</f>
        <v>0 - 0</v>
      </c>
      <c r="AB105" s="466" t="str">
        <f t="shared" si="29"/>
        <v>0 - 0</v>
      </c>
      <c r="AC105" s="466" t="str">
        <f t="shared" si="29"/>
        <v>11 - 17</v>
      </c>
      <c r="AD105" s="466" t="str">
        <f t="shared" si="29"/>
        <v>1 - 1</v>
      </c>
      <c r="AE105" s="466" t="str">
        <f t="shared" si="29"/>
        <v>0 - 0</v>
      </c>
      <c r="AF105" s="466" t="str">
        <f t="shared" si="29"/>
        <v>0 - 1</v>
      </c>
      <c r="AG105" s="466" t="str">
        <f t="shared" si="29"/>
        <v>7 - 32</v>
      </c>
      <c r="AH105" s="466" t="str">
        <f t="shared" si="29"/>
        <v>0 - 1</v>
      </c>
    </row>
    <row r="106" spans="1:34" s="465" customFormat="1" ht="36.9">
      <c r="B106" s="982" t="s">
        <v>437</v>
      </c>
      <c r="C106" s="460" t="s">
        <v>4</v>
      </c>
      <c r="D106" s="460" t="s">
        <v>4</v>
      </c>
      <c r="E106" s="460" t="s">
        <v>5</v>
      </c>
      <c r="F106" s="460" t="s">
        <v>5</v>
      </c>
      <c r="G106" s="460" t="s">
        <v>6</v>
      </c>
      <c r="H106" s="460" t="s">
        <v>6</v>
      </c>
      <c r="I106" s="460" t="s">
        <v>7</v>
      </c>
      <c r="J106" s="460" t="s">
        <v>7</v>
      </c>
      <c r="K106" s="460" t="s">
        <v>8</v>
      </c>
      <c r="L106" s="460" t="s">
        <v>8</v>
      </c>
      <c r="M106" s="460" t="s">
        <v>9</v>
      </c>
      <c r="N106" s="460" t="s">
        <v>9</v>
      </c>
      <c r="O106" s="460" t="s">
        <v>10</v>
      </c>
      <c r="P106" s="460" t="s">
        <v>10</v>
      </c>
      <c r="Q106" s="460" t="s">
        <v>11</v>
      </c>
      <c r="R106" s="460" t="s">
        <v>11</v>
      </c>
      <c r="S106" s="460" t="s">
        <v>12</v>
      </c>
      <c r="T106" s="460" t="s">
        <v>12</v>
      </c>
      <c r="U106" s="460" t="s">
        <v>13</v>
      </c>
      <c r="V106" s="460" t="s">
        <v>13</v>
      </c>
      <c r="W106" s="460" t="s">
        <v>14</v>
      </c>
      <c r="X106" s="460" t="s">
        <v>14</v>
      </c>
      <c r="Y106" s="460" t="s">
        <v>15</v>
      </c>
      <c r="Z106" s="460" t="s">
        <v>15</v>
      </c>
    </row>
    <row r="107" spans="1:34" ht="18.45">
      <c r="B107" s="983" t="s">
        <v>296</v>
      </c>
      <c r="C107" s="984">
        <f>MIN(D4:D59)</f>
        <v>180</v>
      </c>
      <c r="D107" s="984">
        <f>MAX(D4:D59)</f>
        <v>500</v>
      </c>
      <c r="E107" s="984">
        <f>MIN(F4:F59)</f>
        <v>0</v>
      </c>
      <c r="F107" s="984">
        <f>MAX(F4:F59)</f>
        <v>20</v>
      </c>
      <c r="G107" s="984">
        <f>MIN(H4:H59)</f>
        <v>0</v>
      </c>
      <c r="H107" s="984">
        <f>MAX(H4:H59)</f>
        <v>9</v>
      </c>
      <c r="I107" s="984">
        <f>MIN(J4:J59)</f>
        <v>0</v>
      </c>
      <c r="J107" s="984">
        <f>MAX(J4:J59)</f>
        <v>2</v>
      </c>
      <c r="K107" s="984">
        <f>MIN(L4:L59)</f>
        <v>0</v>
      </c>
      <c r="L107" s="984">
        <f>MAX(L4:L59)</f>
        <v>0</v>
      </c>
      <c r="M107" s="984">
        <f>MIN(N4:N59)</f>
        <v>0</v>
      </c>
      <c r="N107" s="984">
        <f>MAX(N4:N59)</f>
        <v>0</v>
      </c>
      <c r="O107" s="984">
        <f>MIN(P4:P59)</f>
        <v>15</v>
      </c>
      <c r="P107" s="984">
        <f>MAX(P4:P59)</f>
        <v>150</v>
      </c>
      <c r="Q107" s="984">
        <f>MIN(R4:R59)</f>
        <v>46</v>
      </c>
      <c r="R107" s="984">
        <f>MAX(R4:R59)</f>
        <v>114</v>
      </c>
      <c r="S107" s="984">
        <f>MIN(T4:T59)</f>
        <v>0</v>
      </c>
      <c r="T107" s="984">
        <f>MAX(T4:T59)</f>
        <v>2</v>
      </c>
      <c r="U107" s="984">
        <f>MIN(V4:V59)</f>
        <v>45</v>
      </c>
      <c r="V107" s="984">
        <f>MAX(V4:V59)</f>
        <v>107</v>
      </c>
      <c r="W107" s="984">
        <f>MIN(X4:X59)</f>
        <v>34</v>
      </c>
      <c r="X107" s="984">
        <f>MAX(X4:X59)</f>
        <v>106</v>
      </c>
      <c r="Y107" s="984">
        <f>MIN(Z4:Z59)</f>
        <v>0</v>
      </c>
      <c r="Z107" s="984">
        <f>MAX(Z4:Z59)</f>
        <v>4</v>
      </c>
    </row>
    <row r="108" spans="1:34" ht="18.45">
      <c r="B108" s="983" t="s">
        <v>92</v>
      </c>
      <c r="C108" s="984">
        <f>MIN(D60:D86)</f>
        <v>300</v>
      </c>
      <c r="D108" s="984">
        <f>MAX(D60:D86)</f>
        <v>530</v>
      </c>
      <c r="E108" s="984">
        <f>MIN(F60:F86)</f>
        <v>0</v>
      </c>
      <c r="F108" s="984">
        <f>MAX(F60:F86)</f>
        <v>70</v>
      </c>
      <c r="G108" s="984">
        <f>MIN(H60:H86)</f>
        <v>0</v>
      </c>
      <c r="H108" s="984">
        <f>MAX(H60:H86)</f>
        <v>12</v>
      </c>
      <c r="I108" s="984">
        <f>MIN(J60:J86)</f>
        <v>0</v>
      </c>
      <c r="J108" s="984">
        <f>MAX(J60:J86)</f>
        <v>7</v>
      </c>
      <c r="K108" s="984">
        <f>MIN(L60:L86)</f>
        <v>0</v>
      </c>
      <c r="L108" s="984">
        <f>MAX(L60:L86)</f>
        <v>0</v>
      </c>
      <c r="M108" s="984">
        <f>MIN(N60:N86)</f>
        <v>0</v>
      </c>
      <c r="N108" s="984">
        <f>MAX(N60:N86)</f>
        <v>5</v>
      </c>
      <c r="O108" s="984">
        <f>MIN(P60:P86)</f>
        <v>70</v>
      </c>
      <c r="P108" s="984">
        <f>MAX(P60:P86)</f>
        <v>220</v>
      </c>
      <c r="Q108" s="984">
        <f>MIN(R60:R86)</f>
        <v>65</v>
      </c>
      <c r="R108" s="984">
        <f>MAX(R60:R86)</f>
        <v>119</v>
      </c>
      <c r="S108" s="984">
        <f>MIN(T60:T86)</f>
        <v>0</v>
      </c>
      <c r="T108" s="984">
        <f>MAX(T60:T86)</f>
        <v>19</v>
      </c>
      <c r="U108" s="984">
        <f>MIN(V60:V86)</f>
        <v>59</v>
      </c>
      <c r="V108" s="984">
        <f>MAX(V60:V86)</f>
        <v>106</v>
      </c>
      <c r="W108" s="984">
        <f>MIN(X60:X86)</f>
        <v>57</v>
      </c>
      <c r="X108" s="984">
        <f>MAX(X60:X86)</f>
        <v>105</v>
      </c>
      <c r="Y108" s="984">
        <f>MIN(Z60:Z86)</f>
        <v>0</v>
      </c>
      <c r="Z108" s="984">
        <f>MAX(Z60:Z86)</f>
        <v>3</v>
      </c>
    </row>
    <row r="109" spans="1:34" ht="18.45">
      <c r="B109" s="983" t="s">
        <v>394</v>
      </c>
      <c r="C109" s="984">
        <f>MIN(D87:D92)</f>
        <v>150</v>
      </c>
      <c r="D109" s="984">
        <f>MAX(D87:D92)</f>
        <v>210</v>
      </c>
      <c r="E109" s="984">
        <f>MIN(F87:F92)</f>
        <v>0</v>
      </c>
      <c r="F109" s="984">
        <f>MAX(F87:F92)</f>
        <v>0</v>
      </c>
      <c r="G109" s="984">
        <f>MIN(H87:H92)</f>
        <v>0</v>
      </c>
      <c r="H109" s="984">
        <f>MAX(H87:H92)</f>
        <v>0</v>
      </c>
      <c r="I109" s="984">
        <f>MIN(J87:J92)</f>
        <v>0</v>
      </c>
      <c r="J109" s="984">
        <f>MAX(J87:J92)</f>
        <v>0</v>
      </c>
      <c r="K109" s="984">
        <f>MIN(L87:L92)</f>
        <v>0</v>
      </c>
      <c r="L109" s="984">
        <f>MAX(L87:L92)</f>
        <v>0</v>
      </c>
      <c r="M109" s="984">
        <f>MIN(N87:N92)</f>
        <v>0</v>
      </c>
      <c r="N109" s="984">
        <f>MAX(N87:N92)</f>
        <v>0</v>
      </c>
      <c r="O109" s="984">
        <f>MIN(P87:P92)</f>
        <v>30</v>
      </c>
      <c r="P109" s="984">
        <f>MAX(P87:P92)</f>
        <v>50</v>
      </c>
      <c r="Q109" s="984">
        <f>MIN(R87:R92)</f>
        <v>53</v>
      </c>
      <c r="R109" s="984">
        <f>MAX(R87:R92)</f>
        <v>56</v>
      </c>
      <c r="S109" s="984">
        <f>MIN(T87:T92)</f>
        <v>0</v>
      </c>
      <c r="T109" s="984">
        <f>MAX(T87:T92)</f>
        <v>0</v>
      </c>
      <c r="U109" s="984">
        <f>MIN(V87:V92)</f>
        <v>0</v>
      </c>
      <c r="V109" s="984">
        <f>MAX(V87:V92)</f>
        <v>0</v>
      </c>
      <c r="W109" s="984">
        <f>MIN(X87:X92)</f>
        <v>0</v>
      </c>
      <c r="X109" s="984">
        <f>MAX(X87:X92)</f>
        <v>0</v>
      </c>
      <c r="Y109" s="984">
        <f>MIN(Z87:Z92)</f>
        <v>0</v>
      </c>
      <c r="Z109" s="984">
        <f>MAX(Z87:Z92)</f>
        <v>0</v>
      </c>
    </row>
  </sheetData>
  <autoFilter ref="A3:JO92" xr:uid="{C69F89D6-025F-4822-8217-7774704508E3}"/>
  <mergeCells count="3">
    <mergeCell ref="B94:AH96"/>
    <mergeCell ref="A1:AH1"/>
    <mergeCell ref="A2:AH2"/>
  </mergeCells>
  <pageMargins left="0.7" right="0.7" top="0.75" bottom="0.75" header="0.3" footer="0.3"/>
  <pageSetup scale="23" fitToHeight="0" orientation="landscape" r:id="rId1"/>
  <headerFooter>
    <oddHeader xml:space="preserve">&amp;R&amp;14 2024 Nutrition Information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CD984-6894-41BB-8F84-BDEAFF5C3565}">
  <sheetPr>
    <pageSetUpPr fitToPage="1"/>
  </sheetPr>
  <dimension ref="A1:AP117"/>
  <sheetViews>
    <sheetView zoomScale="80" zoomScaleNormal="80" zoomScalePageLayoutView="70" workbookViewId="0">
      <pane xSplit="1" ySplit="2" topLeftCell="B3" activePane="bottomRight" state="frozen"/>
      <selection pane="topRight"/>
      <selection pane="bottomLeft"/>
      <selection pane="bottomRight" activeCell="C50" sqref="C50:V50"/>
    </sheetView>
    <sheetView workbookViewId="1"/>
    <sheetView workbookViewId="2">
      <selection activeCell="H15" sqref="H15"/>
    </sheetView>
  </sheetViews>
  <sheetFormatPr defaultColWidth="9.15234375" defaultRowHeight="12.9"/>
  <cols>
    <col min="1" max="1" width="9.15234375" style="373"/>
    <col min="2" max="2" width="46.15234375" style="373" customWidth="1"/>
    <col min="3" max="4" width="17" style="373" customWidth="1"/>
    <col min="5" max="6" width="12.69140625" style="373" customWidth="1"/>
    <col min="7" max="7" width="9.3828125" style="373" bestFit="1" customWidth="1"/>
    <col min="8" max="8" width="9.3828125" style="373" customWidth="1"/>
    <col min="9" max="10" width="13.53515625" style="373" customWidth="1"/>
    <col min="11" max="11" width="9.3828125" style="373" bestFit="1" customWidth="1"/>
    <col min="12" max="12" width="9.3828125" style="373" customWidth="1"/>
    <col min="13" max="14" width="14.3828125" style="373" customWidth="1"/>
    <col min="15" max="15" width="10.53515625" style="373" bestFit="1" customWidth="1"/>
    <col min="16" max="16" width="10.53515625" style="373" customWidth="1"/>
    <col min="17" max="18" width="18" style="373" customWidth="1"/>
    <col min="19" max="19" width="9.3828125" style="373" bestFit="1" customWidth="1"/>
    <col min="20" max="20" width="9.3828125" style="373" customWidth="1"/>
    <col min="21" max="21" width="9.3828125" style="373" bestFit="1" customWidth="1"/>
    <col min="22" max="22" width="9.3828125" style="373" customWidth="1"/>
    <col min="23" max="23" width="9.3828125" style="373" bestFit="1" customWidth="1"/>
    <col min="24" max="24" width="9.3828125" style="373" customWidth="1"/>
    <col min="25" max="25" width="9.3828125" style="373" bestFit="1" customWidth="1"/>
    <col min="26" max="26" width="9.3828125" style="373" customWidth="1"/>
    <col min="27" max="27" width="9.3828125" style="373" bestFit="1" customWidth="1"/>
    <col min="28" max="28" width="13.3828125" style="373" customWidth="1"/>
    <col min="29" max="29" width="13.3046875" style="373" customWidth="1"/>
    <col min="30" max="32" width="11.84375" style="373" bestFit="1" customWidth="1"/>
    <col min="33" max="33" width="14.15234375" style="373" customWidth="1"/>
    <col min="34" max="34" width="15.3828125" style="373" customWidth="1"/>
    <col min="35" max="16384" width="9.15234375" style="373"/>
  </cols>
  <sheetData>
    <row r="1" spans="1:34" s="465" customFormat="1" ht="22.5" customHeight="1">
      <c r="A1" s="1250" t="s">
        <v>426</v>
      </c>
      <c r="B1" s="1251"/>
      <c r="C1" s="1251"/>
      <c r="D1" s="1251"/>
      <c r="E1" s="1251"/>
      <c r="F1" s="1251"/>
      <c r="G1" s="1251"/>
      <c r="H1" s="1251"/>
      <c r="I1" s="1251"/>
      <c r="J1" s="1251"/>
      <c r="K1" s="1251"/>
      <c r="L1" s="1251"/>
      <c r="M1" s="1251"/>
      <c r="N1" s="1251"/>
      <c r="O1" s="1251"/>
      <c r="P1" s="1251"/>
      <c r="Q1" s="1251"/>
      <c r="R1" s="1251"/>
      <c r="S1" s="1251"/>
      <c r="T1" s="1251"/>
      <c r="U1" s="1251"/>
      <c r="V1" s="1251"/>
      <c r="W1" s="1251"/>
      <c r="X1" s="1251"/>
      <c r="Y1" s="1251"/>
      <c r="Z1" s="1251"/>
      <c r="AA1" s="1251"/>
      <c r="AB1" s="1251"/>
      <c r="AC1" s="1251"/>
      <c r="AD1" s="1251"/>
      <c r="AE1" s="1251"/>
      <c r="AF1" s="1251"/>
      <c r="AG1" s="1251"/>
      <c r="AH1" s="1251"/>
    </row>
    <row r="2" spans="1:34" s="465" customFormat="1" ht="18" customHeight="1" thickBot="1">
      <c r="A2" s="1250" t="s">
        <v>438</v>
      </c>
      <c r="B2" s="1251"/>
      <c r="C2" s="1251"/>
      <c r="D2" s="1251"/>
      <c r="E2" s="1251"/>
      <c r="F2" s="1251"/>
      <c r="G2" s="1251"/>
      <c r="H2" s="1251"/>
      <c r="I2" s="1251"/>
      <c r="J2" s="1251"/>
      <c r="K2" s="1251"/>
      <c r="L2" s="1251"/>
      <c r="M2" s="1251"/>
      <c r="N2" s="1251"/>
      <c r="O2" s="1251"/>
      <c r="P2" s="1251"/>
      <c r="Q2" s="1251"/>
      <c r="R2" s="1251"/>
      <c r="S2" s="1251"/>
      <c r="T2" s="1251"/>
      <c r="U2" s="1251"/>
      <c r="V2" s="1251"/>
      <c r="W2" s="1251"/>
      <c r="X2" s="1251"/>
      <c r="Y2" s="1251"/>
      <c r="Z2" s="1251"/>
      <c r="AA2" s="1251"/>
      <c r="AB2" s="1251"/>
      <c r="AC2" s="1251"/>
      <c r="AD2" s="1251"/>
      <c r="AE2" s="1251"/>
      <c r="AF2" s="1251"/>
      <c r="AG2" s="1251"/>
      <c r="AH2" s="1251"/>
    </row>
    <row r="3" spans="1:34" s="465" customFormat="1" ht="66" customHeight="1" thickBot="1">
      <c r="A3" s="490"/>
      <c r="B3" s="489" t="s">
        <v>3</v>
      </c>
      <c r="C3" s="964" t="s">
        <v>4</v>
      </c>
      <c r="D3" s="499" t="s">
        <v>4</v>
      </c>
      <c r="E3" s="964" t="s">
        <v>5</v>
      </c>
      <c r="F3" s="499" t="s">
        <v>5</v>
      </c>
      <c r="G3" s="964" t="s">
        <v>6</v>
      </c>
      <c r="H3" s="499" t="s">
        <v>6</v>
      </c>
      <c r="I3" s="964" t="s">
        <v>7</v>
      </c>
      <c r="J3" s="499" t="s">
        <v>7</v>
      </c>
      <c r="K3" s="964" t="s">
        <v>8</v>
      </c>
      <c r="L3" s="499" t="s">
        <v>8</v>
      </c>
      <c r="M3" s="964" t="s">
        <v>9</v>
      </c>
      <c r="N3" s="499" t="s">
        <v>9</v>
      </c>
      <c r="O3" s="964" t="s">
        <v>10</v>
      </c>
      <c r="P3" s="499" t="s">
        <v>10</v>
      </c>
      <c r="Q3" s="964" t="s">
        <v>11</v>
      </c>
      <c r="R3" s="499" t="s">
        <v>11</v>
      </c>
      <c r="S3" s="964" t="s">
        <v>12</v>
      </c>
      <c r="T3" s="499" t="s">
        <v>12</v>
      </c>
      <c r="U3" s="964" t="s">
        <v>13</v>
      </c>
      <c r="V3" s="499" t="s">
        <v>13</v>
      </c>
      <c r="W3" s="964" t="s">
        <v>14</v>
      </c>
      <c r="X3" s="499" t="s">
        <v>14</v>
      </c>
      <c r="Y3" s="964" t="s">
        <v>15</v>
      </c>
      <c r="Z3" s="499" t="s">
        <v>15</v>
      </c>
      <c r="AA3" s="487" t="s">
        <v>16</v>
      </c>
      <c r="AB3" s="487" t="s">
        <v>17</v>
      </c>
      <c r="AC3" s="487" t="s">
        <v>18</v>
      </c>
      <c r="AD3" s="487" t="s">
        <v>19</v>
      </c>
      <c r="AE3" s="487" t="s">
        <v>20</v>
      </c>
      <c r="AF3" s="487" t="s">
        <v>21</v>
      </c>
      <c r="AG3" s="487" t="s">
        <v>22</v>
      </c>
      <c r="AH3" s="487" t="s">
        <v>23</v>
      </c>
    </row>
    <row r="4" spans="1:34" s="465" customFormat="1" ht="15" customHeight="1" thickBot="1">
      <c r="A4" s="497" t="s">
        <v>296</v>
      </c>
      <c r="B4" s="497" t="s">
        <v>25</v>
      </c>
      <c r="C4" s="576">
        <v>226.81700000000001</v>
      </c>
      <c r="D4" s="841">
        <f>MROUND(C4,10)</f>
        <v>230</v>
      </c>
      <c r="E4" s="576">
        <v>0</v>
      </c>
      <c r="F4" s="841">
        <f>IF(E4&lt;5,0,(IF(E4&gt;50,MROUND(E4,10),MROUND(E4,5))))</f>
        <v>0</v>
      </c>
      <c r="G4" s="576">
        <v>0</v>
      </c>
      <c r="H4" s="835">
        <f>IF(G4&lt;0.5,0,IF(G4&gt;5,MROUND(G4,1),MROUND(G4,0.5)))</f>
        <v>0</v>
      </c>
      <c r="I4" s="576">
        <v>0</v>
      </c>
      <c r="J4" s="835">
        <f>IF(I4&lt;0.5,0,IF(I4&gt;5,MROUND(I4,1),MROUND(I4,0.5)))</f>
        <v>0</v>
      </c>
      <c r="K4" s="576">
        <v>0</v>
      </c>
      <c r="L4" s="835">
        <f>IF(K4&lt;0.5,0,IF(K4&gt;5,MROUND(K4,1),MROUND(K4,0.5)))</f>
        <v>0</v>
      </c>
      <c r="M4" s="576">
        <v>0</v>
      </c>
      <c r="N4" s="841">
        <f>IF(M4&lt;2,0,IF(M4&gt;5,MROUND(M4,5),"less than 5 mg"))</f>
        <v>0</v>
      </c>
      <c r="O4" s="576">
        <v>36.533999999999999</v>
      </c>
      <c r="P4" s="841">
        <f>IF(O4&lt;5,0,IF(O4&gt;140,MROUND(O4,10),MROUND(O4,5)))</f>
        <v>35</v>
      </c>
      <c r="Q4" s="576">
        <v>57.417000000000002</v>
      </c>
      <c r="R4" s="841">
        <f>IF(Q4&lt;0.5,0,IF(Q4&gt;1,MROUND(Q4,1),"less than 1 g"))</f>
        <v>57</v>
      </c>
      <c r="S4" s="576">
        <v>1.9E-2</v>
      </c>
      <c r="T4" s="841">
        <f>IF(S4&lt;0.5,0,IF(S4&gt;1,MROUND(S4,1),"less than 1 g"))</f>
        <v>0</v>
      </c>
      <c r="U4" s="576">
        <v>55.651000000000003</v>
      </c>
      <c r="V4" s="841">
        <f>IF(U4&lt;0.5,0,IF(U4&gt;1,MROUND(U4,1),"less than 1 g"))</f>
        <v>56</v>
      </c>
      <c r="W4" s="576">
        <v>53.828000000000003</v>
      </c>
      <c r="X4" s="841">
        <f>IF(W4&lt;0.5,0,IF(W4&gt;1,MROUND(W4,1),"less than 1 g"))</f>
        <v>54</v>
      </c>
      <c r="Y4" s="576">
        <v>0</v>
      </c>
      <c r="Z4" s="841">
        <f>IF(Y4&lt;0.5,0,IF(Y4&gt;1,MROUND(Y4,1),"less than 1 g"))</f>
        <v>0</v>
      </c>
      <c r="AA4" s="576">
        <v>0</v>
      </c>
      <c r="AB4" s="576">
        <v>0</v>
      </c>
      <c r="AC4" s="576">
        <v>7.4539999999999997</v>
      </c>
      <c r="AD4" s="576">
        <v>0.57299999999999995</v>
      </c>
      <c r="AE4" s="576">
        <v>3.1E-2</v>
      </c>
      <c r="AF4" s="576">
        <v>0.17100000000000001</v>
      </c>
      <c r="AG4" s="576">
        <v>0.63300000000000001</v>
      </c>
      <c r="AH4" s="576">
        <v>1.2999999999999999E-2</v>
      </c>
    </row>
    <row r="5" spans="1:34" s="465" customFormat="1" ht="15" customHeight="1" thickBot="1">
      <c r="A5" s="497" t="s">
        <v>296</v>
      </c>
      <c r="B5" s="496" t="s">
        <v>26</v>
      </c>
      <c r="C5" s="820">
        <v>270.08999999999997</v>
      </c>
      <c r="D5" s="841">
        <f t="shared" ref="D5:D68" si="0">MROUND(C5,10)</f>
        <v>270</v>
      </c>
      <c r="E5" s="821">
        <v>0.65500000000000003</v>
      </c>
      <c r="F5" s="841">
        <f t="shared" ref="F5:F68" si="1">IF(E5&lt;5,0,(IF(E5&gt;50,MROUND(E5,10),MROUND(E5,5))))</f>
        <v>0</v>
      </c>
      <c r="G5" s="821">
        <v>7.2999999999999995E-2</v>
      </c>
      <c r="H5" s="835">
        <f t="shared" ref="H5:H68" si="2">IF(G5&lt;0.5,0,IF(G5&gt;5,MROUND(G5,1),MROUND(G5,0.5)))</f>
        <v>0</v>
      </c>
      <c r="I5" s="821">
        <v>6.0999999999999999E-2</v>
      </c>
      <c r="J5" s="835">
        <f t="shared" ref="J5:J68" si="3">IF(I5&lt;0.5,0,IF(I5&gt;5,MROUND(I5,1),MROUND(I5,0.5)))</f>
        <v>0</v>
      </c>
      <c r="K5" s="821">
        <v>2E-3</v>
      </c>
      <c r="L5" s="835">
        <f t="shared" ref="L5:L68" si="4">IF(K5&lt;0.5,0,IF(K5&gt;5,MROUND(K5,1),MROUND(K5,0.5)))</f>
        <v>0</v>
      </c>
      <c r="M5" s="821">
        <v>0</v>
      </c>
      <c r="N5" s="841">
        <f t="shared" ref="N5:N68" si="5">IF(M5&lt;2,0,IF(M5&gt;5,MROUND(M5,5),"less than 5 mg"))</f>
        <v>0</v>
      </c>
      <c r="O5" s="821">
        <v>31.048999999999999</v>
      </c>
      <c r="P5" s="841">
        <f t="shared" ref="P5:P68" si="6">IF(O5&lt;5,0,IF(O5&gt;140,MROUND(O5,10),MROUND(O5,5)))</f>
        <v>30</v>
      </c>
      <c r="Q5" s="821">
        <v>68.352999999999994</v>
      </c>
      <c r="R5" s="841">
        <f t="shared" ref="R5:R68" si="7">IF(Q5&lt;0.5,0,IF(Q5&gt;1,MROUND(Q5,1),"less than 1 g"))</f>
        <v>68</v>
      </c>
      <c r="S5" s="821">
        <v>0.29399999999999998</v>
      </c>
      <c r="T5" s="841">
        <f t="shared" ref="T5:T68" si="8">IF(S5&lt;0.5,0,IF(S5&gt;1,MROUND(S5,1),"less than 1 g"))</f>
        <v>0</v>
      </c>
      <c r="U5" s="821">
        <v>65.275000000000006</v>
      </c>
      <c r="V5" s="841">
        <f t="shared" ref="V5:V68" si="9">IF(U5&lt;0.5,0,IF(U5&gt;1,MROUND(U5,1),"less than 1 g"))</f>
        <v>65</v>
      </c>
      <c r="W5" s="821">
        <v>63.335999999999999</v>
      </c>
      <c r="X5" s="841">
        <f t="shared" ref="X5:X68" si="10">IF(W5&lt;0.5,0,IF(W5&gt;1,MROUND(W5,1),"less than 1 g"))</f>
        <v>63</v>
      </c>
      <c r="Y5" s="821">
        <v>0.105</v>
      </c>
      <c r="Z5" s="841">
        <f t="shared" ref="Z5:Z68" si="11">IF(Y5&lt;0.5,0,IF(Y5&gt;1,MROUND(Y5,1),"less than 1 g"))</f>
        <v>0</v>
      </c>
      <c r="AA5" s="821">
        <v>0</v>
      </c>
      <c r="AB5" s="821">
        <v>0</v>
      </c>
      <c r="AC5" s="821">
        <v>6.9480000000000004</v>
      </c>
      <c r="AD5" s="822">
        <v>0.53400000000000003</v>
      </c>
      <c r="AE5" s="822">
        <v>5.2999999999999999E-2</v>
      </c>
      <c r="AF5" s="822">
        <v>0.29199999999999998</v>
      </c>
      <c r="AG5" s="822">
        <v>52.966999999999999</v>
      </c>
      <c r="AH5" s="823">
        <v>1.127</v>
      </c>
    </row>
    <row r="6" spans="1:34" s="465" customFormat="1" ht="15" customHeight="1" thickBot="1">
      <c r="A6" s="497" t="s">
        <v>296</v>
      </c>
      <c r="B6" s="495" t="s">
        <v>29</v>
      </c>
      <c r="C6" s="674">
        <v>251.12200000000001</v>
      </c>
      <c r="D6" s="841">
        <f t="shared" si="0"/>
        <v>250</v>
      </c>
      <c r="E6" s="674">
        <v>0</v>
      </c>
      <c r="F6" s="841">
        <f t="shared" si="1"/>
        <v>0</v>
      </c>
      <c r="G6" s="674">
        <v>0</v>
      </c>
      <c r="H6" s="835">
        <f t="shared" si="2"/>
        <v>0</v>
      </c>
      <c r="I6" s="674">
        <v>0</v>
      </c>
      <c r="J6" s="835">
        <f t="shared" si="3"/>
        <v>0</v>
      </c>
      <c r="K6" s="674">
        <v>0</v>
      </c>
      <c r="L6" s="835">
        <f t="shared" si="4"/>
        <v>0</v>
      </c>
      <c r="M6" s="674">
        <v>0</v>
      </c>
      <c r="N6" s="841">
        <f t="shared" si="5"/>
        <v>0</v>
      </c>
      <c r="O6" s="674">
        <v>35.523000000000003</v>
      </c>
      <c r="P6" s="841">
        <f t="shared" si="6"/>
        <v>35</v>
      </c>
      <c r="Q6" s="674">
        <v>63.658999999999999</v>
      </c>
      <c r="R6" s="841">
        <f t="shared" si="7"/>
        <v>64</v>
      </c>
      <c r="S6" s="674">
        <v>2.5999999999999999E-2</v>
      </c>
      <c r="T6" s="841">
        <f t="shared" si="8"/>
        <v>0</v>
      </c>
      <c r="U6" s="674">
        <v>61.997999999999998</v>
      </c>
      <c r="V6" s="841">
        <f t="shared" si="9"/>
        <v>62</v>
      </c>
      <c r="W6" s="674">
        <v>61.997999999999998</v>
      </c>
      <c r="X6" s="841">
        <f t="shared" si="10"/>
        <v>62</v>
      </c>
      <c r="Y6" s="674">
        <v>0</v>
      </c>
      <c r="Z6" s="841">
        <f t="shared" si="11"/>
        <v>0</v>
      </c>
      <c r="AA6" s="674">
        <v>0</v>
      </c>
      <c r="AB6" s="674">
        <v>0</v>
      </c>
      <c r="AC6" s="674">
        <v>8.3109999999999999</v>
      </c>
      <c r="AD6" s="674">
        <v>0.63900000000000001</v>
      </c>
      <c r="AE6" s="674">
        <v>5.3999999999999999E-2</v>
      </c>
      <c r="AF6" s="674">
        <v>0.29899999999999999</v>
      </c>
      <c r="AG6" s="674">
        <v>0.84799999999999998</v>
      </c>
      <c r="AH6" s="674">
        <v>1.7999999999999999E-2</v>
      </c>
    </row>
    <row r="7" spans="1:34" s="465" customFormat="1" ht="15" customHeight="1" thickBot="1">
      <c r="A7" s="497" t="s">
        <v>296</v>
      </c>
      <c r="B7" s="495" t="s">
        <v>30</v>
      </c>
      <c r="C7" s="674">
        <v>257.15899999999999</v>
      </c>
      <c r="D7" s="841">
        <f t="shared" si="0"/>
        <v>260</v>
      </c>
      <c r="E7" s="674">
        <v>0.30399999999999999</v>
      </c>
      <c r="F7" s="841">
        <f t="shared" si="1"/>
        <v>0</v>
      </c>
      <c r="G7" s="674">
        <v>3.4000000000000002E-2</v>
      </c>
      <c r="H7" s="835">
        <f t="shared" si="2"/>
        <v>0</v>
      </c>
      <c r="I7" s="674">
        <v>3.0000000000000001E-3</v>
      </c>
      <c r="J7" s="835">
        <f t="shared" si="3"/>
        <v>0</v>
      </c>
      <c r="K7" s="674">
        <v>0</v>
      </c>
      <c r="L7" s="835">
        <f t="shared" si="4"/>
        <v>0</v>
      </c>
      <c r="M7" s="674">
        <v>0</v>
      </c>
      <c r="N7" s="841">
        <f t="shared" si="5"/>
        <v>0</v>
      </c>
      <c r="O7" s="674">
        <v>35.683</v>
      </c>
      <c r="P7" s="841">
        <f t="shared" si="6"/>
        <v>35</v>
      </c>
      <c r="Q7" s="674">
        <v>65.149000000000001</v>
      </c>
      <c r="R7" s="841">
        <f t="shared" si="7"/>
        <v>65</v>
      </c>
      <c r="S7" s="674">
        <v>0.16900000000000001</v>
      </c>
      <c r="T7" s="841">
        <f t="shared" si="8"/>
        <v>0</v>
      </c>
      <c r="U7" s="674">
        <v>63.271000000000001</v>
      </c>
      <c r="V7" s="841">
        <f t="shared" si="9"/>
        <v>63</v>
      </c>
      <c r="W7" s="674">
        <v>62.825000000000003</v>
      </c>
      <c r="X7" s="841">
        <f t="shared" si="10"/>
        <v>63</v>
      </c>
      <c r="Y7" s="674">
        <v>2.1999999999999999E-2</v>
      </c>
      <c r="Z7" s="841">
        <f t="shared" si="11"/>
        <v>0</v>
      </c>
      <c r="AA7" s="674">
        <v>0</v>
      </c>
      <c r="AB7" s="674">
        <v>0</v>
      </c>
      <c r="AC7" s="674">
        <v>8.5679999999999996</v>
      </c>
      <c r="AD7" s="674">
        <v>0.65900000000000003</v>
      </c>
      <c r="AE7" s="674">
        <v>6.4000000000000001E-2</v>
      </c>
      <c r="AF7" s="674">
        <v>0.35499999999999998</v>
      </c>
      <c r="AG7" s="674">
        <v>3.706</v>
      </c>
      <c r="AH7" s="674">
        <v>7.9000000000000001E-2</v>
      </c>
    </row>
    <row r="8" spans="1:34" s="465" customFormat="1" ht="15" customHeight="1" thickBot="1">
      <c r="A8" s="497" t="s">
        <v>296</v>
      </c>
      <c r="B8" s="495" t="s">
        <v>301</v>
      </c>
      <c r="C8" s="674">
        <v>218.80500000000001</v>
      </c>
      <c r="D8" s="841">
        <f t="shared" si="0"/>
        <v>220</v>
      </c>
      <c r="E8" s="616">
        <v>9.5000000000000001E-2</v>
      </c>
      <c r="F8" s="841">
        <f t="shared" si="1"/>
        <v>0</v>
      </c>
      <c r="G8" s="616">
        <v>1.0999999999999999E-2</v>
      </c>
      <c r="H8" s="835">
        <f t="shared" si="2"/>
        <v>0</v>
      </c>
      <c r="I8" s="616">
        <v>3.0000000000000001E-3</v>
      </c>
      <c r="J8" s="835">
        <f t="shared" si="3"/>
        <v>0</v>
      </c>
      <c r="K8" s="616">
        <v>0</v>
      </c>
      <c r="L8" s="835">
        <f t="shared" si="4"/>
        <v>0</v>
      </c>
      <c r="M8" s="616">
        <v>0</v>
      </c>
      <c r="N8" s="841">
        <f t="shared" si="5"/>
        <v>0</v>
      </c>
      <c r="O8" s="616">
        <v>36.063000000000002</v>
      </c>
      <c r="P8" s="841">
        <f t="shared" si="6"/>
        <v>35</v>
      </c>
      <c r="Q8" s="616">
        <v>55.579000000000001</v>
      </c>
      <c r="R8" s="841">
        <f t="shared" si="7"/>
        <v>56</v>
      </c>
      <c r="S8" s="616">
        <v>0.05</v>
      </c>
      <c r="T8" s="841">
        <f t="shared" si="8"/>
        <v>0</v>
      </c>
      <c r="U8" s="616">
        <v>53.09</v>
      </c>
      <c r="V8" s="841">
        <f t="shared" si="9"/>
        <v>53</v>
      </c>
      <c r="W8" s="616">
        <v>52.655000000000001</v>
      </c>
      <c r="X8" s="841">
        <f t="shared" si="10"/>
        <v>53</v>
      </c>
      <c r="Y8" s="616">
        <v>5.2999999999999999E-2</v>
      </c>
      <c r="Z8" s="841">
        <f t="shared" si="11"/>
        <v>0</v>
      </c>
      <c r="AA8" s="616">
        <v>0</v>
      </c>
      <c r="AB8" s="616">
        <v>0</v>
      </c>
      <c r="AC8" s="616">
        <v>7.6130000000000004</v>
      </c>
      <c r="AD8" s="616">
        <v>0.58599999999999997</v>
      </c>
      <c r="AE8" s="616">
        <v>0.03</v>
      </c>
      <c r="AF8" s="616">
        <v>0.16800000000000001</v>
      </c>
      <c r="AG8" s="616">
        <v>15.756</v>
      </c>
      <c r="AH8" s="616">
        <v>0.33500000000000002</v>
      </c>
    </row>
    <row r="9" spans="1:34" s="465" customFormat="1" ht="15" customHeight="1" thickBot="1">
      <c r="A9" s="497" t="s">
        <v>296</v>
      </c>
      <c r="B9" s="495" t="s">
        <v>302</v>
      </c>
      <c r="C9" s="674">
        <v>235.03100000000001</v>
      </c>
      <c r="D9" s="841">
        <f t="shared" si="0"/>
        <v>240</v>
      </c>
      <c r="E9" s="616">
        <v>0</v>
      </c>
      <c r="F9" s="841">
        <f t="shared" si="1"/>
        <v>0</v>
      </c>
      <c r="G9" s="616">
        <v>0</v>
      </c>
      <c r="H9" s="835">
        <f t="shared" si="2"/>
        <v>0</v>
      </c>
      <c r="I9" s="616">
        <v>0</v>
      </c>
      <c r="J9" s="835">
        <f t="shared" si="3"/>
        <v>0</v>
      </c>
      <c r="K9" s="616">
        <v>0</v>
      </c>
      <c r="L9" s="835">
        <f t="shared" si="4"/>
        <v>0</v>
      </c>
      <c r="M9" s="616">
        <v>0</v>
      </c>
      <c r="N9" s="841">
        <f t="shared" si="5"/>
        <v>0</v>
      </c>
      <c r="O9" s="616">
        <v>26.672999999999998</v>
      </c>
      <c r="P9" s="841">
        <f t="shared" si="6"/>
        <v>25</v>
      </c>
      <c r="Q9" s="616">
        <v>59.412999999999997</v>
      </c>
      <c r="R9" s="841">
        <f t="shared" si="7"/>
        <v>59</v>
      </c>
      <c r="S9" s="616">
        <v>0</v>
      </c>
      <c r="T9" s="841">
        <f t="shared" si="8"/>
        <v>0</v>
      </c>
      <c r="U9" s="616">
        <v>57.512999999999998</v>
      </c>
      <c r="V9" s="841">
        <f t="shared" si="9"/>
        <v>58</v>
      </c>
      <c r="W9" s="616">
        <v>57.512999999999998</v>
      </c>
      <c r="X9" s="841">
        <f t="shared" si="10"/>
        <v>58</v>
      </c>
      <c r="Y9" s="616">
        <v>0</v>
      </c>
      <c r="Z9" s="841">
        <f t="shared" si="11"/>
        <v>0</v>
      </c>
      <c r="AA9" s="616">
        <v>0</v>
      </c>
      <c r="AB9" s="616">
        <v>0</v>
      </c>
      <c r="AC9" s="616">
        <v>6.7569999999999997</v>
      </c>
      <c r="AD9" s="616">
        <v>0.52</v>
      </c>
      <c r="AE9" s="616">
        <v>1.0999999999999999E-2</v>
      </c>
      <c r="AF9" s="616">
        <v>6.2E-2</v>
      </c>
      <c r="AG9" s="616">
        <v>0.95199999999999996</v>
      </c>
      <c r="AH9" s="616">
        <v>0.02</v>
      </c>
    </row>
    <row r="10" spans="1:34" s="465" customFormat="1" ht="15" customHeight="1" thickBot="1">
      <c r="A10" s="497" t="s">
        <v>296</v>
      </c>
      <c r="B10" s="495" t="s">
        <v>31</v>
      </c>
      <c r="C10" s="674">
        <v>197.93100000000001</v>
      </c>
      <c r="D10" s="841">
        <f t="shared" si="0"/>
        <v>200</v>
      </c>
      <c r="E10" s="675">
        <v>0</v>
      </c>
      <c r="F10" s="841">
        <f t="shared" si="1"/>
        <v>0</v>
      </c>
      <c r="G10" s="675">
        <v>1.7999999999999999E-2</v>
      </c>
      <c r="H10" s="835">
        <f t="shared" si="2"/>
        <v>0</v>
      </c>
      <c r="I10" s="675">
        <v>0</v>
      </c>
      <c r="J10" s="835">
        <f t="shared" si="3"/>
        <v>0</v>
      </c>
      <c r="K10" s="675">
        <v>0</v>
      </c>
      <c r="L10" s="835">
        <f t="shared" si="4"/>
        <v>0</v>
      </c>
      <c r="M10" s="675">
        <v>0</v>
      </c>
      <c r="N10" s="841">
        <f t="shared" si="5"/>
        <v>0</v>
      </c>
      <c r="O10" s="675">
        <v>33.921999999999997</v>
      </c>
      <c r="P10" s="841">
        <f t="shared" si="6"/>
        <v>35</v>
      </c>
      <c r="Q10" s="675">
        <v>50.912999999999997</v>
      </c>
      <c r="R10" s="841">
        <f t="shared" si="7"/>
        <v>51</v>
      </c>
      <c r="S10" s="675">
        <v>0.10100000000000001</v>
      </c>
      <c r="T10" s="841">
        <f t="shared" si="8"/>
        <v>0</v>
      </c>
      <c r="U10" s="675">
        <v>47.872999999999998</v>
      </c>
      <c r="V10" s="841">
        <f t="shared" si="9"/>
        <v>48</v>
      </c>
      <c r="W10" s="675">
        <v>46.277000000000001</v>
      </c>
      <c r="X10" s="841">
        <f t="shared" si="10"/>
        <v>46</v>
      </c>
      <c r="Y10" s="675">
        <v>2.5999999999999999E-2</v>
      </c>
      <c r="Z10" s="841">
        <f t="shared" si="11"/>
        <v>0</v>
      </c>
      <c r="AA10" s="675">
        <v>0</v>
      </c>
      <c r="AB10" s="675">
        <v>0</v>
      </c>
      <c r="AC10" s="675">
        <v>12.000999999999999</v>
      </c>
      <c r="AD10" s="582">
        <v>0.92300000000000004</v>
      </c>
      <c r="AE10" s="582">
        <v>2.5999999999999999E-2</v>
      </c>
      <c r="AF10" s="582">
        <v>0.14599999999999999</v>
      </c>
      <c r="AG10" s="582">
        <v>1.0429999999999999</v>
      </c>
      <c r="AH10" s="582">
        <v>2.1999999999999999E-2</v>
      </c>
    </row>
    <row r="11" spans="1:34" s="465" customFormat="1" ht="15" customHeight="1" thickBot="1">
      <c r="A11" s="497" t="s">
        <v>296</v>
      </c>
      <c r="B11" s="495" t="s">
        <v>32</v>
      </c>
      <c r="C11" s="674">
        <v>213.79</v>
      </c>
      <c r="D11" s="841">
        <f t="shared" si="0"/>
        <v>210</v>
      </c>
      <c r="E11" s="675">
        <v>0.30499999999999999</v>
      </c>
      <c r="F11" s="841">
        <f t="shared" si="1"/>
        <v>0</v>
      </c>
      <c r="G11" s="675">
        <v>3.4000000000000002E-2</v>
      </c>
      <c r="H11" s="835">
        <f t="shared" si="2"/>
        <v>0</v>
      </c>
      <c r="I11" s="675">
        <v>0</v>
      </c>
      <c r="J11" s="835">
        <f t="shared" si="3"/>
        <v>0</v>
      </c>
      <c r="K11" s="675">
        <v>0</v>
      </c>
      <c r="L11" s="835">
        <f t="shared" si="4"/>
        <v>0</v>
      </c>
      <c r="M11" s="675">
        <v>0</v>
      </c>
      <c r="N11" s="841">
        <f t="shared" si="5"/>
        <v>0</v>
      </c>
      <c r="O11" s="675">
        <v>28.835000000000001</v>
      </c>
      <c r="P11" s="841">
        <f t="shared" si="6"/>
        <v>30</v>
      </c>
      <c r="Q11" s="675">
        <v>55.488999999999997</v>
      </c>
      <c r="R11" s="841">
        <f t="shared" si="7"/>
        <v>55</v>
      </c>
      <c r="S11" s="675">
        <v>5.1999999999999998E-2</v>
      </c>
      <c r="T11" s="841">
        <f t="shared" si="8"/>
        <v>0</v>
      </c>
      <c r="U11" s="675">
        <v>51.628999999999998</v>
      </c>
      <c r="V11" s="841">
        <f t="shared" si="9"/>
        <v>52</v>
      </c>
      <c r="W11" s="675">
        <v>51.277999999999999</v>
      </c>
      <c r="X11" s="841">
        <f t="shared" si="10"/>
        <v>51</v>
      </c>
      <c r="Y11" s="675">
        <v>9.4E-2</v>
      </c>
      <c r="Z11" s="841">
        <f t="shared" si="11"/>
        <v>0</v>
      </c>
      <c r="AA11" s="675">
        <v>0</v>
      </c>
      <c r="AB11" s="675">
        <v>0</v>
      </c>
      <c r="AC11" s="675">
        <v>8.9280000000000008</v>
      </c>
      <c r="AD11" s="582">
        <v>0.68700000000000006</v>
      </c>
      <c r="AE11" s="582">
        <v>2.4E-2</v>
      </c>
      <c r="AF11" s="582">
        <v>0.13500000000000001</v>
      </c>
      <c r="AG11" s="582">
        <v>24.300999999999998</v>
      </c>
      <c r="AH11" s="582">
        <v>0.51700000000000002</v>
      </c>
    </row>
    <row r="12" spans="1:34" s="465" customFormat="1" ht="15" customHeight="1" thickBot="1">
      <c r="A12" s="497" t="s">
        <v>296</v>
      </c>
      <c r="B12" s="495" t="s">
        <v>33</v>
      </c>
      <c r="C12" s="674">
        <v>239.99600000000001</v>
      </c>
      <c r="D12" s="841">
        <f t="shared" si="0"/>
        <v>240</v>
      </c>
      <c r="E12" s="675">
        <v>4.3999999999999997E-2</v>
      </c>
      <c r="F12" s="841">
        <f t="shared" si="1"/>
        <v>0</v>
      </c>
      <c r="G12" s="675">
        <v>5.0000000000000001E-3</v>
      </c>
      <c r="H12" s="835">
        <f t="shared" si="2"/>
        <v>0</v>
      </c>
      <c r="I12" s="675">
        <v>1E-3</v>
      </c>
      <c r="J12" s="835">
        <f t="shared" si="3"/>
        <v>0</v>
      </c>
      <c r="K12" s="675">
        <v>0</v>
      </c>
      <c r="L12" s="835">
        <f t="shared" si="4"/>
        <v>0</v>
      </c>
      <c r="M12" s="675">
        <v>0</v>
      </c>
      <c r="N12" s="841">
        <f t="shared" si="5"/>
        <v>0</v>
      </c>
      <c r="O12" s="675">
        <v>49.048000000000002</v>
      </c>
      <c r="P12" s="841">
        <f t="shared" si="6"/>
        <v>50</v>
      </c>
      <c r="Q12" s="675">
        <v>61.33</v>
      </c>
      <c r="R12" s="841">
        <f t="shared" si="7"/>
        <v>61</v>
      </c>
      <c r="S12" s="675">
        <v>0.11</v>
      </c>
      <c r="T12" s="841">
        <f t="shared" si="8"/>
        <v>0</v>
      </c>
      <c r="U12" s="675">
        <v>58.329000000000001</v>
      </c>
      <c r="V12" s="841">
        <f t="shared" si="9"/>
        <v>58</v>
      </c>
      <c r="W12" s="675">
        <v>58.286999999999999</v>
      </c>
      <c r="X12" s="841">
        <f t="shared" si="10"/>
        <v>58</v>
      </c>
      <c r="Y12" s="675">
        <v>2.9000000000000001E-2</v>
      </c>
      <c r="Z12" s="841">
        <f t="shared" si="11"/>
        <v>0</v>
      </c>
      <c r="AA12" s="675">
        <v>0</v>
      </c>
      <c r="AB12" s="675">
        <v>0</v>
      </c>
      <c r="AC12" s="675">
        <v>7.7869999999999999</v>
      </c>
      <c r="AD12" s="582">
        <v>0.59899999999999998</v>
      </c>
      <c r="AE12" s="582">
        <v>3.3000000000000002E-2</v>
      </c>
      <c r="AF12" s="582">
        <v>0.186</v>
      </c>
      <c r="AG12" s="582">
        <v>3.2690000000000001</v>
      </c>
      <c r="AH12" s="582">
        <v>7.0000000000000007E-2</v>
      </c>
    </row>
    <row r="13" spans="1:34" s="465" customFormat="1" ht="15" customHeight="1" thickBot="1">
      <c r="A13" s="497" t="s">
        <v>296</v>
      </c>
      <c r="B13" s="495" t="s">
        <v>34</v>
      </c>
      <c r="C13" s="674">
        <v>289.72000000000003</v>
      </c>
      <c r="D13" s="841">
        <f t="shared" si="0"/>
        <v>290</v>
      </c>
      <c r="E13" s="675">
        <v>3.1720000000000002</v>
      </c>
      <c r="F13" s="841">
        <f t="shared" si="1"/>
        <v>0</v>
      </c>
      <c r="G13" s="675">
        <v>0.35199999999999998</v>
      </c>
      <c r="H13" s="835">
        <f t="shared" si="2"/>
        <v>0</v>
      </c>
      <c r="I13" s="675">
        <v>0.20799999999999999</v>
      </c>
      <c r="J13" s="835">
        <f t="shared" si="3"/>
        <v>0</v>
      </c>
      <c r="K13" s="675">
        <v>0</v>
      </c>
      <c r="L13" s="835">
        <f t="shared" si="4"/>
        <v>0</v>
      </c>
      <c r="M13" s="675">
        <v>0</v>
      </c>
      <c r="N13" s="841">
        <f t="shared" si="5"/>
        <v>0</v>
      </c>
      <c r="O13" s="675">
        <v>54.695</v>
      </c>
      <c r="P13" s="841">
        <f t="shared" si="6"/>
        <v>55</v>
      </c>
      <c r="Q13" s="675">
        <v>73.858000000000004</v>
      </c>
      <c r="R13" s="841">
        <f t="shared" si="7"/>
        <v>74</v>
      </c>
      <c r="S13" s="675">
        <v>1.0309999999999999</v>
      </c>
      <c r="T13" s="841">
        <f t="shared" si="8"/>
        <v>1</v>
      </c>
      <c r="U13" s="675">
        <v>70.162000000000006</v>
      </c>
      <c r="V13" s="841">
        <f t="shared" si="9"/>
        <v>70</v>
      </c>
      <c r="W13" s="675">
        <v>69.873000000000005</v>
      </c>
      <c r="X13" s="841">
        <f t="shared" si="10"/>
        <v>70</v>
      </c>
      <c r="Y13" s="676">
        <v>0.628</v>
      </c>
      <c r="Z13" s="841" t="str">
        <f t="shared" si="11"/>
        <v>less than 1 g</v>
      </c>
      <c r="AA13" s="676">
        <v>5.0000000000000001E-3</v>
      </c>
      <c r="AB13" s="676">
        <v>2.3E-2</v>
      </c>
      <c r="AC13" s="676">
        <v>12.919</v>
      </c>
      <c r="AD13" s="582">
        <v>0.99399999999999999</v>
      </c>
      <c r="AE13" s="582">
        <v>0.54700000000000004</v>
      </c>
      <c r="AF13" s="582">
        <v>3.0390000000000001</v>
      </c>
      <c r="AG13" s="582">
        <v>74.161000000000001</v>
      </c>
      <c r="AH13" s="582">
        <v>1.5780000000000001</v>
      </c>
    </row>
    <row r="14" spans="1:34" s="465" customFormat="1" ht="15" customHeight="1" thickBot="1">
      <c r="A14" s="497" t="s">
        <v>296</v>
      </c>
      <c r="B14" s="495" t="s">
        <v>35</v>
      </c>
      <c r="C14" s="674">
        <v>328.27</v>
      </c>
      <c r="D14" s="841">
        <f t="shared" si="0"/>
        <v>330</v>
      </c>
      <c r="E14" s="582">
        <v>3.181</v>
      </c>
      <c r="F14" s="841">
        <f t="shared" si="1"/>
        <v>0</v>
      </c>
      <c r="G14" s="582">
        <v>2.5070000000000001</v>
      </c>
      <c r="H14" s="835">
        <f t="shared" si="2"/>
        <v>2.5</v>
      </c>
      <c r="I14" s="582">
        <v>1.4930000000000001</v>
      </c>
      <c r="J14" s="835">
        <f t="shared" si="3"/>
        <v>1.5</v>
      </c>
      <c r="K14" s="582">
        <v>0</v>
      </c>
      <c r="L14" s="835">
        <f t="shared" si="4"/>
        <v>0</v>
      </c>
      <c r="M14" s="582">
        <v>0</v>
      </c>
      <c r="N14" s="841">
        <f t="shared" si="5"/>
        <v>0</v>
      </c>
      <c r="O14" s="582">
        <v>54.497</v>
      </c>
      <c r="P14" s="841">
        <f t="shared" si="6"/>
        <v>55</v>
      </c>
      <c r="Q14" s="582">
        <v>79.616</v>
      </c>
      <c r="R14" s="841">
        <f t="shared" si="7"/>
        <v>80</v>
      </c>
      <c r="S14" s="582">
        <v>1.6879999999999999</v>
      </c>
      <c r="T14" s="841">
        <f t="shared" si="8"/>
        <v>2</v>
      </c>
      <c r="U14" s="582">
        <v>74.840999999999994</v>
      </c>
      <c r="V14" s="841">
        <f t="shared" si="9"/>
        <v>75</v>
      </c>
      <c r="W14" s="582">
        <v>74.551000000000002</v>
      </c>
      <c r="X14" s="841">
        <f t="shared" si="10"/>
        <v>75</v>
      </c>
      <c r="Y14" s="582">
        <v>1.044</v>
      </c>
      <c r="Z14" s="841">
        <f t="shared" si="11"/>
        <v>1</v>
      </c>
      <c r="AA14" s="582">
        <v>5.0000000000000001E-3</v>
      </c>
      <c r="AB14" s="582">
        <v>2.3E-2</v>
      </c>
      <c r="AC14" s="582">
        <v>15.837</v>
      </c>
      <c r="AD14" s="582">
        <v>1.218</v>
      </c>
      <c r="AE14" s="582">
        <v>1.256</v>
      </c>
      <c r="AF14" s="582">
        <v>6.976</v>
      </c>
      <c r="AG14" s="582">
        <v>110.568</v>
      </c>
      <c r="AH14" s="582">
        <v>2.3530000000000002</v>
      </c>
    </row>
    <row r="15" spans="1:34" s="465" customFormat="1" ht="15" customHeight="1" thickBot="1">
      <c r="A15" s="497" t="s">
        <v>296</v>
      </c>
      <c r="B15" s="495" t="s">
        <v>317</v>
      </c>
      <c r="C15" s="674">
        <v>349.92200000000003</v>
      </c>
      <c r="D15" s="841">
        <f t="shared" si="0"/>
        <v>350</v>
      </c>
      <c r="E15" s="675">
        <v>3.1760000000000002</v>
      </c>
      <c r="F15" s="841">
        <f t="shared" si="1"/>
        <v>0</v>
      </c>
      <c r="G15" s="675">
        <v>6.165</v>
      </c>
      <c r="H15" s="835">
        <f t="shared" si="2"/>
        <v>6</v>
      </c>
      <c r="I15" s="675">
        <v>1.173</v>
      </c>
      <c r="J15" s="835">
        <f t="shared" si="3"/>
        <v>1</v>
      </c>
      <c r="K15" s="675">
        <v>0</v>
      </c>
      <c r="L15" s="835">
        <f t="shared" si="4"/>
        <v>0</v>
      </c>
      <c r="M15" s="675">
        <v>0</v>
      </c>
      <c r="N15" s="841">
        <f t="shared" si="5"/>
        <v>0</v>
      </c>
      <c r="O15" s="675">
        <v>80.158000000000001</v>
      </c>
      <c r="P15" s="841">
        <f t="shared" si="6"/>
        <v>80</v>
      </c>
      <c r="Q15" s="675">
        <v>74.850999999999999</v>
      </c>
      <c r="R15" s="841">
        <f t="shared" si="7"/>
        <v>75</v>
      </c>
      <c r="S15" s="675">
        <v>1.663</v>
      </c>
      <c r="T15" s="841">
        <f t="shared" si="8"/>
        <v>2</v>
      </c>
      <c r="U15" s="675">
        <v>71.156000000000006</v>
      </c>
      <c r="V15" s="841">
        <f t="shared" si="9"/>
        <v>71</v>
      </c>
      <c r="W15" s="675">
        <v>70.572000000000003</v>
      </c>
      <c r="X15" s="841">
        <f t="shared" si="10"/>
        <v>71</v>
      </c>
      <c r="Y15" s="676">
        <v>2.544</v>
      </c>
      <c r="Z15" s="841">
        <f t="shared" si="11"/>
        <v>3</v>
      </c>
      <c r="AA15" s="676">
        <v>5.0000000000000001E-3</v>
      </c>
      <c r="AB15" s="676">
        <v>2.3E-2</v>
      </c>
      <c r="AC15" s="676">
        <v>19.553000000000001</v>
      </c>
      <c r="AD15" s="582">
        <v>1.504</v>
      </c>
      <c r="AE15" s="582">
        <v>0.88800000000000001</v>
      </c>
      <c r="AF15" s="582">
        <v>4.931</v>
      </c>
      <c r="AG15" s="582">
        <v>126.57</v>
      </c>
      <c r="AH15" s="582">
        <v>2.6930000000000001</v>
      </c>
    </row>
    <row r="16" spans="1:34" s="465" customFormat="1" ht="15" customHeight="1" thickBot="1">
      <c r="A16" s="497" t="s">
        <v>296</v>
      </c>
      <c r="B16" s="495" t="s">
        <v>304</v>
      </c>
      <c r="C16" s="674">
        <v>202.16200000000001</v>
      </c>
      <c r="D16" s="841">
        <f t="shared" si="0"/>
        <v>200</v>
      </c>
      <c r="E16" s="675">
        <v>3.5999999999999997E-2</v>
      </c>
      <c r="F16" s="841">
        <f t="shared" si="1"/>
        <v>0</v>
      </c>
      <c r="G16" s="675">
        <v>4.0000000000000001E-3</v>
      </c>
      <c r="H16" s="835">
        <f t="shared" si="2"/>
        <v>0</v>
      </c>
      <c r="I16" s="675">
        <v>0</v>
      </c>
      <c r="J16" s="835">
        <f t="shared" si="3"/>
        <v>0</v>
      </c>
      <c r="K16" s="675">
        <v>0</v>
      </c>
      <c r="L16" s="835">
        <f t="shared" si="4"/>
        <v>0</v>
      </c>
      <c r="M16" s="675">
        <v>0</v>
      </c>
      <c r="N16" s="841">
        <f t="shared" si="5"/>
        <v>0</v>
      </c>
      <c r="O16" s="675">
        <v>28.3</v>
      </c>
      <c r="P16" s="841">
        <f t="shared" si="6"/>
        <v>30</v>
      </c>
      <c r="Q16" s="675">
        <v>51.107999999999997</v>
      </c>
      <c r="R16" s="841">
        <f t="shared" si="7"/>
        <v>51</v>
      </c>
      <c r="S16" s="675">
        <v>0.06</v>
      </c>
      <c r="T16" s="841">
        <f t="shared" si="8"/>
        <v>0</v>
      </c>
      <c r="U16" s="675">
        <v>48.645000000000003</v>
      </c>
      <c r="V16" s="841">
        <f t="shared" si="9"/>
        <v>49</v>
      </c>
      <c r="W16" s="675">
        <v>48.523000000000003</v>
      </c>
      <c r="X16" s="841">
        <f t="shared" si="10"/>
        <v>49</v>
      </c>
      <c r="Y16" s="676">
        <v>1.7000000000000001E-2</v>
      </c>
      <c r="Z16" s="841">
        <f t="shared" si="11"/>
        <v>0</v>
      </c>
      <c r="AA16" s="676">
        <v>0</v>
      </c>
      <c r="AB16" s="676">
        <v>0</v>
      </c>
      <c r="AC16" s="676">
        <v>7.7359999999999998</v>
      </c>
      <c r="AD16" s="582">
        <v>0.59499999999999997</v>
      </c>
      <c r="AE16" s="582">
        <v>0.02</v>
      </c>
      <c r="AF16" s="582">
        <v>0.114</v>
      </c>
      <c r="AG16" s="582">
        <v>3.008</v>
      </c>
      <c r="AH16" s="582">
        <v>6.4000000000000001E-2</v>
      </c>
    </row>
    <row r="17" spans="1:34" s="465" customFormat="1" ht="15" customHeight="1" thickBot="1">
      <c r="A17" s="497" t="s">
        <v>296</v>
      </c>
      <c r="B17" s="495" t="s">
        <v>36</v>
      </c>
      <c r="C17" s="674">
        <v>245.78</v>
      </c>
      <c r="D17" s="841">
        <f t="shared" si="0"/>
        <v>250</v>
      </c>
      <c r="E17" s="675">
        <v>0</v>
      </c>
      <c r="F17" s="841">
        <f t="shared" si="1"/>
        <v>0</v>
      </c>
      <c r="G17" s="675">
        <v>0</v>
      </c>
      <c r="H17" s="835">
        <f t="shared" si="2"/>
        <v>0</v>
      </c>
      <c r="I17" s="675">
        <v>0</v>
      </c>
      <c r="J17" s="835">
        <f t="shared" si="3"/>
        <v>0</v>
      </c>
      <c r="K17" s="675">
        <v>0</v>
      </c>
      <c r="L17" s="835">
        <f t="shared" si="4"/>
        <v>0</v>
      </c>
      <c r="M17" s="675">
        <v>0</v>
      </c>
      <c r="N17" s="841">
        <f t="shared" si="5"/>
        <v>0</v>
      </c>
      <c r="O17" s="675">
        <v>26.622</v>
      </c>
      <c r="P17" s="841">
        <f t="shared" si="6"/>
        <v>25</v>
      </c>
      <c r="Q17" s="675">
        <v>62.107999999999997</v>
      </c>
      <c r="R17" s="841">
        <f t="shared" si="7"/>
        <v>62</v>
      </c>
      <c r="S17" s="675">
        <v>0</v>
      </c>
      <c r="T17" s="841">
        <f t="shared" si="8"/>
        <v>0</v>
      </c>
      <c r="U17" s="675">
        <v>60.164000000000001</v>
      </c>
      <c r="V17" s="841">
        <f t="shared" si="9"/>
        <v>60</v>
      </c>
      <c r="W17" s="675">
        <v>60.164000000000001</v>
      </c>
      <c r="X17" s="841">
        <f t="shared" si="10"/>
        <v>60</v>
      </c>
      <c r="Y17" s="676">
        <v>0</v>
      </c>
      <c r="Z17" s="841">
        <f t="shared" si="11"/>
        <v>0</v>
      </c>
      <c r="AA17" s="676">
        <v>0</v>
      </c>
      <c r="AB17" s="676">
        <v>0</v>
      </c>
      <c r="AC17" s="676">
        <v>6.8029999999999999</v>
      </c>
      <c r="AD17" s="582">
        <v>0.52300000000000002</v>
      </c>
      <c r="AE17" s="582">
        <v>1.0999999999999999E-2</v>
      </c>
      <c r="AF17" s="582">
        <v>6.3E-2</v>
      </c>
      <c r="AG17" s="582">
        <v>1.3180000000000001</v>
      </c>
      <c r="AH17" s="582">
        <v>2.8000000000000001E-2</v>
      </c>
    </row>
    <row r="18" spans="1:34" s="465" customFormat="1" ht="15" customHeight="1" thickBot="1">
      <c r="A18" s="497" t="s">
        <v>296</v>
      </c>
      <c r="B18" s="495" t="s">
        <v>37</v>
      </c>
      <c r="C18" s="674">
        <v>123.441</v>
      </c>
      <c r="D18" s="841">
        <f t="shared" si="0"/>
        <v>120</v>
      </c>
      <c r="E18" s="582">
        <v>0</v>
      </c>
      <c r="F18" s="841">
        <f t="shared" si="1"/>
        <v>0</v>
      </c>
      <c r="G18" s="582">
        <v>0</v>
      </c>
      <c r="H18" s="835">
        <f t="shared" si="2"/>
        <v>0</v>
      </c>
      <c r="I18" s="582">
        <v>0</v>
      </c>
      <c r="J18" s="835">
        <f t="shared" si="3"/>
        <v>0</v>
      </c>
      <c r="K18" s="582">
        <v>0</v>
      </c>
      <c r="L18" s="835">
        <f t="shared" si="4"/>
        <v>0</v>
      </c>
      <c r="M18" s="582">
        <v>0</v>
      </c>
      <c r="N18" s="841">
        <f t="shared" si="5"/>
        <v>0</v>
      </c>
      <c r="O18" s="582">
        <v>32.500999999999998</v>
      </c>
      <c r="P18" s="841">
        <f t="shared" si="6"/>
        <v>35</v>
      </c>
      <c r="Q18" s="582">
        <v>32.212000000000003</v>
      </c>
      <c r="R18" s="841">
        <f t="shared" si="7"/>
        <v>32</v>
      </c>
      <c r="S18" s="582">
        <v>0</v>
      </c>
      <c r="T18" s="841">
        <f t="shared" si="8"/>
        <v>0</v>
      </c>
      <c r="U18" s="582">
        <v>31.256</v>
      </c>
      <c r="V18" s="841">
        <f t="shared" si="9"/>
        <v>31</v>
      </c>
      <c r="W18" s="582">
        <v>23.658000000000001</v>
      </c>
      <c r="X18" s="841">
        <f t="shared" si="10"/>
        <v>24</v>
      </c>
      <c r="Y18" s="582">
        <v>0</v>
      </c>
      <c r="Z18" s="841">
        <f t="shared" si="11"/>
        <v>0</v>
      </c>
      <c r="AA18" s="582">
        <v>0</v>
      </c>
      <c r="AB18" s="582">
        <v>0</v>
      </c>
      <c r="AC18" s="582">
        <v>6.18</v>
      </c>
      <c r="AD18" s="582">
        <v>0.47499999999999998</v>
      </c>
      <c r="AE18" s="582">
        <v>1.0999999999999999E-2</v>
      </c>
      <c r="AF18" s="582">
        <v>6.3E-2</v>
      </c>
      <c r="AG18" s="582">
        <v>0.47399999999999998</v>
      </c>
      <c r="AH18" s="582">
        <v>0.01</v>
      </c>
    </row>
    <row r="19" spans="1:34" s="465" customFormat="1" ht="15" customHeight="1" thickBot="1">
      <c r="A19" s="497" t="s">
        <v>296</v>
      </c>
      <c r="B19" s="495" t="s">
        <v>39</v>
      </c>
      <c r="C19" s="675">
        <v>229.10400000000001</v>
      </c>
      <c r="D19" s="841">
        <f t="shared" si="0"/>
        <v>230</v>
      </c>
      <c r="E19" s="675">
        <v>0</v>
      </c>
      <c r="F19" s="841">
        <f t="shared" si="1"/>
        <v>0</v>
      </c>
      <c r="G19" s="675">
        <v>0</v>
      </c>
      <c r="H19" s="835">
        <f t="shared" si="2"/>
        <v>0</v>
      </c>
      <c r="I19" s="675">
        <v>0</v>
      </c>
      <c r="J19" s="835">
        <f t="shared" si="3"/>
        <v>0</v>
      </c>
      <c r="K19" s="675">
        <v>0</v>
      </c>
      <c r="L19" s="835">
        <f t="shared" si="4"/>
        <v>0</v>
      </c>
      <c r="M19" s="675">
        <v>0</v>
      </c>
      <c r="N19" s="841">
        <f t="shared" si="5"/>
        <v>0</v>
      </c>
      <c r="O19" s="675">
        <v>26.896000000000001</v>
      </c>
      <c r="P19" s="841">
        <f t="shared" si="6"/>
        <v>25</v>
      </c>
      <c r="Q19" s="675">
        <v>57.709000000000003</v>
      </c>
      <c r="R19" s="841">
        <f t="shared" si="7"/>
        <v>58</v>
      </c>
      <c r="S19" s="675">
        <v>0.22500000000000001</v>
      </c>
      <c r="T19" s="841">
        <f t="shared" si="8"/>
        <v>0</v>
      </c>
      <c r="U19" s="675">
        <v>55.917999999999999</v>
      </c>
      <c r="V19" s="841">
        <f t="shared" si="9"/>
        <v>56</v>
      </c>
      <c r="W19" s="675">
        <v>54.662999999999997</v>
      </c>
      <c r="X19" s="841">
        <f t="shared" si="10"/>
        <v>55</v>
      </c>
      <c r="Y19" s="676">
        <v>0.14000000000000001</v>
      </c>
      <c r="Z19" s="841">
        <f t="shared" si="11"/>
        <v>0</v>
      </c>
      <c r="AA19" s="676">
        <v>0</v>
      </c>
      <c r="AB19" s="676">
        <v>0</v>
      </c>
      <c r="AC19" s="676">
        <v>7.7910000000000004</v>
      </c>
      <c r="AD19" s="582">
        <v>0.59899999999999998</v>
      </c>
      <c r="AE19" s="582">
        <v>4.9000000000000002E-2</v>
      </c>
      <c r="AF19" s="582">
        <v>0.27200000000000002</v>
      </c>
      <c r="AG19" s="582">
        <v>0.94</v>
      </c>
      <c r="AH19" s="582">
        <v>0.02</v>
      </c>
    </row>
    <row r="20" spans="1:34" s="465" customFormat="1" ht="15" customHeight="1" thickBot="1">
      <c r="A20" s="497" t="s">
        <v>296</v>
      </c>
      <c r="B20" s="495" t="s">
        <v>40</v>
      </c>
      <c r="C20" s="674">
        <v>241.71600000000001</v>
      </c>
      <c r="D20" s="841">
        <f t="shared" si="0"/>
        <v>240</v>
      </c>
      <c r="E20" s="674">
        <v>0</v>
      </c>
      <c r="F20" s="841">
        <f t="shared" si="1"/>
        <v>0</v>
      </c>
      <c r="G20" s="674">
        <v>0</v>
      </c>
      <c r="H20" s="835">
        <f t="shared" si="2"/>
        <v>0</v>
      </c>
      <c r="I20" s="674">
        <v>0</v>
      </c>
      <c r="J20" s="835">
        <f t="shared" si="3"/>
        <v>0</v>
      </c>
      <c r="K20" s="674">
        <v>0</v>
      </c>
      <c r="L20" s="835">
        <f t="shared" si="4"/>
        <v>0</v>
      </c>
      <c r="M20" s="674">
        <v>0</v>
      </c>
      <c r="N20" s="841">
        <f t="shared" si="5"/>
        <v>0</v>
      </c>
      <c r="O20" s="674">
        <v>39.22</v>
      </c>
      <c r="P20" s="841">
        <f t="shared" si="6"/>
        <v>40</v>
      </c>
      <c r="Q20" s="674">
        <v>61.731999999999999</v>
      </c>
      <c r="R20" s="841">
        <f t="shared" si="7"/>
        <v>62</v>
      </c>
      <c r="S20" s="674">
        <v>0</v>
      </c>
      <c r="T20" s="841">
        <f t="shared" si="8"/>
        <v>0</v>
      </c>
      <c r="U20" s="674">
        <v>58.835000000000001</v>
      </c>
      <c r="V20" s="841">
        <f t="shared" si="9"/>
        <v>59</v>
      </c>
      <c r="W20" s="674">
        <v>55.354999999999997</v>
      </c>
      <c r="X20" s="841">
        <f t="shared" si="10"/>
        <v>55</v>
      </c>
      <c r="Y20" s="674">
        <v>2.7E-2</v>
      </c>
      <c r="Z20" s="841">
        <f t="shared" si="11"/>
        <v>0</v>
      </c>
      <c r="AA20" s="674">
        <v>1.109</v>
      </c>
      <c r="AB20" s="674">
        <v>5.5469999999999997</v>
      </c>
      <c r="AC20" s="674">
        <v>8.1050000000000004</v>
      </c>
      <c r="AD20" s="674">
        <v>0.623</v>
      </c>
      <c r="AE20" s="674">
        <v>9.9000000000000005E-2</v>
      </c>
      <c r="AF20" s="674">
        <v>0.54700000000000004</v>
      </c>
      <c r="AG20" s="674">
        <v>38.183999999999997</v>
      </c>
      <c r="AH20" s="674">
        <v>0.81200000000000006</v>
      </c>
    </row>
    <row r="21" spans="1:34" s="465" customFormat="1" ht="18.899999999999999" thickBot="1">
      <c r="A21" s="497" t="s">
        <v>296</v>
      </c>
      <c r="B21" s="495" t="s">
        <v>306</v>
      </c>
      <c r="C21" s="582">
        <v>294.79599999999999</v>
      </c>
      <c r="D21" s="841">
        <f t="shared" si="0"/>
        <v>290</v>
      </c>
      <c r="E21" s="582">
        <v>0.59399999999999997</v>
      </c>
      <c r="F21" s="841">
        <f t="shared" si="1"/>
        <v>0</v>
      </c>
      <c r="G21" s="582">
        <v>6.6000000000000003E-2</v>
      </c>
      <c r="H21" s="835">
        <f t="shared" si="2"/>
        <v>0</v>
      </c>
      <c r="I21" s="582">
        <v>0</v>
      </c>
      <c r="J21" s="835">
        <f t="shared" si="3"/>
        <v>0</v>
      </c>
      <c r="K21" s="582">
        <v>0</v>
      </c>
      <c r="L21" s="835">
        <f t="shared" si="4"/>
        <v>0</v>
      </c>
      <c r="M21" s="582">
        <v>0</v>
      </c>
      <c r="N21" s="841">
        <f t="shared" si="5"/>
        <v>0</v>
      </c>
      <c r="O21" s="582">
        <v>30.084</v>
      </c>
      <c r="P21" s="841">
        <f t="shared" si="6"/>
        <v>30</v>
      </c>
      <c r="Q21" s="582">
        <v>73.641000000000005</v>
      </c>
      <c r="R21" s="841">
        <f t="shared" si="7"/>
        <v>74</v>
      </c>
      <c r="S21" s="582">
        <v>0</v>
      </c>
      <c r="T21" s="841">
        <f t="shared" si="8"/>
        <v>0</v>
      </c>
      <c r="U21" s="582">
        <v>67.811000000000007</v>
      </c>
      <c r="V21" s="841">
        <f t="shared" si="9"/>
        <v>68</v>
      </c>
      <c r="W21" s="582">
        <v>67.811000000000007</v>
      </c>
      <c r="X21" s="841">
        <f t="shared" si="10"/>
        <v>68</v>
      </c>
      <c r="Y21" s="582">
        <v>0.52800000000000002</v>
      </c>
      <c r="Z21" s="841" t="str">
        <f t="shared" si="11"/>
        <v>less than 1 g</v>
      </c>
      <c r="AA21" s="582">
        <v>0</v>
      </c>
      <c r="AB21" s="582">
        <v>0</v>
      </c>
      <c r="AC21" s="582">
        <v>6.3789999999999996</v>
      </c>
      <c r="AD21" s="582">
        <v>0.49099999999999999</v>
      </c>
      <c r="AE21" s="582">
        <v>1.2999999999999999E-2</v>
      </c>
      <c r="AF21" s="582">
        <v>7.3999999999999996E-2</v>
      </c>
      <c r="AG21" s="582">
        <v>1.181</v>
      </c>
      <c r="AH21" s="582">
        <v>2.5000000000000001E-2</v>
      </c>
    </row>
    <row r="22" spans="1:34" s="465" customFormat="1" ht="15" customHeight="1" thickBot="1">
      <c r="A22" s="497" t="s">
        <v>296</v>
      </c>
      <c r="B22" s="495" t="s">
        <v>42</v>
      </c>
      <c r="C22" s="675">
        <v>262.97899999999998</v>
      </c>
      <c r="D22" s="841">
        <f t="shared" si="0"/>
        <v>260</v>
      </c>
      <c r="E22" s="675">
        <v>0.10199999999999999</v>
      </c>
      <c r="F22" s="841">
        <f t="shared" si="1"/>
        <v>0</v>
      </c>
      <c r="G22" s="675">
        <v>1.0999999999999999E-2</v>
      </c>
      <c r="H22" s="835">
        <f t="shared" si="2"/>
        <v>0</v>
      </c>
      <c r="I22" s="675">
        <v>6.0000000000000001E-3</v>
      </c>
      <c r="J22" s="835">
        <f t="shared" si="3"/>
        <v>0</v>
      </c>
      <c r="K22" s="675">
        <v>6.0000000000000001E-3</v>
      </c>
      <c r="L22" s="835">
        <f t="shared" si="4"/>
        <v>0</v>
      </c>
      <c r="M22" s="675">
        <v>0</v>
      </c>
      <c r="N22" s="841">
        <f t="shared" si="5"/>
        <v>0</v>
      </c>
      <c r="O22" s="675">
        <v>27.562999999999999</v>
      </c>
      <c r="P22" s="841">
        <f t="shared" si="6"/>
        <v>30</v>
      </c>
      <c r="Q22" s="675">
        <v>66.436999999999998</v>
      </c>
      <c r="R22" s="841">
        <f t="shared" si="7"/>
        <v>66</v>
      </c>
      <c r="S22" s="675">
        <v>0.17499999999999999</v>
      </c>
      <c r="T22" s="841">
        <f t="shared" si="8"/>
        <v>0</v>
      </c>
      <c r="U22" s="675">
        <v>63.679000000000002</v>
      </c>
      <c r="V22" s="841">
        <f t="shared" si="9"/>
        <v>64</v>
      </c>
      <c r="W22" s="675">
        <v>62.514000000000003</v>
      </c>
      <c r="X22" s="841">
        <f t="shared" si="10"/>
        <v>63</v>
      </c>
      <c r="Y22" s="676">
        <v>0.153</v>
      </c>
      <c r="Z22" s="841">
        <f t="shared" si="11"/>
        <v>0</v>
      </c>
      <c r="AA22" s="676">
        <v>0.69</v>
      </c>
      <c r="AB22" s="676">
        <v>3.45</v>
      </c>
      <c r="AC22" s="676">
        <v>7.758</v>
      </c>
      <c r="AD22" s="582">
        <v>0.59699999999999998</v>
      </c>
      <c r="AE22" s="582">
        <v>5.3999999999999999E-2</v>
      </c>
      <c r="AF22" s="582">
        <v>0.30099999999999999</v>
      </c>
      <c r="AG22" s="582">
        <v>39.08</v>
      </c>
      <c r="AH22" s="582">
        <v>0.83099999999999996</v>
      </c>
    </row>
    <row r="23" spans="1:34" s="465" customFormat="1" ht="15" customHeight="1" thickBot="1">
      <c r="A23" s="497" t="s">
        <v>296</v>
      </c>
      <c r="B23" s="495" t="s">
        <v>45</v>
      </c>
      <c r="C23" s="675">
        <v>224.94200000000001</v>
      </c>
      <c r="D23" s="841">
        <f t="shared" si="0"/>
        <v>220</v>
      </c>
      <c r="E23" s="675">
        <v>0</v>
      </c>
      <c r="F23" s="841">
        <f t="shared" si="1"/>
        <v>0</v>
      </c>
      <c r="G23" s="675">
        <v>0</v>
      </c>
      <c r="H23" s="835">
        <f t="shared" si="2"/>
        <v>0</v>
      </c>
      <c r="I23" s="675">
        <v>0</v>
      </c>
      <c r="J23" s="835">
        <f t="shared" si="3"/>
        <v>0</v>
      </c>
      <c r="K23" s="675">
        <v>0</v>
      </c>
      <c r="L23" s="835">
        <f t="shared" si="4"/>
        <v>0</v>
      </c>
      <c r="M23" s="675">
        <v>0</v>
      </c>
      <c r="N23" s="841">
        <f t="shared" si="5"/>
        <v>0</v>
      </c>
      <c r="O23" s="675">
        <v>27.329000000000001</v>
      </c>
      <c r="P23" s="841">
        <f t="shared" si="6"/>
        <v>25</v>
      </c>
      <c r="Q23" s="675">
        <v>56.692999999999998</v>
      </c>
      <c r="R23" s="841">
        <f t="shared" si="7"/>
        <v>57</v>
      </c>
      <c r="S23" s="675">
        <v>0</v>
      </c>
      <c r="T23" s="841">
        <f t="shared" si="8"/>
        <v>0</v>
      </c>
      <c r="U23" s="675">
        <v>54.404000000000003</v>
      </c>
      <c r="V23" s="841">
        <f t="shared" si="9"/>
        <v>54</v>
      </c>
      <c r="W23" s="675">
        <v>54.19</v>
      </c>
      <c r="X23" s="841">
        <f t="shared" si="10"/>
        <v>54</v>
      </c>
      <c r="Y23" s="676">
        <v>6.0000000000000001E-3</v>
      </c>
      <c r="Z23" s="841">
        <f t="shared" si="11"/>
        <v>0</v>
      </c>
      <c r="AA23" s="676">
        <v>0</v>
      </c>
      <c r="AB23" s="676">
        <v>0</v>
      </c>
      <c r="AC23" s="676">
        <v>6.9589999999999996</v>
      </c>
      <c r="AD23" s="582">
        <v>0.53500000000000003</v>
      </c>
      <c r="AE23" s="582">
        <v>2.1999999999999999E-2</v>
      </c>
      <c r="AF23" s="582">
        <v>0.124</v>
      </c>
      <c r="AG23" s="582">
        <v>8.0619999999999994</v>
      </c>
      <c r="AH23" s="582">
        <v>0.17199999999999999</v>
      </c>
    </row>
    <row r="24" spans="1:34" s="465" customFormat="1" ht="15" customHeight="1" thickBot="1">
      <c r="A24" s="497" t="s">
        <v>296</v>
      </c>
      <c r="B24" s="495" t="s">
        <v>46</v>
      </c>
      <c r="C24" s="675">
        <v>218.697</v>
      </c>
      <c r="D24" s="841">
        <f t="shared" si="0"/>
        <v>220</v>
      </c>
      <c r="E24" s="675">
        <v>0</v>
      </c>
      <c r="F24" s="841">
        <f t="shared" si="1"/>
        <v>0</v>
      </c>
      <c r="G24" s="675">
        <v>0</v>
      </c>
      <c r="H24" s="835">
        <f t="shared" si="2"/>
        <v>0</v>
      </c>
      <c r="I24" s="675">
        <v>0</v>
      </c>
      <c r="J24" s="835">
        <f t="shared" si="3"/>
        <v>0</v>
      </c>
      <c r="K24" s="675">
        <v>0</v>
      </c>
      <c r="L24" s="835">
        <f t="shared" si="4"/>
        <v>0</v>
      </c>
      <c r="M24" s="675">
        <v>0</v>
      </c>
      <c r="N24" s="841">
        <f t="shared" si="5"/>
        <v>0</v>
      </c>
      <c r="O24" s="675">
        <v>55.487000000000002</v>
      </c>
      <c r="P24" s="841">
        <f t="shared" si="6"/>
        <v>55</v>
      </c>
      <c r="Q24" s="675">
        <v>55.456000000000003</v>
      </c>
      <c r="R24" s="841">
        <f t="shared" si="7"/>
        <v>55</v>
      </c>
      <c r="S24" s="675">
        <v>3.1E-2</v>
      </c>
      <c r="T24" s="841">
        <f t="shared" si="8"/>
        <v>0</v>
      </c>
      <c r="U24" s="675">
        <v>52.875</v>
      </c>
      <c r="V24" s="841">
        <f t="shared" si="9"/>
        <v>53</v>
      </c>
      <c r="W24" s="675">
        <v>52.875</v>
      </c>
      <c r="X24" s="841">
        <f t="shared" si="10"/>
        <v>53</v>
      </c>
      <c r="Y24" s="676">
        <v>5.0000000000000001E-3</v>
      </c>
      <c r="Z24" s="841">
        <f t="shared" si="11"/>
        <v>0</v>
      </c>
      <c r="AA24" s="676">
        <v>0</v>
      </c>
      <c r="AB24" s="676">
        <v>0</v>
      </c>
      <c r="AC24" s="676">
        <v>7.6989999999999998</v>
      </c>
      <c r="AD24" s="582">
        <v>0.59199999999999997</v>
      </c>
      <c r="AE24" s="582">
        <v>0.05</v>
      </c>
      <c r="AF24" s="582">
        <v>0.27900000000000003</v>
      </c>
      <c r="AG24" s="582">
        <v>2.5619999999999998</v>
      </c>
      <c r="AH24" s="582">
        <v>5.5E-2</v>
      </c>
    </row>
    <row r="25" spans="1:34" s="465" customFormat="1" ht="15" customHeight="1" thickBot="1">
      <c r="A25" s="497" t="s">
        <v>296</v>
      </c>
      <c r="B25" s="495" t="s">
        <v>307</v>
      </c>
      <c r="C25" s="579">
        <v>246.76</v>
      </c>
      <c r="D25" s="841">
        <f t="shared" si="0"/>
        <v>250</v>
      </c>
      <c r="E25" s="579">
        <v>0</v>
      </c>
      <c r="F25" s="841">
        <f t="shared" si="1"/>
        <v>0</v>
      </c>
      <c r="G25" s="579">
        <v>0</v>
      </c>
      <c r="H25" s="835">
        <f t="shared" si="2"/>
        <v>0</v>
      </c>
      <c r="I25" s="579">
        <v>0</v>
      </c>
      <c r="J25" s="835">
        <f t="shared" si="3"/>
        <v>0</v>
      </c>
      <c r="K25" s="579">
        <v>0</v>
      </c>
      <c r="L25" s="835">
        <f t="shared" si="4"/>
        <v>0</v>
      </c>
      <c r="M25" s="579">
        <v>0</v>
      </c>
      <c r="N25" s="841">
        <f t="shared" si="5"/>
        <v>0</v>
      </c>
      <c r="O25" s="579">
        <v>27.869</v>
      </c>
      <c r="P25" s="841">
        <f t="shared" si="6"/>
        <v>30</v>
      </c>
      <c r="Q25" s="579">
        <v>62.55</v>
      </c>
      <c r="R25" s="841">
        <f t="shared" si="7"/>
        <v>63</v>
      </c>
      <c r="S25" s="579">
        <v>0</v>
      </c>
      <c r="T25" s="841">
        <f t="shared" si="8"/>
        <v>0</v>
      </c>
      <c r="U25" s="579">
        <v>60.031999999999996</v>
      </c>
      <c r="V25" s="841">
        <f t="shared" si="9"/>
        <v>60</v>
      </c>
      <c r="W25" s="579">
        <v>60.031999999999996</v>
      </c>
      <c r="X25" s="841">
        <f t="shared" si="10"/>
        <v>60</v>
      </c>
      <c r="Y25" s="575">
        <v>0</v>
      </c>
      <c r="Z25" s="841">
        <f t="shared" si="11"/>
        <v>0</v>
      </c>
      <c r="AA25" s="575">
        <v>0</v>
      </c>
      <c r="AB25" s="575">
        <v>0</v>
      </c>
      <c r="AC25" s="575">
        <v>6.5350000000000001</v>
      </c>
      <c r="AD25" s="578">
        <v>0.503</v>
      </c>
      <c r="AE25" s="578">
        <v>1.4E-2</v>
      </c>
      <c r="AF25" s="578">
        <v>7.9000000000000001E-2</v>
      </c>
      <c r="AG25" s="578">
        <v>5.9189999999999996</v>
      </c>
      <c r="AH25" s="578">
        <v>0.126</v>
      </c>
    </row>
    <row r="26" spans="1:34" s="465" customFormat="1" ht="15" customHeight="1" thickBot="1">
      <c r="A26" s="497" t="s">
        <v>296</v>
      </c>
      <c r="B26" s="495" t="s">
        <v>308</v>
      </c>
      <c r="C26" s="554">
        <v>231.88900000000001</v>
      </c>
      <c r="D26" s="841">
        <f t="shared" si="0"/>
        <v>230</v>
      </c>
      <c r="E26" s="554">
        <v>0</v>
      </c>
      <c r="F26" s="841">
        <f t="shared" si="1"/>
        <v>0</v>
      </c>
      <c r="G26" s="554">
        <v>0</v>
      </c>
      <c r="H26" s="835">
        <f t="shared" si="2"/>
        <v>0</v>
      </c>
      <c r="I26" s="554">
        <v>0</v>
      </c>
      <c r="J26" s="835">
        <f t="shared" si="3"/>
        <v>0</v>
      </c>
      <c r="K26" s="554">
        <v>0</v>
      </c>
      <c r="L26" s="835">
        <f t="shared" si="4"/>
        <v>0</v>
      </c>
      <c r="M26" s="554">
        <v>0</v>
      </c>
      <c r="N26" s="841">
        <f t="shared" si="5"/>
        <v>0</v>
      </c>
      <c r="O26" s="554">
        <v>28.498999999999999</v>
      </c>
      <c r="P26" s="841">
        <f t="shared" si="6"/>
        <v>30</v>
      </c>
      <c r="Q26" s="554">
        <v>57.606000000000002</v>
      </c>
      <c r="R26" s="841">
        <f t="shared" si="7"/>
        <v>58</v>
      </c>
      <c r="S26" s="554">
        <v>0</v>
      </c>
      <c r="T26" s="841">
        <f t="shared" si="8"/>
        <v>0</v>
      </c>
      <c r="U26" s="554">
        <v>57.207000000000001</v>
      </c>
      <c r="V26" s="841">
        <f t="shared" si="9"/>
        <v>57</v>
      </c>
      <c r="W26" s="554">
        <v>57.207000000000001</v>
      </c>
      <c r="X26" s="841">
        <f t="shared" si="10"/>
        <v>57</v>
      </c>
      <c r="Y26" s="554">
        <v>0</v>
      </c>
      <c r="Z26" s="841">
        <f t="shared" si="11"/>
        <v>0</v>
      </c>
      <c r="AA26" s="554">
        <v>0</v>
      </c>
      <c r="AB26" s="554">
        <v>0</v>
      </c>
      <c r="AC26" s="554">
        <v>6.5970000000000004</v>
      </c>
      <c r="AD26" s="554">
        <v>0.50700000000000001</v>
      </c>
      <c r="AE26" s="554">
        <v>1.2E-2</v>
      </c>
      <c r="AF26" s="554">
        <v>6.7000000000000004E-2</v>
      </c>
      <c r="AG26" s="554">
        <v>4.2930000000000001</v>
      </c>
      <c r="AH26" s="554">
        <v>9.0999999999999998E-2</v>
      </c>
    </row>
    <row r="27" spans="1:34" s="465" customFormat="1" ht="15" customHeight="1" thickBot="1">
      <c r="A27" s="497" t="s">
        <v>296</v>
      </c>
      <c r="B27" s="495" t="s">
        <v>48</v>
      </c>
      <c r="C27" s="579">
        <v>190.601</v>
      </c>
      <c r="D27" s="841">
        <f t="shared" si="0"/>
        <v>190</v>
      </c>
      <c r="E27" s="579">
        <v>0.06</v>
      </c>
      <c r="F27" s="841">
        <f t="shared" si="1"/>
        <v>0</v>
      </c>
      <c r="G27" s="579">
        <v>1.4E-2</v>
      </c>
      <c r="H27" s="835">
        <f t="shared" si="2"/>
        <v>0</v>
      </c>
      <c r="I27" s="579">
        <v>1E-3</v>
      </c>
      <c r="J27" s="835">
        <f t="shared" si="3"/>
        <v>0</v>
      </c>
      <c r="K27" s="579">
        <v>0</v>
      </c>
      <c r="L27" s="835">
        <f t="shared" si="4"/>
        <v>0</v>
      </c>
      <c r="M27" s="579">
        <v>0</v>
      </c>
      <c r="N27" s="841">
        <f t="shared" si="5"/>
        <v>0</v>
      </c>
      <c r="O27" s="579">
        <v>29.785</v>
      </c>
      <c r="P27" s="841">
        <f t="shared" si="6"/>
        <v>30</v>
      </c>
      <c r="Q27" s="579">
        <v>49.347999999999999</v>
      </c>
      <c r="R27" s="841">
        <f t="shared" si="7"/>
        <v>49</v>
      </c>
      <c r="S27" s="579">
        <v>0.121</v>
      </c>
      <c r="T27" s="841">
        <f t="shared" si="8"/>
        <v>0</v>
      </c>
      <c r="U27" s="579">
        <v>47.018999999999998</v>
      </c>
      <c r="V27" s="841">
        <f t="shared" si="9"/>
        <v>47</v>
      </c>
      <c r="W27" s="579">
        <v>46.89</v>
      </c>
      <c r="X27" s="841">
        <f t="shared" si="10"/>
        <v>47</v>
      </c>
      <c r="Y27" s="575">
        <v>4.2999999999999997E-2</v>
      </c>
      <c r="Z27" s="841">
        <f t="shared" si="11"/>
        <v>0</v>
      </c>
      <c r="AA27" s="575">
        <v>2.1999999999999999E-2</v>
      </c>
      <c r="AB27" s="575">
        <v>0.108</v>
      </c>
      <c r="AC27" s="575">
        <v>9.5790000000000006</v>
      </c>
      <c r="AD27" s="578">
        <v>0.73699999999999999</v>
      </c>
      <c r="AE27" s="578">
        <v>5.0999999999999997E-2</v>
      </c>
      <c r="AF27" s="578">
        <v>0.28299999999999997</v>
      </c>
      <c r="AG27" s="578">
        <v>9.0860000000000003</v>
      </c>
      <c r="AH27" s="578">
        <v>0.193</v>
      </c>
    </row>
    <row r="28" spans="1:34" s="465" customFormat="1" ht="15" customHeight="1" thickBot="1">
      <c r="A28" s="497" t="s">
        <v>296</v>
      </c>
      <c r="B28" s="495" t="s">
        <v>50</v>
      </c>
      <c r="C28" s="579">
        <v>248.58099999999999</v>
      </c>
      <c r="D28" s="841">
        <f t="shared" si="0"/>
        <v>250</v>
      </c>
      <c r="E28" s="579">
        <v>0</v>
      </c>
      <c r="F28" s="841">
        <f t="shared" si="1"/>
        <v>0</v>
      </c>
      <c r="G28" s="579">
        <v>1.7000000000000001E-2</v>
      </c>
      <c r="H28" s="835">
        <f t="shared" si="2"/>
        <v>0</v>
      </c>
      <c r="I28" s="579">
        <v>4.0000000000000001E-3</v>
      </c>
      <c r="J28" s="835">
        <f t="shared" si="3"/>
        <v>0</v>
      </c>
      <c r="K28" s="579">
        <v>0</v>
      </c>
      <c r="L28" s="835">
        <f t="shared" si="4"/>
        <v>0</v>
      </c>
      <c r="M28" s="579">
        <v>0</v>
      </c>
      <c r="N28" s="841">
        <f t="shared" si="5"/>
        <v>0</v>
      </c>
      <c r="O28" s="579">
        <v>37.308</v>
      </c>
      <c r="P28" s="841">
        <f t="shared" si="6"/>
        <v>35</v>
      </c>
      <c r="Q28" s="579">
        <v>63.216999999999999</v>
      </c>
      <c r="R28" s="841">
        <f t="shared" si="7"/>
        <v>63</v>
      </c>
      <c r="S28" s="579">
        <v>0.115</v>
      </c>
      <c r="T28" s="841">
        <f t="shared" si="8"/>
        <v>0</v>
      </c>
      <c r="U28" s="579">
        <v>60.334000000000003</v>
      </c>
      <c r="V28" s="841">
        <f t="shared" si="9"/>
        <v>60</v>
      </c>
      <c r="W28" s="579">
        <v>59.411000000000001</v>
      </c>
      <c r="X28" s="841">
        <f t="shared" si="10"/>
        <v>59</v>
      </c>
      <c r="Y28" s="575">
        <v>3.4000000000000002E-2</v>
      </c>
      <c r="Z28" s="841">
        <f t="shared" si="11"/>
        <v>0</v>
      </c>
      <c r="AA28" s="575">
        <v>0</v>
      </c>
      <c r="AB28" s="575">
        <v>0</v>
      </c>
      <c r="AC28" s="575">
        <v>8.3010000000000002</v>
      </c>
      <c r="AD28" s="578">
        <v>0.63900000000000001</v>
      </c>
      <c r="AE28" s="578">
        <v>7.8E-2</v>
      </c>
      <c r="AF28" s="578">
        <v>0.43099999999999999</v>
      </c>
      <c r="AG28" s="578">
        <v>18.064</v>
      </c>
      <c r="AH28" s="578">
        <v>0.38400000000000001</v>
      </c>
    </row>
    <row r="29" spans="1:34" s="465" customFormat="1" ht="15" customHeight="1" thickBot="1">
      <c r="A29" s="497" t="s">
        <v>296</v>
      </c>
      <c r="B29" s="495" t="s">
        <v>51</v>
      </c>
      <c r="C29" s="579">
        <v>246.00800000000001</v>
      </c>
      <c r="D29" s="841">
        <f t="shared" si="0"/>
        <v>250</v>
      </c>
      <c r="E29" s="579">
        <v>0</v>
      </c>
      <c r="F29" s="841">
        <f t="shared" si="1"/>
        <v>0</v>
      </c>
      <c r="G29" s="579">
        <v>2.1999999999999999E-2</v>
      </c>
      <c r="H29" s="835">
        <f t="shared" si="2"/>
        <v>0</v>
      </c>
      <c r="I29" s="579">
        <v>2E-3</v>
      </c>
      <c r="J29" s="835">
        <f t="shared" si="3"/>
        <v>0</v>
      </c>
      <c r="K29" s="579">
        <v>0</v>
      </c>
      <c r="L29" s="835">
        <f t="shared" si="4"/>
        <v>0</v>
      </c>
      <c r="M29" s="579">
        <v>0</v>
      </c>
      <c r="N29" s="841">
        <f t="shared" si="5"/>
        <v>0</v>
      </c>
      <c r="O29" s="579">
        <v>33.192999999999998</v>
      </c>
      <c r="P29" s="841">
        <f t="shared" si="6"/>
        <v>35</v>
      </c>
      <c r="Q29" s="579">
        <v>61.747</v>
      </c>
      <c r="R29" s="841">
        <f t="shared" si="7"/>
        <v>62</v>
      </c>
      <c r="S29" s="579">
        <v>0.23400000000000001</v>
      </c>
      <c r="T29" s="841">
        <f t="shared" si="8"/>
        <v>0</v>
      </c>
      <c r="U29" s="579">
        <v>57.231999999999999</v>
      </c>
      <c r="V29" s="841">
        <f t="shared" si="9"/>
        <v>57</v>
      </c>
      <c r="W29" s="579">
        <v>45.286000000000001</v>
      </c>
      <c r="X29" s="841">
        <f t="shared" si="10"/>
        <v>45</v>
      </c>
      <c r="Y29" s="575">
        <v>0.107</v>
      </c>
      <c r="Z29" s="841">
        <f t="shared" si="11"/>
        <v>0</v>
      </c>
      <c r="AA29" s="575">
        <v>0</v>
      </c>
      <c r="AB29" s="575">
        <v>0</v>
      </c>
      <c r="AC29" s="575">
        <v>7.726</v>
      </c>
      <c r="AD29" s="578">
        <v>0.59399999999999997</v>
      </c>
      <c r="AE29" s="578">
        <v>6.2E-2</v>
      </c>
      <c r="AF29" s="578">
        <v>0.34599999999999997</v>
      </c>
      <c r="AG29" s="578">
        <v>9.3800000000000008</v>
      </c>
      <c r="AH29" s="578">
        <v>0.2</v>
      </c>
    </row>
    <row r="30" spans="1:34" s="465" customFormat="1" ht="15" customHeight="1" thickBot="1">
      <c r="A30" s="497" t="s">
        <v>296</v>
      </c>
      <c r="B30" s="495" t="s">
        <v>52</v>
      </c>
      <c r="C30" s="579">
        <v>226.244</v>
      </c>
      <c r="D30" s="841">
        <f t="shared" si="0"/>
        <v>230</v>
      </c>
      <c r="E30" s="579">
        <v>7.0999999999999994E-2</v>
      </c>
      <c r="F30" s="841">
        <f t="shared" si="1"/>
        <v>0</v>
      </c>
      <c r="G30" s="579">
        <v>8.0000000000000002E-3</v>
      </c>
      <c r="H30" s="835">
        <f t="shared" si="2"/>
        <v>0</v>
      </c>
      <c r="I30" s="579">
        <v>2E-3</v>
      </c>
      <c r="J30" s="835">
        <f t="shared" si="3"/>
        <v>0</v>
      </c>
      <c r="K30" s="579">
        <v>8.0000000000000002E-3</v>
      </c>
      <c r="L30" s="835">
        <f t="shared" si="4"/>
        <v>0</v>
      </c>
      <c r="M30" s="579">
        <v>0</v>
      </c>
      <c r="N30" s="841">
        <f t="shared" si="5"/>
        <v>0</v>
      </c>
      <c r="O30" s="579">
        <v>31.948</v>
      </c>
      <c r="P30" s="841">
        <f t="shared" si="6"/>
        <v>30</v>
      </c>
      <c r="Q30" s="579">
        <v>57.183</v>
      </c>
      <c r="R30" s="841">
        <f t="shared" si="7"/>
        <v>57</v>
      </c>
      <c r="S30" s="579">
        <v>0.17499999999999999</v>
      </c>
      <c r="T30" s="841">
        <f t="shared" si="8"/>
        <v>0</v>
      </c>
      <c r="U30" s="579">
        <v>54.877000000000002</v>
      </c>
      <c r="V30" s="841">
        <f t="shared" si="9"/>
        <v>55</v>
      </c>
      <c r="W30" s="579">
        <v>53.768000000000001</v>
      </c>
      <c r="X30" s="841">
        <f t="shared" si="10"/>
        <v>54</v>
      </c>
      <c r="Y30" s="575">
        <v>9.1999999999999998E-2</v>
      </c>
      <c r="Z30" s="841">
        <f t="shared" si="11"/>
        <v>0</v>
      </c>
      <c r="AA30" s="575">
        <v>0</v>
      </c>
      <c r="AB30" s="575">
        <v>0</v>
      </c>
      <c r="AC30" s="575">
        <v>8.0909999999999993</v>
      </c>
      <c r="AD30" s="578">
        <v>0.622</v>
      </c>
      <c r="AE30" s="578">
        <v>6.0999999999999999E-2</v>
      </c>
      <c r="AF30" s="578">
        <v>0.33800000000000002</v>
      </c>
      <c r="AG30" s="578">
        <v>8.8529999999999998</v>
      </c>
      <c r="AH30" s="599">
        <v>0.188</v>
      </c>
    </row>
    <row r="31" spans="1:34" s="465" customFormat="1" ht="15" customHeight="1" thickBot="1">
      <c r="A31" s="497" t="s">
        <v>296</v>
      </c>
      <c r="B31" s="495" t="s">
        <v>53</v>
      </c>
      <c r="C31" s="579">
        <v>249.21700000000001</v>
      </c>
      <c r="D31" s="841">
        <f t="shared" si="0"/>
        <v>250</v>
      </c>
      <c r="E31" s="579">
        <v>0</v>
      </c>
      <c r="F31" s="841">
        <f t="shared" si="1"/>
        <v>0</v>
      </c>
      <c r="G31" s="579">
        <v>8.0000000000000002E-3</v>
      </c>
      <c r="H31" s="835">
        <f t="shared" si="2"/>
        <v>0</v>
      </c>
      <c r="I31" s="579">
        <v>2E-3</v>
      </c>
      <c r="J31" s="835">
        <f t="shared" si="3"/>
        <v>0</v>
      </c>
      <c r="K31" s="579">
        <v>0</v>
      </c>
      <c r="L31" s="835">
        <f t="shared" si="4"/>
        <v>0</v>
      </c>
      <c r="M31" s="579">
        <v>0</v>
      </c>
      <c r="N31" s="841">
        <f t="shared" si="5"/>
        <v>0</v>
      </c>
      <c r="O31" s="579">
        <v>35.703000000000003</v>
      </c>
      <c r="P31" s="841">
        <f t="shared" si="6"/>
        <v>35</v>
      </c>
      <c r="Q31" s="579">
        <v>62.856999999999999</v>
      </c>
      <c r="R31" s="841">
        <f t="shared" si="7"/>
        <v>63</v>
      </c>
      <c r="S31" s="579">
        <v>0.08</v>
      </c>
      <c r="T31" s="841">
        <f t="shared" si="8"/>
        <v>0</v>
      </c>
      <c r="U31" s="579">
        <v>60.536999999999999</v>
      </c>
      <c r="V31" s="841">
        <f t="shared" si="9"/>
        <v>61</v>
      </c>
      <c r="W31" s="579">
        <v>59.619</v>
      </c>
      <c r="X31" s="841">
        <f t="shared" si="10"/>
        <v>60</v>
      </c>
      <c r="Y31" s="575">
        <v>3.6999999999999998E-2</v>
      </c>
      <c r="Z31" s="841">
        <f t="shared" si="11"/>
        <v>0</v>
      </c>
      <c r="AA31" s="575">
        <v>0</v>
      </c>
      <c r="AB31" s="575">
        <v>0</v>
      </c>
      <c r="AC31" s="575">
        <v>8.1340000000000003</v>
      </c>
      <c r="AD31" s="578">
        <v>0.626</v>
      </c>
      <c r="AE31" s="578">
        <v>0.192</v>
      </c>
      <c r="AF31" s="578">
        <v>1.0669999999999999</v>
      </c>
      <c r="AG31" s="578">
        <v>14.792999999999999</v>
      </c>
      <c r="AH31" s="599">
        <v>0.315</v>
      </c>
    </row>
    <row r="32" spans="1:34" s="465" customFormat="1" ht="15" customHeight="1" thickBot="1">
      <c r="A32" s="497" t="s">
        <v>296</v>
      </c>
      <c r="B32" s="495" t="s">
        <v>54</v>
      </c>
      <c r="C32" s="579">
        <v>253.376</v>
      </c>
      <c r="D32" s="841">
        <f t="shared" si="0"/>
        <v>250</v>
      </c>
      <c r="E32" s="579">
        <v>0</v>
      </c>
      <c r="F32" s="841">
        <f t="shared" si="1"/>
        <v>0</v>
      </c>
      <c r="G32" s="579">
        <v>0.01</v>
      </c>
      <c r="H32" s="835">
        <f t="shared" si="2"/>
        <v>0</v>
      </c>
      <c r="I32" s="579">
        <v>2E-3</v>
      </c>
      <c r="J32" s="835">
        <f t="shared" si="3"/>
        <v>0</v>
      </c>
      <c r="K32" s="579">
        <v>0</v>
      </c>
      <c r="L32" s="835">
        <f t="shared" si="4"/>
        <v>0</v>
      </c>
      <c r="M32" s="579">
        <v>0</v>
      </c>
      <c r="N32" s="841">
        <f t="shared" si="5"/>
        <v>0</v>
      </c>
      <c r="O32" s="579">
        <v>37.112000000000002</v>
      </c>
      <c r="P32" s="841">
        <f t="shared" si="6"/>
        <v>35</v>
      </c>
      <c r="Q32" s="579">
        <v>64.144000000000005</v>
      </c>
      <c r="R32" s="841">
        <f t="shared" si="7"/>
        <v>64</v>
      </c>
      <c r="S32" s="579">
        <v>0.14599999999999999</v>
      </c>
      <c r="T32" s="841">
        <f t="shared" si="8"/>
        <v>0</v>
      </c>
      <c r="U32" s="579">
        <v>61.743000000000002</v>
      </c>
      <c r="V32" s="841">
        <f t="shared" si="9"/>
        <v>62</v>
      </c>
      <c r="W32" s="579">
        <v>60.856999999999999</v>
      </c>
      <c r="X32" s="841">
        <f t="shared" si="10"/>
        <v>61</v>
      </c>
      <c r="Y32" s="575">
        <v>0.104</v>
      </c>
      <c r="Z32" s="841">
        <f t="shared" si="11"/>
        <v>0</v>
      </c>
      <c r="AA32" s="575">
        <v>0</v>
      </c>
      <c r="AB32" s="575">
        <v>0</v>
      </c>
      <c r="AC32" s="575">
        <v>8.2810000000000006</v>
      </c>
      <c r="AD32" s="578">
        <v>0.63700000000000001</v>
      </c>
      <c r="AE32" s="578">
        <v>9.1999999999999998E-2</v>
      </c>
      <c r="AF32" s="578">
        <v>0.51200000000000001</v>
      </c>
      <c r="AG32" s="578">
        <v>10.775</v>
      </c>
      <c r="AH32" s="599">
        <v>0.22900000000000001</v>
      </c>
    </row>
    <row r="33" spans="1:34" s="465" customFormat="1" ht="15" customHeight="1" thickBot="1">
      <c r="A33" s="497" t="s">
        <v>296</v>
      </c>
      <c r="B33" s="495" t="s">
        <v>55</v>
      </c>
      <c r="C33" s="579">
        <v>214.839</v>
      </c>
      <c r="D33" s="841">
        <f t="shared" si="0"/>
        <v>210</v>
      </c>
      <c r="E33" s="579">
        <v>1.7000000000000001E-2</v>
      </c>
      <c r="F33" s="841">
        <f t="shared" si="1"/>
        <v>0</v>
      </c>
      <c r="G33" s="579">
        <v>2.9000000000000001E-2</v>
      </c>
      <c r="H33" s="835">
        <f t="shared" si="2"/>
        <v>0</v>
      </c>
      <c r="I33" s="579">
        <v>0</v>
      </c>
      <c r="J33" s="835">
        <f t="shared" si="3"/>
        <v>0</v>
      </c>
      <c r="K33" s="579">
        <v>0</v>
      </c>
      <c r="L33" s="835">
        <f t="shared" si="4"/>
        <v>0</v>
      </c>
      <c r="M33" s="579">
        <v>0</v>
      </c>
      <c r="N33" s="841">
        <f t="shared" si="5"/>
        <v>0</v>
      </c>
      <c r="O33" s="579">
        <v>47.418999999999997</v>
      </c>
      <c r="P33" s="841">
        <f t="shared" si="6"/>
        <v>45</v>
      </c>
      <c r="Q33" s="579">
        <v>54.9</v>
      </c>
      <c r="R33" s="841">
        <f t="shared" si="7"/>
        <v>55</v>
      </c>
      <c r="S33" s="579">
        <v>9.4E-2</v>
      </c>
      <c r="T33" s="841">
        <f t="shared" si="8"/>
        <v>0</v>
      </c>
      <c r="U33" s="579">
        <v>51.05</v>
      </c>
      <c r="V33" s="841">
        <f t="shared" si="9"/>
        <v>51</v>
      </c>
      <c r="W33" s="579">
        <v>50.689</v>
      </c>
      <c r="X33" s="841">
        <f t="shared" si="10"/>
        <v>51</v>
      </c>
      <c r="Y33" s="575">
        <v>9.7000000000000003E-2</v>
      </c>
      <c r="Z33" s="841">
        <f t="shared" si="11"/>
        <v>0</v>
      </c>
      <c r="AA33" s="575">
        <v>1.4E-2</v>
      </c>
      <c r="AB33" s="575">
        <v>7.0000000000000007E-2</v>
      </c>
      <c r="AC33" s="575">
        <v>9.0690000000000008</v>
      </c>
      <c r="AD33" s="578">
        <v>0.69799999999999995</v>
      </c>
      <c r="AE33" s="578">
        <v>6.2E-2</v>
      </c>
      <c r="AF33" s="578">
        <v>0.34300000000000003</v>
      </c>
      <c r="AG33" s="578">
        <v>17.827999999999999</v>
      </c>
      <c r="AH33" s="599">
        <v>0.379</v>
      </c>
    </row>
    <row r="34" spans="1:34" s="465" customFormat="1" ht="15" customHeight="1" thickBot="1">
      <c r="A34" s="497" t="s">
        <v>296</v>
      </c>
      <c r="B34" s="495" t="s">
        <v>336</v>
      </c>
      <c r="C34" s="694">
        <v>214.839</v>
      </c>
      <c r="D34" s="841">
        <f t="shared" si="0"/>
        <v>210</v>
      </c>
      <c r="E34" s="694">
        <v>1.7000000000000001E-2</v>
      </c>
      <c r="F34" s="841">
        <f t="shared" si="1"/>
        <v>0</v>
      </c>
      <c r="G34" s="694">
        <v>2.9000000000000001E-2</v>
      </c>
      <c r="H34" s="835">
        <f t="shared" si="2"/>
        <v>0</v>
      </c>
      <c r="I34" s="694">
        <v>0</v>
      </c>
      <c r="J34" s="835">
        <f t="shared" si="3"/>
        <v>0</v>
      </c>
      <c r="K34" s="694">
        <v>1E-3</v>
      </c>
      <c r="L34" s="835">
        <f t="shared" si="4"/>
        <v>0</v>
      </c>
      <c r="M34" s="694">
        <v>0</v>
      </c>
      <c r="N34" s="841">
        <f t="shared" si="5"/>
        <v>0</v>
      </c>
      <c r="O34" s="694">
        <v>47.418999999999997</v>
      </c>
      <c r="P34" s="841">
        <f t="shared" si="6"/>
        <v>45</v>
      </c>
      <c r="Q34" s="694">
        <v>54.9</v>
      </c>
      <c r="R34" s="841">
        <f t="shared" si="7"/>
        <v>55</v>
      </c>
      <c r="S34" s="694">
        <v>9.4E-2</v>
      </c>
      <c r="T34" s="841">
        <f t="shared" si="8"/>
        <v>0</v>
      </c>
      <c r="U34" s="694">
        <v>51.05</v>
      </c>
      <c r="V34" s="841">
        <f t="shared" si="9"/>
        <v>51</v>
      </c>
      <c r="W34" s="694">
        <v>50.689</v>
      </c>
      <c r="X34" s="841">
        <f t="shared" si="10"/>
        <v>51</v>
      </c>
      <c r="Y34" s="694">
        <v>9.7000000000000003E-2</v>
      </c>
      <c r="Z34" s="841">
        <f t="shared" si="11"/>
        <v>0</v>
      </c>
      <c r="AA34" s="694">
        <v>1.4E-2</v>
      </c>
      <c r="AB34" s="694">
        <v>7.0000000000000007E-2</v>
      </c>
      <c r="AC34" s="694">
        <v>9.0690000000000008</v>
      </c>
      <c r="AD34" s="694">
        <v>0.69799999999999995</v>
      </c>
      <c r="AE34" s="694">
        <v>6.2E-2</v>
      </c>
      <c r="AF34" s="694">
        <v>0.34300000000000003</v>
      </c>
      <c r="AG34" s="694">
        <v>17.827999999999999</v>
      </c>
      <c r="AH34" s="694">
        <v>0.379</v>
      </c>
    </row>
    <row r="35" spans="1:34" s="465" customFormat="1" ht="15" customHeight="1" thickBot="1">
      <c r="A35" s="497" t="s">
        <v>296</v>
      </c>
      <c r="B35" s="495" t="s">
        <v>310</v>
      </c>
      <c r="C35" s="616">
        <v>255.28</v>
      </c>
      <c r="D35" s="841">
        <f t="shared" si="0"/>
        <v>260</v>
      </c>
      <c r="E35" s="616">
        <v>0</v>
      </c>
      <c r="F35" s="841">
        <f t="shared" si="1"/>
        <v>0</v>
      </c>
      <c r="G35" s="616">
        <v>0</v>
      </c>
      <c r="H35" s="835">
        <f t="shared" si="2"/>
        <v>0</v>
      </c>
      <c r="I35" s="616">
        <v>0</v>
      </c>
      <c r="J35" s="835">
        <f t="shared" si="3"/>
        <v>0</v>
      </c>
      <c r="K35" s="616">
        <v>0</v>
      </c>
      <c r="L35" s="835">
        <f t="shared" si="4"/>
        <v>0</v>
      </c>
      <c r="M35" s="616">
        <v>0</v>
      </c>
      <c r="N35" s="841">
        <f t="shared" si="5"/>
        <v>0</v>
      </c>
      <c r="O35" s="616">
        <v>28.465</v>
      </c>
      <c r="P35" s="841">
        <f t="shared" si="6"/>
        <v>30</v>
      </c>
      <c r="Q35" s="616">
        <v>64.712000000000003</v>
      </c>
      <c r="R35" s="841">
        <f t="shared" si="7"/>
        <v>65</v>
      </c>
      <c r="S35" s="616">
        <v>0</v>
      </c>
      <c r="T35" s="841">
        <f t="shared" si="8"/>
        <v>0</v>
      </c>
      <c r="U35" s="616">
        <v>62.107999999999997</v>
      </c>
      <c r="V35" s="841">
        <f t="shared" si="9"/>
        <v>62</v>
      </c>
      <c r="W35" s="616">
        <v>62.107999999999997</v>
      </c>
      <c r="X35" s="841">
        <f t="shared" si="10"/>
        <v>62</v>
      </c>
      <c r="Y35" s="616">
        <v>0</v>
      </c>
      <c r="Z35" s="841">
        <f t="shared" si="11"/>
        <v>0</v>
      </c>
      <c r="AA35" s="616">
        <v>0</v>
      </c>
      <c r="AB35" s="616">
        <v>0</v>
      </c>
      <c r="AC35" s="616">
        <v>6.4610000000000003</v>
      </c>
      <c r="AD35" s="616">
        <v>0.497</v>
      </c>
      <c r="AE35" s="616">
        <v>1.4999999999999999E-2</v>
      </c>
      <c r="AF35" s="616">
        <v>8.2000000000000003E-2</v>
      </c>
      <c r="AG35" s="616">
        <v>0.61699999999999999</v>
      </c>
      <c r="AH35" s="616">
        <v>1.2999999999999999E-2</v>
      </c>
    </row>
    <row r="36" spans="1:34" s="465" customFormat="1" ht="18.899999999999999" thickBot="1">
      <c r="A36" s="497" t="s">
        <v>296</v>
      </c>
      <c r="B36" s="495" t="s">
        <v>311</v>
      </c>
      <c r="C36" s="579">
        <v>212.291</v>
      </c>
      <c r="D36" s="841">
        <f t="shared" si="0"/>
        <v>210</v>
      </c>
      <c r="E36" s="579">
        <v>0</v>
      </c>
      <c r="F36" s="841">
        <f t="shared" si="1"/>
        <v>0</v>
      </c>
      <c r="G36" s="579">
        <v>0</v>
      </c>
      <c r="H36" s="835">
        <f t="shared" si="2"/>
        <v>0</v>
      </c>
      <c r="I36" s="579">
        <v>0</v>
      </c>
      <c r="J36" s="835">
        <f t="shared" si="3"/>
        <v>0</v>
      </c>
      <c r="K36" s="579">
        <v>0</v>
      </c>
      <c r="L36" s="835">
        <f t="shared" si="4"/>
        <v>0</v>
      </c>
      <c r="M36" s="579">
        <v>0</v>
      </c>
      <c r="N36" s="841">
        <f t="shared" si="5"/>
        <v>0</v>
      </c>
      <c r="O36" s="579">
        <v>32.960999999999999</v>
      </c>
      <c r="P36" s="841">
        <f t="shared" si="6"/>
        <v>35</v>
      </c>
      <c r="Q36" s="579">
        <v>54.226999999999997</v>
      </c>
      <c r="R36" s="841">
        <f t="shared" si="7"/>
        <v>54</v>
      </c>
      <c r="S36" s="579">
        <v>0.13900000000000001</v>
      </c>
      <c r="T36" s="841">
        <f t="shared" si="8"/>
        <v>0</v>
      </c>
      <c r="U36" s="579">
        <v>52.68</v>
      </c>
      <c r="V36" s="841">
        <f t="shared" si="9"/>
        <v>53</v>
      </c>
      <c r="W36" s="579">
        <v>52.186999999999998</v>
      </c>
      <c r="X36" s="841">
        <f t="shared" si="10"/>
        <v>52</v>
      </c>
      <c r="Y36" s="575">
        <v>9.8000000000000004E-2</v>
      </c>
      <c r="Z36" s="841">
        <f t="shared" si="11"/>
        <v>0</v>
      </c>
      <c r="AA36" s="575">
        <v>0</v>
      </c>
      <c r="AB36" s="575">
        <v>0</v>
      </c>
      <c r="AC36" s="575">
        <v>7.0419999999999998</v>
      </c>
      <c r="AD36" s="578">
        <v>0.54200000000000004</v>
      </c>
      <c r="AE36" s="578">
        <v>5.2999999999999999E-2</v>
      </c>
      <c r="AF36" s="578">
        <v>0.29499999999999998</v>
      </c>
      <c r="AG36" s="578">
        <v>0.88600000000000001</v>
      </c>
      <c r="AH36" s="599">
        <v>1.9E-2</v>
      </c>
    </row>
    <row r="37" spans="1:34" s="465" customFormat="1" ht="15" customHeight="1" thickBot="1">
      <c r="A37" s="497" t="s">
        <v>296</v>
      </c>
      <c r="B37" s="495" t="s">
        <v>58</v>
      </c>
      <c r="C37" s="579">
        <v>243.512</v>
      </c>
      <c r="D37" s="841">
        <f t="shared" si="0"/>
        <v>240</v>
      </c>
      <c r="E37" s="579">
        <v>0</v>
      </c>
      <c r="F37" s="841">
        <f t="shared" si="1"/>
        <v>0</v>
      </c>
      <c r="G37" s="579">
        <v>0.59399999999999997</v>
      </c>
      <c r="H37" s="835">
        <f t="shared" si="2"/>
        <v>0.5</v>
      </c>
      <c r="I37" s="579">
        <v>0</v>
      </c>
      <c r="J37" s="835">
        <f t="shared" si="3"/>
        <v>0</v>
      </c>
      <c r="K37" s="579">
        <v>0</v>
      </c>
      <c r="L37" s="835">
        <f t="shared" si="4"/>
        <v>0</v>
      </c>
      <c r="M37" s="579">
        <v>0</v>
      </c>
      <c r="N37" s="841">
        <f t="shared" si="5"/>
        <v>0</v>
      </c>
      <c r="O37" s="579">
        <v>36.305999999999997</v>
      </c>
      <c r="P37" s="841">
        <f t="shared" si="6"/>
        <v>35</v>
      </c>
      <c r="Q37" s="579">
        <v>61.723999999999997</v>
      </c>
      <c r="R37" s="841">
        <f t="shared" si="7"/>
        <v>62</v>
      </c>
      <c r="S37" s="579">
        <v>0.115</v>
      </c>
      <c r="T37" s="841">
        <f t="shared" si="8"/>
        <v>0</v>
      </c>
      <c r="U37" s="579">
        <v>59.31</v>
      </c>
      <c r="V37" s="841">
        <f t="shared" si="9"/>
        <v>59</v>
      </c>
      <c r="W37" s="579">
        <v>58.723999999999997</v>
      </c>
      <c r="X37" s="841">
        <f t="shared" si="10"/>
        <v>59</v>
      </c>
      <c r="Y37" s="575">
        <v>3.9E-2</v>
      </c>
      <c r="Z37" s="841">
        <f t="shared" si="11"/>
        <v>0</v>
      </c>
      <c r="AA37" s="575">
        <v>0</v>
      </c>
      <c r="AB37" s="575">
        <v>0</v>
      </c>
      <c r="AC37" s="575">
        <v>9.58</v>
      </c>
      <c r="AD37" s="578">
        <v>0.73699999999999999</v>
      </c>
      <c r="AE37" s="578">
        <v>7.2999999999999995E-2</v>
      </c>
      <c r="AF37" s="578">
        <v>0.40600000000000003</v>
      </c>
      <c r="AG37" s="578">
        <v>1.4159999999999999</v>
      </c>
      <c r="AH37" s="599">
        <v>0.03</v>
      </c>
    </row>
    <row r="38" spans="1:34" s="465" customFormat="1" ht="15" customHeight="1" thickBot="1">
      <c r="A38" s="497" t="s">
        <v>296</v>
      </c>
      <c r="B38" s="495" t="s">
        <v>59</v>
      </c>
      <c r="C38" s="579">
        <v>249.21700000000001</v>
      </c>
      <c r="D38" s="841">
        <f t="shared" si="0"/>
        <v>250</v>
      </c>
      <c r="E38" s="579">
        <v>0</v>
      </c>
      <c r="F38" s="841">
        <f t="shared" si="1"/>
        <v>0</v>
      </c>
      <c r="G38" s="579">
        <v>8.0000000000000002E-3</v>
      </c>
      <c r="H38" s="835">
        <f t="shared" si="2"/>
        <v>0</v>
      </c>
      <c r="I38" s="579">
        <v>2E-3</v>
      </c>
      <c r="J38" s="835">
        <f t="shared" si="3"/>
        <v>0</v>
      </c>
      <c r="K38" s="579">
        <v>0</v>
      </c>
      <c r="L38" s="835">
        <f t="shared" si="4"/>
        <v>0</v>
      </c>
      <c r="M38" s="579">
        <v>0</v>
      </c>
      <c r="N38" s="841">
        <f t="shared" si="5"/>
        <v>0</v>
      </c>
      <c r="O38" s="579">
        <v>35.703000000000003</v>
      </c>
      <c r="P38" s="841">
        <f t="shared" si="6"/>
        <v>35</v>
      </c>
      <c r="Q38" s="579">
        <v>62.856999999999999</v>
      </c>
      <c r="R38" s="841">
        <f t="shared" si="7"/>
        <v>63</v>
      </c>
      <c r="S38" s="579">
        <v>0.08</v>
      </c>
      <c r="T38" s="841">
        <f t="shared" si="8"/>
        <v>0</v>
      </c>
      <c r="U38" s="579">
        <v>60.536999999999999</v>
      </c>
      <c r="V38" s="841">
        <f t="shared" si="9"/>
        <v>61</v>
      </c>
      <c r="W38" s="579">
        <v>59.619</v>
      </c>
      <c r="X38" s="841">
        <f t="shared" si="10"/>
        <v>60</v>
      </c>
      <c r="Y38" s="575">
        <v>3.6999999999999998E-2</v>
      </c>
      <c r="Z38" s="841">
        <f t="shared" si="11"/>
        <v>0</v>
      </c>
      <c r="AA38" s="575">
        <v>0</v>
      </c>
      <c r="AB38" s="575">
        <v>0</v>
      </c>
      <c r="AC38" s="575">
        <v>8.1340000000000003</v>
      </c>
      <c r="AD38" s="578">
        <v>0.626</v>
      </c>
      <c r="AE38" s="578">
        <v>0.192</v>
      </c>
      <c r="AF38" s="578">
        <v>1.0669999999999999</v>
      </c>
      <c r="AG38" s="578">
        <v>14.792999999999999</v>
      </c>
      <c r="AH38" s="599">
        <v>0.315</v>
      </c>
    </row>
    <row r="39" spans="1:34" s="465" customFormat="1" ht="15" customHeight="1" thickBot="1">
      <c r="A39" s="497" t="s">
        <v>296</v>
      </c>
      <c r="B39" s="495" t="s">
        <v>60</v>
      </c>
      <c r="C39" s="579">
        <v>239.6</v>
      </c>
      <c r="D39" s="841">
        <f t="shared" si="0"/>
        <v>240</v>
      </c>
      <c r="E39" s="579">
        <v>2.4E-2</v>
      </c>
      <c r="F39" s="841">
        <f t="shared" si="1"/>
        <v>0</v>
      </c>
      <c r="G39" s="579">
        <v>3.0000000000000001E-3</v>
      </c>
      <c r="H39" s="835">
        <f t="shared" si="2"/>
        <v>0</v>
      </c>
      <c r="I39" s="579">
        <v>3.0000000000000001E-3</v>
      </c>
      <c r="J39" s="835">
        <f t="shared" si="3"/>
        <v>0</v>
      </c>
      <c r="K39" s="579">
        <v>0</v>
      </c>
      <c r="L39" s="835">
        <f t="shared" si="4"/>
        <v>0</v>
      </c>
      <c r="M39" s="579">
        <v>0</v>
      </c>
      <c r="N39" s="841">
        <f t="shared" si="5"/>
        <v>0</v>
      </c>
      <c r="O39" s="579">
        <v>35.335000000000001</v>
      </c>
      <c r="P39" s="841">
        <f t="shared" si="6"/>
        <v>35</v>
      </c>
      <c r="Q39" s="579">
        <v>60.832999999999998</v>
      </c>
      <c r="R39" s="841">
        <f t="shared" si="7"/>
        <v>61</v>
      </c>
      <c r="S39" s="579">
        <v>0.84</v>
      </c>
      <c r="T39" s="841" t="str">
        <f t="shared" si="8"/>
        <v>less than 1 g</v>
      </c>
      <c r="U39" s="579">
        <v>57.673999999999999</v>
      </c>
      <c r="V39" s="841">
        <f t="shared" si="9"/>
        <v>58</v>
      </c>
      <c r="W39" s="579">
        <v>57.103000000000002</v>
      </c>
      <c r="X39" s="841">
        <f t="shared" si="10"/>
        <v>57</v>
      </c>
      <c r="Y39" s="579">
        <v>0.29299999999999998</v>
      </c>
      <c r="Z39" s="841">
        <f t="shared" si="11"/>
        <v>0</v>
      </c>
      <c r="AA39" s="579">
        <v>0</v>
      </c>
      <c r="AB39" s="579">
        <v>0</v>
      </c>
      <c r="AC39" s="579">
        <v>9.9209999999999994</v>
      </c>
      <c r="AD39" s="579">
        <v>0.76300000000000001</v>
      </c>
      <c r="AE39" s="579">
        <v>0.105</v>
      </c>
      <c r="AF39" s="579">
        <v>0.58399999999999996</v>
      </c>
      <c r="AG39" s="579">
        <v>24.245000000000001</v>
      </c>
      <c r="AH39" s="579">
        <v>0.51600000000000001</v>
      </c>
    </row>
    <row r="40" spans="1:34" s="465" customFormat="1" ht="15" customHeight="1" thickBot="1">
      <c r="A40" s="497" t="s">
        <v>296</v>
      </c>
      <c r="B40" s="495" t="s">
        <v>61</v>
      </c>
      <c r="C40" s="579">
        <v>165.00200000000001</v>
      </c>
      <c r="D40" s="841">
        <f t="shared" si="0"/>
        <v>170</v>
      </c>
      <c r="E40" s="579">
        <v>0.47</v>
      </c>
      <c r="F40" s="841">
        <f t="shared" si="1"/>
        <v>0</v>
      </c>
      <c r="G40" s="579">
        <v>5.1999999999999998E-2</v>
      </c>
      <c r="H40" s="835">
        <f t="shared" si="2"/>
        <v>0</v>
      </c>
      <c r="I40" s="579">
        <v>2E-3</v>
      </c>
      <c r="J40" s="835">
        <f t="shared" si="3"/>
        <v>0</v>
      </c>
      <c r="K40" s="579">
        <v>0</v>
      </c>
      <c r="L40" s="835">
        <f t="shared" si="4"/>
        <v>0</v>
      </c>
      <c r="M40" s="579">
        <v>0</v>
      </c>
      <c r="N40" s="841">
        <f t="shared" si="5"/>
        <v>0</v>
      </c>
      <c r="O40" s="579">
        <v>29.687000000000001</v>
      </c>
      <c r="P40" s="841">
        <f t="shared" si="6"/>
        <v>30</v>
      </c>
      <c r="Q40" s="579">
        <v>42.561</v>
      </c>
      <c r="R40" s="841">
        <f t="shared" si="7"/>
        <v>43</v>
      </c>
      <c r="S40" s="579">
        <v>0.20100000000000001</v>
      </c>
      <c r="T40" s="841">
        <f t="shared" si="8"/>
        <v>0</v>
      </c>
      <c r="U40" s="579">
        <v>40.328000000000003</v>
      </c>
      <c r="V40" s="841">
        <f t="shared" si="9"/>
        <v>40</v>
      </c>
      <c r="W40" s="579">
        <v>39.798000000000002</v>
      </c>
      <c r="X40" s="841">
        <f t="shared" si="10"/>
        <v>40</v>
      </c>
      <c r="Y40" s="579">
        <v>0.124</v>
      </c>
      <c r="Z40" s="841">
        <f t="shared" si="11"/>
        <v>0</v>
      </c>
      <c r="AA40" s="579">
        <v>0</v>
      </c>
      <c r="AB40" s="579">
        <v>0</v>
      </c>
      <c r="AC40" s="579">
        <v>9.69</v>
      </c>
      <c r="AD40" s="579">
        <v>0.745</v>
      </c>
      <c r="AE40" s="579">
        <v>4.8000000000000001E-2</v>
      </c>
      <c r="AF40" s="579">
        <v>0.26500000000000001</v>
      </c>
      <c r="AG40" s="579">
        <v>27.547999999999998</v>
      </c>
      <c r="AH40" s="579">
        <v>0.58599999999999997</v>
      </c>
    </row>
    <row r="41" spans="1:34" s="465" customFormat="1" ht="15" customHeight="1" thickBot="1">
      <c r="A41" s="497" t="s">
        <v>296</v>
      </c>
      <c r="B41" s="495" t="s">
        <v>64</v>
      </c>
      <c r="C41" s="579">
        <v>291.995</v>
      </c>
      <c r="D41" s="841">
        <f t="shared" si="0"/>
        <v>290</v>
      </c>
      <c r="E41" s="579">
        <v>0</v>
      </c>
      <c r="F41" s="841">
        <f t="shared" si="1"/>
        <v>0</v>
      </c>
      <c r="G41" s="579">
        <v>0</v>
      </c>
      <c r="H41" s="835">
        <f t="shared" si="2"/>
        <v>0</v>
      </c>
      <c r="I41" s="579">
        <v>0</v>
      </c>
      <c r="J41" s="835">
        <f t="shared" si="3"/>
        <v>0</v>
      </c>
      <c r="K41" s="579">
        <v>0</v>
      </c>
      <c r="L41" s="835">
        <f t="shared" si="4"/>
        <v>0</v>
      </c>
      <c r="M41" s="579">
        <v>0</v>
      </c>
      <c r="N41" s="841">
        <f t="shared" si="5"/>
        <v>0</v>
      </c>
      <c r="O41" s="579">
        <v>36.152000000000001</v>
      </c>
      <c r="P41" s="841">
        <f t="shared" si="6"/>
        <v>35</v>
      </c>
      <c r="Q41" s="579">
        <v>58.719000000000001</v>
      </c>
      <c r="R41" s="841">
        <f t="shared" si="7"/>
        <v>59</v>
      </c>
      <c r="S41" s="579">
        <v>1.9E-2</v>
      </c>
      <c r="T41" s="841">
        <f t="shared" si="8"/>
        <v>0</v>
      </c>
      <c r="U41" s="579">
        <v>57.039000000000001</v>
      </c>
      <c r="V41" s="841">
        <f t="shared" si="9"/>
        <v>57</v>
      </c>
      <c r="W41" s="579">
        <v>57.039000000000001</v>
      </c>
      <c r="X41" s="841">
        <f t="shared" si="10"/>
        <v>57</v>
      </c>
      <c r="Y41" s="579">
        <v>0</v>
      </c>
      <c r="Z41" s="841">
        <f t="shared" si="11"/>
        <v>0</v>
      </c>
      <c r="AA41" s="579">
        <v>0</v>
      </c>
      <c r="AB41" s="579">
        <v>0</v>
      </c>
      <c r="AC41" s="579">
        <v>8.3840000000000003</v>
      </c>
      <c r="AD41" s="579">
        <v>0.64500000000000002</v>
      </c>
      <c r="AE41" s="579">
        <v>5.2999999999999999E-2</v>
      </c>
      <c r="AF41" s="579">
        <v>0.29499999999999998</v>
      </c>
      <c r="AG41" s="579">
        <v>18.213000000000001</v>
      </c>
      <c r="AH41" s="579">
        <v>0.38800000000000001</v>
      </c>
    </row>
    <row r="42" spans="1:34" s="465" customFormat="1" ht="15" customHeight="1" thickBot="1">
      <c r="A42" s="497" t="s">
        <v>296</v>
      </c>
      <c r="B42" s="495" t="s">
        <v>312</v>
      </c>
      <c r="C42" s="579">
        <v>208.52799999999999</v>
      </c>
      <c r="D42" s="841">
        <f t="shared" si="0"/>
        <v>210</v>
      </c>
      <c r="E42" s="579">
        <v>0.124</v>
      </c>
      <c r="F42" s="841">
        <f t="shared" si="1"/>
        <v>0</v>
      </c>
      <c r="G42" s="579">
        <v>1.4E-2</v>
      </c>
      <c r="H42" s="835">
        <f t="shared" si="2"/>
        <v>0</v>
      </c>
      <c r="I42" s="579">
        <v>0</v>
      </c>
      <c r="J42" s="835">
        <f t="shared" si="3"/>
        <v>0</v>
      </c>
      <c r="K42" s="579">
        <v>0</v>
      </c>
      <c r="L42" s="835">
        <f t="shared" si="4"/>
        <v>0</v>
      </c>
      <c r="M42" s="579">
        <v>0</v>
      </c>
      <c r="N42" s="841">
        <f t="shared" si="5"/>
        <v>0</v>
      </c>
      <c r="O42" s="579">
        <v>32.692</v>
      </c>
      <c r="P42" s="841">
        <f t="shared" si="6"/>
        <v>35</v>
      </c>
      <c r="Q42" s="579">
        <v>53.258000000000003</v>
      </c>
      <c r="R42" s="841">
        <f t="shared" si="7"/>
        <v>53</v>
      </c>
      <c r="S42" s="579">
        <v>2.7E-2</v>
      </c>
      <c r="T42" s="841">
        <f t="shared" si="8"/>
        <v>0</v>
      </c>
      <c r="U42" s="579">
        <v>51.122</v>
      </c>
      <c r="V42" s="841">
        <f t="shared" si="9"/>
        <v>51</v>
      </c>
      <c r="W42" s="579">
        <v>50.978999999999999</v>
      </c>
      <c r="X42" s="841">
        <f t="shared" si="10"/>
        <v>51</v>
      </c>
      <c r="Y42" s="579">
        <v>3.5999999999999997E-2</v>
      </c>
      <c r="Z42" s="841">
        <f t="shared" si="11"/>
        <v>0</v>
      </c>
      <c r="AA42" s="579">
        <v>0</v>
      </c>
      <c r="AB42" s="579">
        <v>0</v>
      </c>
      <c r="AC42" s="579">
        <v>8.6679999999999993</v>
      </c>
      <c r="AD42" s="579">
        <v>0.66700000000000004</v>
      </c>
      <c r="AE42" s="579">
        <v>3.7999999999999999E-2</v>
      </c>
      <c r="AF42" s="579">
        <v>0.21199999999999999</v>
      </c>
      <c r="AG42" s="579">
        <v>10.311</v>
      </c>
      <c r="AH42" s="579">
        <v>0.219</v>
      </c>
    </row>
    <row r="43" spans="1:34" s="465" customFormat="1" ht="15" customHeight="1" thickBot="1">
      <c r="A43" s="497" t="s">
        <v>296</v>
      </c>
      <c r="B43" s="495" t="s">
        <v>313</v>
      </c>
      <c r="C43" s="579">
        <v>197.874</v>
      </c>
      <c r="D43" s="841">
        <f t="shared" si="0"/>
        <v>200</v>
      </c>
      <c r="E43" s="579">
        <v>0</v>
      </c>
      <c r="F43" s="841">
        <f t="shared" si="1"/>
        <v>0</v>
      </c>
      <c r="G43" s="579">
        <v>0</v>
      </c>
      <c r="H43" s="835">
        <f t="shared" si="2"/>
        <v>0</v>
      </c>
      <c r="I43" s="579">
        <v>0</v>
      </c>
      <c r="J43" s="835">
        <f t="shared" si="3"/>
        <v>0</v>
      </c>
      <c r="K43" s="579">
        <v>0</v>
      </c>
      <c r="L43" s="835">
        <f t="shared" si="4"/>
        <v>0</v>
      </c>
      <c r="M43" s="579">
        <v>0</v>
      </c>
      <c r="N43" s="841">
        <f t="shared" si="5"/>
        <v>0</v>
      </c>
      <c r="O43" s="579">
        <v>28.884</v>
      </c>
      <c r="P43" s="841">
        <f t="shared" si="6"/>
        <v>30</v>
      </c>
      <c r="Q43" s="579">
        <v>49.951000000000001</v>
      </c>
      <c r="R43" s="841">
        <f t="shared" si="7"/>
        <v>50</v>
      </c>
      <c r="S43" s="579">
        <v>0</v>
      </c>
      <c r="T43" s="841">
        <f t="shared" si="8"/>
        <v>0</v>
      </c>
      <c r="U43" s="579">
        <v>47.982999999999997</v>
      </c>
      <c r="V43" s="841">
        <f t="shared" si="9"/>
        <v>48</v>
      </c>
      <c r="W43" s="579">
        <v>47.982999999999997</v>
      </c>
      <c r="X43" s="841">
        <f t="shared" si="10"/>
        <v>48</v>
      </c>
      <c r="Y43" s="579">
        <v>0</v>
      </c>
      <c r="Z43" s="841">
        <f t="shared" si="11"/>
        <v>0</v>
      </c>
      <c r="AA43" s="579">
        <v>0</v>
      </c>
      <c r="AB43" s="579">
        <v>0</v>
      </c>
      <c r="AC43" s="579">
        <v>6.819</v>
      </c>
      <c r="AD43" s="579">
        <v>0.52500000000000002</v>
      </c>
      <c r="AE43" s="579">
        <v>8.9999999999999993E-3</v>
      </c>
      <c r="AF43" s="579">
        <v>4.8000000000000001E-2</v>
      </c>
      <c r="AG43" s="579">
        <v>0.36299999999999999</v>
      </c>
      <c r="AH43" s="579">
        <v>8.0000000000000002E-3</v>
      </c>
    </row>
    <row r="44" spans="1:34" s="465" customFormat="1" ht="15" customHeight="1" thickBot="1">
      <c r="A44" s="497" t="s">
        <v>296</v>
      </c>
      <c r="B44" s="495" t="s">
        <v>65</v>
      </c>
      <c r="C44" s="579">
        <v>254.827</v>
      </c>
      <c r="D44" s="841">
        <f t="shared" si="0"/>
        <v>250</v>
      </c>
      <c r="E44" s="579">
        <v>0</v>
      </c>
      <c r="F44" s="841">
        <f t="shared" si="1"/>
        <v>0</v>
      </c>
      <c r="G44" s="579">
        <v>0</v>
      </c>
      <c r="H44" s="835">
        <f t="shared" si="2"/>
        <v>0</v>
      </c>
      <c r="I44" s="579">
        <v>0</v>
      </c>
      <c r="J44" s="835">
        <f t="shared" si="3"/>
        <v>0</v>
      </c>
      <c r="K44" s="579">
        <v>0</v>
      </c>
      <c r="L44" s="835">
        <f t="shared" si="4"/>
        <v>0</v>
      </c>
      <c r="M44" s="579">
        <v>0</v>
      </c>
      <c r="N44" s="841">
        <f t="shared" si="5"/>
        <v>0</v>
      </c>
      <c r="O44" s="579">
        <v>36.457000000000001</v>
      </c>
      <c r="P44" s="841">
        <f t="shared" si="6"/>
        <v>35</v>
      </c>
      <c r="Q44" s="579">
        <v>64.397000000000006</v>
      </c>
      <c r="R44" s="841">
        <f t="shared" si="7"/>
        <v>64</v>
      </c>
      <c r="S44" s="579">
        <v>0</v>
      </c>
      <c r="T44" s="841">
        <f t="shared" si="8"/>
        <v>0</v>
      </c>
      <c r="U44" s="579">
        <v>60.616999999999997</v>
      </c>
      <c r="V44" s="841">
        <f t="shared" si="9"/>
        <v>61</v>
      </c>
      <c r="W44" s="579">
        <v>60.616999999999997</v>
      </c>
      <c r="X44" s="841">
        <f t="shared" si="10"/>
        <v>61</v>
      </c>
      <c r="Y44" s="579">
        <v>0</v>
      </c>
      <c r="Z44" s="841">
        <f t="shared" si="11"/>
        <v>0</v>
      </c>
      <c r="AA44" s="579">
        <v>0</v>
      </c>
      <c r="AB44" s="579">
        <v>0</v>
      </c>
      <c r="AC44" s="579">
        <v>6.5750000000000002</v>
      </c>
      <c r="AD44" s="579">
        <v>0.50600000000000001</v>
      </c>
      <c r="AE44" s="579">
        <v>0.02</v>
      </c>
      <c r="AF44" s="579">
        <v>0.112</v>
      </c>
      <c r="AG44" s="579">
        <v>0.83</v>
      </c>
      <c r="AH44" s="579">
        <v>1.7999999999999999E-2</v>
      </c>
    </row>
    <row r="45" spans="1:34" s="465" customFormat="1" ht="15" customHeight="1" thickBot="1">
      <c r="A45" s="497" t="s">
        <v>296</v>
      </c>
      <c r="B45" s="495" t="s">
        <v>314</v>
      </c>
      <c r="C45" s="579">
        <v>257.411</v>
      </c>
      <c r="D45" s="841">
        <f t="shared" si="0"/>
        <v>260</v>
      </c>
      <c r="E45" s="579">
        <v>0</v>
      </c>
      <c r="F45" s="841">
        <f t="shared" si="1"/>
        <v>0</v>
      </c>
      <c r="G45" s="579">
        <v>0</v>
      </c>
      <c r="H45" s="835">
        <f t="shared" si="2"/>
        <v>0</v>
      </c>
      <c r="I45" s="579">
        <v>0</v>
      </c>
      <c r="J45" s="835">
        <f t="shared" si="3"/>
        <v>0</v>
      </c>
      <c r="K45" s="579">
        <v>0</v>
      </c>
      <c r="L45" s="835">
        <f t="shared" si="4"/>
        <v>0</v>
      </c>
      <c r="M45" s="579">
        <v>0</v>
      </c>
      <c r="N45" s="841">
        <f t="shared" si="5"/>
        <v>0</v>
      </c>
      <c r="O45" s="579">
        <v>28.428000000000001</v>
      </c>
      <c r="P45" s="841">
        <f t="shared" si="6"/>
        <v>30</v>
      </c>
      <c r="Q45" s="579">
        <v>64.281000000000006</v>
      </c>
      <c r="R45" s="841">
        <f t="shared" si="7"/>
        <v>64</v>
      </c>
      <c r="S45" s="579">
        <v>4.7E-2</v>
      </c>
      <c r="T45" s="841">
        <f t="shared" si="8"/>
        <v>0</v>
      </c>
      <c r="U45" s="579">
        <v>60.604999999999997</v>
      </c>
      <c r="V45" s="841">
        <f t="shared" si="9"/>
        <v>61</v>
      </c>
      <c r="W45" s="579">
        <v>60.604999999999997</v>
      </c>
      <c r="X45" s="841">
        <f t="shared" si="10"/>
        <v>61</v>
      </c>
      <c r="Y45" s="579">
        <v>5.0000000000000001E-3</v>
      </c>
      <c r="Z45" s="841">
        <f t="shared" si="11"/>
        <v>0</v>
      </c>
      <c r="AA45" s="579">
        <v>0</v>
      </c>
      <c r="AB45" s="579">
        <v>0</v>
      </c>
      <c r="AC45" s="579">
        <v>6.6269999999999998</v>
      </c>
      <c r="AD45" s="579">
        <v>0.51</v>
      </c>
      <c r="AE45" s="579">
        <v>1.4999999999999999E-2</v>
      </c>
      <c r="AF45" s="579">
        <v>8.2000000000000003E-2</v>
      </c>
      <c r="AG45" s="579">
        <v>1.028</v>
      </c>
      <c r="AH45" s="579">
        <v>2.1999999999999999E-2</v>
      </c>
    </row>
    <row r="46" spans="1:34" s="465" customFormat="1" ht="15" customHeight="1" thickBot="1">
      <c r="A46" s="497" t="s">
        <v>296</v>
      </c>
      <c r="B46" s="495" t="s">
        <v>66</v>
      </c>
      <c r="C46" s="579">
        <v>258.15899999999999</v>
      </c>
      <c r="D46" s="841">
        <f t="shared" si="0"/>
        <v>260</v>
      </c>
      <c r="E46" s="579">
        <v>8.1000000000000003E-2</v>
      </c>
      <c r="F46" s="841">
        <f t="shared" si="1"/>
        <v>0</v>
      </c>
      <c r="G46" s="579">
        <v>8.9999999999999993E-3</v>
      </c>
      <c r="H46" s="835">
        <f t="shared" si="2"/>
        <v>0</v>
      </c>
      <c r="I46" s="579">
        <v>0</v>
      </c>
      <c r="J46" s="835">
        <f t="shared" si="3"/>
        <v>0</v>
      </c>
      <c r="K46" s="579">
        <v>0</v>
      </c>
      <c r="L46" s="835">
        <f t="shared" si="4"/>
        <v>0</v>
      </c>
      <c r="M46" s="579">
        <v>0</v>
      </c>
      <c r="N46" s="841">
        <f t="shared" si="5"/>
        <v>0</v>
      </c>
      <c r="O46" s="579">
        <v>37.018000000000001</v>
      </c>
      <c r="P46" s="841">
        <f t="shared" si="6"/>
        <v>35</v>
      </c>
      <c r="Q46" s="579">
        <v>65.064999999999998</v>
      </c>
      <c r="R46" s="841">
        <f t="shared" si="7"/>
        <v>65</v>
      </c>
      <c r="S46" s="579">
        <v>0.17599999999999999</v>
      </c>
      <c r="T46" s="841">
        <f t="shared" si="8"/>
        <v>0</v>
      </c>
      <c r="U46" s="579">
        <v>63.173999999999999</v>
      </c>
      <c r="V46" s="841">
        <f t="shared" si="9"/>
        <v>63</v>
      </c>
      <c r="W46" s="579">
        <v>62.311999999999998</v>
      </c>
      <c r="X46" s="841">
        <f t="shared" si="10"/>
        <v>62</v>
      </c>
      <c r="Y46" s="579">
        <v>0.159</v>
      </c>
      <c r="Z46" s="841">
        <f t="shared" si="11"/>
        <v>0</v>
      </c>
      <c r="AA46" s="579">
        <v>0</v>
      </c>
      <c r="AB46" s="579">
        <v>0</v>
      </c>
      <c r="AC46" s="579">
        <v>8.35</v>
      </c>
      <c r="AD46" s="579">
        <v>0.64200000000000002</v>
      </c>
      <c r="AE46" s="579">
        <v>0.109</v>
      </c>
      <c r="AF46" s="579">
        <v>0.60599999999999998</v>
      </c>
      <c r="AG46" s="579">
        <v>10.994</v>
      </c>
      <c r="AH46" s="579">
        <v>0.23400000000000001</v>
      </c>
    </row>
    <row r="47" spans="1:34" s="465" customFormat="1" ht="15" customHeight="1" thickBot="1">
      <c r="A47" s="497" t="s">
        <v>296</v>
      </c>
      <c r="B47" s="495" t="s">
        <v>67</v>
      </c>
      <c r="C47" s="579">
        <v>256.346</v>
      </c>
      <c r="D47" s="841">
        <f t="shared" si="0"/>
        <v>260</v>
      </c>
      <c r="E47" s="579">
        <v>1.7000000000000001E-2</v>
      </c>
      <c r="F47" s="841">
        <f t="shared" si="1"/>
        <v>0</v>
      </c>
      <c r="G47" s="579">
        <v>2E-3</v>
      </c>
      <c r="H47" s="835">
        <f t="shared" si="2"/>
        <v>0</v>
      </c>
      <c r="I47" s="579">
        <v>0</v>
      </c>
      <c r="J47" s="835">
        <f t="shared" si="3"/>
        <v>0</v>
      </c>
      <c r="K47" s="579">
        <v>0</v>
      </c>
      <c r="L47" s="835">
        <f t="shared" si="4"/>
        <v>0</v>
      </c>
      <c r="M47" s="579">
        <v>0</v>
      </c>
      <c r="N47" s="841">
        <f t="shared" si="5"/>
        <v>0</v>
      </c>
      <c r="O47" s="579">
        <v>36.264000000000003</v>
      </c>
      <c r="P47" s="841">
        <f t="shared" si="6"/>
        <v>35</v>
      </c>
      <c r="Q47" s="579">
        <v>64.825999999999993</v>
      </c>
      <c r="R47" s="841">
        <f t="shared" si="7"/>
        <v>65</v>
      </c>
      <c r="S47" s="579">
        <v>7.0000000000000007E-2</v>
      </c>
      <c r="T47" s="841">
        <f t="shared" si="8"/>
        <v>0</v>
      </c>
      <c r="U47" s="579">
        <v>62.826000000000001</v>
      </c>
      <c r="V47" s="841">
        <f t="shared" si="9"/>
        <v>63</v>
      </c>
      <c r="W47" s="579">
        <v>62.509</v>
      </c>
      <c r="X47" s="841">
        <f t="shared" si="10"/>
        <v>63</v>
      </c>
      <c r="Y47" s="579">
        <v>7.6999999999999999E-2</v>
      </c>
      <c r="Z47" s="841">
        <f t="shared" si="11"/>
        <v>0</v>
      </c>
      <c r="AA47" s="579">
        <v>0</v>
      </c>
      <c r="AB47" s="579">
        <v>0</v>
      </c>
      <c r="AC47" s="579">
        <v>8.1489999999999991</v>
      </c>
      <c r="AD47" s="579">
        <v>0.627</v>
      </c>
      <c r="AE47" s="579">
        <v>6.4000000000000001E-2</v>
      </c>
      <c r="AF47" s="579">
        <v>0.35499999999999998</v>
      </c>
      <c r="AG47" s="579">
        <v>2.3929999999999998</v>
      </c>
      <c r="AH47" s="579">
        <v>5.0999999999999997E-2</v>
      </c>
    </row>
    <row r="48" spans="1:34" s="465" customFormat="1" ht="15" customHeight="1" thickBot="1">
      <c r="A48" s="497" t="s">
        <v>296</v>
      </c>
      <c r="B48" s="495" t="s">
        <v>68</v>
      </c>
      <c r="C48" s="579">
        <v>219.71199999999999</v>
      </c>
      <c r="D48" s="841">
        <f t="shared" si="0"/>
        <v>220</v>
      </c>
      <c r="E48" s="579">
        <v>2.1999999999999999E-2</v>
      </c>
      <c r="F48" s="841">
        <f t="shared" si="1"/>
        <v>0</v>
      </c>
      <c r="G48" s="579">
        <v>1E-3</v>
      </c>
      <c r="H48" s="835">
        <f t="shared" si="2"/>
        <v>0</v>
      </c>
      <c r="I48" s="579">
        <v>0</v>
      </c>
      <c r="J48" s="835">
        <f t="shared" si="3"/>
        <v>0</v>
      </c>
      <c r="K48" s="579">
        <v>0</v>
      </c>
      <c r="L48" s="835">
        <f t="shared" si="4"/>
        <v>0</v>
      </c>
      <c r="M48" s="579">
        <v>0</v>
      </c>
      <c r="N48" s="841">
        <f t="shared" si="5"/>
        <v>0</v>
      </c>
      <c r="O48" s="579">
        <v>33.119</v>
      </c>
      <c r="P48" s="841">
        <f t="shared" si="6"/>
        <v>35</v>
      </c>
      <c r="Q48" s="579">
        <v>55.972000000000001</v>
      </c>
      <c r="R48" s="841">
        <f t="shared" si="7"/>
        <v>56</v>
      </c>
      <c r="S48" s="579">
        <v>0.158</v>
      </c>
      <c r="T48" s="841">
        <f t="shared" si="8"/>
        <v>0</v>
      </c>
      <c r="U48" s="579">
        <v>53.459000000000003</v>
      </c>
      <c r="V48" s="841">
        <f t="shared" si="9"/>
        <v>53</v>
      </c>
      <c r="W48" s="579">
        <v>52.807000000000002</v>
      </c>
      <c r="X48" s="841">
        <f t="shared" si="10"/>
        <v>53</v>
      </c>
      <c r="Y48" s="579">
        <v>0.13700000000000001</v>
      </c>
      <c r="Z48" s="841">
        <f t="shared" si="11"/>
        <v>0</v>
      </c>
      <c r="AA48" s="579">
        <v>0</v>
      </c>
      <c r="AB48" s="579">
        <v>0</v>
      </c>
      <c r="AC48" s="579">
        <v>9.1270000000000007</v>
      </c>
      <c r="AD48" s="579">
        <v>0.70199999999999996</v>
      </c>
      <c r="AE48" s="579">
        <v>7.3999999999999996E-2</v>
      </c>
      <c r="AF48" s="579">
        <v>0.41399999999999998</v>
      </c>
      <c r="AG48" s="579">
        <v>17.309000000000001</v>
      </c>
      <c r="AH48" s="579">
        <v>0.36799999999999999</v>
      </c>
    </row>
    <row r="49" spans="1:42" s="465" customFormat="1" ht="15" customHeight="1" thickBot="1">
      <c r="A49" s="497" t="s">
        <v>296</v>
      </c>
      <c r="B49" s="495" t="s">
        <v>69</v>
      </c>
      <c r="C49" s="579">
        <v>252.51400000000001</v>
      </c>
      <c r="D49" s="841">
        <f t="shared" si="0"/>
        <v>250</v>
      </c>
      <c r="E49" s="579">
        <v>0.20899999999999999</v>
      </c>
      <c r="F49" s="841">
        <f t="shared" si="1"/>
        <v>0</v>
      </c>
      <c r="G49" s="579">
        <v>2.3E-2</v>
      </c>
      <c r="H49" s="835">
        <f t="shared" si="2"/>
        <v>0</v>
      </c>
      <c r="I49" s="579">
        <v>1E-3</v>
      </c>
      <c r="J49" s="835">
        <f t="shared" si="3"/>
        <v>0</v>
      </c>
      <c r="K49" s="579">
        <v>0</v>
      </c>
      <c r="L49" s="835">
        <f t="shared" si="4"/>
        <v>0</v>
      </c>
      <c r="M49" s="579">
        <v>0</v>
      </c>
      <c r="N49" s="841">
        <f t="shared" si="5"/>
        <v>0</v>
      </c>
      <c r="O49" s="579">
        <v>41.146000000000001</v>
      </c>
      <c r="P49" s="841">
        <f t="shared" si="6"/>
        <v>40</v>
      </c>
      <c r="Q49" s="579">
        <v>64.156999999999996</v>
      </c>
      <c r="R49" s="841">
        <f t="shared" si="7"/>
        <v>64</v>
      </c>
      <c r="S49" s="579">
        <v>0.17399999999999999</v>
      </c>
      <c r="T49" s="841">
        <f t="shared" si="8"/>
        <v>0</v>
      </c>
      <c r="U49" s="579">
        <v>61.408000000000001</v>
      </c>
      <c r="V49" s="841">
        <f t="shared" si="9"/>
        <v>61</v>
      </c>
      <c r="W49" s="579">
        <v>60.762999999999998</v>
      </c>
      <c r="X49" s="841">
        <f t="shared" si="10"/>
        <v>61</v>
      </c>
      <c r="Y49" s="579">
        <v>0.14299999999999999</v>
      </c>
      <c r="Z49" s="841">
        <f t="shared" si="11"/>
        <v>0</v>
      </c>
      <c r="AA49" s="579">
        <v>0</v>
      </c>
      <c r="AB49" s="579">
        <v>0</v>
      </c>
      <c r="AC49" s="579">
        <v>9.2899999999999991</v>
      </c>
      <c r="AD49" s="579">
        <v>0.71499999999999997</v>
      </c>
      <c r="AE49" s="579">
        <v>6.5000000000000002E-2</v>
      </c>
      <c r="AF49" s="579">
        <v>0.36299999999999999</v>
      </c>
      <c r="AG49" s="579">
        <v>15.942</v>
      </c>
      <c r="AH49" s="579">
        <v>0.33900000000000002</v>
      </c>
    </row>
    <row r="50" spans="1:42" s="465" customFormat="1" ht="15" customHeight="1" thickBot="1">
      <c r="A50" s="497" t="s">
        <v>296</v>
      </c>
      <c r="B50" s="495" t="s">
        <v>71</v>
      </c>
      <c r="C50" s="579">
        <v>279.41199999999998</v>
      </c>
      <c r="D50" s="841">
        <f t="shared" si="0"/>
        <v>280</v>
      </c>
      <c r="E50" s="579">
        <v>0</v>
      </c>
      <c r="F50" s="841">
        <f t="shared" si="1"/>
        <v>0</v>
      </c>
      <c r="G50" s="579">
        <v>0</v>
      </c>
      <c r="H50" s="835">
        <f t="shared" si="2"/>
        <v>0</v>
      </c>
      <c r="I50" s="579">
        <v>0</v>
      </c>
      <c r="J50" s="835">
        <f t="shared" si="3"/>
        <v>0</v>
      </c>
      <c r="K50" s="579">
        <v>0</v>
      </c>
      <c r="L50" s="835">
        <f t="shared" si="4"/>
        <v>0</v>
      </c>
      <c r="M50" s="579">
        <v>0</v>
      </c>
      <c r="N50" s="841">
        <f t="shared" si="5"/>
        <v>0</v>
      </c>
      <c r="O50" s="579">
        <v>62.802</v>
      </c>
      <c r="P50" s="841">
        <f t="shared" si="6"/>
        <v>65</v>
      </c>
      <c r="Q50" s="579">
        <v>71.161000000000001</v>
      </c>
      <c r="R50" s="841">
        <f t="shared" si="7"/>
        <v>71</v>
      </c>
      <c r="S50" s="579">
        <v>2.1999999999999999E-2</v>
      </c>
      <c r="T50" s="841">
        <f t="shared" si="8"/>
        <v>0</v>
      </c>
      <c r="U50" s="579">
        <v>69.242999999999995</v>
      </c>
      <c r="V50" s="841">
        <f t="shared" si="9"/>
        <v>69</v>
      </c>
      <c r="W50" s="579">
        <v>69.242999999999995</v>
      </c>
      <c r="X50" s="841">
        <f t="shared" si="10"/>
        <v>69</v>
      </c>
      <c r="Y50" s="579">
        <v>0.26500000000000001</v>
      </c>
      <c r="Z50" s="841">
        <f t="shared" si="11"/>
        <v>0</v>
      </c>
      <c r="AA50" s="579">
        <v>0</v>
      </c>
      <c r="AB50" s="579">
        <v>0</v>
      </c>
      <c r="AC50" s="579">
        <v>7.5259999999999998</v>
      </c>
      <c r="AD50" s="579">
        <v>0.57899999999999996</v>
      </c>
      <c r="AE50" s="579">
        <v>6.9000000000000006E-2</v>
      </c>
      <c r="AF50" s="579">
        <v>0.38300000000000001</v>
      </c>
      <c r="AG50" s="579">
        <v>1.014</v>
      </c>
      <c r="AH50" s="579">
        <v>2.1999999999999999E-2</v>
      </c>
    </row>
    <row r="51" spans="1:42" s="465" customFormat="1" ht="15" customHeight="1" thickBot="1">
      <c r="A51" s="497" t="s">
        <v>296</v>
      </c>
      <c r="B51" s="495" t="s">
        <v>72</v>
      </c>
      <c r="C51" s="579">
        <v>279.41199999999998</v>
      </c>
      <c r="D51" s="841">
        <f t="shared" si="0"/>
        <v>280</v>
      </c>
      <c r="E51" s="579">
        <v>0</v>
      </c>
      <c r="F51" s="841">
        <f t="shared" si="1"/>
        <v>0</v>
      </c>
      <c r="G51" s="579">
        <v>0</v>
      </c>
      <c r="H51" s="835">
        <f t="shared" si="2"/>
        <v>0</v>
      </c>
      <c r="I51" s="579">
        <v>0</v>
      </c>
      <c r="J51" s="835">
        <f t="shared" si="3"/>
        <v>0</v>
      </c>
      <c r="K51" s="579">
        <v>0</v>
      </c>
      <c r="L51" s="835">
        <f t="shared" si="4"/>
        <v>0</v>
      </c>
      <c r="M51" s="579">
        <v>0</v>
      </c>
      <c r="N51" s="841">
        <f t="shared" si="5"/>
        <v>0</v>
      </c>
      <c r="O51" s="579">
        <v>62.802</v>
      </c>
      <c r="P51" s="841">
        <f t="shared" si="6"/>
        <v>65</v>
      </c>
      <c r="Q51" s="579">
        <v>71.161000000000001</v>
      </c>
      <c r="R51" s="841">
        <f t="shared" si="7"/>
        <v>71</v>
      </c>
      <c r="S51" s="579">
        <v>2.1999999999999999E-2</v>
      </c>
      <c r="T51" s="841">
        <f t="shared" si="8"/>
        <v>0</v>
      </c>
      <c r="U51" s="579">
        <v>69.242999999999995</v>
      </c>
      <c r="V51" s="841">
        <f t="shared" si="9"/>
        <v>69</v>
      </c>
      <c r="W51" s="579">
        <v>69.242999999999995</v>
      </c>
      <c r="X51" s="841">
        <f t="shared" si="10"/>
        <v>69</v>
      </c>
      <c r="Y51" s="575">
        <v>0.26500000000000001</v>
      </c>
      <c r="Z51" s="841">
        <f t="shared" si="11"/>
        <v>0</v>
      </c>
      <c r="AA51" s="575">
        <v>0</v>
      </c>
      <c r="AB51" s="575">
        <v>0</v>
      </c>
      <c r="AC51" s="575">
        <v>7.5259999999999998</v>
      </c>
      <c r="AD51" s="578">
        <v>0.57899999999999996</v>
      </c>
      <c r="AE51" s="578">
        <v>6.9000000000000006E-2</v>
      </c>
      <c r="AF51" s="578">
        <v>0.38300000000000001</v>
      </c>
      <c r="AG51" s="578">
        <v>1.014</v>
      </c>
      <c r="AH51" s="578">
        <v>2.1999999999999999E-2</v>
      </c>
    </row>
    <row r="52" spans="1:42" s="465" customFormat="1" ht="15" customHeight="1" thickBot="1">
      <c r="A52" s="497" t="s">
        <v>296</v>
      </c>
      <c r="B52" s="495" t="s">
        <v>73</v>
      </c>
      <c r="C52" s="714">
        <v>216.06399999999999</v>
      </c>
      <c r="D52" s="841">
        <f t="shared" si="0"/>
        <v>220</v>
      </c>
      <c r="E52" s="714">
        <v>13.153</v>
      </c>
      <c r="F52" s="841">
        <f t="shared" si="1"/>
        <v>15</v>
      </c>
      <c r="G52" s="714">
        <v>1.4610000000000001</v>
      </c>
      <c r="H52" s="835">
        <f t="shared" si="2"/>
        <v>1.5</v>
      </c>
      <c r="I52" s="714">
        <v>1.3109999999999999</v>
      </c>
      <c r="J52" s="835">
        <f t="shared" si="3"/>
        <v>1.5</v>
      </c>
      <c r="K52" s="714">
        <v>0</v>
      </c>
      <c r="L52" s="835">
        <f t="shared" si="4"/>
        <v>0</v>
      </c>
      <c r="M52" s="714">
        <v>0</v>
      </c>
      <c r="N52" s="841">
        <f t="shared" si="5"/>
        <v>0</v>
      </c>
      <c r="O52" s="714">
        <v>35.094000000000001</v>
      </c>
      <c r="P52" s="841">
        <f t="shared" si="6"/>
        <v>35</v>
      </c>
      <c r="Q52" s="714">
        <v>50.887</v>
      </c>
      <c r="R52" s="841">
        <f t="shared" si="7"/>
        <v>51</v>
      </c>
      <c r="S52" s="714">
        <v>0.33200000000000002</v>
      </c>
      <c r="T52" s="841">
        <f t="shared" si="8"/>
        <v>0</v>
      </c>
      <c r="U52" s="714">
        <v>48.968000000000004</v>
      </c>
      <c r="V52" s="841">
        <f t="shared" si="9"/>
        <v>49</v>
      </c>
      <c r="W52" s="714">
        <v>42.697000000000003</v>
      </c>
      <c r="X52" s="841">
        <f t="shared" si="10"/>
        <v>43</v>
      </c>
      <c r="Y52" s="714">
        <v>7.6999999999999999E-2</v>
      </c>
      <c r="Z52" s="841">
        <f t="shared" si="11"/>
        <v>0</v>
      </c>
      <c r="AA52" s="714">
        <v>0</v>
      </c>
      <c r="AB52" s="714">
        <v>0</v>
      </c>
      <c r="AC52" s="714">
        <v>7.452</v>
      </c>
      <c r="AD52" s="714">
        <v>0.57299999999999995</v>
      </c>
      <c r="AE52" s="714">
        <v>3.9E-2</v>
      </c>
      <c r="AF52" s="714">
        <v>0.214</v>
      </c>
      <c r="AG52" s="714">
        <v>4.6669999999999998</v>
      </c>
      <c r="AH52" s="714">
        <v>9.9000000000000005E-2</v>
      </c>
    </row>
    <row r="53" spans="1:42" s="465" customFormat="1" ht="15" customHeight="1" thickBot="1">
      <c r="A53" s="497" t="s">
        <v>296</v>
      </c>
      <c r="B53" s="495" t="s">
        <v>75</v>
      </c>
      <c r="C53" s="579">
        <v>225.78100000000001</v>
      </c>
      <c r="D53" s="841">
        <f t="shared" si="0"/>
        <v>230</v>
      </c>
      <c r="E53" s="579">
        <v>0</v>
      </c>
      <c r="F53" s="841">
        <f t="shared" si="1"/>
        <v>0</v>
      </c>
      <c r="G53" s="579">
        <v>0</v>
      </c>
      <c r="H53" s="835">
        <f t="shared" si="2"/>
        <v>0</v>
      </c>
      <c r="I53" s="579">
        <v>0</v>
      </c>
      <c r="J53" s="835">
        <f t="shared" si="3"/>
        <v>0</v>
      </c>
      <c r="K53" s="579">
        <v>0</v>
      </c>
      <c r="L53" s="835">
        <f t="shared" si="4"/>
        <v>0</v>
      </c>
      <c r="M53" s="579">
        <v>0</v>
      </c>
      <c r="N53" s="841">
        <f t="shared" si="5"/>
        <v>0</v>
      </c>
      <c r="O53" s="579">
        <v>37.478000000000002</v>
      </c>
      <c r="P53" s="841">
        <f t="shared" si="6"/>
        <v>35</v>
      </c>
      <c r="Q53" s="579">
        <v>56.901000000000003</v>
      </c>
      <c r="R53" s="841">
        <f t="shared" si="7"/>
        <v>57</v>
      </c>
      <c r="S53" s="579">
        <v>3.5999999999999997E-2</v>
      </c>
      <c r="T53" s="841">
        <f t="shared" si="8"/>
        <v>0</v>
      </c>
      <c r="U53" s="579">
        <v>55.155999999999999</v>
      </c>
      <c r="V53" s="841">
        <f t="shared" si="9"/>
        <v>55</v>
      </c>
      <c r="W53" s="579">
        <v>55.088999999999999</v>
      </c>
      <c r="X53" s="841">
        <f t="shared" si="10"/>
        <v>55</v>
      </c>
      <c r="Y53" s="575">
        <v>0</v>
      </c>
      <c r="Z53" s="841">
        <f t="shared" si="11"/>
        <v>0</v>
      </c>
      <c r="AA53" s="575">
        <v>0</v>
      </c>
      <c r="AB53" s="575">
        <v>0</v>
      </c>
      <c r="AC53" s="575">
        <v>7.6020000000000003</v>
      </c>
      <c r="AD53" s="578">
        <v>0.58499999999999996</v>
      </c>
      <c r="AE53" s="578">
        <v>5.0999999999999997E-2</v>
      </c>
      <c r="AF53" s="578">
        <v>0.28599999999999998</v>
      </c>
      <c r="AG53" s="578">
        <v>17.221</v>
      </c>
      <c r="AH53" s="599">
        <v>0.36599999999999999</v>
      </c>
    </row>
    <row r="54" spans="1:42" s="465" customFormat="1" ht="15" customHeight="1" thickBot="1">
      <c r="A54" s="497" t="s">
        <v>296</v>
      </c>
      <c r="B54" s="495" t="s">
        <v>76</v>
      </c>
      <c r="C54" s="579">
        <v>252.33799999999999</v>
      </c>
      <c r="D54" s="841">
        <f t="shared" si="0"/>
        <v>250</v>
      </c>
      <c r="E54" s="579">
        <v>7.4999999999999997E-2</v>
      </c>
      <c r="F54" s="841">
        <f t="shared" si="1"/>
        <v>0</v>
      </c>
      <c r="G54" s="579">
        <v>8.0000000000000002E-3</v>
      </c>
      <c r="H54" s="835">
        <f t="shared" si="2"/>
        <v>0</v>
      </c>
      <c r="I54" s="579">
        <v>1E-3</v>
      </c>
      <c r="J54" s="835">
        <f t="shared" si="3"/>
        <v>0</v>
      </c>
      <c r="K54" s="579">
        <v>0</v>
      </c>
      <c r="L54" s="835">
        <f t="shared" si="4"/>
        <v>0</v>
      </c>
      <c r="M54" s="579">
        <v>0</v>
      </c>
      <c r="N54" s="841">
        <f t="shared" si="5"/>
        <v>0</v>
      </c>
      <c r="O54" s="579">
        <v>35.122999999999998</v>
      </c>
      <c r="P54" s="841">
        <f t="shared" si="6"/>
        <v>35</v>
      </c>
      <c r="Q54" s="579">
        <v>64.105000000000004</v>
      </c>
      <c r="R54" s="841">
        <f t="shared" si="7"/>
        <v>64</v>
      </c>
      <c r="S54" s="579">
        <v>4.4999999999999998E-2</v>
      </c>
      <c r="T54" s="841">
        <f t="shared" si="8"/>
        <v>0</v>
      </c>
      <c r="U54" s="579">
        <v>61.981999999999999</v>
      </c>
      <c r="V54" s="841">
        <f t="shared" si="9"/>
        <v>62</v>
      </c>
      <c r="W54" s="579">
        <v>61.637</v>
      </c>
      <c r="X54" s="841">
        <f t="shared" si="10"/>
        <v>62</v>
      </c>
      <c r="Y54" s="575">
        <v>5.2999999999999999E-2</v>
      </c>
      <c r="Z54" s="841">
        <f t="shared" si="11"/>
        <v>0</v>
      </c>
      <c r="AA54" s="575">
        <v>0</v>
      </c>
      <c r="AB54" s="575">
        <v>0</v>
      </c>
      <c r="AC54" s="575">
        <v>7.71</v>
      </c>
      <c r="AD54" s="578">
        <v>0.59299999999999997</v>
      </c>
      <c r="AE54" s="578">
        <v>6.6000000000000003E-2</v>
      </c>
      <c r="AF54" s="578">
        <v>0.36799999999999999</v>
      </c>
      <c r="AG54" s="578">
        <v>7.1109999999999998</v>
      </c>
      <c r="AH54" s="599">
        <v>0.151</v>
      </c>
    </row>
    <row r="55" spans="1:42" s="465" customFormat="1" ht="15" customHeight="1" thickBot="1">
      <c r="A55" s="497" t="s">
        <v>296</v>
      </c>
      <c r="B55" s="484" t="s">
        <v>78</v>
      </c>
      <c r="C55" s="579">
        <v>234.35599999999999</v>
      </c>
      <c r="D55" s="841">
        <f t="shared" si="0"/>
        <v>230</v>
      </c>
      <c r="E55" s="579">
        <v>0.01</v>
      </c>
      <c r="F55" s="841">
        <f t="shared" si="1"/>
        <v>0</v>
      </c>
      <c r="G55" s="579">
        <v>8.9999999999999993E-3</v>
      </c>
      <c r="H55" s="835">
        <f t="shared" si="2"/>
        <v>0</v>
      </c>
      <c r="I55" s="579">
        <v>0</v>
      </c>
      <c r="J55" s="835">
        <f t="shared" si="3"/>
        <v>0</v>
      </c>
      <c r="K55" s="579">
        <v>0</v>
      </c>
      <c r="L55" s="835">
        <f t="shared" si="4"/>
        <v>0</v>
      </c>
      <c r="M55" s="579">
        <v>0</v>
      </c>
      <c r="N55" s="841">
        <f t="shared" si="5"/>
        <v>0</v>
      </c>
      <c r="O55" s="579">
        <v>39.930999999999997</v>
      </c>
      <c r="P55" s="841">
        <f t="shared" si="6"/>
        <v>40</v>
      </c>
      <c r="Q55" s="579">
        <v>56.563000000000002</v>
      </c>
      <c r="R55" s="841">
        <f t="shared" si="7"/>
        <v>57</v>
      </c>
      <c r="S55" s="579">
        <v>0.216</v>
      </c>
      <c r="T55" s="841">
        <f t="shared" si="8"/>
        <v>0</v>
      </c>
      <c r="U55" s="579">
        <v>52.682000000000002</v>
      </c>
      <c r="V55" s="841">
        <f t="shared" si="9"/>
        <v>53</v>
      </c>
      <c r="W55" s="579">
        <v>51.161000000000001</v>
      </c>
      <c r="X55" s="841">
        <f t="shared" si="10"/>
        <v>51</v>
      </c>
      <c r="Y55" s="575">
        <v>0.40200000000000002</v>
      </c>
      <c r="Z55" s="841">
        <f t="shared" si="11"/>
        <v>0</v>
      </c>
      <c r="AA55" s="575">
        <v>0</v>
      </c>
      <c r="AB55" s="575">
        <v>0</v>
      </c>
      <c r="AC55" s="575">
        <v>12.752000000000001</v>
      </c>
      <c r="AD55" s="578">
        <v>0.98099999999999998</v>
      </c>
      <c r="AE55" s="578">
        <v>0.17</v>
      </c>
      <c r="AF55" s="578">
        <v>0.94599999999999995</v>
      </c>
      <c r="AG55" s="578">
        <v>18.734000000000002</v>
      </c>
      <c r="AH55" s="599">
        <v>0.39900000000000002</v>
      </c>
    </row>
    <row r="56" spans="1:42" s="465" customFormat="1" ht="15" customHeight="1" thickBot="1">
      <c r="A56" s="497" t="s">
        <v>296</v>
      </c>
      <c r="B56" s="498" t="s">
        <v>324</v>
      </c>
      <c r="C56" s="678">
        <v>248.99700000000001</v>
      </c>
      <c r="D56" s="841">
        <f t="shared" si="0"/>
        <v>250</v>
      </c>
      <c r="E56" s="678">
        <v>0</v>
      </c>
      <c r="F56" s="841">
        <f t="shared" si="1"/>
        <v>0</v>
      </c>
      <c r="G56" s="678">
        <v>0</v>
      </c>
      <c r="H56" s="835">
        <f t="shared" si="2"/>
        <v>0</v>
      </c>
      <c r="I56" s="678">
        <v>0</v>
      </c>
      <c r="J56" s="835">
        <f t="shared" si="3"/>
        <v>0</v>
      </c>
      <c r="K56" s="678">
        <v>0</v>
      </c>
      <c r="L56" s="835">
        <f t="shared" si="4"/>
        <v>0</v>
      </c>
      <c r="M56" s="678">
        <v>0</v>
      </c>
      <c r="N56" s="841">
        <f t="shared" si="5"/>
        <v>0</v>
      </c>
      <c r="O56" s="678">
        <v>49.322000000000003</v>
      </c>
      <c r="P56" s="841">
        <f t="shared" si="6"/>
        <v>50</v>
      </c>
      <c r="Q56" s="678">
        <v>63.204999999999998</v>
      </c>
      <c r="R56" s="841">
        <f t="shared" si="7"/>
        <v>63</v>
      </c>
      <c r="S56" s="678">
        <v>2.4E-2</v>
      </c>
      <c r="T56" s="841">
        <f t="shared" si="8"/>
        <v>0</v>
      </c>
      <c r="U56" s="678">
        <v>61.420999999999999</v>
      </c>
      <c r="V56" s="841">
        <f t="shared" si="9"/>
        <v>61</v>
      </c>
      <c r="W56" s="678">
        <v>61.420999999999999</v>
      </c>
      <c r="X56" s="841">
        <f t="shared" si="10"/>
        <v>61</v>
      </c>
      <c r="Y56" s="679">
        <v>0.13300000000000001</v>
      </c>
      <c r="Z56" s="841">
        <f t="shared" si="11"/>
        <v>0</v>
      </c>
      <c r="AA56" s="679">
        <v>0</v>
      </c>
      <c r="AB56" s="679">
        <v>0</v>
      </c>
      <c r="AC56" s="680">
        <v>8.0030000000000001</v>
      </c>
      <c r="AD56" s="680">
        <v>0.61599999999999999</v>
      </c>
      <c r="AE56" s="1160">
        <v>5.8999999999999997E-2</v>
      </c>
      <c r="AF56" s="680">
        <v>0.33</v>
      </c>
      <c r="AG56" s="680">
        <v>0.84699999999999998</v>
      </c>
      <c r="AH56" s="681">
        <v>1.7999999999999999E-2</v>
      </c>
    </row>
    <row r="57" spans="1:42" s="465" customFormat="1" ht="15" customHeight="1" thickBot="1">
      <c r="A57" s="497" t="s">
        <v>296</v>
      </c>
      <c r="B57" s="498" t="s">
        <v>180</v>
      </c>
      <c r="C57" s="678">
        <v>235.05199999999999</v>
      </c>
      <c r="D57" s="841">
        <f t="shared" si="0"/>
        <v>240</v>
      </c>
      <c r="E57" s="678">
        <v>0</v>
      </c>
      <c r="F57" s="841">
        <f t="shared" si="1"/>
        <v>0</v>
      </c>
      <c r="G57" s="678">
        <v>0</v>
      </c>
      <c r="H57" s="835">
        <f t="shared" si="2"/>
        <v>0</v>
      </c>
      <c r="I57" s="678">
        <v>0</v>
      </c>
      <c r="J57" s="835">
        <f t="shared" si="3"/>
        <v>0</v>
      </c>
      <c r="K57" s="678">
        <v>0</v>
      </c>
      <c r="L57" s="835">
        <f t="shared" si="4"/>
        <v>0</v>
      </c>
      <c r="M57" s="678">
        <v>0</v>
      </c>
      <c r="N57" s="841">
        <f t="shared" si="5"/>
        <v>0</v>
      </c>
      <c r="O57" s="678">
        <v>106.051</v>
      </c>
      <c r="P57" s="841">
        <f t="shared" si="6"/>
        <v>105</v>
      </c>
      <c r="Q57" s="678">
        <v>60.137999999999998</v>
      </c>
      <c r="R57" s="841">
        <f t="shared" si="7"/>
        <v>60</v>
      </c>
      <c r="S57" s="678">
        <v>2.1999999999999999E-2</v>
      </c>
      <c r="T57" s="841">
        <f t="shared" si="8"/>
        <v>0</v>
      </c>
      <c r="U57" s="678">
        <v>54.720999999999997</v>
      </c>
      <c r="V57" s="841">
        <f t="shared" si="9"/>
        <v>55</v>
      </c>
      <c r="W57" s="678">
        <v>54.720999999999997</v>
      </c>
      <c r="X57" s="841">
        <f t="shared" si="10"/>
        <v>55</v>
      </c>
      <c r="Y57" s="679">
        <v>3.0000000000000001E-3</v>
      </c>
      <c r="Z57" s="841">
        <f t="shared" si="11"/>
        <v>0</v>
      </c>
      <c r="AA57" s="679">
        <v>0</v>
      </c>
      <c r="AB57" s="679">
        <v>0</v>
      </c>
      <c r="AC57" s="679">
        <v>8.1579999999999995</v>
      </c>
      <c r="AD57" s="680">
        <v>0.628</v>
      </c>
      <c r="AE57" s="680">
        <v>0.55200000000000005</v>
      </c>
      <c r="AF57" s="680">
        <v>3.0649999999999999</v>
      </c>
      <c r="AG57" s="680">
        <v>21.021999999999998</v>
      </c>
      <c r="AH57" s="681">
        <v>0.44700000000000001</v>
      </c>
    </row>
    <row r="58" spans="1:42" s="465" customFormat="1" ht="15" customHeight="1" thickBot="1">
      <c r="A58" s="497" t="s">
        <v>296</v>
      </c>
      <c r="B58" s="482" t="s">
        <v>315</v>
      </c>
      <c r="C58" s="714">
        <v>199.65799999999999</v>
      </c>
      <c r="D58" s="841">
        <f t="shared" si="0"/>
        <v>200</v>
      </c>
      <c r="E58" s="714">
        <v>6.0000000000000001E-3</v>
      </c>
      <c r="F58" s="841">
        <f t="shared" si="1"/>
        <v>0</v>
      </c>
      <c r="G58" s="714">
        <v>1E-3</v>
      </c>
      <c r="H58" s="835">
        <f t="shared" si="2"/>
        <v>0</v>
      </c>
      <c r="I58" s="714">
        <v>0</v>
      </c>
      <c r="J58" s="835">
        <f t="shared" si="3"/>
        <v>0</v>
      </c>
      <c r="K58" s="714">
        <v>0</v>
      </c>
      <c r="L58" s="835">
        <f t="shared" si="4"/>
        <v>0</v>
      </c>
      <c r="M58" s="714">
        <v>0</v>
      </c>
      <c r="N58" s="841">
        <f t="shared" si="5"/>
        <v>0</v>
      </c>
      <c r="O58" s="714">
        <v>35.704000000000001</v>
      </c>
      <c r="P58" s="841">
        <f t="shared" si="6"/>
        <v>35</v>
      </c>
      <c r="Q58" s="714">
        <v>49.283000000000001</v>
      </c>
      <c r="R58" s="841">
        <f t="shared" si="7"/>
        <v>49</v>
      </c>
      <c r="S58" s="714">
        <v>5.8999999999999997E-2</v>
      </c>
      <c r="T58" s="841">
        <f t="shared" si="8"/>
        <v>0</v>
      </c>
      <c r="U58" s="714">
        <v>46.65</v>
      </c>
      <c r="V58" s="841">
        <f t="shared" si="9"/>
        <v>47</v>
      </c>
      <c r="W58" s="714">
        <v>46.65</v>
      </c>
      <c r="X58" s="841">
        <f t="shared" si="10"/>
        <v>47</v>
      </c>
      <c r="Y58" s="714">
        <v>0.23499999999999999</v>
      </c>
      <c r="Z58" s="841">
        <f t="shared" si="11"/>
        <v>0</v>
      </c>
      <c r="AA58" s="714">
        <v>0</v>
      </c>
      <c r="AB58" s="714">
        <v>0</v>
      </c>
      <c r="AC58" s="714">
        <v>9.0879999999999992</v>
      </c>
      <c r="AD58" s="714">
        <v>0.69899999999999995</v>
      </c>
      <c r="AE58" s="714">
        <v>3.7999999999999999E-2</v>
      </c>
      <c r="AF58" s="714">
        <v>0.21</v>
      </c>
      <c r="AG58" s="714">
        <v>11.332000000000001</v>
      </c>
      <c r="AH58" s="714">
        <v>0.24099999999999999</v>
      </c>
    </row>
    <row r="59" spans="1:42" s="465" customFormat="1" ht="15" customHeight="1" thickBot="1">
      <c r="A59" s="497" t="s">
        <v>92</v>
      </c>
      <c r="B59" s="479" t="s">
        <v>94</v>
      </c>
      <c r="C59" s="579">
        <v>300.19600000000003</v>
      </c>
      <c r="D59" s="841">
        <f t="shared" si="0"/>
        <v>300</v>
      </c>
      <c r="E59" s="579">
        <v>9.2040000000000006</v>
      </c>
      <c r="F59" s="841">
        <f t="shared" si="1"/>
        <v>10</v>
      </c>
      <c r="G59" s="579">
        <v>3.7029999999999998</v>
      </c>
      <c r="H59" s="835">
        <f t="shared" si="2"/>
        <v>3.5</v>
      </c>
      <c r="I59" s="579">
        <v>3.0019999999999998</v>
      </c>
      <c r="J59" s="835">
        <f t="shared" si="3"/>
        <v>3</v>
      </c>
      <c r="K59" s="579">
        <v>0.01</v>
      </c>
      <c r="L59" s="835">
        <f t="shared" si="4"/>
        <v>0</v>
      </c>
      <c r="M59" s="579">
        <v>0</v>
      </c>
      <c r="N59" s="841">
        <f t="shared" si="5"/>
        <v>0</v>
      </c>
      <c r="O59" s="579">
        <v>155.702</v>
      </c>
      <c r="P59" s="841">
        <f t="shared" si="6"/>
        <v>160</v>
      </c>
      <c r="Q59" s="579">
        <v>66.751999999999995</v>
      </c>
      <c r="R59" s="841">
        <f t="shared" si="7"/>
        <v>67</v>
      </c>
      <c r="S59" s="579">
        <v>0.107</v>
      </c>
      <c r="T59" s="841">
        <f t="shared" si="8"/>
        <v>0</v>
      </c>
      <c r="U59" s="579">
        <v>59.823</v>
      </c>
      <c r="V59" s="841">
        <f t="shared" si="9"/>
        <v>60</v>
      </c>
      <c r="W59" s="579">
        <v>51.732999999999997</v>
      </c>
      <c r="X59" s="841">
        <f t="shared" si="10"/>
        <v>52</v>
      </c>
      <c r="Y59" s="575">
        <v>0.56699999999999995</v>
      </c>
      <c r="Z59" s="841" t="str">
        <f t="shared" si="11"/>
        <v>less than 1 g</v>
      </c>
      <c r="AA59" s="575">
        <v>0</v>
      </c>
      <c r="AB59" s="575">
        <v>0</v>
      </c>
      <c r="AC59" s="575">
        <v>33.151000000000003</v>
      </c>
      <c r="AD59" s="1161">
        <v>2.5499999999999998</v>
      </c>
      <c r="AE59" s="1161">
        <v>0.248</v>
      </c>
      <c r="AF59" s="1161">
        <v>1.3759999999999999</v>
      </c>
      <c r="AG59" s="1161">
        <v>6.3250000000000002</v>
      </c>
      <c r="AH59" s="1161">
        <v>0.13500000000000001</v>
      </c>
    </row>
    <row r="60" spans="1:42" s="465" customFormat="1" ht="15" customHeight="1" thickBot="1">
      <c r="A60" s="497" t="s">
        <v>92</v>
      </c>
      <c r="B60" s="478" t="s">
        <v>93</v>
      </c>
      <c r="C60" s="1161">
        <v>283.142</v>
      </c>
      <c r="D60" s="841">
        <f t="shared" si="0"/>
        <v>280</v>
      </c>
      <c r="E60" s="1161">
        <v>13.7</v>
      </c>
      <c r="F60" s="841">
        <f t="shared" si="1"/>
        <v>15</v>
      </c>
      <c r="G60" s="1161">
        <v>4.1950000000000003</v>
      </c>
      <c r="H60" s="835">
        <f t="shared" si="2"/>
        <v>4</v>
      </c>
      <c r="I60" s="1161">
        <v>3.2509999999999999</v>
      </c>
      <c r="J60" s="835">
        <f t="shared" si="3"/>
        <v>3.5</v>
      </c>
      <c r="K60" s="1161">
        <v>2E-3</v>
      </c>
      <c r="L60" s="835">
        <f t="shared" si="4"/>
        <v>0</v>
      </c>
      <c r="M60" s="1161">
        <v>0</v>
      </c>
      <c r="N60" s="841">
        <f t="shared" si="5"/>
        <v>0</v>
      </c>
      <c r="O60" s="1161">
        <v>60.194000000000003</v>
      </c>
      <c r="P60" s="841">
        <f t="shared" si="6"/>
        <v>60</v>
      </c>
      <c r="Q60" s="1161">
        <v>66.567999999999998</v>
      </c>
      <c r="R60" s="841">
        <f t="shared" si="7"/>
        <v>67</v>
      </c>
      <c r="S60" s="1161">
        <v>0.56699999999999995</v>
      </c>
      <c r="T60" s="841" t="str">
        <f t="shared" si="8"/>
        <v>less than 1 g</v>
      </c>
      <c r="U60" s="1161">
        <v>62.567999999999998</v>
      </c>
      <c r="V60" s="841">
        <f t="shared" si="9"/>
        <v>63</v>
      </c>
      <c r="W60" s="1161">
        <v>56.759</v>
      </c>
      <c r="X60" s="841">
        <f t="shared" si="10"/>
        <v>57</v>
      </c>
      <c r="Y60" s="1161">
        <v>0.52</v>
      </c>
      <c r="Z60" s="841" t="str">
        <f t="shared" si="11"/>
        <v>less than 1 g</v>
      </c>
      <c r="AA60" s="1161">
        <v>0.01</v>
      </c>
      <c r="AB60" s="1161">
        <v>5.0999999999999997E-2</v>
      </c>
      <c r="AC60" s="1161">
        <v>12.609</v>
      </c>
      <c r="AD60" s="1161">
        <v>0.97</v>
      </c>
      <c r="AE60" s="1161">
        <v>0.45200000000000001</v>
      </c>
      <c r="AF60" s="1161">
        <v>2.5129999999999999</v>
      </c>
      <c r="AG60" s="1161">
        <v>60.000999999999998</v>
      </c>
      <c r="AH60" s="1161">
        <v>1.2769999999999999</v>
      </c>
    </row>
    <row r="61" spans="1:42" s="465" customFormat="1" ht="15" customHeight="1" thickBot="1">
      <c r="A61" s="497" t="s">
        <v>92</v>
      </c>
      <c r="B61" s="478" t="s">
        <v>95</v>
      </c>
      <c r="C61" s="579">
        <v>321.815</v>
      </c>
      <c r="D61" s="841">
        <f t="shared" si="0"/>
        <v>320</v>
      </c>
      <c r="E61" s="579">
        <v>18.701000000000001</v>
      </c>
      <c r="F61" s="841">
        <f t="shared" si="1"/>
        <v>20</v>
      </c>
      <c r="G61" s="579">
        <v>4.7460000000000004</v>
      </c>
      <c r="H61" s="835">
        <f t="shared" si="2"/>
        <v>4.5</v>
      </c>
      <c r="I61" s="579">
        <v>3.8140000000000001</v>
      </c>
      <c r="J61" s="835">
        <f t="shared" si="3"/>
        <v>4</v>
      </c>
      <c r="K61" s="579">
        <v>4.3999999999999997E-2</v>
      </c>
      <c r="L61" s="835">
        <f t="shared" si="4"/>
        <v>0</v>
      </c>
      <c r="M61" s="579">
        <v>5.1619999999999999</v>
      </c>
      <c r="N61" s="841">
        <f t="shared" si="5"/>
        <v>5</v>
      </c>
      <c r="O61" s="1160">
        <v>68.512</v>
      </c>
      <c r="P61" s="841">
        <f t="shared" si="6"/>
        <v>70</v>
      </c>
      <c r="Q61" s="579">
        <v>68.97</v>
      </c>
      <c r="R61" s="841">
        <f t="shared" si="7"/>
        <v>69</v>
      </c>
      <c r="S61" s="579">
        <v>2.1999999999999999E-2</v>
      </c>
      <c r="T61" s="841">
        <f t="shared" si="8"/>
        <v>0</v>
      </c>
      <c r="U61" s="579">
        <v>63.802999999999997</v>
      </c>
      <c r="V61" s="841">
        <f t="shared" si="9"/>
        <v>64</v>
      </c>
      <c r="W61" s="579">
        <v>62.697000000000003</v>
      </c>
      <c r="X61" s="841">
        <f t="shared" si="10"/>
        <v>63</v>
      </c>
      <c r="Y61" s="575">
        <v>0.59299999999999997</v>
      </c>
      <c r="Z61" s="841" t="str">
        <f t="shared" si="11"/>
        <v>less than 1 g</v>
      </c>
      <c r="AA61" s="575">
        <v>0</v>
      </c>
      <c r="AB61" s="575">
        <v>0</v>
      </c>
      <c r="AC61" s="575">
        <v>20.103999999999999</v>
      </c>
      <c r="AD61" s="1161">
        <v>1.546</v>
      </c>
      <c r="AE61" s="1161">
        <v>8.7999999999999995E-2</v>
      </c>
      <c r="AF61" s="1161">
        <v>0.49</v>
      </c>
      <c r="AG61" s="1161">
        <v>18.004999999999999</v>
      </c>
      <c r="AH61" s="1161">
        <v>0.38300000000000001</v>
      </c>
    </row>
    <row r="62" spans="1:42" s="465" customFormat="1" ht="15" customHeight="1" thickBot="1">
      <c r="A62" s="497" t="s">
        <v>92</v>
      </c>
      <c r="B62" s="478" t="s">
        <v>182</v>
      </c>
      <c r="C62" s="714">
        <v>332.24900000000002</v>
      </c>
      <c r="D62" s="841">
        <f t="shared" si="0"/>
        <v>330</v>
      </c>
      <c r="E62" s="714">
        <v>22.282</v>
      </c>
      <c r="F62" s="841">
        <f t="shared" si="1"/>
        <v>20</v>
      </c>
      <c r="G62" s="714">
        <v>5.1820000000000004</v>
      </c>
      <c r="H62" s="835">
        <f t="shared" si="2"/>
        <v>5</v>
      </c>
      <c r="I62" s="714">
        <v>3.9279999999999999</v>
      </c>
      <c r="J62" s="835">
        <f t="shared" si="3"/>
        <v>4</v>
      </c>
      <c r="K62" s="714">
        <v>0</v>
      </c>
      <c r="L62" s="835">
        <f t="shared" si="4"/>
        <v>0</v>
      </c>
      <c r="M62" s="714">
        <v>2.1219999999999999</v>
      </c>
      <c r="N62" s="841" t="str">
        <f t="shared" si="5"/>
        <v>less than 5 mg</v>
      </c>
      <c r="O62" s="714">
        <v>99.956000000000003</v>
      </c>
      <c r="P62" s="841">
        <f t="shared" si="6"/>
        <v>100</v>
      </c>
      <c r="Q62" s="714">
        <v>71.191000000000003</v>
      </c>
      <c r="R62" s="841">
        <f t="shared" si="7"/>
        <v>71</v>
      </c>
      <c r="S62" s="714">
        <v>0.45300000000000001</v>
      </c>
      <c r="T62" s="841">
        <f t="shared" si="8"/>
        <v>0</v>
      </c>
      <c r="U62" s="714">
        <v>63.457000000000001</v>
      </c>
      <c r="V62" s="841">
        <f t="shared" si="9"/>
        <v>63</v>
      </c>
      <c r="W62" s="714">
        <v>63.212000000000003</v>
      </c>
      <c r="X62" s="841">
        <f t="shared" si="10"/>
        <v>63</v>
      </c>
      <c r="Y62" s="718">
        <v>0.93300000000000005</v>
      </c>
      <c r="Z62" s="841" t="str">
        <f t="shared" si="11"/>
        <v>less than 1 g</v>
      </c>
      <c r="AA62" s="718">
        <v>1E-3</v>
      </c>
      <c r="AB62" s="718">
        <v>3.0000000000000001E-3</v>
      </c>
      <c r="AC62" s="718">
        <v>13.773999999999999</v>
      </c>
      <c r="AD62" s="825">
        <v>1.06</v>
      </c>
      <c r="AE62" s="825">
        <v>0.48699999999999999</v>
      </c>
      <c r="AF62" s="825">
        <v>2.706</v>
      </c>
      <c r="AG62" s="825">
        <v>72.837000000000003</v>
      </c>
      <c r="AH62" s="825">
        <v>1.55</v>
      </c>
      <c r="AI62" s="813"/>
      <c r="AJ62" s="813"/>
      <c r="AK62" s="813"/>
      <c r="AL62" s="813"/>
      <c r="AM62" s="813"/>
      <c r="AN62" s="813"/>
      <c r="AO62" s="813"/>
      <c r="AP62" s="813"/>
    </row>
    <row r="63" spans="1:42" s="465" customFormat="1" ht="15" customHeight="1" thickBot="1">
      <c r="A63" s="497" t="s">
        <v>92</v>
      </c>
      <c r="B63" s="478" t="s">
        <v>98</v>
      </c>
      <c r="C63" s="714">
        <v>310.07600000000002</v>
      </c>
      <c r="D63" s="841">
        <f t="shared" si="0"/>
        <v>310</v>
      </c>
      <c r="E63" s="714">
        <v>18.812000000000001</v>
      </c>
      <c r="F63" s="841">
        <f t="shared" si="1"/>
        <v>20</v>
      </c>
      <c r="G63" s="714">
        <v>4.774</v>
      </c>
      <c r="H63" s="835">
        <f t="shared" si="2"/>
        <v>5</v>
      </c>
      <c r="I63" s="714">
        <v>3.8359999999999999</v>
      </c>
      <c r="J63" s="835">
        <f t="shared" si="3"/>
        <v>4</v>
      </c>
      <c r="K63" s="714">
        <v>4.3999999999999997E-2</v>
      </c>
      <c r="L63" s="835">
        <f t="shared" si="4"/>
        <v>0</v>
      </c>
      <c r="M63" s="714">
        <v>5.1929999999999996</v>
      </c>
      <c r="N63" s="841">
        <f t="shared" si="5"/>
        <v>5</v>
      </c>
      <c r="O63" s="714">
        <v>69.286000000000001</v>
      </c>
      <c r="P63" s="841">
        <f t="shared" si="6"/>
        <v>70</v>
      </c>
      <c r="Q63" s="714">
        <v>66.650000000000006</v>
      </c>
      <c r="R63" s="841">
        <f t="shared" si="7"/>
        <v>67</v>
      </c>
      <c r="S63" s="714">
        <v>2.1999999999999999E-2</v>
      </c>
      <c r="T63" s="841">
        <f t="shared" si="8"/>
        <v>0</v>
      </c>
      <c r="U63" s="714">
        <v>60.728000000000002</v>
      </c>
      <c r="V63" s="841">
        <f t="shared" si="9"/>
        <v>61</v>
      </c>
      <c r="W63" s="714">
        <v>60.338999999999999</v>
      </c>
      <c r="X63" s="841">
        <f t="shared" si="10"/>
        <v>60</v>
      </c>
      <c r="Y63" s="718">
        <v>0.59599999999999997</v>
      </c>
      <c r="Z63" s="841" t="str">
        <f t="shared" si="11"/>
        <v>less than 1 g</v>
      </c>
      <c r="AA63" s="718">
        <v>0</v>
      </c>
      <c r="AB63" s="718">
        <v>0</v>
      </c>
      <c r="AC63" s="718">
        <v>17.768999999999998</v>
      </c>
      <c r="AD63" s="715">
        <v>1.367</v>
      </c>
      <c r="AE63" s="715">
        <v>8.8999999999999996E-2</v>
      </c>
      <c r="AF63" s="715">
        <v>0.49299999999999999</v>
      </c>
      <c r="AG63" s="715">
        <v>15.382</v>
      </c>
      <c r="AH63" s="715">
        <v>0.32700000000000001</v>
      </c>
      <c r="AI63" s="813"/>
      <c r="AJ63" s="813"/>
      <c r="AK63" s="813"/>
      <c r="AL63" s="813"/>
      <c r="AM63" s="813"/>
      <c r="AN63" s="813"/>
      <c r="AO63" s="813"/>
      <c r="AP63" s="813"/>
    </row>
    <row r="64" spans="1:42" s="465" customFormat="1" ht="15" customHeight="1" thickBot="1">
      <c r="A64" s="497" t="s">
        <v>92</v>
      </c>
      <c r="B64" s="478" t="s">
        <v>99</v>
      </c>
      <c r="C64" s="578">
        <v>310.93200000000002</v>
      </c>
      <c r="D64" s="841">
        <f t="shared" si="0"/>
        <v>310</v>
      </c>
      <c r="E64" s="578">
        <v>38.152999999999999</v>
      </c>
      <c r="F64" s="841">
        <f t="shared" si="1"/>
        <v>40</v>
      </c>
      <c r="G64" s="578">
        <v>6.931</v>
      </c>
      <c r="H64" s="835">
        <f t="shared" si="2"/>
        <v>7</v>
      </c>
      <c r="I64" s="578">
        <v>5.133</v>
      </c>
      <c r="J64" s="835">
        <f t="shared" si="3"/>
        <v>5</v>
      </c>
      <c r="K64" s="578">
        <v>4.3999999999999997E-2</v>
      </c>
      <c r="L64" s="835">
        <f t="shared" si="4"/>
        <v>0</v>
      </c>
      <c r="M64" s="578">
        <v>5.2069999999999999</v>
      </c>
      <c r="N64" s="841">
        <f t="shared" si="5"/>
        <v>5</v>
      </c>
      <c r="O64" s="578">
        <v>69.126000000000005</v>
      </c>
      <c r="P64" s="841">
        <f t="shared" si="6"/>
        <v>70</v>
      </c>
      <c r="Q64" s="578">
        <v>72.557000000000002</v>
      </c>
      <c r="R64" s="841">
        <f t="shared" si="7"/>
        <v>73</v>
      </c>
      <c r="S64" s="578">
        <v>0.627</v>
      </c>
      <c r="T64" s="841" t="str">
        <f t="shared" si="8"/>
        <v>less than 1 g</v>
      </c>
      <c r="U64" s="578">
        <v>65.626999999999995</v>
      </c>
      <c r="V64" s="841">
        <f t="shared" si="9"/>
        <v>66</v>
      </c>
      <c r="W64" s="578">
        <v>60.506</v>
      </c>
      <c r="X64" s="841">
        <f t="shared" si="10"/>
        <v>61</v>
      </c>
      <c r="Y64" s="578">
        <v>0.98399999999999999</v>
      </c>
      <c r="Z64" s="841" t="str">
        <f t="shared" si="11"/>
        <v>less than 1 g</v>
      </c>
      <c r="AA64" s="578">
        <v>1.7999999999999999E-2</v>
      </c>
      <c r="AB64" s="578">
        <v>0.09</v>
      </c>
      <c r="AC64" s="578">
        <v>20.483000000000001</v>
      </c>
      <c r="AD64" s="578">
        <v>1.5760000000000001</v>
      </c>
      <c r="AE64" s="578">
        <v>0.75</v>
      </c>
      <c r="AF64" s="578">
        <v>4.1639999999999997</v>
      </c>
      <c r="AG64" s="578">
        <v>49.179000000000002</v>
      </c>
      <c r="AH64" s="578">
        <v>1.046</v>
      </c>
    </row>
    <row r="65" spans="1:34" s="465" customFormat="1" ht="15" customHeight="1" thickBot="1">
      <c r="A65" s="497" t="s">
        <v>92</v>
      </c>
      <c r="B65" s="478" t="s">
        <v>100</v>
      </c>
      <c r="C65" s="578">
        <v>293.85899999999998</v>
      </c>
      <c r="D65" s="841">
        <f t="shared" si="0"/>
        <v>290</v>
      </c>
      <c r="E65" s="578">
        <v>16.776</v>
      </c>
      <c r="F65" s="841">
        <f t="shared" si="1"/>
        <v>15</v>
      </c>
      <c r="G65" s="578">
        <v>4.5540000000000003</v>
      </c>
      <c r="H65" s="835">
        <f t="shared" si="2"/>
        <v>4.5</v>
      </c>
      <c r="I65" s="578">
        <v>3.8959999999999999</v>
      </c>
      <c r="J65" s="835">
        <f t="shared" si="3"/>
        <v>4</v>
      </c>
      <c r="K65" s="578">
        <v>2E-3</v>
      </c>
      <c r="L65" s="835">
        <f t="shared" si="4"/>
        <v>0</v>
      </c>
      <c r="M65" s="578">
        <v>1E-3</v>
      </c>
      <c r="N65" s="841">
        <f t="shared" si="5"/>
        <v>0</v>
      </c>
      <c r="O65" s="578">
        <v>75.631</v>
      </c>
      <c r="P65" s="841">
        <f t="shared" si="6"/>
        <v>75</v>
      </c>
      <c r="Q65" s="578">
        <v>68.888000000000005</v>
      </c>
      <c r="R65" s="841">
        <f t="shared" si="7"/>
        <v>69</v>
      </c>
      <c r="S65" s="578">
        <v>0.65300000000000002</v>
      </c>
      <c r="T65" s="841" t="str">
        <f t="shared" si="8"/>
        <v>less than 1 g</v>
      </c>
      <c r="U65" s="578">
        <v>63.558</v>
      </c>
      <c r="V65" s="841">
        <f t="shared" si="9"/>
        <v>64</v>
      </c>
      <c r="W65" s="578">
        <v>58.412999999999997</v>
      </c>
      <c r="X65" s="841">
        <f t="shared" si="10"/>
        <v>58</v>
      </c>
      <c r="Y65" s="578">
        <v>0.71699999999999997</v>
      </c>
      <c r="Z65" s="841" t="str">
        <f t="shared" si="11"/>
        <v>less than 1 g</v>
      </c>
      <c r="AA65" s="578">
        <v>8.9999999999999993E-3</v>
      </c>
      <c r="AB65" s="578">
        <v>4.4999999999999998E-2</v>
      </c>
      <c r="AC65" s="578">
        <v>12.597</v>
      </c>
      <c r="AD65" s="578">
        <v>0.96899999999999997</v>
      </c>
      <c r="AE65" s="578">
        <v>0.59799999999999998</v>
      </c>
      <c r="AF65" s="578">
        <v>3.3210000000000002</v>
      </c>
      <c r="AG65" s="578">
        <v>90.608999999999995</v>
      </c>
      <c r="AH65" s="578">
        <v>1.9279999999999999</v>
      </c>
    </row>
    <row r="66" spans="1:34" s="465" customFormat="1" ht="15" customHeight="1" thickBot="1">
      <c r="A66" s="497" t="s">
        <v>92</v>
      </c>
      <c r="B66" s="478" t="s">
        <v>101</v>
      </c>
      <c r="C66" s="578">
        <v>280.137</v>
      </c>
      <c r="D66" s="841">
        <f t="shared" si="0"/>
        <v>280</v>
      </c>
      <c r="E66" s="578">
        <v>26.353000000000002</v>
      </c>
      <c r="F66" s="841">
        <f t="shared" si="1"/>
        <v>25</v>
      </c>
      <c r="G66" s="578">
        <v>5.6630000000000003</v>
      </c>
      <c r="H66" s="835">
        <f t="shared" si="2"/>
        <v>6</v>
      </c>
      <c r="I66" s="578">
        <v>4.556</v>
      </c>
      <c r="J66" s="835">
        <f t="shared" si="3"/>
        <v>4.5</v>
      </c>
      <c r="K66" s="578">
        <v>0</v>
      </c>
      <c r="L66" s="835">
        <f t="shared" si="4"/>
        <v>0</v>
      </c>
      <c r="M66" s="578">
        <v>1E-3</v>
      </c>
      <c r="N66" s="841">
        <f t="shared" si="5"/>
        <v>0</v>
      </c>
      <c r="O66" s="578">
        <v>82.605000000000004</v>
      </c>
      <c r="P66" s="841">
        <f t="shared" si="6"/>
        <v>85</v>
      </c>
      <c r="Q66" s="578">
        <v>67.921000000000006</v>
      </c>
      <c r="R66" s="841">
        <f t="shared" si="7"/>
        <v>68</v>
      </c>
      <c r="S66" s="578">
        <v>0.92500000000000004</v>
      </c>
      <c r="T66" s="841" t="str">
        <f t="shared" si="8"/>
        <v>less than 1 g</v>
      </c>
      <c r="U66" s="578">
        <v>62.290999999999997</v>
      </c>
      <c r="V66" s="841">
        <f t="shared" si="9"/>
        <v>62</v>
      </c>
      <c r="W66" s="578">
        <v>57.061</v>
      </c>
      <c r="X66" s="841">
        <f t="shared" si="10"/>
        <v>57</v>
      </c>
      <c r="Y66" s="578">
        <v>1.012</v>
      </c>
      <c r="Z66" s="841">
        <f t="shared" si="11"/>
        <v>1</v>
      </c>
      <c r="AA66" s="578">
        <v>1.7999999999999999E-2</v>
      </c>
      <c r="AB66" s="578">
        <v>9.1999999999999998E-2</v>
      </c>
      <c r="AC66" s="578">
        <v>15.569000000000001</v>
      </c>
      <c r="AD66" s="578">
        <v>1.198</v>
      </c>
      <c r="AE66" s="578">
        <v>1.008</v>
      </c>
      <c r="AF66" s="578">
        <v>5.5979999999999999</v>
      </c>
      <c r="AG66" s="578">
        <v>76.311000000000007</v>
      </c>
      <c r="AH66" s="578">
        <v>1.6240000000000001</v>
      </c>
    </row>
    <row r="67" spans="1:34" s="824" customFormat="1" ht="15" customHeight="1" thickBot="1">
      <c r="A67" s="497" t="s">
        <v>92</v>
      </c>
      <c r="B67" s="478" t="s">
        <v>102</v>
      </c>
      <c r="C67" s="714">
        <v>304.21100000000001</v>
      </c>
      <c r="D67" s="841">
        <f t="shared" si="0"/>
        <v>300</v>
      </c>
      <c r="E67" s="714">
        <v>16.53</v>
      </c>
      <c r="F67" s="841">
        <f t="shared" si="1"/>
        <v>15</v>
      </c>
      <c r="G67" s="714">
        <v>4.5529999999999999</v>
      </c>
      <c r="H67" s="835">
        <f t="shared" si="2"/>
        <v>4.5</v>
      </c>
      <c r="I67" s="714">
        <v>3.9809999999999999</v>
      </c>
      <c r="J67" s="835">
        <f t="shared" si="3"/>
        <v>4</v>
      </c>
      <c r="K67" s="714">
        <v>5.2999999999999999E-2</v>
      </c>
      <c r="L67" s="835">
        <f t="shared" si="4"/>
        <v>0</v>
      </c>
      <c r="M67" s="714">
        <v>0</v>
      </c>
      <c r="N67" s="841">
        <f t="shared" si="5"/>
        <v>0</v>
      </c>
      <c r="O67" s="714">
        <v>67.203999999999994</v>
      </c>
      <c r="P67" s="841">
        <f t="shared" si="6"/>
        <v>65</v>
      </c>
      <c r="Q67" s="714">
        <v>66.087999999999994</v>
      </c>
      <c r="R67" s="841">
        <f t="shared" si="7"/>
        <v>66</v>
      </c>
      <c r="S67" s="714">
        <v>0.44400000000000001</v>
      </c>
      <c r="T67" s="841">
        <f t="shared" si="8"/>
        <v>0</v>
      </c>
      <c r="U67" s="714">
        <v>61.845999999999997</v>
      </c>
      <c r="V67" s="841">
        <f t="shared" si="9"/>
        <v>62</v>
      </c>
      <c r="W67" s="714">
        <v>55.47</v>
      </c>
      <c r="X67" s="841">
        <f t="shared" si="10"/>
        <v>55</v>
      </c>
      <c r="Y67" s="718">
        <v>0.25</v>
      </c>
      <c r="Z67" s="841">
        <f t="shared" si="11"/>
        <v>0</v>
      </c>
      <c r="AA67" s="718">
        <v>0</v>
      </c>
      <c r="AB67" s="718">
        <v>0</v>
      </c>
      <c r="AC67" s="718">
        <v>9.1639999999999997</v>
      </c>
      <c r="AD67" s="715">
        <v>0.70499999999999996</v>
      </c>
      <c r="AE67" s="715">
        <v>0.129</v>
      </c>
      <c r="AF67" s="715">
        <v>0.71499999999999997</v>
      </c>
      <c r="AG67" s="715">
        <v>9.1340000000000003</v>
      </c>
      <c r="AH67" s="715">
        <v>0.19400000000000001</v>
      </c>
    </row>
    <row r="68" spans="1:34" s="723" customFormat="1" ht="15" customHeight="1" thickBot="1">
      <c r="A68" s="497" t="s">
        <v>92</v>
      </c>
      <c r="B68" s="478" t="s">
        <v>104</v>
      </c>
      <c r="C68" s="825">
        <v>327.35199999999998</v>
      </c>
      <c r="D68" s="841">
        <f t="shared" si="0"/>
        <v>330</v>
      </c>
      <c r="E68" s="715">
        <v>20.545999999999999</v>
      </c>
      <c r="F68" s="841">
        <f t="shared" si="1"/>
        <v>20</v>
      </c>
      <c r="G68" s="715">
        <v>4.9939999999999998</v>
      </c>
      <c r="H68" s="835">
        <f t="shared" si="2"/>
        <v>5</v>
      </c>
      <c r="I68" s="715">
        <v>3.5510000000000002</v>
      </c>
      <c r="J68" s="835">
        <f t="shared" si="3"/>
        <v>3.5</v>
      </c>
      <c r="K68" s="715">
        <v>0.18</v>
      </c>
      <c r="L68" s="835">
        <f t="shared" si="4"/>
        <v>0</v>
      </c>
      <c r="M68" s="715">
        <v>2.1219999999999999</v>
      </c>
      <c r="N68" s="841" t="str">
        <f t="shared" si="5"/>
        <v>less than 5 mg</v>
      </c>
      <c r="O68" s="715">
        <v>95.647000000000006</v>
      </c>
      <c r="P68" s="841">
        <f t="shared" si="6"/>
        <v>95</v>
      </c>
      <c r="Q68" s="715">
        <v>70.533000000000001</v>
      </c>
      <c r="R68" s="841">
        <f t="shared" si="7"/>
        <v>71</v>
      </c>
      <c r="S68" s="715">
        <v>0.34899999999999998</v>
      </c>
      <c r="T68" s="841">
        <f t="shared" si="8"/>
        <v>0</v>
      </c>
      <c r="U68" s="715">
        <v>63.220999999999997</v>
      </c>
      <c r="V68" s="841">
        <f t="shared" si="9"/>
        <v>63</v>
      </c>
      <c r="W68" s="715">
        <v>61.798999999999999</v>
      </c>
      <c r="X68" s="841">
        <f t="shared" si="10"/>
        <v>62</v>
      </c>
      <c r="Y68" s="715">
        <v>0.73699999999999999</v>
      </c>
      <c r="Z68" s="841" t="str">
        <f t="shared" si="11"/>
        <v>less than 1 g</v>
      </c>
      <c r="AA68" s="715">
        <v>1E-3</v>
      </c>
      <c r="AB68" s="715">
        <v>6.0000000000000001E-3</v>
      </c>
      <c r="AC68" s="715">
        <v>10.170999999999999</v>
      </c>
      <c r="AD68" s="715">
        <v>0.78200000000000003</v>
      </c>
      <c r="AE68" s="715">
        <v>0.38400000000000001</v>
      </c>
      <c r="AF68" s="715">
        <v>2.1339999999999999</v>
      </c>
      <c r="AG68" s="715">
        <v>44.734000000000002</v>
      </c>
      <c r="AH68" s="715">
        <v>0.95199999999999996</v>
      </c>
    </row>
    <row r="69" spans="1:34" s="465" customFormat="1" ht="15" customHeight="1" thickBot="1">
      <c r="A69" s="497" t="s">
        <v>92</v>
      </c>
      <c r="B69" s="478" t="s">
        <v>103</v>
      </c>
      <c r="C69" s="579">
        <v>341.36399999999998</v>
      </c>
      <c r="D69" s="841">
        <f t="shared" ref="D69:D93" si="12">MROUND(C69,10)</f>
        <v>340</v>
      </c>
      <c r="E69" s="579">
        <v>7.1769999999999996</v>
      </c>
      <c r="F69" s="841">
        <f t="shared" ref="F69:F93" si="13">IF(E69&lt;5,0,(IF(E69&gt;50,MROUND(E69,10),MROUND(E69,5))))</f>
        <v>5</v>
      </c>
      <c r="G69" s="579">
        <v>3.4470000000000001</v>
      </c>
      <c r="H69" s="835">
        <f t="shared" ref="H69:H93" si="14">IF(G69&lt;0.5,0,IF(G69&gt;5,MROUND(G69,1),MROUND(G69,0.5)))</f>
        <v>3.5</v>
      </c>
      <c r="I69" s="579">
        <v>2.7029999999999998</v>
      </c>
      <c r="J69" s="835">
        <f t="shared" ref="J69:J93" si="15">IF(I69&lt;0.5,0,IF(I69&gt;5,MROUND(I69,1),MROUND(I69,0.5)))</f>
        <v>2.5</v>
      </c>
      <c r="K69" s="579">
        <v>0</v>
      </c>
      <c r="L69" s="835">
        <f t="shared" ref="L69:L93" si="16">IF(K69&lt;0.5,0,IF(K69&gt;5,MROUND(K69,1),MROUND(K69,0.5)))</f>
        <v>0</v>
      </c>
      <c r="M69" s="579">
        <v>2.7E-2</v>
      </c>
      <c r="N69" s="841">
        <f t="shared" ref="N69:N93" si="17">IF(M69&lt;2,0,IF(M69&gt;5,MROUND(M69,5),"less than 5 mg"))</f>
        <v>0</v>
      </c>
      <c r="O69" s="579">
        <v>65.554000000000002</v>
      </c>
      <c r="P69" s="841">
        <f t="shared" ref="P69:P93" si="18">IF(O69&lt;5,0,IF(O69&gt;140,MROUND(O69,10),MROUND(O69,5)))</f>
        <v>65</v>
      </c>
      <c r="Q69" s="579">
        <v>78.120999999999995</v>
      </c>
      <c r="R69" s="841">
        <f t="shared" ref="R69:R93" si="19">IF(Q69&lt;0.5,0,IF(Q69&gt;1,MROUND(Q69,1),"less than 1 g"))</f>
        <v>78</v>
      </c>
      <c r="S69" s="579">
        <v>9.4E-2</v>
      </c>
      <c r="T69" s="841">
        <f t="shared" ref="T69:T93" si="20">IF(S69&lt;0.5,0,IF(S69&gt;1,MROUND(S69,1),"less than 1 g"))</f>
        <v>0</v>
      </c>
      <c r="U69" s="579">
        <v>73.688999999999993</v>
      </c>
      <c r="V69" s="841">
        <f t="shared" ref="V69:V93" si="21">IF(U69&lt;0.5,0,IF(U69&gt;1,MROUND(U69,1),"less than 1 g"))</f>
        <v>74</v>
      </c>
      <c r="W69" s="579">
        <v>73.507999999999996</v>
      </c>
      <c r="X69" s="841">
        <f t="shared" ref="X69:X93" si="22">IF(W69&lt;0.5,0,IF(W69&gt;1,MROUND(W69,1),"less than 1 g"))</f>
        <v>74</v>
      </c>
      <c r="Y69" s="575">
        <v>0.41399999999999998</v>
      </c>
      <c r="Z69" s="841">
        <f t="shared" ref="Z69:Z93" si="23">IF(Y69&lt;0.5,0,IF(Y69&gt;1,MROUND(Y69,1),"less than 1 g"))</f>
        <v>0</v>
      </c>
      <c r="AA69" s="575">
        <v>0</v>
      </c>
      <c r="AB69" s="575">
        <v>0</v>
      </c>
      <c r="AC69" s="575">
        <v>8.2449999999999992</v>
      </c>
      <c r="AD69" s="578">
        <v>0.63400000000000001</v>
      </c>
      <c r="AE69" s="578">
        <v>0.23899999999999999</v>
      </c>
      <c r="AF69" s="578">
        <v>1.3280000000000001</v>
      </c>
      <c r="AG69" s="578">
        <v>12.784000000000001</v>
      </c>
      <c r="AH69" s="578">
        <v>0.27200000000000002</v>
      </c>
    </row>
    <row r="70" spans="1:34" s="465" customFormat="1" ht="18.899999999999999" thickBot="1">
      <c r="A70" s="497" t="s">
        <v>92</v>
      </c>
      <c r="B70" s="478" t="s">
        <v>318</v>
      </c>
      <c r="C70" s="557">
        <v>300.72300000000001</v>
      </c>
      <c r="D70" s="841">
        <f t="shared" si="12"/>
        <v>300</v>
      </c>
      <c r="E70" s="579">
        <v>2.407</v>
      </c>
      <c r="F70" s="841">
        <f t="shared" si="13"/>
        <v>0</v>
      </c>
      <c r="G70" s="579">
        <v>2.8210000000000002</v>
      </c>
      <c r="H70" s="835">
        <f t="shared" si="14"/>
        <v>3</v>
      </c>
      <c r="I70" s="579">
        <v>2.5259999999999998</v>
      </c>
      <c r="J70" s="835">
        <f t="shared" si="15"/>
        <v>2.5</v>
      </c>
      <c r="K70" s="579">
        <v>0</v>
      </c>
      <c r="L70" s="835">
        <f t="shared" si="16"/>
        <v>0</v>
      </c>
      <c r="M70" s="579">
        <v>0</v>
      </c>
      <c r="N70" s="841">
        <f t="shared" si="17"/>
        <v>0</v>
      </c>
      <c r="O70" s="557">
        <v>73.369</v>
      </c>
      <c r="P70" s="841">
        <f t="shared" si="18"/>
        <v>75</v>
      </c>
      <c r="Q70" s="557">
        <v>70.427000000000007</v>
      </c>
      <c r="R70" s="841">
        <f t="shared" si="19"/>
        <v>70</v>
      </c>
      <c r="S70" s="557">
        <v>0.78200000000000003</v>
      </c>
      <c r="T70" s="841" t="str">
        <f t="shared" si="20"/>
        <v>less than 1 g</v>
      </c>
      <c r="U70" s="557">
        <v>66.052000000000007</v>
      </c>
      <c r="V70" s="841">
        <f t="shared" si="21"/>
        <v>66</v>
      </c>
      <c r="W70" s="557">
        <v>65.697000000000003</v>
      </c>
      <c r="X70" s="841">
        <f t="shared" si="22"/>
        <v>66</v>
      </c>
      <c r="Y70" s="557">
        <v>0.70899999999999996</v>
      </c>
      <c r="Z70" s="841" t="str">
        <f t="shared" si="23"/>
        <v>less than 1 g</v>
      </c>
      <c r="AA70" s="557">
        <v>4.0000000000000001E-3</v>
      </c>
      <c r="AB70" s="557">
        <v>1.7999999999999999E-2</v>
      </c>
      <c r="AC70" s="557">
        <v>11.961</v>
      </c>
      <c r="AD70" s="557">
        <v>0.92</v>
      </c>
      <c r="AE70" s="557">
        <v>0.52300000000000002</v>
      </c>
      <c r="AF70" s="557">
        <v>2.9060000000000001</v>
      </c>
      <c r="AG70" s="557">
        <v>63.695</v>
      </c>
      <c r="AH70" s="557">
        <v>1.355</v>
      </c>
    </row>
    <row r="71" spans="1:34" s="465" customFormat="1" ht="15" customHeight="1" thickBot="1">
      <c r="A71" s="497" t="s">
        <v>92</v>
      </c>
      <c r="B71" s="478" t="s">
        <v>105</v>
      </c>
      <c r="C71" s="578">
        <v>371.75900000000001</v>
      </c>
      <c r="D71" s="841">
        <f t="shared" si="12"/>
        <v>370</v>
      </c>
      <c r="E71" s="578">
        <v>0</v>
      </c>
      <c r="F71" s="841">
        <f t="shared" si="13"/>
        <v>0</v>
      </c>
      <c r="G71" s="578">
        <v>5.1779999999999999</v>
      </c>
      <c r="H71" s="835">
        <f t="shared" si="14"/>
        <v>5</v>
      </c>
      <c r="I71" s="578">
        <v>3.625</v>
      </c>
      <c r="J71" s="835">
        <f t="shared" si="15"/>
        <v>3.5</v>
      </c>
      <c r="K71" s="578">
        <v>2.7E-2</v>
      </c>
      <c r="L71" s="835">
        <f t="shared" si="16"/>
        <v>0</v>
      </c>
      <c r="M71" s="578">
        <v>2.0419999999999998</v>
      </c>
      <c r="N71" s="841" t="str">
        <f t="shared" si="17"/>
        <v>less than 5 mg</v>
      </c>
      <c r="O71" s="1162">
        <v>100.319</v>
      </c>
      <c r="P71" s="841">
        <f t="shared" si="18"/>
        <v>100</v>
      </c>
      <c r="Q71" s="578">
        <v>83.397000000000006</v>
      </c>
      <c r="R71" s="841">
        <f t="shared" si="19"/>
        <v>83</v>
      </c>
      <c r="S71" s="578">
        <v>1.4690000000000001</v>
      </c>
      <c r="T71" s="841">
        <f t="shared" si="20"/>
        <v>1</v>
      </c>
      <c r="U71" s="578">
        <v>74.138000000000005</v>
      </c>
      <c r="V71" s="841">
        <f t="shared" si="21"/>
        <v>74</v>
      </c>
      <c r="W71" s="578">
        <v>73.697999999999993</v>
      </c>
      <c r="X71" s="841">
        <f t="shared" si="22"/>
        <v>74</v>
      </c>
      <c r="Y71" s="578">
        <v>1.5089999999999999</v>
      </c>
      <c r="Z71" s="841">
        <f t="shared" si="23"/>
        <v>2</v>
      </c>
      <c r="AA71" s="578">
        <v>4.0000000000000001E-3</v>
      </c>
      <c r="AB71" s="578">
        <v>1.9E-2</v>
      </c>
      <c r="AC71" s="578">
        <v>15.789</v>
      </c>
      <c r="AD71" s="578">
        <v>1.2150000000000001</v>
      </c>
      <c r="AE71" s="578">
        <v>1.0589999999999999</v>
      </c>
      <c r="AF71" s="578">
        <v>5.8849999999999998</v>
      </c>
      <c r="AG71" s="578">
        <v>122.467</v>
      </c>
      <c r="AH71" s="578">
        <v>2.6059999999999999</v>
      </c>
    </row>
    <row r="72" spans="1:34" s="465" customFormat="1" ht="15" customHeight="1" thickBot="1">
      <c r="A72" s="497" t="s">
        <v>92</v>
      </c>
      <c r="B72" s="478" t="s">
        <v>338</v>
      </c>
      <c r="C72" s="579">
        <v>368.79199999999997</v>
      </c>
      <c r="D72" s="841">
        <f t="shared" si="12"/>
        <v>370</v>
      </c>
      <c r="E72" s="579">
        <v>0</v>
      </c>
      <c r="F72" s="841">
        <f t="shared" si="13"/>
        <v>0</v>
      </c>
      <c r="G72" s="579">
        <v>8.4420000000000002</v>
      </c>
      <c r="H72" s="835">
        <f t="shared" si="14"/>
        <v>8</v>
      </c>
      <c r="I72" s="579">
        <v>3.4119999999999999</v>
      </c>
      <c r="J72" s="835">
        <f t="shared" si="15"/>
        <v>3.5</v>
      </c>
      <c r="K72" s="579">
        <v>0</v>
      </c>
      <c r="L72" s="835">
        <f t="shared" si="16"/>
        <v>0</v>
      </c>
      <c r="M72" s="579">
        <v>0</v>
      </c>
      <c r="N72" s="841">
        <f t="shared" si="17"/>
        <v>0</v>
      </c>
      <c r="O72" s="579">
        <v>104.961</v>
      </c>
      <c r="P72" s="841">
        <f t="shared" si="18"/>
        <v>105</v>
      </c>
      <c r="Q72" s="579">
        <v>72.667000000000002</v>
      </c>
      <c r="R72" s="841">
        <f t="shared" si="19"/>
        <v>73</v>
      </c>
      <c r="S72" s="579">
        <v>0.67500000000000004</v>
      </c>
      <c r="T72" s="841" t="str">
        <f t="shared" si="20"/>
        <v>less than 1 g</v>
      </c>
      <c r="U72" s="579">
        <v>68.938999999999993</v>
      </c>
      <c r="V72" s="841">
        <f t="shared" si="21"/>
        <v>69</v>
      </c>
      <c r="W72" s="579">
        <v>68.501000000000005</v>
      </c>
      <c r="X72" s="841">
        <f t="shared" si="22"/>
        <v>69</v>
      </c>
      <c r="Y72" s="575">
        <v>2.1509999999999998</v>
      </c>
      <c r="Z72" s="841">
        <f t="shared" si="23"/>
        <v>2</v>
      </c>
      <c r="AA72" s="575">
        <v>0</v>
      </c>
      <c r="AB72" s="575">
        <v>0</v>
      </c>
      <c r="AC72" s="575">
        <v>15.026</v>
      </c>
      <c r="AD72" s="578">
        <v>1.1559999999999999</v>
      </c>
      <c r="AE72" s="578">
        <v>0.65500000000000003</v>
      </c>
      <c r="AF72" s="578">
        <v>3.6379999999999999</v>
      </c>
      <c r="AG72" s="578">
        <v>71.531000000000006</v>
      </c>
      <c r="AH72" s="578">
        <v>1.522</v>
      </c>
    </row>
    <row r="73" spans="1:34" s="465" customFormat="1" ht="15" customHeight="1" thickBot="1">
      <c r="A73" s="497" t="s">
        <v>92</v>
      </c>
      <c r="B73" s="478" t="s">
        <v>108</v>
      </c>
      <c r="C73" s="578">
        <v>260.74</v>
      </c>
      <c r="D73" s="841">
        <f t="shared" si="12"/>
        <v>260</v>
      </c>
      <c r="E73" s="578">
        <v>19.350999999999999</v>
      </c>
      <c r="F73" s="841">
        <f t="shared" si="13"/>
        <v>20</v>
      </c>
      <c r="G73" s="578">
        <v>4.8499999999999996</v>
      </c>
      <c r="H73" s="835">
        <f t="shared" si="14"/>
        <v>5</v>
      </c>
      <c r="I73" s="578">
        <v>3.794</v>
      </c>
      <c r="J73" s="835">
        <f t="shared" si="15"/>
        <v>4</v>
      </c>
      <c r="K73" s="578">
        <v>0</v>
      </c>
      <c r="L73" s="835">
        <f t="shared" si="16"/>
        <v>0</v>
      </c>
      <c r="M73" s="578">
        <v>0</v>
      </c>
      <c r="N73" s="841">
        <f t="shared" si="17"/>
        <v>0</v>
      </c>
      <c r="O73" s="578">
        <v>53.223999999999997</v>
      </c>
      <c r="P73" s="841">
        <f t="shared" si="18"/>
        <v>55</v>
      </c>
      <c r="Q73" s="578">
        <v>65.739000000000004</v>
      </c>
      <c r="R73" s="841">
        <f t="shared" si="19"/>
        <v>66</v>
      </c>
      <c r="S73" s="578">
        <v>0.60699999999999998</v>
      </c>
      <c r="T73" s="841" t="str">
        <f t="shared" si="20"/>
        <v>less than 1 g</v>
      </c>
      <c r="U73" s="578">
        <v>61.966000000000001</v>
      </c>
      <c r="V73" s="841">
        <f t="shared" si="21"/>
        <v>62</v>
      </c>
      <c r="W73" s="578">
        <v>57.070999999999998</v>
      </c>
      <c r="X73" s="841">
        <f t="shared" si="22"/>
        <v>57</v>
      </c>
      <c r="Y73" s="578">
        <v>0.63300000000000001</v>
      </c>
      <c r="Z73" s="841" t="str">
        <f t="shared" si="23"/>
        <v>less than 1 g</v>
      </c>
      <c r="AA73" s="578">
        <v>1.7999999999999999E-2</v>
      </c>
      <c r="AB73" s="578">
        <v>9.0999999999999998E-2</v>
      </c>
      <c r="AC73" s="578">
        <v>9.9529999999999994</v>
      </c>
      <c r="AD73" s="578">
        <v>0.76600000000000001</v>
      </c>
      <c r="AE73" s="578">
        <v>0.73099999999999998</v>
      </c>
      <c r="AF73" s="578">
        <v>4.0609999999999999</v>
      </c>
      <c r="AG73" s="578">
        <v>40.783000000000001</v>
      </c>
      <c r="AH73" s="578">
        <v>0.86799999999999999</v>
      </c>
    </row>
    <row r="74" spans="1:34" s="465" customFormat="1" ht="15" customHeight="1" thickBot="1">
      <c r="A74" s="497" t="s">
        <v>92</v>
      </c>
      <c r="B74" s="478" t="s">
        <v>109</v>
      </c>
      <c r="C74" s="579">
        <v>282.65499999999997</v>
      </c>
      <c r="D74" s="841">
        <f t="shared" si="12"/>
        <v>280</v>
      </c>
      <c r="E74" s="579">
        <v>7.3620000000000001</v>
      </c>
      <c r="F74" s="841">
        <f t="shared" si="13"/>
        <v>5</v>
      </c>
      <c r="G74" s="579">
        <v>3.536</v>
      </c>
      <c r="H74" s="835">
        <f t="shared" si="14"/>
        <v>3.5</v>
      </c>
      <c r="I74" s="579">
        <v>2.7730000000000001</v>
      </c>
      <c r="J74" s="835">
        <f t="shared" si="15"/>
        <v>3</v>
      </c>
      <c r="K74" s="579">
        <v>0</v>
      </c>
      <c r="L74" s="835">
        <f t="shared" si="16"/>
        <v>0</v>
      </c>
      <c r="M74" s="579">
        <v>2.8000000000000001E-2</v>
      </c>
      <c r="N74" s="841">
        <f t="shared" si="17"/>
        <v>0</v>
      </c>
      <c r="O74" s="579">
        <v>68.135000000000005</v>
      </c>
      <c r="P74" s="841">
        <f t="shared" si="18"/>
        <v>70</v>
      </c>
      <c r="Q74" s="579">
        <v>63.46</v>
      </c>
      <c r="R74" s="841">
        <f t="shared" si="19"/>
        <v>63</v>
      </c>
      <c r="S74" s="579">
        <v>8.5000000000000006E-2</v>
      </c>
      <c r="T74" s="841">
        <f t="shared" si="20"/>
        <v>0</v>
      </c>
      <c r="U74" s="579">
        <v>59.277000000000001</v>
      </c>
      <c r="V74" s="841">
        <f t="shared" si="21"/>
        <v>59</v>
      </c>
      <c r="W74" s="579">
        <v>59.113999999999997</v>
      </c>
      <c r="X74" s="841">
        <f t="shared" si="22"/>
        <v>59</v>
      </c>
      <c r="Y74" s="575">
        <v>0.42499999999999999</v>
      </c>
      <c r="Z74" s="841">
        <f t="shared" si="23"/>
        <v>0</v>
      </c>
      <c r="AA74" s="575">
        <v>0</v>
      </c>
      <c r="AB74" s="575">
        <v>0</v>
      </c>
      <c r="AC74" s="575">
        <v>8.9459999999999997</v>
      </c>
      <c r="AD74" s="578">
        <v>0.68799999999999994</v>
      </c>
      <c r="AE74" s="578">
        <v>0.245</v>
      </c>
      <c r="AF74" s="578">
        <v>1.3620000000000001</v>
      </c>
      <c r="AG74" s="578">
        <v>12.903</v>
      </c>
      <c r="AH74" s="578">
        <v>0.27500000000000002</v>
      </c>
    </row>
    <row r="75" spans="1:34" s="465" customFormat="1" ht="15" customHeight="1" thickBot="1">
      <c r="A75" s="497" t="s">
        <v>92</v>
      </c>
      <c r="B75" s="478" t="s">
        <v>320</v>
      </c>
      <c r="C75" s="715">
        <v>246.262</v>
      </c>
      <c r="D75" s="841">
        <f t="shared" si="12"/>
        <v>250</v>
      </c>
      <c r="E75" s="715">
        <v>0</v>
      </c>
      <c r="F75" s="841">
        <f t="shared" si="13"/>
        <v>0</v>
      </c>
      <c r="G75" s="715">
        <v>2.6579999999999999</v>
      </c>
      <c r="H75" s="835">
        <f t="shared" si="14"/>
        <v>2.5</v>
      </c>
      <c r="I75" s="715">
        <v>2.464</v>
      </c>
      <c r="J75" s="835">
        <f t="shared" si="15"/>
        <v>2.5</v>
      </c>
      <c r="K75" s="715">
        <v>0</v>
      </c>
      <c r="L75" s="835">
        <f t="shared" si="16"/>
        <v>0</v>
      </c>
      <c r="M75" s="715">
        <v>0</v>
      </c>
      <c r="N75" s="841">
        <f t="shared" si="17"/>
        <v>0</v>
      </c>
      <c r="O75" s="715">
        <v>53.375</v>
      </c>
      <c r="P75" s="841">
        <f t="shared" si="18"/>
        <v>55</v>
      </c>
      <c r="Q75" s="715">
        <v>55.860999999999997</v>
      </c>
      <c r="R75" s="841">
        <f t="shared" si="19"/>
        <v>56</v>
      </c>
      <c r="S75" s="715">
        <v>4.0000000000000001E-3</v>
      </c>
      <c r="T75" s="841">
        <f t="shared" si="20"/>
        <v>0</v>
      </c>
      <c r="U75" s="715">
        <v>52.405000000000001</v>
      </c>
      <c r="V75" s="841">
        <f t="shared" si="21"/>
        <v>52</v>
      </c>
      <c r="W75" s="715">
        <v>52.250999999999998</v>
      </c>
      <c r="X75" s="841">
        <f t="shared" si="22"/>
        <v>52</v>
      </c>
      <c r="Y75" s="715">
        <v>0.24199999999999999</v>
      </c>
      <c r="Z75" s="841">
        <f t="shared" si="23"/>
        <v>0</v>
      </c>
      <c r="AA75" s="715">
        <v>0</v>
      </c>
      <c r="AB75" s="715">
        <v>0</v>
      </c>
      <c r="AC75" s="715">
        <v>6.9790000000000001</v>
      </c>
      <c r="AD75" s="715">
        <v>0.53700000000000003</v>
      </c>
      <c r="AE75" s="715">
        <v>0.06</v>
      </c>
      <c r="AF75" s="715">
        <v>0.33100000000000002</v>
      </c>
      <c r="AG75" s="715">
        <v>6.3840000000000003</v>
      </c>
      <c r="AH75" s="715">
        <v>0.13600000000000001</v>
      </c>
    </row>
    <row r="76" spans="1:34" s="465" customFormat="1" ht="15" customHeight="1" thickBot="1">
      <c r="A76" s="497" t="s">
        <v>92</v>
      </c>
      <c r="B76" s="478" t="s">
        <v>111</v>
      </c>
      <c r="C76" s="579">
        <v>268.755</v>
      </c>
      <c r="D76" s="841">
        <f t="shared" si="12"/>
        <v>270</v>
      </c>
      <c r="E76" s="579">
        <v>9.4770000000000003</v>
      </c>
      <c r="F76" s="841">
        <f t="shared" si="13"/>
        <v>10</v>
      </c>
      <c r="G76" s="579">
        <v>3.75</v>
      </c>
      <c r="H76" s="835">
        <f t="shared" si="14"/>
        <v>4</v>
      </c>
      <c r="I76" s="579">
        <v>3.181</v>
      </c>
      <c r="J76" s="835">
        <f t="shared" si="15"/>
        <v>3</v>
      </c>
      <c r="K76" s="579">
        <v>2.1999999999999999E-2</v>
      </c>
      <c r="L76" s="835">
        <f t="shared" si="16"/>
        <v>0</v>
      </c>
      <c r="M76" s="579">
        <v>2.609</v>
      </c>
      <c r="N76" s="841" t="str">
        <f t="shared" si="17"/>
        <v>less than 5 mg</v>
      </c>
      <c r="O76" s="579">
        <v>62.694000000000003</v>
      </c>
      <c r="P76" s="841">
        <f t="shared" si="18"/>
        <v>65</v>
      </c>
      <c r="Q76" s="579">
        <v>58.753999999999998</v>
      </c>
      <c r="R76" s="841">
        <f t="shared" si="19"/>
        <v>59</v>
      </c>
      <c r="S76" s="579">
        <v>0.41099999999999998</v>
      </c>
      <c r="T76" s="841">
        <f t="shared" si="20"/>
        <v>0</v>
      </c>
      <c r="U76" s="579">
        <v>53.683</v>
      </c>
      <c r="V76" s="841">
        <f t="shared" si="21"/>
        <v>54</v>
      </c>
      <c r="W76" s="579">
        <v>53.063000000000002</v>
      </c>
      <c r="X76" s="841">
        <f t="shared" si="22"/>
        <v>53</v>
      </c>
      <c r="Y76" s="575">
        <v>0.54500000000000004</v>
      </c>
      <c r="Z76" s="841" t="str">
        <f t="shared" si="23"/>
        <v>less than 1 g</v>
      </c>
      <c r="AA76" s="575">
        <v>0</v>
      </c>
      <c r="AB76" s="575">
        <v>0</v>
      </c>
      <c r="AC76" s="575">
        <v>15.916</v>
      </c>
      <c r="AD76" s="578">
        <v>1.224</v>
      </c>
      <c r="AE76" s="578">
        <v>0.20200000000000001</v>
      </c>
      <c r="AF76" s="578">
        <v>1.123</v>
      </c>
      <c r="AG76" s="578">
        <v>35.097999999999999</v>
      </c>
      <c r="AH76" s="578">
        <v>0.747</v>
      </c>
    </row>
    <row r="77" spans="1:34" s="465" customFormat="1" ht="15" customHeight="1" thickBot="1">
      <c r="A77" s="497" t="s">
        <v>92</v>
      </c>
      <c r="B77" s="478" t="s">
        <v>112</v>
      </c>
      <c r="C77" s="579">
        <v>235.12799999999999</v>
      </c>
      <c r="D77" s="841">
        <f t="shared" si="12"/>
        <v>240</v>
      </c>
      <c r="E77" s="579">
        <v>4.8000000000000001E-2</v>
      </c>
      <c r="F77" s="841">
        <f t="shared" si="13"/>
        <v>0</v>
      </c>
      <c r="G77" s="579">
        <v>2.7120000000000002</v>
      </c>
      <c r="H77" s="835">
        <f t="shared" si="14"/>
        <v>2.5</v>
      </c>
      <c r="I77" s="579">
        <v>2.5150000000000001</v>
      </c>
      <c r="J77" s="835">
        <f t="shared" si="15"/>
        <v>2.5</v>
      </c>
      <c r="K77" s="579">
        <v>0</v>
      </c>
      <c r="L77" s="835">
        <f t="shared" si="16"/>
        <v>0</v>
      </c>
      <c r="M77" s="579">
        <v>0</v>
      </c>
      <c r="N77" s="841">
        <f t="shared" si="17"/>
        <v>0</v>
      </c>
      <c r="O77" s="579">
        <v>55.901000000000003</v>
      </c>
      <c r="P77" s="841">
        <f t="shared" si="18"/>
        <v>55</v>
      </c>
      <c r="Q77" s="579">
        <v>52.886000000000003</v>
      </c>
      <c r="R77" s="841">
        <f t="shared" si="19"/>
        <v>53</v>
      </c>
      <c r="S77" s="579">
        <v>0.80200000000000005</v>
      </c>
      <c r="T77" s="841" t="str">
        <f t="shared" si="20"/>
        <v>less than 1 g</v>
      </c>
      <c r="U77" s="579">
        <v>48.677999999999997</v>
      </c>
      <c r="V77" s="841">
        <f t="shared" si="21"/>
        <v>49</v>
      </c>
      <c r="W77" s="579">
        <v>47.825000000000003</v>
      </c>
      <c r="X77" s="841">
        <f t="shared" si="22"/>
        <v>48</v>
      </c>
      <c r="Y77" s="575">
        <v>0.49199999999999999</v>
      </c>
      <c r="Z77" s="841">
        <f t="shared" si="23"/>
        <v>0</v>
      </c>
      <c r="AA77" s="575">
        <v>0</v>
      </c>
      <c r="AB77" s="575">
        <v>0</v>
      </c>
      <c r="AC77" s="575">
        <v>13.993</v>
      </c>
      <c r="AD77" s="578">
        <v>1.0760000000000001</v>
      </c>
      <c r="AE77" s="578">
        <v>0.317</v>
      </c>
      <c r="AF77" s="578">
        <v>1.762</v>
      </c>
      <c r="AG77" s="578">
        <v>54.972000000000001</v>
      </c>
      <c r="AH77" s="578">
        <v>1.17</v>
      </c>
    </row>
    <row r="78" spans="1:34" s="465" customFormat="1" ht="15" customHeight="1" thickBot="1">
      <c r="A78" s="497" t="s">
        <v>92</v>
      </c>
      <c r="B78" s="478" t="s">
        <v>321</v>
      </c>
      <c r="C78" s="579">
        <v>238.066</v>
      </c>
      <c r="D78" s="841">
        <f t="shared" si="12"/>
        <v>240</v>
      </c>
      <c r="E78" s="579">
        <v>0.57199999999999995</v>
      </c>
      <c r="F78" s="841">
        <f t="shared" si="13"/>
        <v>0</v>
      </c>
      <c r="G78" s="579">
        <v>2.6859999999999999</v>
      </c>
      <c r="H78" s="835">
        <f t="shared" si="14"/>
        <v>2.5</v>
      </c>
      <c r="I78" s="579">
        <v>2.4380000000000002</v>
      </c>
      <c r="J78" s="835">
        <f t="shared" si="15"/>
        <v>2.5</v>
      </c>
      <c r="K78" s="579">
        <v>0</v>
      </c>
      <c r="L78" s="835">
        <f t="shared" si="16"/>
        <v>0</v>
      </c>
      <c r="M78" s="579">
        <v>0</v>
      </c>
      <c r="N78" s="841">
        <f t="shared" si="17"/>
        <v>0</v>
      </c>
      <c r="O78" s="579">
        <v>54.417000000000002</v>
      </c>
      <c r="P78" s="841">
        <f t="shared" si="18"/>
        <v>55</v>
      </c>
      <c r="Q78" s="579">
        <v>53.551000000000002</v>
      </c>
      <c r="R78" s="841">
        <f t="shared" si="19"/>
        <v>54</v>
      </c>
      <c r="S78" s="579">
        <v>0.59199999999999997</v>
      </c>
      <c r="T78" s="841" t="str">
        <f t="shared" si="20"/>
        <v>less than 1 g</v>
      </c>
      <c r="U78" s="579">
        <v>49.615000000000002</v>
      </c>
      <c r="V78" s="841">
        <f t="shared" si="21"/>
        <v>50</v>
      </c>
      <c r="W78" s="579">
        <v>48.779000000000003</v>
      </c>
      <c r="X78" s="841">
        <f t="shared" si="22"/>
        <v>49</v>
      </c>
      <c r="Y78" s="575">
        <v>0.41499999999999998</v>
      </c>
      <c r="Z78" s="841">
        <f t="shared" si="23"/>
        <v>0</v>
      </c>
      <c r="AA78" s="575">
        <v>0</v>
      </c>
      <c r="AB78" s="575">
        <v>0</v>
      </c>
      <c r="AC78" s="575">
        <v>9.6189999999999998</v>
      </c>
      <c r="AD78" s="578">
        <v>0.74</v>
      </c>
      <c r="AE78" s="578">
        <v>0.14199999999999999</v>
      </c>
      <c r="AF78" s="578">
        <v>0.79</v>
      </c>
      <c r="AG78" s="578">
        <v>27.664999999999999</v>
      </c>
      <c r="AH78" s="578">
        <v>0.58899999999999997</v>
      </c>
    </row>
    <row r="79" spans="1:34" s="465" customFormat="1" ht="15" customHeight="1" thickBot="1">
      <c r="A79" s="497" t="s">
        <v>92</v>
      </c>
      <c r="B79" s="478" t="s">
        <v>115</v>
      </c>
      <c r="C79" s="579">
        <v>247.58799999999999</v>
      </c>
      <c r="D79" s="841">
        <f t="shared" si="12"/>
        <v>250</v>
      </c>
      <c r="E79" s="579">
        <v>0</v>
      </c>
      <c r="F79" s="841">
        <f t="shared" si="13"/>
        <v>0</v>
      </c>
      <c r="G79" s="579">
        <v>1.2729999999999999</v>
      </c>
      <c r="H79" s="835">
        <f t="shared" si="14"/>
        <v>1.5</v>
      </c>
      <c r="I79" s="579">
        <v>1.181</v>
      </c>
      <c r="J79" s="835">
        <f t="shared" si="15"/>
        <v>1</v>
      </c>
      <c r="K79" s="579">
        <v>0</v>
      </c>
      <c r="L79" s="835">
        <f t="shared" si="16"/>
        <v>0</v>
      </c>
      <c r="M79" s="579">
        <v>0</v>
      </c>
      <c r="N79" s="841">
        <f t="shared" si="17"/>
        <v>0</v>
      </c>
      <c r="O79" s="579">
        <v>49.19</v>
      </c>
      <c r="P79" s="841">
        <f t="shared" si="18"/>
        <v>50</v>
      </c>
      <c r="Q79" s="579">
        <v>45.606000000000002</v>
      </c>
      <c r="R79" s="841">
        <f t="shared" si="19"/>
        <v>46</v>
      </c>
      <c r="S79" s="579">
        <v>13.510999999999999</v>
      </c>
      <c r="T79" s="841">
        <f t="shared" si="20"/>
        <v>14</v>
      </c>
      <c r="U79" s="714">
        <v>43.543999999999997</v>
      </c>
      <c r="V79" s="841">
        <f t="shared" si="21"/>
        <v>44</v>
      </c>
      <c r="W79" s="714">
        <v>56.945999999999998</v>
      </c>
      <c r="X79" s="841">
        <f t="shared" si="22"/>
        <v>57</v>
      </c>
      <c r="Y79" s="575">
        <v>0.11600000000000001</v>
      </c>
      <c r="Z79" s="841">
        <f t="shared" si="23"/>
        <v>0</v>
      </c>
      <c r="AA79" s="575">
        <v>0</v>
      </c>
      <c r="AB79" s="575">
        <v>0</v>
      </c>
      <c r="AC79" s="575">
        <v>8.1120000000000001</v>
      </c>
      <c r="AD79" s="578">
        <v>0.624</v>
      </c>
      <c r="AE79" s="578">
        <v>7.5999999999999998E-2</v>
      </c>
      <c r="AF79" s="578">
        <v>0.42299999999999999</v>
      </c>
      <c r="AG79" s="578">
        <v>20.733000000000001</v>
      </c>
      <c r="AH79" s="578">
        <v>0.441</v>
      </c>
    </row>
    <row r="80" spans="1:34" s="465" customFormat="1" ht="15" customHeight="1" thickBot="1">
      <c r="A80" s="497" t="s">
        <v>92</v>
      </c>
      <c r="B80" s="478" t="s">
        <v>116</v>
      </c>
      <c r="C80" s="578">
        <v>329.98500000000001</v>
      </c>
      <c r="D80" s="841">
        <f t="shared" si="12"/>
        <v>330</v>
      </c>
      <c r="E80" s="578">
        <v>0</v>
      </c>
      <c r="F80" s="841">
        <f t="shared" si="13"/>
        <v>0</v>
      </c>
      <c r="G80" s="578">
        <v>4</v>
      </c>
      <c r="H80" s="835">
        <f t="shared" si="14"/>
        <v>4</v>
      </c>
      <c r="I80" s="578">
        <v>3.2629999999999999</v>
      </c>
      <c r="J80" s="835">
        <f t="shared" si="15"/>
        <v>3.5</v>
      </c>
      <c r="K80" s="578">
        <v>0</v>
      </c>
      <c r="L80" s="835">
        <f t="shared" si="16"/>
        <v>0</v>
      </c>
      <c r="M80" s="578">
        <v>0</v>
      </c>
      <c r="N80" s="841">
        <f t="shared" si="17"/>
        <v>0</v>
      </c>
      <c r="O80" s="578">
        <v>62.415999999999997</v>
      </c>
      <c r="P80" s="841">
        <f t="shared" si="18"/>
        <v>60</v>
      </c>
      <c r="Q80" s="578">
        <v>74.644999999999996</v>
      </c>
      <c r="R80" s="841">
        <f t="shared" si="19"/>
        <v>75</v>
      </c>
      <c r="S80" s="578">
        <v>0.45500000000000002</v>
      </c>
      <c r="T80" s="841">
        <f t="shared" si="20"/>
        <v>0</v>
      </c>
      <c r="U80" s="578">
        <v>71.137</v>
      </c>
      <c r="V80" s="841">
        <f t="shared" si="21"/>
        <v>71</v>
      </c>
      <c r="W80" s="578">
        <v>70.992999999999995</v>
      </c>
      <c r="X80" s="841">
        <f t="shared" si="22"/>
        <v>71</v>
      </c>
      <c r="Y80" s="578">
        <v>0.5</v>
      </c>
      <c r="Z80" s="841" t="str">
        <f t="shared" si="23"/>
        <v>less than 1 g</v>
      </c>
      <c r="AA80" s="578">
        <v>0</v>
      </c>
      <c r="AB80" s="578">
        <v>0</v>
      </c>
      <c r="AC80" s="578">
        <v>10.260999999999999</v>
      </c>
      <c r="AD80" s="578">
        <v>0.78900000000000003</v>
      </c>
      <c r="AE80" s="578">
        <v>0.75900000000000001</v>
      </c>
      <c r="AF80" s="578">
        <v>4.2190000000000003</v>
      </c>
      <c r="AG80" s="578">
        <v>42.05</v>
      </c>
      <c r="AH80" s="578">
        <v>0.89500000000000002</v>
      </c>
    </row>
    <row r="81" spans="1:34" s="465" customFormat="1" ht="15" customHeight="1" thickBot="1">
      <c r="A81" s="497" t="s">
        <v>92</v>
      </c>
      <c r="B81" s="478" t="s">
        <v>322</v>
      </c>
      <c r="C81" s="554">
        <v>290.41699999999997</v>
      </c>
      <c r="D81" s="841">
        <f t="shared" si="12"/>
        <v>290</v>
      </c>
      <c r="E81" s="554">
        <v>0</v>
      </c>
      <c r="F81" s="841">
        <f t="shared" si="13"/>
        <v>0</v>
      </c>
      <c r="G81" s="554">
        <v>2.6269999999999998</v>
      </c>
      <c r="H81" s="835">
        <f t="shared" si="14"/>
        <v>2.5</v>
      </c>
      <c r="I81" s="554">
        <v>2.4359999999999999</v>
      </c>
      <c r="J81" s="835">
        <f t="shared" si="15"/>
        <v>2.5</v>
      </c>
      <c r="K81" s="554">
        <v>0</v>
      </c>
      <c r="L81" s="835">
        <f t="shared" si="16"/>
        <v>0</v>
      </c>
      <c r="M81" s="554">
        <v>0</v>
      </c>
      <c r="N81" s="841">
        <f t="shared" si="17"/>
        <v>0</v>
      </c>
      <c r="O81" s="554">
        <v>51.619</v>
      </c>
      <c r="P81" s="841">
        <f t="shared" si="18"/>
        <v>50</v>
      </c>
      <c r="Q81" s="554">
        <v>67.230999999999995</v>
      </c>
      <c r="R81" s="841">
        <f t="shared" si="19"/>
        <v>67</v>
      </c>
      <c r="S81" s="554">
        <v>8.9999999999999993E-3</v>
      </c>
      <c r="T81" s="841">
        <f t="shared" si="20"/>
        <v>0</v>
      </c>
      <c r="U81" s="554">
        <v>64.228999999999999</v>
      </c>
      <c r="V81" s="841">
        <f t="shared" si="21"/>
        <v>64</v>
      </c>
      <c r="W81" s="554">
        <v>64.067999999999998</v>
      </c>
      <c r="X81" s="841">
        <f t="shared" si="22"/>
        <v>64</v>
      </c>
      <c r="Y81" s="554">
        <v>0.23899999999999999</v>
      </c>
      <c r="Z81" s="841">
        <f t="shared" si="23"/>
        <v>0</v>
      </c>
      <c r="AA81" s="554">
        <v>0</v>
      </c>
      <c r="AB81" s="554">
        <v>0</v>
      </c>
      <c r="AC81" s="554">
        <v>6.7880000000000003</v>
      </c>
      <c r="AD81" s="554">
        <v>0.52200000000000002</v>
      </c>
      <c r="AE81" s="554">
        <v>6.4000000000000001E-2</v>
      </c>
      <c r="AF81" s="554">
        <v>0.35499999999999998</v>
      </c>
      <c r="AG81" s="554">
        <v>6.8129999999999997</v>
      </c>
      <c r="AH81" s="554">
        <v>0.14499999999999999</v>
      </c>
    </row>
    <row r="82" spans="1:34" s="465" customFormat="1" ht="15" customHeight="1" thickBot="1">
      <c r="A82" s="497" t="s">
        <v>92</v>
      </c>
      <c r="B82" s="478" t="s">
        <v>118</v>
      </c>
      <c r="C82" s="714">
        <v>322.87900000000002</v>
      </c>
      <c r="D82" s="841">
        <f t="shared" si="12"/>
        <v>320</v>
      </c>
      <c r="E82" s="714">
        <v>18.728000000000002</v>
      </c>
      <c r="F82" s="841">
        <f t="shared" si="13"/>
        <v>20</v>
      </c>
      <c r="G82" s="714">
        <v>4.7439999999999998</v>
      </c>
      <c r="H82" s="835">
        <f t="shared" si="14"/>
        <v>4.5</v>
      </c>
      <c r="I82" s="714">
        <v>3.8069999999999999</v>
      </c>
      <c r="J82" s="835">
        <f t="shared" si="15"/>
        <v>4</v>
      </c>
      <c r="K82" s="714">
        <v>1E-3</v>
      </c>
      <c r="L82" s="835">
        <f t="shared" si="16"/>
        <v>0</v>
      </c>
      <c r="M82" s="714">
        <v>5.1520000000000001</v>
      </c>
      <c r="N82" s="841">
        <f t="shared" si="17"/>
        <v>5</v>
      </c>
      <c r="O82" s="714">
        <v>70.5</v>
      </c>
      <c r="P82" s="841">
        <f t="shared" si="18"/>
        <v>70</v>
      </c>
      <c r="Q82" s="714">
        <v>70.290000000000006</v>
      </c>
      <c r="R82" s="841">
        <f t="shared" si="19"/>
        <v>70</v>
      </c>
      <c r="S82" s="714">
        <v>0.154</v>
      </c>
      <c r="T82" s="841">
        <f t="shared" si="20"/>
        <v>0</v>
      </c>
      <c r="U82" s="714">
        <v>63.780999999999999</v>
      </c>
      <c r="V82" s="841">
        <f t="shared" si="21"/>
        <v>64</v>
      </c>
      <c r="W82" s="714">
        <v>62.09</v>
      </c>
      <c r="X82" s="841">
        <f t="shared" si="22"/>
        <v>62</v>
      </c>
      <c r="Y82" s="714">
        <v>0.627</v>
      </c>
      <c r="Z82" s="841" t="str">
        <f t="shared" si="23"/>
        <v>less than 1 g</v>
      </c>
      <c r="AA82" s="714">
        <v>0</v>
      </c>
      <c r="AB82" s="714">
        <v>0</v>
      </c>
      <c r="AC82" s="714">
        <v>18.466999999999999</v>
      </c>
      <c r="AD82" s="714">
        <v>1.421</v>
      </c>
      <c r="AE82" s="714">
        <v>0.13500000000000001</v>
      </c>
      <c r="AF82" s="714">
        <v>0.753</v>
      </c>
      <c r="AG82" s="714">
        <v>25.818999999999999</v>
      </c>
      <c r="AH82" s="714">
        <v>0.54900000000000004</v>
      </c>
    </row>
    <row r="83" spans="1:34" s="465" customFormat="1" ht="15" customHeight="1" thickBot="1">
      <c r="A83" s="497" t="s">
        <v>92</v>
      </c>
      <c r="B83" s="478" t="s">
        <v>183</v>
      </c>
      <c r="C83" s="579">
        <v>212.82300000000001</v>
      </c>
      <c r="D83" s="841">
        <f t="shared" si="12"/>
        <v>210</v>
      </c>
      <c r="E83" s="579">
        <v>0.41199999999999998</v>
      </c>
      <c r="F83" s="841">
        <f t="shared" si="13"/>
        <v>0</v>
      </c>
      <c r="G83" s="579">
        <v>3.04</v>
      </c>
      <c r="H83" s="835">
        <f t="shared" si="14"/>
        <v>3</v>
      </c>
      <c r="I83" s="579">
        <v>2.8109999999999999</v>
      </c>
      <c r="J83" s="835">
        <f t="shared" si="15"/>
        <v>3</v>
      </c>
      <c r="K83" s="579">
        <v>1E-3</v>
      </c>
      <c r="L83" s="835">
        <f t="shared" si="16"/>
        <v>0</v>
      </c>
      <c r="M83" s="579">
        <v>0</v>
      </c>
      <c r="N83" s="841">
        <f t="shared" si="17"/>
        <v>0</v>
      </c>
      <c r="O83" s="579">
        <v>66.025999999999996</v>
      </c>
      <c r="P83" s="841">
        <f t="shared" si="18"/>
        <v>65</v>
      </c>
      <c r="Q83" s="579">
        <v>45.938000000000002</v>
      </c>
      <c r="R83" s="841">
        <f t="shared" si="19"/>
        <v>46</v>
      </c>
      <c r="S83" s="579">
        <v>0.26100000000000001</v>
      </c>
      <c r="T83" s="841">
        <f t="shared" si="20"/>
        <v>0</v>
      </c>
      <c r="U83" s="579">
        <v>41.640999999999998</v>
      </c>
      <c r="V83" s="841">
        <f t="shared" si="21"/>
        <v>42</v>
      </c>
      <c r="W83" s="579">
        <v>39.923999999999999</v>
      </c>
      <c r="X83" s="841">
        <f t="shared" si="22"/>
        <v>40</v>
      </c>
      <c r="Y83" s="1160">
        <v>0.41599999999999998</v>
      </c>
      <c r="Z83" s="841">
        <f t="shared" si="23"/>
        <v>0</v>
      </c>
      <c r="AA83" s="575">
        <v>0</v>
      </c>
      <c r="AB83" s="575">
        <v>0</v>
      </c>
      <c r="AC83" s="575">
        <v>8.2859999999999996</v>
      </c>
      <c r="AD83" s="575">
        <v>0.63700000000000001</v>
      </c>
      <c r="AE83" s="578">
        <v>0.129</v>
      </c>
      <c r="AF83" s="578">
        <v>0.71799999999999997</v>
      </c>
      <c r="AG83" s="578">
        <v>41.651000000000003</v>
      </c>
      <c r="AH83" s="578">
        <v>0.88600000000000001</v>
      </c>
    </row>
    <row r="84" spans="1:34" s="465" customFormat="1" ht="15" customHeight="1" thickBot="1">
      <c r="A84" s="497" t="s">
        <v>92</v>
      </c>
      <c r="B84" s="478" t="s">
        <v>323</v>
      </c>
      <c r="C84" s="554">
        <v>282.90100000000001</v>
      </c>
      <c r="D84" s="841">
        <f t="shared" si="12"/>
        <v>280</v>
      </c>
      <c r="E84" s="554">
        <v>4.3999999999999997E-2</v>
      </c>
      <c r="F84" s="841">
        <f t="shared" si="13"/>
        <v>0</v>
      </c>
      <c r="G84" s="554">
        <v>2.71</v>
      </c>
      <c r="H84" s="835">
        <f t="shared" si="14"/>
        <v>2.5</v>
      </c>
      <c r="I84" s="554">
        <v>2.5089999999999999</v>
      </c>
      <c r="J84" s="835">
        <f t="shared" si="15"/>
        <v>2.5</v>
      </c>
      <c r="K84" s="554">
        <v>0</v>
      </c>
      <c r="L84" s="835">
        <f t="shared" si="16"/>
        <v>0</v>
      </c>
      <c r="M84" s="554">
        <v>0</v>
      </c>
      <c r="N84" s="841">
        <f t="shared" si="17"/>
        <v>0</v>
      </c>
      <c r="O84" s="554">
        <v>55.462000000000003</v>
      </c>
      <c r="P84" s="841">
        <f t="shared" si="18"/>
        <v>55</v>
      </c>
      <c r="Q84" s="554">
        <v>65.147999999999996</v>
      </c>
      <c r="R84" s="841">
        <f t="shared" si="19"/>
        <v>65</v>
      </c>
      <c r="S84" s="554">
        <v>0.10299999999999999</v>
      </c>
      <c r="T84" s="841">
        <f t="shared" si="20"/>
        <v>0</v>
      </c>
      <c r="U84" s="554">
        <v>61.668999999999997</v>
      </c>
      <c r="V84" s="841">
        <f t="shared" si="21"/>
        <v>62</v>
      </c>
      <c r="W84" s="554">
        <v>60.584000000000003</v>
      </c>
      <c r="X84" s="841">
        <f t="shared" si="22"/>
        <v>61</v>
      </c>
      <c r="Y84" s="554">
        <v>0.28799999999999998</v>
      </c>
      <c r="Z84" s="841">
        <f t="shared" si="23"/>
        <v>0</v>
      </c>
      <c r="AA84" s="554">
        <v>0</v>
      </c>
      <c r="AB84" s="554">
        <v>0</v>
      </c>
      <c r="AC84" s="554">
        <v>7.5190000000000001</v>
      </c>
      <c r="AD84" s="554">
        <v>0.57799999999999996</v>
      </c>
      <c r="AE84" s="554">
        <v>0.10100000000000001</v>
      </c>
      <c r="AF84" s="554">
        <v>0.56100000000000005</v>
      </c>
      <c r="AG84" s="554">
        <v>13.896000000000001</v>
      </c>
      <c r="AH84" s="554">
        <v>0.29599999999999999</v>
      </c>
    </row>
    <row r="85" spans="1:34" s="465" customFormat="1" ht="15" customHeight="1" thickBot="1">
      <c r="A85" s="497" t="s">
        <v>92</v>
      </c>
      <c r="B85" s="475" t="s">
        <v>120</v>
      </c>
      <c r="C85" s="578">
        <v>292.61399999999998</v>
      </c>
      <c r="D85" s="841">
        <f t="shared" si="12"/>
        <v>290</v>
      </c>
      <c r="E85" s="578">
        <v>19.352</v>
      </c>
      <c r="F85" s="841">
        <f t="shared" si="13"/>
        <v>20</v>
      </c>
      <c r="G85" s="578">
        <v>4.8330000000000002</v>
      </c>
      <c r="H85" s="835">
        <f t="shared" si="14"/>
        <v>5</v>
      </c>
      <c r="I85" s="578">
        <v>3.7690000000000001</v>
      </c>
      <c r="J85" s="835">
        <f t="shared" si="15"/>
        <v>4</v>
      </c>
      <c r="K85" s="578">
        <v>0</v>
      </c>
      <c r="L85" s="835">
        <f t="shared" si="16"/>
        <v>0</v>
      </c>
      <c r="M85" s="578">
        <v>0</v>
      </c>
      <c r="N85" s="841">
        <f t="shared" si="17"/>
        <v>0</v>
      </c>
      <c r="O85" s="578">
        <v>61.405000000000001</v>
      </c>
      <c r="P85" s="841">
        <f t="shared" si="18"/>
        <v>60</v>
      </c>
      <c r="Q85" s="578">
        <v>73.685000000000002</v>
      </c>
      <c r="R85" s="841">
        <f t="shared" si="19"/>
        <v>74</v>
      </c>
      <c r="S85" s="578">
        <v>0.629</v>
      </c>
      <c r="T85" s="841" t="str">
        <f t="shared" si="20"/>
        <v>less than 1 g</v>
      </c>
      <c r="U85" s="578">
        <v>68.766999999999996</v>
      </c>
      <c r="V85" s="841">
        <f t="shared" si="21"/>
        <v>69</v>
      </c>
      <c r="W85" s="578">
        <v>63.76</v>
      </c>
      <c r="X85" s="841">
        <f t="shared" si="22"/>
        <v>64</v>
      </c>
      <c r="Y85" s="578">
        <v>0.68200000000000005</v>
      </c>
      <c r="Z85" s="841" t="str">
        <f t="shared" si="23"/>
        <v>less than 1 g</v>
      </c>
      <c r="AA85" s="578">
        <v>1.7999999999999999E-2</v>
      </c>
      <c r="AB85" s="578">
        <v>0.09</v>
      </c>
      <c r="AC85" s="578">
        <v>10.733000000000001</v>
      </c>
      <c r="AD85" s="578">
        <v>0.82599999999999996</v>
      </c>
      <c r="AE85" s="578">
        <v>0.76200000000000001</v>
      </c>
      <c r="AF85" s="578">
        <v>4.2320000000000002</v>
      </c>
      <c r="AG85" s="578">
        <v>49.887999999999998</v>
      </c>
      <c r="AH85" s="578">
        <v>1.0609999999999999</v>
      </c>
    </row>
    <row r="86" spans="1:34" s="465" customFormat="1" ht="15" customHeight="1" thickBot="1">
      <c r="A86" s="497" t="s">
        <v>325</v>
      </c>
      <c r="B86" s="484" t="s">
        <v>122</v>
      </c>
      <c r="C86" s="579">
        <v>110.96599999999999</v>
      </c>
      <c r="D86" s="841">
        <f t="shared" si="12"/>
        <v>110</v>
      </c>
      <c r="E86" s="579">
        <v>6.6000000000000003E-2</v>
      </c>
      <c r="F86" s="841">
        <f t="shared" si="13"/>
        <v>0</v>
      </c>
      <c r="G86" s="579">
        <v>7.0000000000000001E-3</v>
      </c>
      <c r="H86" s="835">
        <f t="shared" si="14"/>
        <v>0</v>
      </c>
      <c r="I86" s="579">
        <v>7.0000000000000001E-3</v>
      </c>
      <c r="J86" s="835">
        <f t="shared" si="15"/>
        <v>0</v>
      </c>
      <c r="K86" s="579">
        <v>0</v>
      </c>
      <c r="L86" s="835">
        <f t="shared" si="16"/>
        <v>0</v>
      </c>
      <c r="M86" s="579">
        <v>0</v>
      </c>
      <c r="N86" s="841">
        <f t="shared" si="17"/>
        <v>0</v>
      </c>
      <c r="O86" s="579">
        <v>22.5</v>
      </c>
      <c r="P86" s="841">
        <f t="shared" si="18"/>
        <v>25</v>
      </c>
      <c r="Q86" s="579">
        <v>38.950000000000003</v>
      </c>
      <c r="R86" s="841">
        <f t="shared" si="19"/>
        <v>39</v>
      </c>
      <c r="S86" s="579">
        <v>2.8000000000000001E-2</v>
      </c>
      <c r="T86" s="841">
        <f t="shared" si="20"/>
        <v>0</v>
      </c>
      <c r="U86" s="579">
        <v>7.6999999999999999E-2</v>
      </c>
      <c r="V86" s="841">
        <f t="shared" si="21"/>
        <v>0</v>
      </c>
      <c r="W86" s="579">
        <v>0</v>
      </c>
      <c r="X86" s="841">
        <f t="shared" si="22"/>
        <v>0</v>
      </c>
      <c r="Y86" s="579">
        <v>0.314</v>
      </c>
      <c r="Z86" s="841">
        <f t="shared" si="23"/>
        <v>0</v>
      </c>
      <c r="AA86" s="579">
        <v>0</v>
      </c>
      <c r="AB86" s="579">
        <v>0</v>
      </c>
      <c r="AC86" s="579">
        <v>11.795999999999999</v>
      </c>
      <c r="AD86" s="578">
        <v>0.90700000000000003</v>
      </c>
      <c r="AE86" s="578">
        <v>4.9000000000000002E-2</v>
      </c>
      <c r="AF86" s="578">
        <v>0.27500000000000002</v>
      </c>
      <c r="AG86" s="578">
        <v>15.949</v>
      </c>
      <c r="AH86" s="578">
        <v>0.33900000000000002</v>
      </c>
    </row>
    <row r="87" spans="1:34" s="465" customFormat="1" ht="15" customHeight="1" thickBot="1">
      <c r="A87" s="497" t="s">
        <v>325</v>
      </c>
      <c r="B87" s="484" t="s">
        <v>123</v>
      </c>
      <c r="C87" s="714">
        <v>111.083</v>
      </c>
      <c r="D87" s="841">
        <f t="shared" si="12"/>
        <v>110</v>
      </c>
      <c r="E87" s="714">
        <v>6.5000000000000002E-2</v>
      </c>
      <c r="F87" s="841">
        <f t="shared" si="13"/>
        <v>0</v>
      </c>
      <c r="G87" s="714">
        <v>7.0000000000000001E-3</v>
      </c>
      <c r="H87" s="835">
        <f t="shared" si="14"/>
        <v>0</v>
      </c>
      <c r="I87" s="714">
        <v>7.0000000000000001E-3</v>
      </c>
      <c r="J87" s="835">
        <f t="shared" si="15"/>
        <v>0</v>
      </c>
      <c r="K87" s="714">
        <v>0</v>
      </c>
      <c r="L87" s="835">
        <f t="shared" si="16"/>
        <v>0</v>
      </c>
      <c r="M87" s="714">
        <v>0</v>
      </c>
      <c r="N87" s="841">
        <f t="shared" si="17"/>
        <v>0</v>
      </c>
      <c r="O87" s="714">
        <v>23.777999999999999</v>
      </c>
      <c r="P87" s="841">
        <f t="shared" si="18"/>
        <v>25</v>
      </c>
      <c r="Q87" s="714">
        <v>38.881</v>
      </c>
      <c r="R87" s="841">
        <f t="shared" si="19"/>
        <v>39</v>
      </c>
      <c r="S87" s="714">
        <v>7.0000000000000001E-3</v>
      </c>
      <c r="T87" s="841">
        <f t="shared" si="20"/>
        <v>0</v>
      </c>
      <c r="U87" s="714">
        <v>7.7999999999999996E-3</v>
      </c>
      <c r="V87" s="841">
        <f t="shared" si="21"/>
        <v>0</v>
      </c>
      <c r="W87" s="714">
        <v>0</v>
      </c>
      <c r="X87" s="841">
        <f t="shared" si="22"/>
        <v>0</v>
      </c>
      <c r="Y87" s="714">
        <v>2.3E-2</v>
      </c>
      <c r="Z87" s="841">
        <f t="shared" si="23"/>
        <v>0</v>
      </c>
      <c r="AA87" s="714">
        <v>0</v>
      </c>
      <c r="AB87" s="714">
        <v>0</v>
      </c>
      <c r="AC87" s="714">
        <v>11.8</v>
      </c>
      <c r="AD87" s="715">
        <v>0.90800000000000003</v>
      </c>
      <c r="AE87" s="715">
        <v>0.05</v>
      </c>
      <c r="AF87" s="715">
        <v>0.27600000000000002</v>
      </c>
      <c r="AG87" s="715">
        <v>22.123999999999999</v>
      </c>
      <c r="AH87" s="715">
        <v>0.47099999999999997</v>
      </c>
    </row>
    <row r="88" spans="1:34" s="465" customFormat="1" ht="15" customHeight="1" thickBot="1">
      <c r="A88" s="497" t="s">
        <v>325</v>
      </c>
      <c r="B88" s="484" t="s">
        <v>395</v>
      </c>
      <c r="C88" s="579">
        <v>110.215</v>
      </c>
      <c r="D88" s="841">
        <f t="shared" si="12"/>
        <v>110</v>
      </c>
      <c r="E88" s="579">
        <v>7.9000000000000001E-2</v>
      </c>
      <c r="F88" s="841">
        <f t="shared" si="13"/>
        <v>0</v>
      </c>
      <c r="G88" s="579">
        <v>8.9999999999999993E-3</v>
      </c>
      <c r="H88" s="835">
        <f t="shared" si="14"/>
        <v>0</v>
      </c>
      <c r="I88" s="579">
        <v>7.0000000000000001E-3</v>
      </c>
      <c r="J88" s="835">
        <f t="shared" si="15"/>
        <v>0</v>
      </c>
      <c r="K88" s="579">
        <v>0</v>
      </c>
      <c r="L88" s="835">
        <f t="shared" si="16"/>
        <v>0</v>
      </c>
      <c r="M88" s="579">
        <v>0</v>
      </c>
      <c r="N88" s="841">
        <f t="shared" si="17"/>
        <v>0</v>
      </c>
      <c r="O88" s="579">
        <v>23.039000000000001</v>
      </c>
      <c r="P88" s="841">
        <f t="shared" si="18"/>
        <v>25</v>
      </c>
      <c r="Q88" s="579">
        <v>38.426000000000002</v>
      </c>
      <c r="R88" s="841">
        <f t="shared" si="19"/>
        <v>38</v>
      </c>
      <c r="S88" s="579">
        <v>1.4999999999999999E-2</v>
      </c>
      <c r="T88" s="841">
        <f t="shared" si="20"/>
        <v>0</v>
      </c>
      <c r="U88" s="579">
        <v>0.13700000000000001</v>
      </c>
      <c r="V88" s="841">
        <f t="shared" si="21"/>
        <v>0</v>
      </c>
      <c r="W88" s="579">
        <v>0</v>
      </c>
      <c r="X88" s="841">
        <f t="shared" si="22"/>
        <v>0</v>
      </c>
      <c r="Y88" s="579">
        <v>1.2E-2</v>
      </c>
      <c r="Z88" s="841">
        <f t="shared" si="23"/>
        <v>0</v>
      </c>
      <c r="AA88" s="579">
        <v>0</v>
      </c>
      <c r="AB88" s="579">
        <v>0</v>
      </c>
      <c r="AC88" s="579">
        <v>11.779</v>
      </c>
      <c r="AD88" s="578">
        <v>0.90600000000000003</v>
      </c>
      <c r="AE88" s="578">
        <v>0.06</v>
      </c>
      <c r="AF88" s="578">
        <v>0.33400000000000002</v>
      </c>
      <c r="AG88" s="578">
        <v>20.995999999999999</v>
      </c>
      <c r="AH88" s="578">
        <v>0.44700000000000001</v>
      </c>
    </row>
    <row r="89" spans="1:34" s="465" customFormat="1" ht="29.6" thickBot="1">
      <c r="A89" s="497" t="s">
        <v>325</v>
      </c>
      <c r="B89" s="484" t="s">
        <v>124</v>
      </c>
      <c r="C89" s="579">
        <v>106.23099999999999</v>
      </c>
      <c r="D89" s="841">
        <f t="shared" si="12"/>
        <v>110</v>
      </c>
      <c r="E89" s="579">
        <v>0.09</v>
      </c>
      <c r="F89" s="841">
        <f t="shared" si="13"/>
        <v>0</v>
      </c>
      <c r="G89" s="579">
        <v>0.01</v>
      </c>
      <c r="H89" s="835">
        <f t="shared" si="14"/>
        <v>0</v>
      </c>
      <c r="I89" s="579">
        <v>7.0000000000000001E-3</v>
      </c>
      <c r="J89" s="835">
        <f t="shared" si="15"/>
        <v>0</v>
      </c>
      <c r="K89" s="579">
        <v>0</v>
      </c>
      <c r="L89" s="835">
        <f t="shared" si="16"/>
        <v>0</v>
      </c>
      <c r="M89" s="579">
        <v>0</v>
      </c>
      <c r="N89" s="841">
        <f t="shared" si="17"/>
        <v>0</v>
      </c>
      <c r="O89" s="579">
        <v>21.998000000000001</v>
      </c>
      <c r="P89" s="841">
        <f t="shared" si="18"/>
        <v>20</v>
      </c>
      <c r="Q89" s="579">
        <v>36.889000000000003</v>
      </c>
      <c r="R89" s="841">
        <f t="shared" si="19"/>
        <v>37</v>
      </c>
      <c r="S89" s="579">
        <v>2.1999999999999999E-2</v>
      </c>
      <c r="T89" s="841">
        <f t="shared" si="20"/>
        <v>0</v>
      </c>
      <c r="U89" s="579">
        <v>0.19</v>
      </c>
      <c r="V89" s="841">
        <f t="shared" si="21"/>
        <v>0</v>
      </c>
      <c r="W89" s="579">
        <v>0</v>
      </c>
      <c r="X89" s="841">
        <f t="shared" si="22"/>
        <v>0</v>
      </c>
      <c r="Y89" s="579">
        <v>0</v>
      </c>
      <c r="Z89" s="841">
        <f t="shared" si="23"/>
        <v>0</v>
      </c>
      <c r="AA89" s="579">
        <v>0</v>
      </c>
      <c r="AB89" s="579">
        <v>0</v>
      </c>
      <c r="AC89" s="579">
        <v>11.673</v>
      </c>
      <c r="AD89" s="578">
        <v>0.89800000000000002</v>
      </c>
      <c r="AE89" s="578">
        <v>6.9000000000000006E-2</v>
      </c>
      <c r="AF89" s="578">
        <v>0.38100000000000001</v>
      </c>
      <c r="AG89" s="578">
        <v>19.302</v>
      </c>
      <c r="AH89" s="578">
        <v>0.41099999999999998</v>
      </c>
    </row>
    <row r="90" spans="1:34" s="465" customFormat="1" ht="18.75" customHeight="1" thickBot="1">
      <c r="A90" s="497" t="s">
        <v>325</v>
      </c>
      <c r="B90" s="484" t="s">
        <v>335</v>
      </c>
      <c r="C90" s="579">
        <v>146.005</v>
      </c>
      <c r="D90" s="841">
        <f t="shared" si="12"/>
        <v>150</v>
      </c>
      <c r="E90" s="579">
        <v>0</v>
      </c>
      <c r="F90" s="841">
        <f t="shared" si="13"/>
        <v>0</v>
      </c>
      <c r="G90" s="579">
        <v>0</v>
      </c>
      <c r="H90" s="835">
        <f t="shared" si="14"/>
        <v>0</v>
      </c>
      <c r="I90" s="579">
        <v>0</v>
      </c>
      <c r="J90" s="835">
        <f t="shared" si="15"/>
        <v>0</v>
      </c>
      <c r="K90" s="579">
        <v>0</v>
      </c>
      <c r="L90" s="835">
        <f t="shared" si="16"/>
        <v>0</v>
      </c>
      <c r="M90" s="579">
        <v>0</v>
      </c>
      <c r="N90" s="841">
        <f t="shared" si="17"/>
        <v>0</v>
      </c>
      <c r="O90" s="579">
        <v>22.683</v>
      </c>
      <c r="P90" s="841">
        <f t="shared" si="18"/>
        <v>25</v>
      </c>
      <c r="Q90" s="579">
        <v>38.197000000000003</v>
      </c>
      <c r="R90" s="841">
        <f t="shared" si="19"/>
        <v>38</v>
      </c>
      <c r="S90" s="579">
        <v>0.25900000000000001</v>
      </c>
      <c r="T90" s="841">
        <f t="shared" si="20"/>
        <v>0</v>
      </c>
      <c r="U90" s="579">
        <v>0</v>
      </c>
      <c r="V90" s="841">
        <f t="shared" si="21"/>
        <v>0</v>
      </c>
      <c r="W90" s="579">
        <v>0</v>
      </c>
      <c r="X90" s="841">
        <f t="shared" si="22"/>
        <v>0</v>
      </c>
      <c r="Y90" s="579">
        <v>2.5000000000000001E-2</v>
      </c>
      <c r="Z90" s="841">
        <f t="shared" si="23"/>
        <v>0</v>
      </c>
      <c r="AA90" s="579">
        <v>0</v>
      </c>
      <c r="AB90" s="579">
        <v>0</v>
      </c>
      <c r="AC90" s="579">
        <v>8.0419999999999998</v>
      </c>
      <c r="AD90" s="578">
        <v>0.61899999999999999</v>
      </c>
      <c r="AE90" s="578">
        <v>3.3000000000000002E-2</v>
      </c>
      <c r="AF90" s="578">
        <v>0.186</v>
      </c>
      <c r="AG90" s="578">
        <v>4.8540000000000001</v>
      </c>
      <c r="AH90" s="578">
        <v>0.10299999999999999</v>
      </c>
    </row>
    <row r="91" spans="1:34" s="465" customFormat="1" ht="18.75" customHeight="1" thickBot="1">
      <c r="A91" s="497" t="s">
        <v>325</v>
      </c>
      <c r="B91" s="484" t="s">
        <v>127</v>
      </c>
      <c r="C91" s="579">
        <v>112.218</v>
      </c>
      <c r="D91" s="841">
        <f t="shared" si="12"/>
        <v>110</v>
      </c>
      <c r="E91" s="579">
        <v>6.6000000000000003E-2</v>
      </c>
      <c r="F91" s="841">
        <f t="shared" si="13"/>
        <v>0</v>
      </c>
      <c r="G91" s="579">
        <v>7.0000000000000001E-3</v>
      </c>
      <c r="H91" s="835">
        <f t="shared" si="14"/>
        <v>0</v>
      </c>
      <c r="I91" s="579">
        <v>0</v>
      </c>
      <c r="J91" s="835">
        <f t="shared" si="15"/>
        <v>0</v>
      </c>
      <c r="K91" s="579">
        <v>0</v>
      </c>
      <c r="L91" s="835">
        <f t="shared" si="16"/>
        <v>0</v>
      </c>
      <c r="M91" s="579">
        <v>0</v>
      </c>
      <c r="N91" s="841">
        <f t="shared" si="17"/>
        <v>0</v>
      </c>
      <c r="O91" s="579">
        <v>33.654000000000003</v>
      </c>
      <c r="P91" s="841">
        <f t="shared" si="18"/>
        <v>35</v>
      </c>
      <c r="Q91" s="579">
        <v>38.756</v>
      </c>
      <c r="R91" s="841">
        <f t="shared" si="19"/>
        <v>39</v>
      </c>
      <c r="S91" s="579">
        <v>0</v>
      </c>
      <c r="T91" s="841">
        <f t="shared" si="20"/>
        <v>0</v>
      </c>
      <c r="U91" s="579">
        <v>7.6999999999999999E-2</v>
      </c>
      <c r="V91" s="841">
        <f t="shared" si="21"/>
        <v>0</v>
      </c>
      <c r="W91" s="579">
        <v>0</v>
      </c>
      <c r="X91" s="841">
        <f t="shared" si="22"/>
        <v>0</v>
      </c>
      <c r="Y91" s="579">
        <v>1.2E-2</v>
      </c>
      <c r="Z91" s="841">
        <f t="shared" si="23"/>
        <v>0</v>
      </c>
      <c r="AA91" s="579">
        <v>0</v>
      </c>
      <c r="AB91" s="579">
        <v>0</v>
      </c>
      <c r="AC91" s="579">
        <v>7.52</v>
      </c>
      <c r="AD91" s="578">
        <v>0.57799999999999996</v>
      </c>
      <c r="AE91" s="578">
        <v>4.9000000000000002E-2</v>
      </c>
      <c r="AF91" s="578">
        <v>0.27500000000000002</v>
      </c>
      <c r="AG91" s="578">
        <v>21.591999999999999</v>
      </c>
      <c r="AH91" s="578">
        <v>0.45900000000000002</v>
      </c>
    </row>
    <row r="92" spans="1:34" s="465" customFormat="1" ht="18.75" customHeight="1" thickBot="1">
      <c r="A92" s="497" t="s">
        <v>396</v>
      </c>
      <c r="B92" s="526" t="s">
        <v>129</v>
      </c>
      <c r="C92" s="714">
        <v>146.86799999999999</v>
      </c>
      <c r="D92" s="841">
        <f t="shared" si="12"/>
        <v>150</v>
      </c>
      <c r="E92" s="714">
        <v>62.942999999999998</v>
      </c>
      <c r="F92" s="841">
        <f t="shared" si="13"/>
        <v>60</v>
      </c>
      <c r="G92" s="714">
        <v>6.9939999999999998</v>
      </c>
      <c r="H92" s="835">
        <f t="shared" si="14"/>
        <v>7</v>
      </c>
      <c r="I92" s="714">
        <v>4.1959999999999997</v>
      </c>
      <c r="J92" s="835">
        <f t="shared" si="15"/>
        <v>4</v>
      </c>
      <c r="K92" s="714">
        <v>0</v>
      </c>
      <c r="L92" s="835">
        <f t="shared" si="16"/>
        <v>0</v>
      </c>
      <c r="M92" s="714">
        <v>38.465000000000003</v>
      </c>
      <c r="N92" s="841">
        <f t="shared" si="17"/>
        <v>40</v>
      </c>
      <c r="O92" s="714">
        <v>80.427999999999997</v>
      </c>
      <c r="P92" s="841">
        <f t="shared" si="18"/>
        <v>80</v>
      </c>
      <c r="Q92" s="714">
        <v>18.882999999999999</v>
      </c>
      <c r="R92" s="841">
        <f t="shared" si="19"/>
        <v>19</v>
      </c>
      <c r="S92" s="714">
        <v>0</v>
      </c>
      <c r="T92" s="841">
        <f t="shared" si="20"/>
        <v>0</v>
      </c>
      <c r="U92" s="714">
        <v>14.686999999999999</v>
      </c>
      <c r="V92" s="841">
        <f t="shared" si="21"/>
        <v>15</v>
      </c>
      <c r="W92" s="714">
        <v>0</v>
      </c>
      <c r="X92" s="841">
        <f t="shared" si="22"/>
        <v>0</v>
      </c>
      <c r="Y92" s="714">
        <v>2.7970000000000002</v>
      </c>
      <c r="Z92" s="841">
        <f t="shared" si="23"/>
        <v>3</v>
      </c>
      <c r="AA92" s="714">
        <v>0</v>
      </c>
      <c r="AB92" s="714">
        <v>0</v>
      </c>
      <c r="AC92" s="714">
        <v>90.918000000000006</v>
      </c>
      <c r="AD92" s="714">
        <v>6.9939999999999998</v>
      </c>
      <c r="AE92" s="714">
        <v>0.755</v>
      </c>
      <c r="AF92" s="714">
        <v>4.1959999999999997</v>
      </c>
      <c r="AG92" s="714">
        <v>0</v>
      </c>
      <c r="AH92" s="714">
        <v>0</v>
      </c>
    </row>
    <row r="93" spans="1:34" s="465" customFormat="1" ht="18.45">
      <c r="A93" s="497" t="s">
        <v>396</v>
      </c>
      <c r="B93" s="527" t="s">
        <v>130</v>
      </c>
      <c r="C93" s="714">
        <v>139.874</v>
      </c>
      <c r="D93" s="841">
        <f t="shared" si="12"/>
        <v>140</v>
      </c>
      <c r="E93" s="714">
        <v>69.238</v>
      </c>
      <c r="F93" s="841">
        <f t="shared" si="13"/>
        <v>70</v>
      </c>
      <c r="G93" s="714">
        <v>7.6929999999999996</v>
      </c>
      <c r="H93" s="835">
        <f t="shared" si="14"/>
        <v>8</v>
      </c>
      <c r="I93" s="714">
        <v>4.8959999999999999</v>
      </c>
      <c r="J93" s="835">
        <f t="shared" si="15"/>
        <v>5</v>
      </c>
      <c r="K93" s="714">
        <v>0</v>
      </c>
      <c r="L93" s="835">
        <f t="shared" si="16"/>
        <v>0</v>
      </c>
      <c r="M93" s="714">
        <v>45.459000000000003</v>
      </c>
      <c r="N93" s="841">
        <f t="shared" si="17"/>
        <v>45</v>
      </c>
      <c r="O93" s="714">
        <v>97.912000000000006</v>
      </c>
      <c r="P93" s="841">
        <f t="shared" si="18"/>
        <v>100</v>
      </c>
      <c r="Q93" s="714">
        <v>16.085999999999999</v>
      </c>
      <c r="R93" s="841">
        <f t="shared" si="19"/>
        <v>16</v>
      </c>
      <c r="S93" s="714">
        <v>0</v>
      </c>
      <c r="T93" s="841">
        <f t="shared" si="20"/>
        <v>0</v>
      </c>
      <c r="U93" s="714">
        <v>12.589</v>
      </c>
      <c r="V93" s="841">
        <f t="shared" si="21"/>
        <v>13</v>
      </c>
      <c r="W93" s="714">
        <v>0</v>
      </c>
      <c r="X93" s="841">
        <f t="shared" si="22"/>
        <v>0</v>
      </c>
      <c r="Y93" s="714">
        <v>2.7970000000000002</v>
      </c>
      <c r="Z93" s="841">
        <f t="shared" si="23"/>
        <v>3</v>
      </c>
      <c r="AA93" s="714">
        <v>0</v>
      </c>
      <c r="AB93" s="714">
        <v>0</v>
      </c>
      <c r="AC93" s="714">
        <v>136.37700000000001</v>
      </c>
      <c r="AD93" s="714">
        <v>10.491</v>
      </c>
      <c r="AE93" s="714">
        <v>0</v>
      </c>
      <c r="AF93" s="714">
        <v>0</v>
      </c>
      <c r="AG93" s="714">
        <v>0</v>
      </c>
      <c r="AH93" s="714">
        <v>0</v>
      </c>
    </row>
    <row r="94" spans="1:34" s="465" customFormat="1" ht="18.45">
      <c r="A94" s="1000"/>
      <c r="B94" s="1001"/>
      <c r="C94" s="1002"/>
      <c r="D94" s="1003"/>
      <c r="E94" s="1002"/>
      <c r="F94" s="1002"/>
      <c r="G94" s="1002"/>
      <c r="H94" s="1002"/>
      <c r="I94" s="1002"/>
      <c r="J94" s="1002"/>
      <c r="K94" s="1002"/>
      <c r="L94" s="1002"/>
      <c r="M94" s="1002"/>
      <c r="N94" s="1002"/>
      <c r="O94" s="1002"/>
      <c r="P94" s="1002"/>
      <c r="Q94" s="1002"/>
      <c r="R94" s="1002"/>
      <c r="S94" s="1002"/>
      <c r="T94" s="1002"/>
      <c r="U94" s="1002"/>
      <c r="V94" s="1002"/>
      <c r="W94" s="1002"/>
      <c r="X94" s="1002"/>
      <c r="Y94" s="1002"/>
      <c r="Z94" s="1002"/>
      <c r="AA94" s="1002"/>
      <c r="AB94" s="1002"/>
      <c r="AC94" s="1002"/>
      <c r="AD94" s="1002"/>
      <c r="AE94" s="1002"/>
      <c r="AF94" s="1002"/>
      <c r="AG94" s="1002"/>
      <c r="AH94" s="1004"/>
    </row>
    <row r="95" spans="1:34" s="465" customFormat="1" ht="50.25" customHeight="1">
      <c r="A95" s="1263" t="s">
        <v>168</v>
      </c>
      <c r="B95" s="1263"/>
      <c r="C95" s="1263"/>
      <c r="D95" s="1263"/>
      <c r="E95" s="1263"/>
      <c r="F95" s="1263"/>
      <c r="G95" s="1263"/>
      <c r="H95" s="1263"/>
      <c r="I95" s="1263"/>
      <c r="J95" s="1263"/>
      <c r="K95" s="1263"/>
      <c r="L95" s="1263"/>
      <c r="M95" s="1263"/>
      <c r="N95" s="1263"/>
      <c r="O95" s="1263"/>
      <c r="P95" s="1263"/>
      <c r="Q95" s="1263"/>
      <c r="R95" s="1263"/>
      <c r="S95" s="1263"/>
      <c r="T95" s="1263"/>
      <c r="U95" s="1263"/>
      <c r="V95" s="1263"/>
      <c r="W95" s="1263"/>
      <c r="X95" s="1263"/>
      <c r="Y95" s="1263"/>
      <c r="Z95" s="1263"/>
      <c r="AA95" s="1263"/>
      <c r="AB95" s="1263"/>
      <c r="AC95" s="1263"/>
      <c r="AD95" s="1263"/>
      <c r="AE95" s="1263"/>
      <c r="AF95" s="1263"/>
      <c r="AG95" s="1263"/>
      <c r="AH95" s="1264"/>
    </row>
    <row r="96" spans="1:34" s="465" customFormat="1" ht="28.5" hidden="1" customHeight="1">
      <c r="A96" s="467"/>
      <c r="B96" s="491"/>
      <c r="C96" s="491"/>
      <c r="D96" s="491"/>
      <c r="E96" s="491"/>
      <c r="F96" s="491"/>
      <c r="G96" s="491"/>
      <c r="H96" s="491"/>
      <c r="I96" s="491"/>
      <c r="J96" s="491"/>
      <c r="K96" s="491"/>
      <c r="L96" s="491"/>
      <c r="M96" s="491"/>
      <c r="N96" s="491"/>
      <c r="O96" s="491"/>
      <c r="P96" s="491"/>
      <c r="Q96" s="491"/>
      <c r="R96" s="491"/>
      <c r="S96" s="491"/>
      <c r="T96" s="491"/>
      <c r="U96" s="491"/>
      <c r="V96" s="491"/>
      <c r="W96" s="491"/>
      <c r="X96" s="491"/>
      <c r="Y96" s="491"/>
      <c r="Z96" s="491"/>
      <c r="AA96" s="491"/>
      <c r="AB96" s="491"/>
      <c r="AC96" s="491"/>
      <c r="AD96" s="491"/>
      <c r="AE96" s="491"/>
      <c r="AF96" s="491"/>
      <c r="AG96" s="491"/>
      <c r="AH96" s="491"/>
    </row>
    <row r="97" spans="1:34" s="465" customFormat="1" ht="18.45" hidden="1">
      <c r="A97" s="467"/>
      <c r="B97" s="491"/>
      <c r="C97" s="491"/>
      <c r="D97" s="491"/>
      <c r="E97" s="491"/>
      <c r="F97" s="491"/>
      <c r="G97" s="491"/>
      <c r="H97" s="491"/>
      <c r="I97" s="491"/>
      <c r="J97" s="491"/>
      <c r="K97" s="491"/>
      <c r="L97" s="491"/>
      <c r="M97" s="491"/>
      <c r="N97" s="491"/>
      <c r="O97" s="491"/>
      <c r="P97" s="491"/>
      <c r="Q97" s="491"/>
      <c r="R97" s="491"/>
      <c r="S97" s="491"/>
      <c r="T97" s="491"/>
      <c r="U97" s="491"/>
      <c r="V97" s="491"/>
      <c r="W97" s="491"/>
      <c r="X97" s="491"/>
      <c r="Y97" s="491"/>
      <c r="Z97" s="491"/>
      <c r="AA97" s="491"/>
      <c r="AB97" s="491"/>
      <c r="AC97" s="491"/>
      <c r="AD97" s="491"/>
      <c r="AE97" s="491"/>
      <c r="AF97" s="491"/>
      <c r="AG97" s="491"/>
      <c r="AH97" s="491"/>
    </row>
    <row r="98" spans="1:34" s="465" customFormat="1" ht="18.45" hidden="1">
      <c r="A98" s="472"/>
      <c r="B98" s="472"/>
      <c r="C98" s="472"/>
      <c r="D98" s="472"/>
      <c r="E98" s="472"/>
      <c r="F98" s="472"/>
      <c r="G98" s="472"/>
      <c r="H98" s="472"/>
      <c r="I98" s="472"/>
      <c r="J98" s="472"/>
      <c r="K98" s="472"/>
      <c r="L98" s="472"/>
      <c r="M98" s="472"/>
      <c r="N98" s="472"/>
      <c r="O98" s="472"/>
      <c r="P98" s="472"/>
      <c r="Q98" s="472"/>
      <c r="R98" s="472"/>
      <c r="S98" s="472"/>
      <c r="T98" s="472"/>
      <c r="U98" s="472"/>
      <c r="V98" s="472"/>
      <c r="W98" s="472"/>
      <c r="X98" s="472"/>
      <c r="Y98" s="472"/>
      <c r="Z98" s="472"/>
      <c r="AA98" s="472"/>
      <c r="AB98" s="472"/>
      <c r="AC98" s="467"/>
    </row>
    <row r="99" spans="1:34" s="465" customFormat="1" ht="18.45" hidden="1">
      <c r="A99" s="467"/>
      <c r="B99" s="466" t="s">
        <v>439</v>
      </c>
      <c r="C99" s="468">
        <f>SUM(AVERAGE(C5:C55),AVERAGE(C$92:C$93))</f>
        <v>383.90899999999993</v>
      </c>
      <c r="D99" s="468"/>
      <c r="E99" s="468">
        <f>SUM(AVERAGE(E5:E55),AVERAGE(E$92:E$93))</f>
        <v>66.60057843137254</v>
      </c>
      <c r="F99" s="468"/>
      <c r="G99" s="468">
        <f>SUM(AVERAGE(G5:G55),AVERAGE(G$92:G$93))</f>
        <v>7.5709705882352933</v>
      </c>
      <c r="H99" s="468"/>
      <c r="I99" s="468">
        <f>SUM(AVERAGE(I5:I55),AVERAGE(I$92:I$93))</f>
        <v>4.629941176470588</v>
      </c>
      <c r="J99" s="468"/>
      <c r="K99" s="468">
        <f>SUM(AVERAGE(K5:K55),AVERAGE(K$92:K$93))</f>
        <v>3.3333333333333338E-4</v>
      </c>
      <c r="L99" s="468"/>
      <c r="M99" s="468">
        <f>SUM(AVERAGE(M5:M55),AVERAGE(M$92:M$93))</f>
        <v>41.962000000000003</v>
      </c>
      <c r="N99" s="468"/>
      <c r="O99" s="468">
        <f>SUM(AVERAGE(O5:O55),AVERAGE(O$92:O$93))</f>
        <v>126.39058823529412</v>
      </c>
      <c r="P99" s="468"/>
      <c r="Q99" s="468">
        <f>SUM(AVERAGE(Q5:Q55),AVERAGE(Q$92:Q$93))</f>
        <v>77.721284313725505</v>
      </c>
      <c r="R99" s="468"/>
      <c r="S99" s="468">
        <f>SUM(AVERAGE(S5:S55),AVERAGE(S$92:S$93))</f>
        <v>0.18535294117647058</v>
      </c>
      <c r="T99" s="468"/>
      <c r="U99" s="468">
        <f>SUM(AVERAGE(U5:U55),AVERAGE(U$92:U$93))</f>
        <v>71.24484313725489</v>
      </c>
      <c r="V99" s="468"/>
      <c r="W99" s="468">
        <f>SUM(AVERAGE(W5:W55),AVERAGE(W$92:W$93))</f>
        <v>56.619392156862752</v>
      </c>
      <c r="X99" s="468"/>
      <c r="Y99" s="468">
        <f>SUM(AVERAGE(Y5:Y55),AVERAGE(Y$92:Y$93))</f>
        <v>2.9586078431372549</v>
      </c>
      <c r="Z99" s="468"/>
      <c r="AA99" s="468">
        <f t="shared" ref="AA99:AG99" si="24">SUM(AVERAGE(AA5:AA55),AVERAGE(AA$92:AA$93))</f>
        <v>3.6549019607843132E-2</v>
      </c>
      <c r="AB99" s="468">
        <f t="shared" si="24"/>
        <v>0.18262745098039215</v>
      </c>
      <c r="AC99" s="468">
        <f t="shared" si="24"/>
        <v>122.18473529411766</v>
      </c>
      <c r="AD99" s="468">
        <f t="shared" si="24"/>
        <v>9.3992254901960788</v>
      </c>
      <c r="AE99" s="468">
        <f t="shared" si="24"/>
        <v>0.48334313725490197</v>
      </c>
      <c r="AF99" s="468">
        <f t="shared" si="24"/>
        <v>2.6862549019607842</v>
      </c>
      <c r="AG99" s="468">
        <f t="shared" si="24"/>
        <v>16.1258431372549</v>
      </c>
      <c r="AH99" s="468">
        <f>SUM(AVERAGE(AH4:AH54),AVERAGE(AH$92:AH$93))</f>
        <v>0.33552941176470563</v>
      </c>
    </row>
    <row r="100" spans="1:34" s="465" customFormat="1" ht="36.9" hidden="1">
      <c r="A100" s="467"/>
      <c r="B100" s="466" t="s">
        <v>440</v>
      </c>
      <c r="C100" s="468" t="str">
        <f>ROUND( MIN(C5:C55)+MIN(C$92:C$93),0) &amp; " - " &amp; ROUND(MAX(C5:C55)+MAX(C$92:C$93), 0)</f>
        <v>263 - 497</v>
      </c>
      <c r="D100" s="468"/>
      <c r="E100" s="468" t="str">
        <f>ROUND( MIN(E5:E55)+MIN(E$92:E$93),0) &amp; " - " &amp; ROUND(MAX(E5:E55)+MAX(E$92:E$93), 0)</f>
        <v>63 - 82</v>
      </c>
      <c r="F100" s="468"/>
      <c r="G100" s="468" t="str">
        <f>ROUND( MIN(G5:G55)+MIN(G$92:G$93),0) &amp; " - " &amp; ROUND(MAX(G5:G55)+MAX(G$92:G$93), 0)</f>
        <v>7 - 14</v>
      </c>
      <c r="H100" s="468"/>
      <c r="I100" s="468" t="str">
        <f>ROUND( MIN(I5:I55)+MIN(I$92:I$93),0) &amp; " - " &amp; ROUND(MAX(I5:I55)+MAX(I$92:I$93), 0)</f>
        <v>4 - 6</v>
      </c>
      <c r="J100" s="468"/>
      <c r="K100" s="468" t="str">
        <f>ROUND( MIN(K5:K55)+MIN(K$92:K$93),0) &amp; " - " &amp; ROUND(MAX(K5:K55)+MAX(K$92:K$93), 0)</f>
        <v>0 - 0</v>
      </c>
      <c r="L100" s="468"/>
      <c r="M100" s="468" t="str">
        <f>ROUND( MIN(M5:M55)+MIN(M$92:M$93),0) &amp; " - " &amp; ROUND(MAX(M5:M55)+MAX(M$92:M$93), 0)</f>
        <v>38 - 45</v>
      </c>
      <c r="N100" s="468"/>
      <c r="O100" s="468" t="str">
        <f>ROUND( MIN(O5:O55)+MIN(O$92:O$93),0) &amp; " - " &amp; ROUND(MAX(O5:O55)+MAX(O$92:O$93), 0)</f>
        <v>107 - 178</v>
      </c>
      <c r="P100" s="468"/>
      <c r="Q100" s="468" t="str">
        <f>ROUND( MIN(Q5:Q55)+MIN(Q$92:Q$93),0) &amp; " - " &amp; ROUND(MAX(Q5:Q55)+MAX(Q$92:Q$93), 0)</f>
        <v>48 - 98</v>
      </c>
      <c r="R100" s="468"/>
      <c r="S100" s="468" t="str">
        <f>ROUND( MIN(S5:S55)+MIN(S$92:S$93),0) &amp; " - " &amp; ROUND(MAX(S5:S55)+MAX(S$92:S$93), 0)</f>
        <v>0 - 2</v>
      </c>
      <c r="T100" s="468"/>
      <c r="U100" s="468" t="str">
        <f>ROUND( MIN(U5:U55)+MIN(U$92:U$93),0) &amp; " - " &amp; ROUND(MAX(U5:U55)+MAX(U$92:U$93), 0)</f>
        <v>44 - 90</v>
      </c>
      <c r="V100" s="468"/>
      <c r="W100" s="468" t="str">
        <f>ROUND( MIN(W5:W55)+MIN(W$92:W$93),0) &amp; " - " &amp; ROUND(MAX(W5:W55)+MAX(W$92:W$93), 0)</f>
        <v>24 - 75</v>
      </c>
      <c r="X100" s="468"/>
      <c r="Y100" s="468" t="str">
        <f>ROUND( MIN(Y5:Y55)+MIN(Y$92:Y$93),0) &amp; " - " &amp; ROUND(MAX(Y5:Y55)+MAX(Y$92:Y$93), 0)</f>
        <v>3 - 5</v>
      </c>
      <c r="Z100" s="468"/>
      <c r="AA100" s="468" t="str">
        <f t="shared" ref="AA100:AG100" si="25">ROUND( MIN(AA5:AA55)+MIN(AA$92:AA$93),0) &amp; " - " &amp; ROUND(MAX(AA5:AA55)+MAX(AA$92:AA$93), 0)</f>
        <v>0 - 1</v>
      </c>
      <c r="AB100" s="468" t="str">
        <f t="shared" si="25"/>
        <v>0 - 6</v>
      </c>
      <c r="AC100" s="468" t="str">
        <f t="shared" si="25"/>
        <v>97 - 156</v>
      </c>
      <c r="AD100" s="468" t="str">
        <f t="shared" si="25"/>
        <v>7 - 12</v>
      </c>
      <c r="AE100" s="468" t="str">
        <f t="shared" si="25"/>
        <v>0 - 2</v>
      </c>
      <c r="AF100" s="468" t="str">
        <f t="shared" si="25"/>
        <v>0 - 11</v>
      </c>
      <c r="AG100" s="468" t="str">
        <f t="shared" si="25"/>
        <v>0 - 127</v>
      </c>
      <c r="AH100" s="468" t="str">
        <f>ROUND( MIN(AH4:AH54)+MIN(AH$92:AH$93),0) &amp; " - " &amp; ROUND(MAX(AH4:AH54)+MAX(AH$92:AH$93), 0)</f>
        <v>0 - 3</v>
      </c>
    </row>
    <row r="101" spans="1:34" s="465" customFormat="1" ht="18.45" hidden="1">
      <c r="A101" s="467"/>
      <c r="B101" s="466" t="s">
        <v>441</v>
      </c>
      <c r="C101" s="468" t="e">
        <f>SUM(AVERAGE(#REF!),AVERAGE(C$92:C$93))</f>
        <v>#REF!</v>
      </c>
      <c r="D101" s="468"/>
      <c r="E101" s="468" t="e">
        <f>SUM(AVERAGE(#REF!),AVERAGE(E$92:E$93))</f>
        <v>#REF!</v>
      </c>
      <c r="F101" s="468"/>
      <c r="G101" s="468" t="e">
        <f>SUM(AVERAGE(#REF!),AVERAGE(G$92:G$93))</f>
        <v>#REF!</v>
      </c>
      <c r="H101" s="468"/>
      <c r="I101" s="468" t="e">
        <f>SUM(AVERAGE(#REF!),AVERAGE(I$92:I$93))</f>
        <v>#REF!</v>
      </c>
      <c r="J101" s="468"/>
      <c r="K101" s="468" t="e">
        <f>SUM(AVERAGE(#REF!),AVERAGE(K$92:K$93))</f>
        <v>#REF!</v>
      </c>
      <c r="L101" s="468"/>
      <c r="M101" s="468" t="e">
        <f>SUM(AVERAGE(#REF!),AVERAGE(M$92:M$93))</f>
        <v>#REF!</v>
      </c>
      <c r="N101" s="468"/>
      <c r="O101" s="468" t="e">
        <f>SUM(AVERAGE(#REF!),AVERAGE(O$92:O$93))</f>
        <v>#REF!</v>
      </c>
      <c r="P101" s="468"/>
      <c r="Q101" s="468" t="e">
        <f>SUM(AVERAGE(#REF!),AVERAGE(Q$92:Q$93))</f>
        <v>#REF!</v>
      </c>
      <c r="R101" s="468"/>
      <c r="S101" s="468" t="e">
        <f>SUM(AVERAGE(#REF!),AVERAGE(S$92:S$93))</f>
        <v>#REF!</v>
      </c>
      <c r="T101" s="468"/>
      <c r="U101" s="468" t="e">
        <f>SUM(AVERAGE(#REF!),AVERAGE(U$92:U$93))</f>
        <v>#REF!</v>
      </c>
      <c r="V101" s="468"/>
      <c r="W101" s="468" t="e">
        <f>SUM(AVERAGE(#REF!),AVERAGE(W$92:W$93))</f>
        <v>#REF!</v>
      </c>
      <c r="X101" s="468"/>
      <c r="Y101" s="468" t="e">
        <f>SUM(AVERAGE(#REF!),AVERAGE(Y$92:Y$93))</f>
        <v>#REF!</v>
      </c>
      <c r="Z101" s="468"/>
      <c r="AA101" s="468" t="e">
        <f>SUM(AVERAGE(#REF!),AVERAGE(AA$92:AA$93))</f>
        <v>#REF!</v>
      </c>
      <c r="AB101" s="468" t="e">
        <f>SUM(AVERAGE(#REF!),AVERAGE(AB$92:AB$93))</f>
        <v>#REF!</v>
      </c>
      <c r="AC101" s="468" t="e">
        <f>SUM(AVERAGE(#REF!),AVERAGE(AC$92:AC$93))</f>
        <v>#REF!</v>
      </c>
      <c r="AD101" s="468" t="e">
        <f>SUM(AVERAGE(#REF!),AVERAGE(AD$92:AD$93))</f>
        <v>#REF!</v>
      </c>
      <c r="AE101" s="468" t="e">
        <f>SUM(AVERAGE(#REF!),AVERAGE(AE$92:AE$93))</f>
        <v>#REF!</v>
      </c>
      <c r="AF101" s="468" t="e">
        <f>SUM(AVERAGE(#REF!),AVERAGE(AF$92:AF$93))</f>
        <v>#REF!</v>
      </c>
      <c r="AG101" s="468" t="e">
        <f>SUM(AVERAGE(#REF!),AVERAGE(AG$92:AG$93))</f>
        <v>#REF!</v>
      </c>
      <c r="AH101" s="468">
        <f>SUM(AVERAGE(AH55:AH58),AVERAGE(AH$92:AH$93))</f>
        <v>0.27625</v>
      </c>
    </row>
    <row r="102" spans="1:34" s="465" customFormat="1" ht="18.45" hidden="1">
      <c r="A102" s="467"/>
      <c r="B102" s="466" t="s">
        <v>442</v>
      </c>
      <c r="C102" s="468" t="e">
        <f>ROUND( MIN(#REF!)+MIN(C$92:C$93),0) &amp; " - " &amp; ROUND(MAX(#REF!)+MAX(C$92:C$93), 0)</f>
        <v>#REF!</v>
      </c>
      <c r="D102" s="468"/>
      <c r="E102" s="468" t="e">
        <f>ROUND( MIN(#REF!)+MIN(E$92:E$93),0) &amp; " - " &amp; ROUND(MAX(#REF!)+MAX(E$92:E$93), 0)</f>
        <v>#REF!</v>
      </c>
      <c r="F102" s="468"/>
      <c r="G102" s="468" t="e">
        <f>ROUND( MIN(#REF!)+MIN(G$92:G$93),0) &amp; " - " &amp; ROUND(MAX(#REF!)+MAX(G$92:G$93), 0)</f>
        <v>#REF!</v>
      </c>
      <c r="H102" s="468"/>
      <c r="I102" s="468" t="e">
        <f>ROUND( MIN(#REF!)+MIN(I$92:I$93),0) &amp; " - " &amp; ROUND(MAX(#REF!)+MAX(I$92:I$93), 0)</f>
        <v>#REF!</v>
      </c>
      <c r="J102" s="468"/>
      <c r="K102" s="468" t="e">
        <f>ROUND( MIN(#REF!)+MIN(K$92:K$93),0) &amp; " - " &amp; ROUND(MAX(#REF!)+MAX(K$92:K$93), 0)</f>
        <v>#REF!</v>
      </c>
      <c r="L102" s="468"/>
      <c r="M102" s="468" t="e">
        <f>ROUND( MIN(#REF!)+MIN(M$92:M$93),0) &amp; " - " &amp; ROUND(MAX(#REF!)+MAX(M$92:M$93), 0)</f>
        <v>#REF!</v>
      </c>
      <c r="N102" s="468"/>
      <c r="O102" s="468" t="e">
        <f>ROUND( MIN(#REF!)+MIN(O$92:O$93),0) &amp; " - " &amp; ROUND(MAX(#REF!)+MAX(O$92:O$93), 0)</f>
        <v>#REF!</v>
      </c>
      <c r="P102" s="468"/>
      <c r="Q102" s="468" t="e">
        <f>ROUND( MIN(#REF!)+MIN(Q$92:Q$93),0) &amp; " - " &amp; ROUND(MAX(#REF!)+MAX(Q$92:Q$93), 0)</f>
        <v>#REF!</v>
      </c>
      <c r="R102" s="468"/>
      <c r="S102" s="468" t="e">
        <f>ROUND( MIN(#REF!)+MIN(S$92:S$93),0) &amp; " - " &amp; ROUND(MAX(#REF!)+MAX(S$92:S$93), 0)</f>
        <v>#REF!</v>
      </c>
      <c r="T102" s="468"/>
      <c r="U102" s="468" t="e">
        <f>ROUND( MIN(#REF!)+MIN(U$92:U$93),0) &amp; " - " &amp; ROUND(MAX(#REF!)+MAX(U$92:U$93), 0)</f>
        <v>#REF!</v>
      </c>
      <c r="V102" s="468"/>
      <c r="W102" s="468" t="e">
        <f>ROUND( MIN(#REF!)+MIN(W$92:W$93),0) &amp; " - " &amp; ROUND(MAX(#REF!)+MAX(W$92:W$93), 0)</f>
        <v>#REF!</v>
      </c>
      <c r="X102" s="468"/>
      <c r="Y102" s="468" t="e">
        <f>ROUND( MIN(#REF!)+MIN(Y$92:Y$93),0) &amp; " - " &amp; ROUND(MAX(#REF!)+MAX(Y$92:Y$93), 0)</f>
        <v>#REF!</v>
      </c>
      <c r="Z102" s="468"/>
      <c r="AA102" s="468" t="e">
        <f>ROUND( MIN(#REF!)+MIN(AA$92:AA$93),0) &amp; " - " &amp; ROUND(MAX(#REF!)+MAX(AA$92:AA$93), 0)</f>
        <v>#REF!</v>
      </c>
      <c r="AB102" s="468" t="e">
        <f>ROUND( MIN(#REF!)+MIN(AB$92:AB$93),0) &amp; " - " &amp; ROUND(MAX(#REF!)+MAX(AB$92:AB$93), 0)</f>
        <v>#REF!</v>
      </c>
      <c r="AC102" s="468" t="e">
        <f>ROUND( MIN(#REF!)+MIN(AC$92:AC$93),0) &amp; " - " &amp; ROUND(MAX(#REF!)+MAX(AC$92:AC$93), 0)</f>
        <v>#REF!</v>
      </c>
      <c r="AD102" s="468" t="e">
        <f>ROUND( MIN(#REF!)+MIN(AD$92:AD$93),0) &amp; " - " &amp; ROUND(MAX(#REF!)+MAX(AD$92:AD$93), 0)</f>
        <v>#REF!</v>
      </c>
      <c r="AE102" s="468" t="e">
        <f>ROUND( MIN(#REF!)+MIN(AE$92:AE$93),0) &amp; " - " &amp; ROUND(MAX(#REF!)+MAX(AE$92:AE$93), 0)</f>
        <v>#REF!</v>
      </c>
      <c r="AF102" s="468" t="e">
        <f>ROUND( MIN(#REF!)+MIN(AF$92:AF$93),0) &amp; " - " &amp; ROUND(MAX(#REF!)+MAX(AF$92:AF$93), 0)</f>
        <v>#REF!</v>
      </c>
      <c r="AG102" s="468" t="e">
        <f>ROUND( MIN(#REF!)+MIN(AG$92:AG$93),0) &amp; " - " &amp; ROUND(MAX(#REF!)+MAX(AG$92:AG$93), 0)</f>
        <v>#REF!</v>
      </c>
      <c r="AH102" s="468" t="str">
        <f>ROUND( MIN(AH55:AH58)+MIN(AH$92:AH$93),0) &amp; " - " &amp; ROUND(MAX(AH55:AH58)+MAX(AH$92:AH$93), 0)</f>
        <v>0 - 0</v>
      </c>
    </row>
    <row r="103" spans="1:34" s="465" customFormat="1" ht="18.45" hidden="1">
      <c r="A103" s="467"/>
      <c r="B103" s="466" t="s">
        <v>443</v>
      </c>
      <c r="C103" s="468">
        <f>SUM(AVERAGE(C59:C85),AVERAGE(C$92:C$93))</f>
        <v>438.0902592592592</v>
      </c>
      <c r="D103" s="468"/>
      <c r="E103" s="468">
        <f>SUM(AVERAGE(E59:E85),AVERAGE(E$92:E$93))</f>
        <v>76.6826111111111</v>
      </c>
      <c r="F103" s="468"/>
      <c r="G103" s="468">
        <f>SUM(AVERAGE(G59:G85),AVERAGE(G$92:G$93))</f>
        <v>11.513944444444444</v>
      </c>
      <c r="H103" s="468"/>
      <c r="I103" s="468">
        <f>SUM(AVERAGE(I59:I85),AVERAGE(I$92:I$93))</f>
        <v>7.8109999999999999</v>
      </c>
      <c r="J103" s="468"/>
      <c r="K103" s="468">
        <f>SUM(AVERAGE(K59:K85),AVERAGE(K$92:K$93))</f>
        <v>1.5925925925925927E-2</v>
      </c>
      <c r="L103" s="468"/>
      <c r="M103" s="468">
        <f>SUM(AVERAGE(M59:M85),AVERAGE(M$92:M$93))</f>
        <v>43.060740740740741</v>
      </c>
      <c r="N103" s="468"/>
      <c r="O103" s="468">
        <f>SUM(AVERAGE(O59:O85),AVERAGE(O$92:O$93))</f>
        <v>161.48222222222222</v>
      </c>
      <c r="P103" s="468"/>
      <c r="Q103" s="468">
        <f>SUM(AVERAGE(Q59:Q85),AVERAGE(Q$92:Q$93))</f>
        <v>83.540944444444435</v>
      </c>
      <c r="R103" s="468"/>
      <c r="S103" s="468">
        <f>SUM(AVERAGE(S59:S85),AVERAGE(S$92:S$93))</f>
        <v>0.91896296296296298</v>
      </c>
      <c r="T103" s="468"/>
      <c r="U103" s="468">
        <f>SUM(AVERAGE(U59:U85),AVERAGE(U$92:U$93))</f>
        <v>74.754000000000005</v>
      </c>
      <c r="V103" s="468"/>
      <c r="W103" s="468">
        <f>SUM(AVERAGE(W59:W85),AVERAGE(W$92:W$93))</f>
        <v>59.476333333333329</v>
      </c>
      <c r="X103" s="468"/>
      <c r="Y103" s="468">
        <f>SUM(AVERAGE(Y59:Y85),AVERAGE(Y$92:Y$93))</f>
        <v>3.4381851851851852</v>
      </c>
      <c r="Z103" s="468"/>
      <c r="AA103" s="468">
        <f t="shared" ref="AA103:AG103" si="26">SUM(AVERAGE(AA59:AA85),AVERAGE(AA$92:AA$93))</f>
        <v>3.7407407407407411E-3</v>
      </c>
      <c r="AB103" s="468">
        <f t="shared" si="26"/>
        <v>1.8703703703703705E-2</v>
      </c>
      <c r="AC103" s="468">
        <f t="shared" si="26"/>
        <v>126.68394444444445</v>
      </c>
      <c r="AD103" s="468">
        <f t="shared" si="26"/>
        <v>9.7453148148148152</v>
      </c>
      <c r="AE103" s="468">
        <f t="shared" si="26"/>
        <v>0.76387037037037042</v>
      </c>
      <c r="AF103" s="468">
        <f t="shared" si="26"/>
        <v>4.2445555555555554</v>
      </c>
      <c r="AG103" s="468">
        <f t="shared" si="26"/>
        <v>40.431444444444431</v>
      </c>
      <c r="AH103" s="468">
        <f>SUM(AVERAGE(AH59:AH84),AVERAGE(AH$92:AH$93))</f>
        <v>0.85261538461538433</v>
      </c>
    </row>
    <row r="104" spans="1:34" s="465" customFormat="1" ht="36.9" hidden="1">
      <c r="A104" s="467"/>
      <c r="B104" s="466" t="s">
        <v>444</v>
      </c>
      <c r="C104" s="468" t="str">
        <f>ROUND( MIN(C59:C85)+MIN(C$92:C$93),0) &amp; " - " &amp; ROUND(MAX(C59:C85)+MAX(C$92:C$93), 0)</f>
        <v>353 - 519</v>
      </c>
      <c r="D104" s="468"/>
      <c r="E104" s="468" t="str">
        <f>ROUND( MIN(E59:E85)+MIN(E$92:E$93),0) &amp; " - " &amp; ROUND(MAX(E59:E85)+MAX(E$92:E$93), 0)</f>
        <v>63 - 107</v>
      </c>
      <c r="F104" s="468"/>
      <c r="G104" s="468" t="str">
        <f>ROUND( MIN(G59:G85)+MIN(G$92:G$93),0) &amp; " - " &amp; ROUND(MAX(G59:G85)+MAX(G$92:G$93), 0)</f>
        <v>8 - 16</v>
      </c>
      <c r="H104" s="468"/>
      <c r="I104" s="468" t="str">
        <f>ROUND( MIN(I59:I85)+MIN(I$92:I$93),0) &amp; " - " &amp; ROUND(MAX(I59:I85)+MAX(I$92:I$93), 0)</f>
        <v>5 - 10</v>
      </c>
      <c r="J104" s="468"/>
      <c r="K104" s="468" t="str">
        <f>ROUND( MIN(K59:K85)+MIN(K$92:K$93),0) &amp; " - " &amp; ROUND(MAX(K59:K85)+MAX(K$92:K$93), 0)</f>
        <v>0 - 0</v>
      </c>
      <c r="L104" s="468"/>
      <c r="M104" s="468" t="str">
        <f>ROUND( MIN(M59:M85)+MIN(M$92:M$93),0) &amp; " - " &amp; ROUND(MAX(M59:M85)+MAX(M$92:M$93), 0)</f>
        <v>38 - 51</v>
      </c>
      <c r="N104" s="468"/>
      <c r="O104" s="468" t="str">
        <f>ROUND( MIN(O59:O85)+MIN(O$92:O$93),0) &amp; " - " &amp; ROUND(MAX(O59:O85)+MAX(O$92:O$93), 0)</f>
        <v>130 - 254</v>
      </c>
      <c r="P104" s="468"/>
      <c r="Q104" s="468" t="str">
        <f>ROUND( MIN(Q59:Q85)+MIN(Q$92:Q$93),0) &amp; " - " &amp; ROUND(MAX(Q59:Q85)+MAX(Q$92:Q$93), 0)</f>
        <v>62 - 102</v>
      </c>
      <c r="R104" s="468"/>
      <c r="S104" s="468" t="str">
        <f>ROUND( MIN(S59:S85)+MIN(S$92:S$93),0) &amp; " - " &amp; ROUND(MAX(S59:S85)+MAX(S$92:S$93), 0)</f>
        <v>0 - 14</v>
      </c>
      <c r="T104" s="468"/>
      <c r="U104" s="468" t="str">
        <f>ROUND( MIN(U59:U85)+MIN(U$92:U$93),0) &amp; " - " &amp; ROUND(MAX(U59:U85)+MAX(U$92:U$93), 0)</f>
        <v>54 - 89</v>
      </c>
      <c r="V104" s="468"/>
      <c r="W104" s="468" t="str">
        <f>ROUND( MIN(W59:W85)+MIN(W$92:W$93),0) &amp; " - " &amp; ROUND(MAX(W59:W85)+MAX(W$92:W$93), 0)</f>
        <v>40 - 74</v>
      </c>
      <c r="X104" s="468"/>
      <c r="Y104" s="468" t="str">
        <f>ROUND( MIN(Y59:Y85)+MIN(Y$92:Y$93),0) &amp; " - " &amp; ROUND(MAX(Y59:Y85)+MAX(Y$92:Y$93), 0)</f>
        <v>3 - 5</v>
      </c>
      <c r="Z104" s="468"/>
      <c r="AA104" s="468" t="str">
        <f t="shared" ref="AA104:AG104" si="27">ROUND( MIN(AA59:AA85)+MIN(AA$92:AA$93),0) &amp; " - " &amp; ROUND(MAX(AA59:AA85)+MAX(AA$92:AA$93), 0)</f>
        <v>0 - 0</v>
      </c>
      <c r="AB104" s="468" t="str">
        <f t="shared" si="27"/>
        <v>0 - 0</v>
      </c>
      <c r="AC104" s="468" t="str">
        <f t="shared" si="27"/>
        <v>98 - 170</v>
      </c>
      <c r="AD104" s="468" t="str">
        <f t="shared" si="27"/>
        <v>8 - 13</v>
      </c>
      <c r="AE104" s="468" t="str">
        <f t="shared" si="27"/>
        <v>0 - 2</v>
      </c>
      <c r="AF104" s="468" t="str">
        <f t="shared" si="27"/>
        <v>0 - 10</v>
      </c>
      <c r="AG104" s="468" t="str">
        <f t="shared" si="27"/>
        <v>6 - 122</v>
      </c>
      <c r="AH104" s="468" t="str">
        <f>ROUND( MIN(AH55:AH84)+MIN(AH$92:AH$93),0) &amp; " - " &amp; ROUND(MAX(AH55:AH84)+MAX(AH$92:AH$93), 0)</f>
        <v>0 - 3</v>
      </c>
    </row>
    <row r="105" spans="1:34" s="465" customFormat="1" ht="18.45" hidden="1">
      <c r="A105" s="467"/>
      <c r="B105" s="466" t="s">
        <v>445</v>
      </c>
      <c r="C105" s="468">
        <f>SUM(AVERAGE(C86:C91),AVERAGE(C$92:C$93))</f>
        <v>259.49066666666664</v>
      </c>
      <c r="D105" s="468"/>
      <c r="E105" s="468">
        <f>SUM(AVERAGE(E86:E91),AVERAGE(E$92:E$93))</f>
        <v>66.151499999999999</v>
      </c>
      <c r="F105" s="468"/>
      <c r="G105" s="468">
        <f>SUM(AVERAGE(G86:G91),AVERAGE(G$92:G$93))</f>
        <v>7.3501666666666665</v>
      </c>
      <c r="H105" s="468"/>
      <c r="I105" s="468">
        <f>SUM(AVERAGE(I86:I91),AVERAGE(I$92:I$93))</f>
        <v>4.5506666666666664</v>
      </c>
      <c r="J105" s="468"/>
      <c r="K105" s="468">
        <f>SUM(AVERAGE(K86:K91),AVERAGE(K$92:K$93))</f>
        <v>0</v>
      </c>
      <c r="L105" s="468"/>
      <c r="M105" s="468">
        <f>SUM(AVERAGE(M86:M91),AVERAGE(M$92:M$93))</f>
        <v>41.962000000000003</v>
      </c>
      <c r="N105" s="468"/>
      <c r="O105" s="468">
        <f>SUM(AVERAGE(O86:O91),AVERAGE(O$92:O$93))</f>
        <v>113.77866666666667</v>
      </c>
      <c r="P105" s="468"/>
      <c r="Q105" s="468">
        <f>SUM(AVERAGE(Q86:Q91),AVERAGE(Q$92:Q$93))</f>
        <v>55.834333333333333</v>
      </c>
      <c r="R105" s="468"/>
      <c r="S105" s="468">
        <f>SUM(AVERAGE(S86:S91),AVERAGE(S$92:S$93))</f>
        <v>5.5166666666666669E-2</v>
      </c>
      <c r="T105" s="468"/>
      <c r="U105" s="468">
        <f>SUM(AVERAGE(U86:U91),AVERAGE(U$92:U$93))</f>
        <v>13.719466666666667</v>
      </c>
      <c r="V105" s="468"/>
      <c r="W105" s="468">
        <f>SUM(AVERAGE(W86:W91),AVERAGE(W$92:W$93))</f>
        <v>0</v>
      </c>
      <c r="X105" s="468"/>
      <c r="Y105" s="468">
        <f>SUM(AVERAGE(Y86:Y91),AVERAGE(Y$92:Y$93))</f>
        <v>2.8613333333333335</v>
      </c>
      <c r="Z105" s="468"/>
      <c r="AA105" s="468">
        <f t="shared" ref="AA105:AG105" si="28">SUM(AVERAGE(AA86:AA91),AVERAGE(AA$92:AA$93))</f>
        <v>0</v>
      </c>
      <c r="AB105" s="468">
        <f t="shared" si="28"/>
        <v>0</v>
      </c>
      <c r="AC105" s="468">
        <f t="shared" si="28"/>
        <v>124.08250000000001</v>
      </c>
      <c r="AD105" s="468">
        <f t="shared" si="28"/>
        <v>9.5451666666666668</v>
      </c>
      <c r="AE105" s="468">
        <f t="shared" si="28"/>
        <v>0.4291666666666667</v>
      </c>
      <c r="AF105" s="468">
        <f t="shared" si="28"/>
        <v>2.3858333333333333</v>
      </c>
      <c r="AG105" s="468">
        <f t="shared" si="28"/>
        <v>17.4695</v>
      </c>
      <c r="AH105" s="468">
        <f>SUM(AVERAGE(AH85:AH89),AVERAGE(AH$92:AH$93))</f>
        <v>0.54580000000000006</v>
      </c>
    </row>
    <row r="106" spans="1:34" s="465" customFormat="1" ht="36.9" hidden="1">
      <c r="A106" s="467"/>
      <c r="B106" s="466" t="s">
        <v>446</v>
      </c>
      <c r="C106" s="468" t="str">
        <f>ROUND( MIN(C86:C91)+MIN(C$92:C$93),0) &amp; " - " &amp; ROUND(MAX(C86:C91)+MAX(C$92:C$93), 0)</f>
        <v>246 - 293</v>
      </c>
      <c r="D106" s="468"/>
      <c r="E106" s="468" t="str">
        <f>ROUND( MIN(E86:E91)+MIN(E$92:E$93),0) &amp; " - " &amp; ROUND(MAX(E86:E91)+MAX(E$92:E$93), 0)</f>
        <v>63 - 69</v>
      </c>
      <c r="F106" s="468"/>
      <c r="G106" s="468" t="str">
        <f>ROUND( MIN(G86:G91)+MIN(G$92:G$93),0) &amp; " - " &amp; ROUND(MAX(G86:G91)+MAX(G$92:G$93), 0)</f>
        <v>7 - 8</v>
      </c>
      <c r="H106" s="468"/>
      <c r="I106" s="468" t="str">
        <f>ROUND( MIN(I86:I91)+MIN(I$92:I$93),0) &amp; " - " &amp; ROUND(MAX(I86:I91)+MAX(I$92:I$93), 0)</f>
        <v>4 - 5</v>
      </c>
      <c r="J106" s="468"/>
      <c r="K106" s="468" t="str">
        <f>ROUND( MIN(K86:K91)+MIN(K$92:K$93),0) &amp; " - " &amp; ROUND(MAX(K86:K91)+MAX(K$92:K$93), 0)</f>
        <v>0 - 0</v>
      </c>
      <c r="L106" s="468"/>
      <c r="M106" s="468" t="str">
        <f>ROUND( MIN(M86:M91)+MIN(M$92:M$93),0) &amp; " - " &amp; ROUND(MAX(M86:M91)+MAX(M$92:M$93), 0)</f>
        <v>38 - 45</v>
      </c>
      <c r="N106" s="468"/>
      <c r="O106" s="468" t="str">
        <f>ROUND( MIN(O86:O91)+MIN(O$92:O$93),0) &amp; " - " &amp; ROUND(MAX(O86:O91)+MAX(O$92:O$93), 0)</f>
        <v>102 - 132</v>
      </c>
      <c r="P106" s="468"/>
      <c r="Q106" s="468" t="str">
        <f>ROUND( MIN(Q86:Q91)+MIN(Q$92:Q$93),0) &amp; " - " &amp; ROUND(MAX(Q86:Q91)+MAX(Q$92:Q$93), 0)</f>
        <v>53 - 58</v>
      </c>
      <c r="R106" s="468"/>
      <c r="S106" s="468" t="str">
        <f>ROUND( MIN(S86:S91)+MIN(S$92:S$93),0) &amp; " - " &amp; ROUND(MAX(S86:S91)+MAX(S$92:S$93), 0)</f>
        <v>0 - 0</v>
      </c>
      <c r="T106" s="468"/>
      <c r="U106" s="468" t="str">
        <f>ROUND( MIN(U86:U91)+MIN(U$92:U$93),0) &amp; " - " &amp; ROUND(MAX(U86:U91)+MAX(U$92:U$93), 0)</f>
        <v>13 - 15</v>
      </c>
      <c r="V106" s="468"/>
      <c r="W106" s="468" t="str">
        <f>ROUND( MIN(W86:W91)+MIN(W$92:W$93),0) &amp; " - " &amp; ROUND(MAX(W86:W91)+MAX(W$92:W$93), 0)</f>
        <v>0 - 0</v>
      </c>
      <c r="X106" s="468"/>
      <c r="Y106" s="468" t="str">
        <f>ROUND( MIN(Y86:Y91)+MIN(Y$92:Y$93),0) &amp; " - " &amp; ROUND(MAX(Y86:Y91)+MAX(Y$92:Y$93), 0)</f>
        <v>3 - 3</v>
      </c>
      <c r="Z106" s="468"/>
      <c r="AA106" s="468" t="str">
        <f t="shared" ref="AA106:AG106" si="29">ROUND( MIN(AA86:AA91)+MIN(AA$92:AA$93),0) &amp; " - " &amp; ROUND(MAX(AA86:AA91)+MAX(AA$92:AA$93), 0)</f>
        <v>0 - 0</v>
      </c>
      <c r="AB106" s="468" t="str">
        <f t="shared" si="29"/>
        <v>0 - 0</v>
      </c>
      <c r="AC106" s="468" t="str">
        <f t="shared" si="29"/>
        <v>98 - 148</v>
      </c>
      <c r="AD106" s="468" t="str">
        <f t="shared" si="29"/>
        <v>8 - 11</v>
      </c>
      <c r="AE106" s="468" t="str">
        <f t="shared" si="29"/>
        <v>0 - 1</v>
      </c>
      <c r="AF106" s="468" t="str">
        <f t="shared" si="29"/>
        <v>0 - 5</v>
      </c>
      <c r="AG106" s="468" t="str">
        <f t="shared" si="29"/>
        <v>5 - 22</v>
      </c>
      <c r="AH106" s="468" t="str">
        <f>ROUND( MIN(AH85:AH89)+MIN(AH$92:AH$93),0) &amp; " - " &amp; ROUND(MAX(AH85:AH89)+MAX(AH$92:AH$93), 0)</f>
        <v>0 - 1</v>
      </c>
    </row>
    <row r="107" spans="1:34" s="465" customFormat="1" ht="18.45" hidden="1"/>
    <row r="108" spans="1:34" s="465" customFormat="1" ht="18.899999999999999" thickBot="1"/>
    <row r="109" spans="1:34" ht="36.9">
      <c r="B109" s="982" t="s">
        <v>437</v>
      </c>
      <c r="C109" s="460" t="s">
        <v>4</v>
      </c>
      <c r="D109" s="460" t="s">
        <v>4</v>
      </c>
      <c r="E109" s="460" t="s">
        <v>5</v>
      </c>
      <c r="F109" s="460" t="s">
        <v>5</v>
      </c>
      <c r="G109" s="460" t="s">
        <v>6</v>
      </c>
      <c r="H109" s="460" t="s">
        <v>6</v>
      </c>
      <c r="I109" s="460" t="s">
        <v>7</v>
      </c>
      <c r="J109" s="460" t="s">
        <v>7</v>
      </c>
      <c r="K109" s="460" t="s">
        <v>8</v>
      </c>
      <c r="L109" s="460" t="s">
        <v>8</v>
      </c>
      <c r="M109" s="460" t="s">
        <v>9</v>
      </c>
      <c r="N109" s="460" t="s">
        <v>9</v>
      </c>
      <c r="O109" s="460" t="s">
        <v>10</v>
      </c>
      <c r="P109" s="460" t="s">
        <v>10</v>
      </c>
      <c r="Q109" s="460" t="s">
        <v>11</v>
      </c>
      <c r="R109" s="460" t="s">
        <v>11</v>
      </c>
      <c r="S109" s="460" t="s">
        <v>12</v>
      </c>
      <c r="T109" s="460" t="s">
        <v>12</v>
      </c>
      <c r="U109" s="460" t="s">
        <v>13</v>
      </c>
      <c r="V109" s="460" t="s">
        <v>13</v>
      </c>
      <c r="W109" s="460" t="s">
        <v>14</v>
      </c>
      <c r="X109" s="460" t="s">
        <v>14</v>
      </c>
      <c r="Y109" s="460" t="s">
        <v>15</v>
      </c>
      <c r="Z109" s="460" t="s">
        <v>15</v>
      </c>
    </row>
    <row r="110" spans="1:34" ht="18.45">
      <c r="B110" s="983" t="s">
        <v>296</v>
      </c>
      <c r="C110" s="984">
        <f>MIN(D4:D58)</f>
        <v>120</v>
      </c>
      <c r="D110" s="984">
        <f>MAX(D4:D58)</f>
        <v>350</v>
      </c>
      <c r="E110" s="984">
        <f>MIN(F4:F58)</f>
        <v>0</v>
      </c>
      <c r="F110" s="984">
        <f>MAX(F4:F58)</f>
        <v>15</v>
      </c>
      <c r="G110" s="984">
        <f>MIN(H4:H58)</f>
        <v>0</v>
      </c>
      <c r="H110" s="984">
        <f>MAX(H4:H58)</f>
        <v>6</v>
      </c>
      <c r="I110" s="984">
        <f>MIN(J4:J58)</f>
        <v>0</v>
      </c>
      <c r="J110" s="984">
        <f>MAX(J4:J58)</f>
        <v>1.5</v>
      </c>
      <c r="K110" s="984">
        <f>MIN(L4:L58)</f>
        <v>0</v>
      </c>
      <c r="L110" s="984">
        <f>MAX(L4:L58)</f>
        <v>0</v>
      </c>
      <c r="M110" s="984">
        <f>MIN(N4:N58)</f>
        <v>0</v>
      </c>
      <c r="N110" s="984">
        <f>MAX(N4:N58)</f>
        <v>0</v>
      </c>
      <c r="O110" s="984">
        <f>MIN(P4:P58)</f>
        <v>25</v>
      </c>
      <c r="P110" s="984">
        <f>MAX(P4:P58)</f>
        <v>105</v>
      </c>
      <c r="Q110" s="984">
        <f>MIN(R4:R58)</f>
        <v>32</v>
      </c>
      <c r="R110" s="984">
        <f>MAX(R4:R58)</f>
        <v>80</v>
      </c>
      <c r="S110" s="984">
        <f>MIN(T4:T58)</f>
        <v>0</v>
      </c>
      <c r="T110" s="984">
        <f>MAX(T4:T58)</f>
        <v>2</v>
      </c>
      <c r="U110" s="984">
        <f>MIN(V4:V58)</f>
        <v>31</v>
      </c>
      <c r="V110" s="984">
        <f>MAX(V4:V58)</f>
        <v>75</v>
      </c>
      <c r="W110" s="984">
        <f>MIN(X4:X58)</f>
        <v>24</v>
      </c>
      <c r="X110" s="984">
        <f>MAX(X4:X58)</f>
        <v>75</v>
      </c>
      <c r="Y110" s="984">
        <f>MIN(Z4:Z58)</f>
        <v>0</v>
      </c>
      <c r="Z110" s="984">
        <f>MAX(Z4:Z58)</f>
        <v>3</v>
      </c>
    </row>
    <row r="111" spans="1:34" ht="18.45">
      <c r="B111" s="983" t="s">
        <v>92</v>
      </c>
      <c r="C111" s="984">
        <f>MIN(D71:D85)</f>
        <v>210</v>
      </c>
      <c r="D111" s="984">
        <f>MAX(D71:D85)</f>
        <v>370</v>
      </c>
      <c r="E111" s="984">
        <f>MIN(F71:F85)</f>
        <v>0</v>
      </c>
      <c r="F111" s="984">
        <f>MAX(F71:F85)</f>
        <v>20</v>
      </c>
      <c r="G111" s="984">
        <f>MIN(H71:H85)</f>
        <v>1.5</v>
      </c>
      <c r="H111" s="984">
        <f>MAX(H71:H85)</f>
        <v>8</v>
      </c>
      <c r="I111" s="984">
        <f>MIN(J71:J85)</f>
        <v>1</v>
      </c>
      <c r="J111" s="984">
        <f>MAX(J71:J85)</f>
        <v>4</v>
      </c>
      <c r="K111" s="984">
        <f>MIN(L71:L85)</f>
        <v>0</v>
      </c>
      <c r="L111" s="984">
        <f>MAX(L71:L85)</f>
        <v>0</v>
      </c>
      <c r="M111" s="984">
        <f>MIN(N71:N85)</f>
        <v>0</v>
      </c>
      <c r="N111" s="984">
        <f>MAX(N71:N85)</f>
        <v>5</v>
      </c>
      <c r="O111" s="984">
        <f>MIN(P71:P85)</f>
        <v>50</v>
      </c>
      <c r="P111" s="984">
        <f>MAX(P71:P85)</f>
        <v>105</v>
      </c>
      <c r="Q111" s="984">
        <f>MIN(R71:R85)</f>
        <v>46</v>
      </c>
      <c r="R111" s="984">
        <f>MAX(R71:R85)</f>
        <v>83</v>
      </c>
      <c r="S111" s="984">
        <f>MIN(T71:T85)</f>
        <v>0</v>
      </c>
      <c r="T111" s="984">
        <f>MAX(T71:T85)</f>
        <v>14</v>
      </c>
      <c r="U111" s="984">
        <f>MIN(V71:V85)</f>
        <v>42</v>
      </c>
      <c r="V111" s="984">
        <f>MAX(V71:V85)</f>
        <v>74</v>
      </c>
      <c r="W111" s="984">
        <f>MIN(X71:X85)</f>
        <v>40</v>
      </c>
      <c r="X111" s="984">
        <f>MAX(X71:X85)</f>
        <v>74</v>
      </c>
      <c r="Y111" s="984">
        <f>MIN(Z71:Z85)</f>
        <v>0</v>
      </c>
      <c r="Z111" s="984">
        <f>MAX(Z71:Z85)</f>
        <v>2</v>
      </c>
    </row>
    <row r="112" spans="1:34" ht="18.45">
      <c r="B112" s="983" t="s">
        <v>394</v>
      </c>
      <c r="C112" s="984">
        <f>MIN(D86:D91)</f>
        <v>110</v>
      </c>
      <c r="D112" s="984">
        <f>MAX(D86:D91)</f>
        <v>150</v>
      </c>
      <c r="E112" s="984">
        <f>MIN(F86:F91)</f>
        <v>0</v>
      </c>
      <c r="F112" s="984">
        <f>MAX(F86:F91)</f>
        <v>0</v>
      </c>
      <c r="G112" s="984">
        <f>MIN(H86:H91)</f>
        <v>0</v>
      </c>
      <c r="H112" s="984">
        <f>MAX(H86:H91)</f>
        <v>0</v>
      </c>
      <c r="I112" s="984">
        <f>MIN(J86:J91)</f>
        <v>0</v>
      </c>
      <c r="J112" s="984">
        <f>MAX(J86:J91)</f>
        <v>0</v>
      </c>
      <c r="K112" s="984">
        <f>MIN(L86:L91)</f>
        <v>0</v>
      </c>
      <c r="L112" s="984">
        <f>MAX(L86:L91)</f>
        <v>0</v>
      </c>
      <c r="M112" s="984">
        <f>MIN(N86:N91)</f>
        <v>0</v>
      </c>
      <c r="N112" s="984">
        <f>MAX(N86:N91)</f>
        <v>0</v>
      </c>
      <c r="O112" s="984">
        <f>MIN(P86:P91)</f>
        <v>20</v>
      </c>
      <c r="P112" s="984">
        <f>MAX(P86:P91)</f>
        <v>35</v>
      </c>
      <c r="Q112" s="984">
        <f>MIN(R86:R91)</f>
        <v>37</v>
      </c>
      <c r="R112" s="984">
        <f>MAX(R86:R91)</f>
        <v>39</v>
      </c>
      <c r="S112" s="984">
        <f>MIN(T86:T91)</f>
        <v>0</v>
      </c>
      <c r="T112" s="984">
        <f>MAX(T86:T91)</f>
        <v>0</v>
      </c>
      <c r="U112" s="984">
        <f>MIN(V86:V91)</f>
        <v>0</v>
      </c>
      <c r="V112" s="984">
        <f>MAX(V86:V91)</f>
        <v>0</v>
      </c>
      <c r="W112" s="984">
        <f>MIN(X86:X91)</f>
        <v>0</v>
      </c>
      <c r="X112" s="984">
        <f>MAX(X86:X91)</f>
        <v>0</v>
      </c>
      <c r="Y112" s="984">
        <f>MIN(Z86:Z91)</f>
        <v>0</v>
      </c>
      <c r="Z112" s="984">
        <f>MAX(Z86:Z91)</f>
        <v>0</v>
      </c>
    </row>
    <row r="113" spans="2:26" ht="18.45">
      <c r="B113" s="857" t="s">
        <v>396</v>
      </c>
      <c r="C113" s="990">
        <f>MIN(D92:D93)</f>
        <v>140</v>
      </c>
      <c r="D113" s="990">
        <f>MAX(D92:D93)</f>
        <v>150</v>
      </c>
      <c r="E113" s="990">
        <f>MIN(F92:F93)</f>
        <v>60</v>
      </c>
      <c r="F113" s="990">
        <f>MAX(F92:F93)</f>
        <v>70</v>
      </c>
      <c r="G113" s="990">
        <f>MIN(H92:H93)</f>
        <v>7</v>
      </c>
      <c r="H113" s="990">
        <f>MAX(H92:H93)</f>
        <v>8</v>
      </c>
      <c r="I113" s="990">
        <f>MIN(J92:J93)</f>
        <v>4</v>
      </c>
      <c r="J113" s="990">
        <f>MAX(J92:J93)</f>
        <v>5</v>
      </c>
      <c r="K113" s="990">
        <f>MIN(L92:L93)</f>
        <v>0</v>
      </c>
      <c r="L113" s="990">
        <f>MAX(L92:L93)</f>
        <v>0</v>
      </c>
      <c r="M113" s="990">
        <f>MIN(N92:N93)</f>
        <v>40</v>
      </c>
      <c r="N113" s="990">
        <f>MAX(N92:N93)</f>
        <v>45</v>
      </c>
      <c r="O113" s="990">
        <f>MIN(P92:P93)</f>
        <v>80</v>
      </c>
      <c r="P113" s="990">
        <f>MAX(P92:P93)</f>
        <v>100</v>
      </c>
      <c r="Q113" s="990">
        <f>MIN(R92:R93)</f>
        <v>16</v>
      </c>
      <c r="R113" s="990">
        <f>MAX(R92:R93)</f>
        <v>19</v>
      </c>
      <c r="S113" s="990">
        <f>MIN(T92:T93)</f>
        <v>0</v>
      </c>
      <c r="T113" s="990">
        <f>MAX(T92:T93)</f>
        <v>0</v>
      </c>
      <c r="U113" s="990">
        <f>MIN(V92:V93)</f>
        <v>13</v>
      </c>
      <c r="V113" s="990">
        <f>MAX(V92:V93)</f>
        <v>15</v>
      </c>
      <c r="W113" s="990">
        <f>MIN(X92:X93)</f>
        <v>0</v>
      </c>
      <c r="X113" s="990">
        <f>MAX(X92:X93)</f>
        <v>0</v>
      </c>
      <c r="Y113" s="990">
        <f>MIN(Z92:Z93)</f>
        <v>3</v>
      </c>
      <c r="Z113" s="990">
        <f>MAX(Z92:Z93)</f>
        <v>3</v>
      </c>
    </row>
    <row r="114" spans="2:26">
      <c r="C114" s="901"/>
      <c r="D114" s="901"/>
      <c r="E114" s="901"/>
      <c r="G114" s="901"/>
      <c r="I114" s="901"/>
      <c r="K114" s="901"/>
      <c r="M114" s="901"/>
      <c r="O114" s="901"/>
      <c r="Q114" s="901"/>
      <c r="R114" s="844"/>
      <c r="S114" s="901"/>
      <c r="U114" s="901"/>
      <c r="W114" s="901"/>
      <c r="X114" s="844"/>
      <c r="Y114" s="901"/>
    </row>
    <row r="115" spans="2:26" ht="18.45">
      <c r="B115" s="983" t="s">
        <v>296</v>
      </c>
      <c r="C115" s="991">
        <f t="shared" ref="C115:Z115" si="30">C110+C113</f>
        <v>260</v>
      </c>
      <c r="D115" s="991">
        <f t="shared" si="30"/>
        <v>500</v>
      </c>
      <c r="E115" s="991">
        <f t="shared" si="30"/>
        <v>60</v>
      </c>
      <c r="F115" s="991">
        <f t="shared" si="30"/>
        <v>85</v>
      </c>
      <c r="G115" s="991">
        <f t="shared" si="30"/>
        <v>7</v>
      </c>
      <c r="H115" s="991">
        <f t="shared" si="30"/>
        <v>14</v>
      </c>
      <c r="I115" s="991">
        <f t="shared" si="30"/>
        <v>4</v>
      </c>
      <c r="J115" s="991">
        <f t="shared" si="30"/>
        <v>6.5</v>
      </c>
      <c r="K115" s="991">
        <f t="shared" si="30"/>
        <v>0</v>
      </c>
      <c r="L115" s="991">
        <f t="shared" si="30"/>
        <v>0</v>
      </c>
      <c r="M115" s="991">
        <f t="shared" si="30"/>
        <v>40</v>
      </c>
      <c r="N115" s="991">
        <f t="shared" si="30"/>
        <v>45</v>
      </c>
      <c r="O115" s="991">
        <f t="shared" si="30"/>
        <v>105</v>
      </c>
      <c r="P115" s="991">
        <f t="shared" si="30"/>
        <v>205</v>
      </c>
      <c r="Q115" s="991">
        <f t="shared" si="30"/>
        <v>48</v>
      </c>
      <c r="R115" s="991">
        <f t="shared" si="30"/>
        <v>99</v>
      </c>
      <c r="S115" s="991">
        <f t="shared" si="30"/>
        <v>0</v>
      </c>
      <c r="T115" s="991">
        <f t="shared" si="30"/>
        <v>2</v>
      </c>
      <c r="U115" s="991">
        <f t="shared" si="30"/>
        <v>44</v>
      </c>
      <c r="V115" s="991">
        <f t="shared" si="30"/>
        <v>90</v>
      </c>
      <c r="W115" s="991">
        <f t="shared" si="30"/>
        <v>24</v>
      </c>
      <c r="X115" s="991">
        <f t="shared" si="30"/>
        <v>75</v>
      </c>
      <c r="Y115" s="991">
        <f t="shared" si="30"/>
        <v>3</v>
      </c>
      <c r="Z115" s="991">
        <f t="shared" si="30"/>
        <v>6</v>
      </c>
    </row>
    <row r="116" spans="2:26" ht="18.45">
      <c r="B116" s="983" t="s">
        <v>92</v>
      </c>
      <c r="C116" s="844">
        <f t="shared" ref="C116:Z116" si="31">C111+C113</f>
        <v>350</v>
      </c>
      <c r="D116" s="844">
        <f t="shared" si="31"/>
        <v>520</v>
      </c>
      <c r="E116" s="844">
        <f t="shared" si="31"/>
        <v>60</v>
      </c>
      <c r="F116" s="844">
        <f t="shared" si="31"/>
        <v>90</v>
      </c>
      <c r="G116" s="844">
        <f t="shared" si="31"/>
        <v>8.5</v>
      </c>
      <c r="H116" s="844">
        <f t="shared" si="31"/>
        <v>16</v>
      </c>
      <c r="I116" s="844">
        <f t="shared" si="31"/>
        <v>5</v>
      </c>
      <c r="J116" s="844">
        <f t="shared" si="31"/>
        <v>9</v>
      </c>
      <c r="K116" s="844">
        <f t="shared" si="31"/>
        <v>0</v>
      </c>
      <c r="L116" s="844">
        <f t="shared" si="31"/>
        <v>0</v>
      </c>
      <c r="M116" s="844">
        <f t="shared" si="31"/>
        <v>40</v>
      </c>
      <c r="N116" s="844">
        <f t="shared" si="31"/>
        <v>50</v>
      </c>
      <c r="O116" s="844">
        <f t="shared" si="31"/>
        <v>130</v>
      </c>
      <c r="P116" s="844">
        <f t="shared" si="31"/>
        <v>205</v>
      </c>
      <c r="Q116" s="844">
        <f t="shared" si="31"/>
        <v>62</v>
      </c>
      <c r="R116" s="844">
        <f t="shared" si="31"/>
        <v>102</v>
      </c>
      <c r="S116" s="844">
        <f t="shared" si="31"/>
        <v>0</v>
      </c>
      <c r="T116" s="844">
        <f t="shared" si="31"/>
        <v>14</v>
      </c>
      <c r="U116" s="844">
        <f t="shared" si="31"/>
        <v>55</v>
      </c>
      <c r="V116" s="844">
        <f t="shared" si="31"/>
        <v>89</v>
      </c>
      <c r="W116" s="844">
        <f t="shared" si="31"/>
        <v>40</v>
      </c>
      <c r="X116" s="844">
        <f t="shared" si="31"/>
        <v>74</v>
      </c>
      <c r="Y116" s="844">
        <f t="shared" si="31"/>
        <v>3</v>
      </c>
      <c r="Z116" s="844">
        <f t="shared" si="31"/>
        <v>5</v>
      </c>
    </row>
    <row r="117" spans="2:26" ht="18.45">
      <c r="B117" s="983" t="s">
        <v>394</v>
      </c>
      <c r="C117" s="844">
        <f t="shared" ref="C117:Z117" si="32">C112+C113</f>
        <v>250</v>
      </c>
      <c r="D117" s="844">
        <f t="shared" si="32"/>
        <v>300</v>
      </c>
      <c r="E117" s="844">
        <f t="shared" si="32"/>
        <v>60</v>
      </c>
      <c r="F117" s="844">
        <f t="shared" si="32"/>
        <v>70</v>
      </c>
      <c r="G117" s="844">
        <f t="shared" si="32"/>
        <v>7</v>
      </c>
      <c r="H117" s="844">
        <f t="shared" si="32"/>
        <v>8</v>
      </c>
      <c r="I117" s="844">
        <f t="shared" si="32"/>
        <v>4</v>
      </c>
      <c r="J117" s="844">
        <f t="shared" si="32"/>
        <v>5</v>
      </c>
      <c r="K117" s="844">
        <f t="shared" si="32"/>
        <v>0</v>
      </c>
      <c r="L117" s="844">
        <f t="shared" si="32"/>
        <v>0</v>
      </c>
      <c r="M117" s="844">
        <f t="shared" si="32"/>
        <v>40</v>
      </c>
      <c r="N117" s="844">
        <f t="shared" si="32"/>
        <v>45</v>
      </c>
      <c r="O117" s="844">
        <f t="shared" si="32"/>
        <v>100</v>
      </c>
      <c r="P117" s="844">
        <f t="shared" si="32"/>
        <v>135</v>
      </c>
      <c r="Q117" s="844">
        <f t="shared" si="32"/>
        <v>53</v>
      </c>
      <c r="R117" s="844">
        <f t="shared" si="32"/>
        <v>58</v>
      </c>
      <c r="S117" s="844">
        <f t="shared" si="32"/>
        <v>0</v>
      </c>
      <c r="T117" s="844">
        <f t="shared" si="32"/>
        <v>0</v>
      </c>
      <c r="U117" s="844">
        <f t="shared" si="32"/>
        <v>13</v>
      </c>
      <c r="V117" s="844">
        <f t="shared" si="32"/>
        <v>15</v>
      </c>
      <c r="W117" s="844">
        <f t="shared" si="32"/>
        <v>0</v>
      </c>
      <c r="X117" s="844">
        <f t="shared" si="32"/>
        <v>0</v>
      </c>
      <c r="Y117" s="844">
        <f t="shared" si="32"/>
        <v>3</v>
      </c>
      <c r="Z117" s="844">
        <f t="shared" si="32"/>
        <v>3</v>
      </c>
    </row>
  </sheetData>
  <autoFilter ref="A3:AP93" xr:uid="{482D0139-D368-4C4A-855E-4D23399F5414}"/>
  <mergeCells count="3">
    <mergeCell ref="A1:AH1"/>
    <mergeCell ref="A2:AH2"/>
    <mergeCell ref="A95:AH95"/>
  </mergeCells>
  <pageMargins left="0.7" right="0.7" top="0.75" bottom="0.75" header="0.3" footer="0.3"/>
  <pageSetup scale="48" fitToHeight="0" orientation="landscape" r:id="rId1"/>
  <headerFooter>
    <oddHeader xml:space="preserve">&amp;R&amp;14 2024 Nutrition Information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D0139-D368-4C4A-855E-4D23399F5414}">
  <sheetPr>
    <pageSetUpPr fitToPage="1"/>
  </sheetPr>
  <dimension ref="A1:AP118"/>
  <sheetViews>
    <sheetView zoomScale="80" zoomScaleNormal="80" zoomScalePageLayoutView="70" workbookViewId="0">
      <pane xSplit="1" ySplit="3" topLeftCell="B4" activePane="bottomRight" state="frozen"/>
      <selection pane="topRight"/>
      <selection pane="bottomLeft"/>
      <selection pane="bottomRight" activeCell="C50" sqref="C50:V50"/>
    </sheetView>
    <sheetView zoomScale="80" zoomScaleNormal="80" workbookViewId="1">
      <pane xSplit="2" ySplit="4" topLeftCell="D92" activePane="bottomRight" state="frozen"/>
      <selection pane="topRight" activeCell="C1" sqref="C1"/>
      <selection pane="bottomLeft" activeCell="A5" sqref="A5"/>
      <selection pane="bottomRight" activeCell="B110" sqref="B110:Z114"/>
    </sheetView>
    <sheetView workbookViewId="2">
      <pane xSplit="2" ySplit="79" topLeftCell="K80" activePane="bottomRight" state="frozen"/>
      <selection pane="topRight" activeCell="H15" sqref="H15"/>
      <selection pane="bottomLeft" activeCell="H15" sqref="H15"/>
      <selection pane="bottomRight" activeCell="H15" sqref="H15"/>
    </sheetView>
  </sheetViews>
  <sheetFormatPr defaultColWidth="9.15234375" defaultRowHeight="12.9"/>
  <cols>
    <col min="1" max="1" width="9.15234375" style="373"/>
    <col min="2" max="2" width="46.15234375" style="373" customWidth="1"/>
    <col min="3" max="4" width="17" style="373" customWidth="1"/>
    <col min="5" max="6" width="12.69140625" style="373" customWidth="1"/>
    <col min="7" max="7" width="9.3828125" style="373" bestFit="1" customWidth="1"/>
    <col min="8" max="8" width="9.3828125" style="373" customWidth="1"/>
    <col min="9" max="10" width="13.53515625" style="373" customWidth="1"/>
    <col min="11" max="11" width="9.3828125" style="373" bestFit="1" customWidth="1"/>
    <col min="12" max="12" width="9.3828125" style="373" customWidth="1"/>
    <col min="13" max="14" width="14.3828125" style="373" customWidth="1"/>
    <col min="15" max="15" width="10.53515625" style="373" bestFit="1" customWidth="1"/>
    <col min="16" max="16" width="10.53515625" style="373" customWidth="1"/>
    <col min="17" max="18" width="18" style="373" customWidth="1"/>
    <col min="19" max="19" width="9.3828125" style="373" bestFit="1" customWidth="1"/>
    <col min="20" max="20" width="9.3828125" style="373" customWidth="1"/>
    <col min="21" max="21" width="9.3828125" style="373" bestFit="1" customWidth="1"/>
    <col min="22" max="22" width="9.3828125" style="373" customWidth="1"/>
    <col min="23" max="23" width="9.3828125" style="373" bestFit="1" customWidth="1"/>
    <col min="24" max="24" width="9.3828125" style="373" customWidth="1"/>
    <col min="25" max="25" width="9.3828125" style="373" bestFit="1" customWidth="1"/>
    <col min="26" max="26" width="9.3828125" style="373" customWidth="1"/>
    <col min="27" max="27" width="9.3828125" style="373" bestFit="1" customWidth="1"/>
    <col min="28" max="28" width="13.3828125" style="373" customWidth="1"/>
    <col min="29" max="29" width="13.3046875" style="373" customWidth="1"/>
    <col min="30" max="32" width="11.84375" style="373" bestFit="1" customWidth="1"/>
    <col min="33" max="33" width="14.15234375" style="373" customWidth="1"/>
    <col min="34" max="34" width="15.3828125" style="373" customWidth="1"/>
    <col min="35" max="16384" width="9.15234375" style="373"/>
  </cols>
  <sheetData>
    <row r="1" spans="1:34" s="465" customFormat="1" ht="22.5" customHeight="1">
      <c r="A1" s="1250" t="s">
        <v>447</v>
      </c>
      <c r="B1" s="1251"/>
      <c r="C1" s="1251"/>
      <c r="D1" s="1251"/>
      <c r="E1" s="1251"/>
      <c r="F1" s="1251"/>
      <c r="G1" s="1251"/>
      <c r="H1" s="1251"/>
      <c r="I1" s="1251"/>
      <c r="J1" s="1251"/>
      <c r="K1" s="1251"/>
      <c r="L1" s="1251"/>
      <c r="M1" s="1251"/>
      <c r="N1" s="1251"/>
      <c r="O1" s="1251"/>
      <c r="P1" s="1251"/>
      <c r="Q1" s="1251"/>
      <c r="R1" s="1251"/>
      <c r="S1" s="1251"/>
      <c r="T1" s="1251"/>
      <c r="U1" s="1251"/>
      <c r="V1" s="1251"/>
      <c r="W1" s="1251"/>
      <c r="X1" s="1251"/>
      <c r="Y1" s="1251"/>
      <c r="Z1" s="1251"/>
      <c r="AA1" s="1251"/>
      <c r="AB1" s="1251"/>
      <c r="AC1" s="1251"/>
      <c r="AD1" s="1251"/>
      <c r="AE1" s="1251"/>
      <c r="AF1" s="1251"/>
      <c r="AG1" s="1251"/>
      <c r="AH1" s="1251"/>
    </row>
    <row r="2" spans="1:34" s="465" customFormat="1" ht="18" customHeight="1">
      <c r="A2" s="1250" t="s">
        <v>438</v>
      </c>
      <c r="B2" s="1251"/>
      <c r="C2" s="1251"/>
      <c r="D2" s="1251"/>
      <c r="E2" s="1251"/>
      <c r="F2" s="1251"/>
      <c r="G2" s="1251"/>
      <c r="H2" s="1251"/>
      <c r="I2" s="1251"/>
      <c r="J2" s="1251"/>
      <c r="K2" s="1251"/>
      <c r="L2" s="1251"/>
      <c r="M2" s="1251"/>
      <c r="N2" s="1251"/>
      <c r="O2" s="1251"/>
      <c r="P2" s="1251"/>
      <c r="Q2" s="1251"/>
      <c r="R2" s="1251"/>
      <c r="S2" s="1251"/>
      <c r="T2" s="1251"/>
      <c r="U2" s="1251"/>
      <c r="V2" s="1251"/>
      <c r="W2" s="1251"/>
      <c r="X2" s="1251"/>
      <c r="Y2" s="1251"/>
      <c r="Z2" s="1251"/>
      <c r="AA2" s="1251"/>
      <c r="AB2" s="1251"/>
      <c r="AC2" s="1251"/>
      <c r="AD2" s="1251"/>
      <c r="AE2" s="1251"/>
      <c r="AF2" s="1251"/>
      <c r="AG2" s="1251"/>
      <c r="AH2" s="1251"/>
    </row>
    <row r="3" spans="1:34" s="465" customFormat="1" ht="18.75" customHeight="1" thickBot="1">
      <c r="A3" s="1261" t="s">
        <v>355</v>
      </c>
      <c r="B3" s="1262"/>
      <c r="C3" s="1262"/>
      <c r="D3" s="1262"/>
      <c r="E3" s="1262"/>
      <c r="F3" s="1262"/>
      <c r="G3" s="1262"/>
      <c r="H3" s="1262"/>
      <c r="I3" s="1262"/>
      <c r="J3" s="1262"/>
      <c r="K3" s="1262"/>
      <c r="L3" s="1262"/>
      <c r="M3" s="1262"/>
      <c r="N3" s="1262"/>
      <c r="O3" s="1262"/>
      <c r="P3" s="1262"/>
      <c r="Q3" s="1262"/>
      <c r="R3" s="1262"/>
      <c r="S3" s="1262"/>
      <c r="T3" s="1262"/>
      <c r="U3" s="1262"/>
      <c r="V3" s="1262"/>
      <c r="W3" s="1262"/>
      <c r="X3" s="1262"/>
      <c r="Y3" s="1262"/>
      <c r="Z3" s="1262"/>
      <c r="AA3" s="1262"/>
      <c r="AB3" s="1262"/>
      <c r="AC3" s="1262"/>
      <c r="AD3" s="1262"/>
      <c r="AE3" s="1262"/>
      <c r="AF3" s="1262"/>
      <c r="AG3" s="1262"/>
      <c r="AH3" s="1262"/>
    </row>
    <row r="4" spans="1:34" s="465" customFormat="1" ht="66" customHeight="1" thickBot="1">
      <c r="A4" s="490"/>
      <c r="B4" s="489" t="s">
        <v>3</v>
      </c>
      <c r="C4" s="964" t="s">
        <v>4</v>
      </c>
      <c r="D4" s="499" t="s">
        <v>4</v>
      </c>
      <c r="E4" s="964" t="s">
        <v>5</v>
      </c>
      <c r="F4" s="499" t="s">
        <v>5</v>
      </c>
      <c r="G4" s="964" t="s">
        <v>6</v>
      </c>
      <c r="H4" s="499" t="s">
        <v>6</v>
      </c>
      <c r="I4" s="964" t="s">
        <v>7</v>
      </c>
      <c r="J4" s="499" t="s">
        <v>7</v>
      </c>
      <c r="K4" s="964" t="s">
        <v>8</v>
      </c>
      <c r="L4" s="499" t="s">
        <v>8</v>
      </c>
      <c r="M4" s="964" t="s">
        <v>9</v>
      </c>
      <c r="N4" s="499" t="s">
        <v>9</v>
      </c>
      <c r="O4" s="964" t="s">
        <v>10</v>
      </c>
      <c r="P4" s="499" t="s">
        <v>10</v>
      </c>
      <c r="Q4" s="964" t="s">
        <v>11</v>
      </c>
      <c r="R4" s="499" t="s">
        <v>11</v>
      </c>
      <c r="S4" s="964" t="s">
        <v>12</v>
      </c>
      <c r="T4" s="499" t="s">
        <v>12</v>
      </c>
      <c r="U4" s="964" t="s">
        <v>13</v>
      </c>
      <c r="V4" s="499" t="s">
        <v>13</v>
      </c>
      <c r="W4" s="964" t="s">
        <v>14</v>
      </c>
      <c r="X4" s="499" t="s">
        <v>14</v>
      </c>
      <c r="Y4" s="964" t="s">
        <v>15</v>
      </c>
      <c r="Z4" s="499" t="s">
        <v>15</v>
      </c>
      <c r="AA4" s="487" t="s">
        <v>16</v>
      </c>
      <c r="AB4" s="487" t="s">
        <v>17</v>
      </c>
      <c r="AC4" s="487" t="s">
        <v>18</v>
      </c>
      <c r="AD4" s="487" t="s">
        <v>19</v>
      </c>
      <c r="AE4" s="487" t="s">
        <v>20</v>
      </c>
      <c r="AF4" s="487" t="s">
        <v>21</v>
      </c>
      <c r="AG4" s="487" t="s">
        <v>22</v>
      </c>
      <c r="AH4" s="487" t="s">
        <v>23</v>
      </c>
    </row>
    <row r="5" spans="1:34" s="465" customFormat="1" ht="15" customHeight="1" thickBot="1">
      <c r="A5" s="497" t="s">
        <v>296</v>
      </c>
      <c r="B5" s="497" t="s">
        <v>25</v>
      </c>
      <c r="C5" s="576">
        <v>226.81700000000001</v>
      </c>
      <c r="D5" s="841">
        <f>MROUND(C5,10)</f>
        <v>230</v>
      </c>
      <c r="E5" s="576">
        <v>0</v>
      </c>
      <c r="F5" s="841">
        <f>IF(E5&lt;5,0,(IF(E5&gt;50,MROUND(E5,10),MROUND(E5,5))))</f>
        <v>0</v>
      </c>
      <c r="G5" s="576">
        <v>0</v>
      </c>
      <c r="H5" s="835">
        <f>IF(G5&lt;0.5,0,IF(G5&gt;5,MROUND(G5,1),MROUND(G5,0.5)))</f>
        <v>0</v>
      </c>
      <c r="I5" s="576">
        <v>0</v>
      </c>
      <c r="J5" s="835">
        <f>IF(I5&lt;0.5,0,IF(I5&gt;5,MROUND(I5,1),MROUND(I5,0.5)))</f>
        <v>0</v>
      </c>
      <c r="K5" s="576">
        <v>0</v>
      </c>
      <c r="L5" s="835">
        <f>IF(K5&lt;0.5,0,IF(K5&gt;5,MROUND(K5,1),MROUND(K5,0.5)))</f>
        <v>0</v>
      </c>
      <c r="M5" s="576">
        <v>0</v>
      </c>
      <c r="N5" s="841">
        <f>IF(M5&lt;2,0,IF(M5&gt;5,MROUND(M5,5),"less than 5 mg"))</f>
        <v>0</v>
      </c>
      <c r="O5" s="576">
        <v>36.533999999999999</v>
      </c>
      <c r="P5" s="841">
        <f>IF(O5&lt;5,0,IF(O5&gt;140,MROUND(O5,10),MROUND(O5,5)))</f>
        <v>35</v>
      </c>
      <c r="Q5" s="576">
        <v>57.417000000000002</v>
      </c>
      <c r="R5" s="841">
        <f>IF(Q5&lt;0.5,0,IF(Q5&gt;1,MROUND(Q5,1),"less than 1 g"))</f>
        <v>57</v>
      </c>
      <c r="S5" s="576">
        <v>1.9E-2</v>
      </c>
      <c r="T5" s="841">
        <f>IF(S5&lt;0.5,0,IF(S5&gt;1,MROUND(S5,1),"less than 1 g"))</f>
        <v>0</v>
      </c>
      <c r="U5" s="576">
        <v>55.651000000000003</v>
      </c>
      <c r="V5" s="841">
        <f>IF(U5&lt;0.5,0,IF(U5&gt;1,MROUND(U5,1),"less than 1 g"))</f>
        <v>56</v>
      </c>
      <c r="W5" s="576">
        <v>53.828000000000003</v>
      </c>
      <c r="X5" s="841">
        <f>IF(W5&lt;0.5,0,IF(W5&gt;1,MROUND(W5,1),"less than 1 g"))</f>
        <v>54</v>
      </c>
      <c r="Y5" s="576">
        <v>0</v>
      </c>
      <c r="Z5" s="841">
        <f>IF(Y5&lt;0.5,0,IF(Y5&gt;1,MROUND(Y5,1),"less than 1 g"))</f>
        <v>0</v>
      </c>
      <c r="AA5" s="576">
        <v>0</v>
      </c>
      <c r="AB5" s="576">
        <v>0</v>
      </c>
      <c r="AC5" s="576">
        <v>7.4539999999999997</v>
      </c>
      <c r="AD5" s="576">
        <v>0.57299999999999995</v>
      </c>
      <c r="AE5" s="576">
        <v>3.1E-2</v>
      </c>
      <c r="AF5" s="576">
        <v>0.17100000000000001</v>
      </c>
      <c r="AG5" s="576">
        <v>0.63300000000000001</v>
      </c>
      <c r="AH5" s="576">
        <v>1.2999999999999999E-2</v>
      </c>
    </row>
    <row r="6" spans="1:34" s="465" customFormat="1" ht="15" customHeight="1" thickBot="1">
      <c r="A6" s="497" t="s">
        <v>296</v>
      </c>
      <c r="B6" s="496" t="s">
        <v>26</v>
      </c>
      <c r="C6" s="820">
        <v>270.08999999999997</v>
      </c>
      <c r="D6" s="841">
        <f t="shared" ref="D6:D56" si="0">MROUND(C6,10)</f>
        <v>270</v>
      </c>
      <c r="E6" s="821">
        <v>0.65500000000000003</v>
      </c>
      <c r="F6" s="841">
        <f t="shared" ref="F6:F56" si="1">IF(E6&lt;5,0,(IF(E6&gt;50,MROUND(E6,10),MROUND(E6,5))))</f>
        <v>0</v>
      </c>
      <c r="G6" s="821">
        <v>7.2999999999999995E-2</v>
      </c>
      <c r="H6" s="835">
        <f t="shared" ref="H6:H56" si="2">IF(G6&lt;0.5,0,IF(G6&gt;5,MROUND(G6,1),MROUND(G6,0.5)))</f>
        <v>0</v>
      </c>
      <c r="I6" s="821">
        <v>6.0999999999999999E-2</v>
      </c>
      <c r="J6" s="835">
        <f t="shared" ref="J6:J56" si="3">IF(I6&lt;0.5,0,IF(I6&gt;5,MROUND(I6,1),MROUND(I6,0.5)))</f>
        <v>0</v>
      </c>
      <c r="K6" s="821">
        <v>2E-3</v>
      </c>
      <c r="L6" s="835">
        <f t="shared" ref="L6:L56" si="4">IF(K6&lt;0.5,0,IF(K6&gt;5,MROUND(K6,1),MROUND(K6,0.5)))</f>
        <v>0</v>
      </c>
      <c r="M6" s="821">
        <v>0</v>
      </c>
      <c r="N6" s="841">
        <f t="shared" ref="N6:N56" si="5">IF(M6&lt;2,0,IF(M6&gt;5,MROUND(M6,5),"less than 5 mg"))</f>
        <v>0</v>
      </c>
      <c r="O6" s="821">
        <v>31.048999999999999</v>
      </c>
      <c r="P6" s="841">
        <f t="shared" ref="P6:P56" si="6">IF(O6&lt;5,0,IF(O6&gt;140,MROUND(O6,10),MROUND(O6,5)))</f>
        <v>30</v>
      </c>
      <c r="Q6" s="821">
        <v>68.352999999999994</v>
      </c>
      <c r="R6" s="841">
        <f t="shared" ref="R6:R56" si="7">IF(Q6&lt;0.5,0,IF(Q6&gt;1,MROUND(Q6,1),"less than 1 g"))</f>
        <v>68</v>
      </c>
      <c r="S6" s="821">
        <v>0.29399999999999998</v>
      </c>
      <c r="T6" s="841">
        <f t="shared" ref="T6:T56" si="8">IF(S6&lt;0.5,0,IF(S6&gt;1,MROUND(S6,1),"less than 1 g"))</f>
        <v>0</v>
      </c>
      <c r="U6" s="821">
        <v>65.275000000000006</v>
      </c>
      <c r="V6" s="841">
        <f t="shared" ref="V6:V56" si="9">IF(U6&lt;0.5,0,IF(U6&gt;1,MROUND(U6,1),"less than 1 g"))</f>
        <v>65</v>
      </c>
      <c r="W6" s="821">
        <v>63.335999999999999</v>
      </c>
      <c r="X6" s="841">
        <f t="shared" ref="X6:X56" si="10">IF(W6&lt;0.5,0,IF(W6&gt;1,MROUND(W6,1),"less than 1 g"))</f>
        <v>63</v>
      </c>
      <c r="Y6" s="821">
        <v>0.105</v>
      </c>
      <c r="Z6" s="841">
        <f t="shared" ref="Z6:Z56" si="11">IF(Y6&lt;0.5,0,IF(Y6&gt;1,MROUND(Y6,1),"less than 1 g"))</f>
        <v>0</v>
      </c>
      <c r="AA6" s="821">
        <v>0</v>
      </c>
      <c r="AB6" s="821">
        <v>0</v>
      </c>
      <c r="AC6" s="821">
        <v>6.9480000000000004</v>
      </c>
      <c r="AD6" s="822">
        <v>0.53400000000000003</v>
      </c>
      <c r="AE6" s="822">
        <v>5.2999999999999999E-2</v>
      </c>
      <c r="AF6" s="822">
        <v>0.29199999999999998</v>
      </c>
      <c r="AG6" s="822">
        <v>52.966999999999999</v>
      </c>
      <c r="AH6" s="823">
        <v>1.127</v>
      </c>
    </row>
    <row r="7" spans="1:34" s="465" customFormat="1" ht="15" customHeight="1" thickBot="1">
      <c r="A7" s="497" t="s">
        <v>296</v>
      </c>
      <c r="B7" s="495" t="s">
        <v>29</v>
      </c>
      <c r="C7" s="674">
        <v>251.12200000000001</v>
      </c>
      <c r="D7" s="841">
        <f t="shared" si="0"/>
        <v>250</v>
      </c>
      <c r="E7" s="674">
        <v>0</v>
      </c>
      <c r="F7" s="841">
        <f t="shared" si="1"/>
        <v>0</v>
      </c>
      <c r="G7" s="674">
        <v>0</v>
      </c>
      <c r="H7" s="835">
        <f t="shared" si="2"/>
        <v>0</v>
      </c>
      <c r="I7" s="674">
        <v>0</v>
      </c>
      <c r="J7" s="835">
        <f t="shared" si="3"/>
        <v>0</v>
      </c>
      <c r="K7" s="674">
        <v>0</v>
      </c>
      <c r="L7" s="835">
        <f t="shared" si="4"/>
        <v>0</v>
      </c>
      <c r="M7" s="674">
        <v>0</v>
      </c>
      <c r="N7" s="841">
        <f t="shared" si="5"/>
        <v>0</v>
      </c>
      <c r="O7" s="674">
        <v>35.523000000000003</v>
      </c>
      <c r="P7" s="841">
        <f t="shared" si="6"/>
        <v>35</v>
      </c>
      <c r="Q7" s="674">
        <v>63.658999999999999</v>
      </c>
      <c r="R7" s="841">
        <f t="shared" si="7"/>
        <v>64</v>
      </c>
      <c r="S7" s="674">
        <v>2.5999999999999999E-2</v>
      </c>
      <c r="T7" s="841">
        <f t="shared" si="8"/>
        <v>0</v>
      </c>
      <c r="U7" s="674">
        <v>61.997999999999998</v>
      </c>
      <c r="V7" s="841">
        <f t="shared" si="9"/>
        <v>62</v>
      </c>
      <c r="W7" s="674">
        <v>61.997999999999998</v>
      </c>
      <c r="X7" s="841">
        <f t="shared" si="10"/>
        <v>62</v>
      </c>
      <c r="Y7" s="674">
        <v>0</v>
      </c>
      <c r="Z7" s="841">
        <f t="shared" si="11"/>
        <v>0</v>
      </c>
      <c r="AA7" s="674">
        <v>0</v>
      </c>
      <c r="AB7" s="674">
        <v>0</v>
      </c>
      <c r="AC7" s="674">
        <v>8.3109999999999999</v>
      </c>
      <c r="AD7" s="674">
        <v>0.63900000000000001</v>
      </c>
      <c r="AE7" s="674">
        <v>5.3999999999999999E-2</v>
      </c>
      <c r="AF7" s="674">
        <v>0.29899999999999999</v>
      </c>
      <c r="AG7" s="674">
        <v>0.84799999999999998</v>
      </c>
      <c r="AH7" s="674">
        <v>1.7999999999999999E-2</v>
      </c>
    </row>
    <row r="8" spans="1:34" s="465" customFormat="1" ht="15" customHeight="1" thickBot="1">
      <c r="A8" s="497" t="s">
        <v>296</v>
      </c>
      <c r="B8" s="495" t="s">
        <v>30</v>
      </c>
      <c r="C8" s="674">
        <v>257.15899999999999</v>
      </c>
      <c r="D8" s="841">
        <f t="shared" si="0"/>
        <v>260</v>
      </c>
      <c r="E8" s="674">
        <v>0.30399999999999999</v>
      </c>
      <c r="F8" s="841">
        <f t="shared" si="1"/>
        <v>0</v>
      </c>
      <c r="G8" s="674">
        <v>3.4000000000000002E-2</v>
      </c>
      <c r="H8" s="835">
        <f t="shared" si="2"/>
        <v>0</v>
      </c>
      <c r="I8" s="674">
        <v>3.0000000000000001E-3</v>
      </c>
      <c r="J8" s="835">
        <f t="shared" si="3"/>
        <v>0</v>
      </c>
      <c r="K8" s="674">
        <v>0</v>
      </c>
      <c r="L8" s="835">
        <f t="shared" si="4"/>
        <v>0</v>
      </c>
      <c r="M8" s="674">
        <v>0</v>
      </c>
      <c r="N8" s="841">
        <f t="shared" si="5"/>
        <v>0</v>
      </c>
      <c r="O8" s="674">
        <v>35.683</v>
      </c>
      <c r="P8" s="841">
        <f t="shared" si="6"/>
        <v>35</v>
      </c>
      <c r="Q8" s="674">
        <v>65.149000000000001</v>
      </c>
      <c r="R8" s="841">
        <f t="shared" si="7"/>
        <v>65</v>
      </c>
      <c r="S8" s="674">
        <v>0.16900000000000001</v>
      </c>
      <c r="T8" s="841">
        <f t="shared" si="8"/>
        <v>0</v>
      </c>
      <c r="U8" s="674">
        <v>63.271000000000001</v>
      </c>
      <c r="V8" s="841">
        <f t="shared" si="9"/>
        <v>63</v>
      </c>
      <c r="W8" s="674">
        <v>62.825000000000003</v>
      </c>
      <c r="X8" s="841">
        <f t="shared" si="10"/>
        <v>63</v>
      </c>
      <c r="Y8" s="674">
        <v>2.1999999999999999E-2</v>
      </c>
      <c r="Z8" s="841">
        <f t="shared" si="11"/>
        <v>0</v>
      </c>
      <c r="AA8" s="674">
        <v>0</v>
      </c>
      <c r="AB8" s="674">
        <v>0</v>
      </c>
      <c r="AC8" s="674">
        <v>8.5679999999999996</v>
      </c>
      <c r="AD8" s="674">
        <v>0.65900000000000003</v>
      </c>
      <c r="AE8" s="674">
        <v>6.4000000000000001E-2</v>
      </c>
      <c r="AF8" s="674">
        <v>0.35499999999999998</v>
      </c>
      <c r="AG8" s="674">
        <v>3.706</v>
      </c>
      <c r="AH8" s="674">
        <v>7.9000000000000001E-2</v>
      </c>
    </row>
    <row r="9" spans="1:34" s="465" customFormat="1" ht="15" customHeight="1" thickBot="1">
      <c r="A9" s="497" t="s">
        <v>296</v>
      </c>
      <c r="B9" s="495" t="s">
        <v>301</v>
      </c>
      <c r="C9" s="674">
        <v>218.80500000000001</v>
      </c>
      <c r="D9" s="841">
        <f t="shared" si="0"/>
        <v>220</v>
      </c>
      <c r="E9" s="616">
        <v>9.5000000000000001E-2</v>
      </c>
      <c r="F9" s="841">
        <f t="shared" si="1"/>
        <v>0</v>
      </c>
      <c r="G9" s="616">
        <v>1.0999999999999999E-2</v>
      </c>
      <c r="H9" s="835">
        <f t="shared" si="2"/>
        <v>0</v>
      </c>
      <c r="I9" s="616">
        <v>3.0000000000000001E-3</v>
      </c>
      <c r="J9" s="835">
        <f t="shared" si="3"/>
        <v>0</v>
      </c>
      <c r="K9" s="616">
        <v>0</v>
      </c>
      <c r="L9" s="835">
        <f t="shared" si="4"/>
        <v>0</v>
      </c>
      <c r="M9" s="616">
        <v>0</v>
      </c>
      <c r="N9" s="841">
        <f t="shared" si="5"/>
        <v>0</v>
      </c>
      <c r="O9" s="616">
        <v>36.063000000000002</v>
      </c>
      <c r="P9" s="841">
        <f t="shared" si="6"/>
        <v>35</v>
      </c>
      <c r="Q9" s="616">
        <v>55.579000000000001</v>
      </c>
      <c r="R9" s="841">
        <f t="shared" si="7"/>
        <v>56</v>
      </c>
      <c r="S9" s="616">
        <v>0.05</v>
      </c>
      <c r="T9" s="841">
        <f t="shared" si="8"/>
        <v>0</v>
      </c>
      <c r="U9" s="616">
        <v>53.09</v>
      </c>
      <c r="V9" s="841">
        <f t="shared" si="9"/>
        <v>53</v>
      </c>
      <c r="W9" s="616">
        <v>52.655000000000001</v>
      </c>
      <c r="X9" s="841">
        <f t="shared" si="10"/>
        <v>53</v>
      </c>
      <c r="Y9" s="616">
        <v>5.2999999999999999E-2</v>
      </c>
      <c r="Z9" s="841">
        <f t="shared" si="11"/>
        <v>0</v>
      </c>
      <c r="AA9" s="616">
        <v>0</v>
      </c>
      <c r="AB9" s="616">
        <v>0</v>
      </c>
      <c r="AC9" s="616">
        <v>7.6130000000000004</v>
      </c>
      <c r="AD9" s="616">
        <v>0.58599999999999997</v>
      </c>
      <c r="AE9" s="616">
        <v>0.03</v>
      </c>
      <c r="AF9" s="616">
        <v>0.16800000000000001</v>
      </c>
      <c r="AG9" s="616">
        <v>15.756</v>
      </c>
      <c r="AH9" s="616">
        <v>0.33500000000000002</v>
      </c>
    </row>
    <row r="10" spans="1:34" s="465" customFormat="1" ht="15" customHeight="1" thickBot="1">
      <c r="A10" s="497" t="s">
        <v>296</v>
      </c>
      <c r="B10" s="495" t="s">
        <v>302</v>
      </c>
      <c r="C10" s="674">
        <v>235.03100000000001</v>
      </c>
      <c r="D10" s="841">
        <f t="shared" si="0"/>
        <v>240</v>
      </c>
      <c r="E10" s="616">
        <v>0</v>
      </c>
      <c r="F10" s="841">
        <f t="shared" si="1"/>
        <v>0</v>
      </c>
      <c r="G10" s="616">
        <v>0</v>
      </c>
      <c r="H10" s="835">
        <f t="shared" si="2"/>
        <v>0</v>
      </c>
      <c r="I10" s="616">
        <v>0</v>
      </c>
      <c r="J10" s="835">
        <f t="shared" si="3"/>
        <v>0</v>
      </c>
      <c r="K10" s="616">
        <v>0</v>
      </c>
      <c r="L10" s="835">
        <f t="shared" si="4"/>
        <v>0</v>
      </c>
      <c r="M10" s="616">
        <v>0</v>
      </c>
      <c r="N10" s="841">
        <f t="shared" si="5"/>
        <v>0</v>
      </c>
      <c r="O10" s="616">
        <v>26.672999999999998</v>
      </c>
      <c r="P10" s="841">
        <f t="shared" si="6"/>
        <v>25</v>
      </c>
      <c r="Q10" s="616">
        <v>59.412999999999997</v>
      </c>
      <c r="R10" s="841">
        <f t="shared" si="7"/>
        <v>59</v>
      </c>
      <c r="S10" s="616">
        <v>0</v>
      </c>
      <c r="T10" s="841">
        <f t="shared" si="8"/>
        <v>0</v>
      </c>
      <c r="U10" s="616">
        <v>57.512999999999998</v>
      </c>
      <c r="V10" s="841">
        <f t="shared" si="9"/>
        <v>58</v>
      </c>
      <c r="W10" s="616">
        <v>57.512999999999998</v>
      </c>
      <c r="X10" s="841">
        <f t="shared" si="10"/>
        <v>58</v>
      </c>
      <c r="Y10" s="616">
        <v>0</v>
      </c>
      <c r="Z10" s="841">
        <f t="shared" si="11"/>
        <v>0</v>
      </c>
      <c r="AA10" s="616">
        <v>0</v>
      </c>
      <c r="AB10" s="616">
        <v>0</v>
      </c>
      <c r="AC10" s="616">
        <v>6.7569999999999997</v>
      </c>
      <c r="AD10" s="616">
        <v>0.52</v>
      </c>
      <c r="AE10" s="616">
        <v>1.0999999999999999E-2</v>
      </c>
      <c r="AF10" s="616">
        <v>6.2E-2</v>
      </c>
      <c r="AG10" s="616">
        <v>0.95199999999999996</v>
      </c>
      <c r="AH10" s="616">
        <v>0.02</v>
      </c>
    </row>
    <row r="11" spans="1:34" s="465" customFormat="1" ht="15" customHeight="1" thickBot="1">
      <c r="A11" s="497" t="s">
        <v>296</v>
      </c>
      <c r="B11" s="495" t="s">
        <v>31</v>
      </c>
      <c r="C11" s="674">
        <v>197.93100000000001</v>
      </c>
      <c r="D11" s="841">
        <f t="shared" si="0"/>
        <v>200</v>
      </c>
      <c r="E11" s="675">
        <v>0</v>
      </c>
      <c r="F11" s="841">
        <f t="shared" si="1"/>
        <v>0</v>
      </c>
      <c r="G11" s="675">
        <v>1.7999999999999999E-2</v>
      </c>
      <c r="H11" s="835">
        <f t="shared" si="2"/>
        <v>0</v>
      </c>
      <c r="I11" s="675">
        <v>0</v>
      </c>
      <c r="J11" s="835">
        <f t="shared" si="3"/>
        <v>0</v>
      </c>
      <c r="K11" s="675">
        <v>0</v>
      </c>
      <c r="L11" s="835">
        <f t="shared" si="4"/>
        <v>0</v>
      </c>
      <c r="M11" s="675">
        <v>0</v>
      </c>
      <c r="N11" s="841">
        <f t="shared" si="5"/>
        <v>0</v>
      </c>
      <c r="O11" s="675">
        <v>33.921999999999997</v>
      </c>
      <c r="P11" s="841">
        <f t="shared" si="6"/>
        <v>35</v>
      </c>
      <c r="Q11" s="675">
        <v>50.912999999999997</v>
      </c>
      <c r="R11" s="841">
        <f t="shared" si="7"/>
        <v>51</v>
      </c>
      <c r="S11" s="675">
        <v>0.10100000000000001</v>
      </c>
      <c r="T11" s="841">
        <f t="shared" si="8"/>
        <v>0</v>
      </c>
      <c r="U11" s="675">
        <v>47.872999999999998</v>
      </c>
      <c r="V11" s="841">
        <f t="shared" si="9"/>
        <v>48</v>
      </c>
      <c r="W11" s="675">
        <v>46.277000000000001</v>
      </c>
      <c r="X11" s="841">
        <f t="shared" si="10"/>
        <v>46</v>
      </c>
      <c r="Y11" s="675">
        <v>2.5999999999999999E-2</v>
      </c>
      <c r="Z11" s="841">
        <f t="shared" si="11"/>
        <v>0</v>
      </c>
      <c r="AA11" s="675">
        <v>0</v>
      </c>
      <c r="AB11" s="675">
        <v>0</v>
      </c>
      <c r="AC11" s="675">
        <v>12.000999999999999</v>
      </c>
      <c r="AD11" s="582">
        <v>0.92300000000000004</v>
      </c>
      <c r="AE11" s="582">
        <v>2.5999999999999999E-2</v>
      </c>
      <c r="AF11" s="582">
        <v>0.14599999999999999</v>
      </c>
      <c r="AG11" s="582">
        <v>1.0429999999999999</v>
      </c>
      <c r="AH11" s="582">
        <v>2.1999999999999999E-2</v>
      </c>
    </row>
    <row r="12" spans="1:34" s="465" customFormat="1" ht="15" customHeight="1" thickBot="1">
      <c r="A12" s="497" t="s">
        <v>296</v>
      </c>
      <c r="B12" s="495" t="s">
        <v>32</v>
      </c>
      <c r="C12" s="674">
        <v>213.79</v>
      </c>
      <c r="D12" s="841">
        <f t="shared" si="0"/>
        <v>210</v>
      </c>
      <c r="E12" s="675">
        <v>0.30499999999999999</v>
      </c>
      <c r="F12" s="841">
        <f t="shared" si="1"/>
        <v>0</v>
      </c>
      <c r="G12" s="675">
        <v>3.4000000000000002E-2</v>
      </c>
      <c r="H12" s="835">
        <f t="shared" si="2"/>
        <v>0</v>
      </c>
      <c r="I12" s="675">
        <v>0</v>
      </c>
      <c r="J12" s="835">
        <f t="shared" si="3"/>
        <v>0</v>
      </c>
      <c r="K12" s="675">
        <v>0</v>
      </c>
      <c r="L12" s="835">
        <f t="shared" si="4"/>
        <v>0</v>
      </c>
      <c r="M12" s="675">
        <v>0</v>
      </c>
      <c r="N12" s="841">
        <f t="shared" si="5"/>
        <v>0</v>
      </c>
      <c r="O12" s="675">
        <v>28.835000000000001</v>
      </c>
      <c r="P12" s="841">
        <f t="shared" si="6"/>
        <v>30</v>
      </c>
      <c r="Q12" s="675">
        <v>55.488999999999997</v>
      </c>
      <c r="R12" s="841">
        <f t="shared" si="7"/>
        <v>55</v>
      </c>
      <c r="S12" s="675">
        <v>5.1999999999999998E-2</v>
      </c>
      <c r="T12" s="841">
        <f t="shared" si="8"/>
        <v>0</v>
      </c>
      <c r="U12" s="675">
        <v>51.628999999999998</v>
      </c>
      <c r="V12" s="841">
        <f t="shared" si="9"/>
        <v>52</v>
      </c>
      <c r="W12" s="675">
        <v>51.277999999999999</v>
      </c>
      <c r="X12" s="841">
        <f t="shared" si="10"/>
        <v>51</v>
      </c>
      <c r="Y12" s="675">
        <v>9.4E-2</v>
      </c>
      <c r="Z12" s="841">
        <f t="shared" si="11"/>
        <v>0</v>
      </c>
      <c r="AA12" s="675">
        <v>0</v>
      </c>
      <c r="AB12" s="675">
        <v>0</v>
      </c>
      <c r="AC12" s="675">
        <v>8.9280000000000008</v>
      </c>
      <c r="AD12" s="582">
        <v>0.68700000000000006</v>
      </c>
      <c r="AE12" s="582">
        <v>2.4E-2</v>
      </c>
      <c r="AF12" s="582">
        <v>0.13500000000000001</v>
      </c>
      <c r="AG12" s="582">
        <v>24.300999999999998</v>
      </c>
      <c r="AH12" s="582">
        <v>0.51700000000000002</v>
      </c>
    </row>
    <row r="13" spans="1:34" s="465" customFormat="1" ht="15" customHeight="1" thickBot="1">
      <c r="A13" s="497" t="s">
        <v>296</v>
      </c>
      <c r="B13" s="495" t="s">
        <v>33</v>
      </c>
      <c r="C13" s="674">
        <v>239.99600000000001</v>
      </c>
      <c r="D13" s="841">
        <f t="shared" si="0"/>
        <v>240</v>
      </c>
      <c r="E13" s="675">
        <v>4.3999999999999997E-2</v>
      </c>
      <c r="F13" s="841">
        <f t="shared" si="1"/>
        <v>0</v>
      </c>
      <c r="G13" s="675">
        <v>5.0000000000000001E-3</v>
      </c>
      <c r="H13" s="835">
        <f t="shared" si="2"/>
        <v>0</v>
      </c>
      <c r="I13" s="675">
        <v>1E-3</v>
      </c>
      <c r="J13" s="835">
        <f t="shared" si="3"/>
        <v>0</v>
      </c>
      <c r="K13" s="675">
        <v>0</v>
      </c>
      <c r="L13" s="835">
        <f t="shared" si="4"/>
        <v>0</v>
      </c>
      <c r="M13" s="675">
        <v>0</v>
      </c>
      <c r="N13" s="841">
        <f t="shared" si="5"/>
        <v>0</v>
      </c>
      <c r="O13" s="675">
        <v>49.048000000000002</v>
      </c>
      <c r="P13" s="841">
        <f t="shared" si="6"/>
        <v>50</v>
      </c>
      <c r="Q13" s="675">
        <v>61.33</v>
      </c>
      <c r="R13" s="841">
        <f t="shared" si="7"/>
        <v>61</v>
      </c>
      <c r="S13" s="675">
        <v>0.11</v>
      </c>
      <c r="T13" s="841">
        <f t="shared" si="8"/>
        <v>0</v>
      </c>
      <c r="U13" s="675">
        <v>58.329000000000001</v>
      </c>
      <c r="V13" s="841">
        <f t="shared" si="9"/>
        <v>58</v>
      </c>
      <c r="W13" s="675">
        <v>58.286999999999999</v>
      </c>
      <c r="X13" s="841">
        <f t="shared" si="10"/>
        <v>58</v>
      </c>
      <c r="Y13" s="675">
        <v>2.9000000000000001E-2</v>
      </c>
      <c r="Z13" s="841">
        <f t="shared" si="11"/>
        <v>0</v>
      </c>
      <c r="AA13" s="675">
        <v>0</v>
      </c>
      <c r="AB13" s="675">
        <v>0</v>
      </c>
      <c r="AC13" s="675">
        <v>7.7869999999999999</v>
      </c>
      <c r="AD13" s="582">
        <v>0.59899999999999998</v>
      </c>
      <c r="AE13" s="582">
        <v>3.3000000000000002E-2</v>
      </c>
      <c r="AF13" s="582">
        <v>0.186</v>
      </c>
      <c r="AG13" s="582">
        <v>3.2690000000000001</v>
      </c>
      <c r="AH13" s="582">
        <v>7.0000000000000007E-2</v>
      </c>
    </row>
    <row r="14" spans="1:34" s="465" customFormat="1" ht="15" customHeight="1" thickBot="1">
      <c r="A14" s="497" t="s">
        <v>296</v>
      </c>
      <c r="B14" s="495" t="s">
        <v>34</v>
      </c>
      <c r="C14" s="674">
        <v>289.72000000000003</v>
      </c>
      <c r="D14" s="841">
        <f t="shared" si="0"/>
        <v>290</v>
      </c>
      <c r="E14" s="675">
        <v>3.1720000000000002</v>
      </c>
      <c r="F14" s="841">
        <f t="shared" si="1"/>
        <v>0</v>
      </c>
      <c r="G14" s="675">
        <v>0.35199999999999998</v>
      </c>
      <c r="H14" s="835">
        <f t="shared" si="2"/>
        <v>0</v>
      </c>
      <c r="I14" s="675">
        <v>0.20799999999999999</v>
      </c>
      <c r="J14" s="835">
        <f t="shared" si="3"/>
        <v>0</v>
      </c>
      <c r="K14" s="675">
        <v>0</v>
      </c>
      <c r="L14" s="835">
        <f t="shared" si="4"/>
        <v>0</v>
      </c>
      <c r="M14" s="675">
        <v>0</v>
      </c>
      <c r="N14" s="841">
        <f t="shared" si="5"/>
        <v>0</v>
      </c>
      <c r="O14" s="675">
        <v>54.695</v>
      </c>
      <c r="P14" s="841">
        <f t="shared" si="6"/>
        <v>55</v>
      </c>
      <c r="Q14" s="675">
        <v>73.858000000000004</v>
      </c>
      <c r="R14" s="841">
        <f t="shared" si="7"/>
        <v>74</v>
      </c>
      <c r="S14" s="675">
        <v>1.0309999999999999</v>
      </c>
      <c r="T14" s="841">
        <f t="shared" si="8"/>
        <v>1</v>
      </c>
      <c r="U14" s="675">
        <v>70.162000000000006</v>
      </c>
      <c r="V14" s="841">
        <f t="shared" si="9"/>
        <v>70</v>
      </c>
      <c r="W14" s="675">
        <v>69.873000000000005</v>
      </c>
      <c r="X14" s="841">
        <f t="shared" si="10"/>
        <v>70</v>
      </c>
      <c r="Y14" s="676">
        <v>0.628</v>
      </c>
      <c r="Z14" s="841" t="str">
        <f t="shared" si="11"/>
        <v>less than 1 g</v>
      </c>
      <c r="AA14" s="676">
        <v>5.0000000000000001E-3</v>
      </c>
      <c r="AB14" s="676">
        <v>2.3E-2</v>
      </c>
      <c r="AC14" s="676">
        <v>12.919</v>
      </c>
      <c r="AD14" s="582">
        <v>0.99399999999999999</v>
      </c>
      <c r="AE14" s="582">
        <v>0.54700000000000004</v>
      </c>
      <c r="AF14" s="582">
        <v>3.0390000000000001</v>
      </c>
      <c r="AG14" s="582">
        <v>74.161000000000001</v>
      </c>
      <c r="AH14" s="582">
        <v>1.5780000000000001</v>
      </c>
    </row>
    <row r="15" spans="1:34" s="465" customFormat="1" ht="15" customHeight="1" thickBot="1">
      <c r="A15" s="497" t="s">
        <v>296</v>
      </c>
      <c r="B15" s="495" t="s">
        <v>35</v>
      </c>
      <c r="C15" s="674">
        <v>328.27</v>
      </c>
      <c r="D15" s="841">
        <f t="shared" si="0"/>
        <v>330</v>
      </c>
      <c r="E15" s="582">
        <v>3.181</v>
      </c>
      <c r="F15" s="841">
        <f t="shared" si="1"/>
        <v>0</v>
      </c>
      <c r="G15" s="582">
        <v>2.5070000000000001</v>
      </c>
      <c r="H15" s="835">
        <f t="shared" si="2"/>
        <v>2.5</v>
      </c>
      <c r="I15" s="582">
        <v>1.4930000000000001</v>
      </c>
      <c r="J15" s="835">
        <f t="shared" si="3"/>
        <v>1.5</v>
      </c>
      <c r="K15" s="582">
        <v>0</v>
      </c>
      <c r="L15" s="835">
        <f t="shared" si="4"/>
        <v>0</v>
      </c>
      <c r="M15" s="582">
        <v>0</v>
      </c>
      <c r="N15" s="841">
        <f t="shared" si="5"/>
        <v>0</v>
      </c>
      <c r="O15" s="582">
        <v>54.497</v>
      </c>
      <c r="P15" s="841">
        <f t="shared" si="6"/>
        <v>55</v>
      </c>
      <c r="Q15" s="582">
        <v>79.616</v>
      </c>
      <c r="R15" s="841">
        <f t="shared" si="7"/>
        <v>80</v>
      </c>
      <c r="S15" s="582">
        <v>1.6879999999999999</v>
      </c>
      <c r="T15" s="841">
        <f t="shared" si="8"/>
        <v>2</v>
      </c>
      <c r="U15" s="582">
        <v>74.840999999999994</v>
      </c>
      <c r="V15" s="841">
        <f t="shared" si="9"/>
        <v>75</v>
      </c>
      <c r="W15" s="582">
        <v>74.551000000000002</v>
      </c>
      <c r="X15" s="841">
        <f t="shared" si="10"/>
        <v>75</v>
      </c>
      <c r="Y15" s="582">
        <v>1.044</v>
      </c>
      <c r="Z15" s="841">
        <f t="shared" si="11"/>
        <v>1</v>
      </c>
      <c r="AA15" s="582">
        <v>5.0000000000000001E-3</v>
      </c>
      <c r="AB15" s="582">
        <v>2.3E-2</v>
      </c>
      <c r="AC15" s="582">
        <v>15.837</v>
      </c>
      <c r="AD15" s="582">
        <v>1.218</v>
      </c>
      <c r="AE15" s="582">
        <v>1.256</v>
      </c>
      <c r="AF15" s="582">
        <v>6.976</v>
      </c>
      <c r="AG15" s="582">
        <v>110.568</v>
      </c>
      <c r="AH15" s="582">
        <v>2.3530000000000002</v>
      </c>
    </row>
    <row r="16" spans="1:34" s="465" customFormat="1" ht="15" customHeight="1" thickBot="1">
      <c r="A16" s="497" t="s">
        <v>296</v>
      </c>
      <c r="B16" s="495" t="s">
        <v>317</v>
      </c>
      <c r="C16" s="674">
        <v>349.92200000000003</v>
      </c>
      <c r="D16" s="841">
        <f t="shared" si="0"/>
        <v>350</v>
      </c>
      <c r="E16" s="675">
        <v>3.1760000000000002</v>
      </c>
      <c r="F16" s="841">
        <f t="shared" si="1"/>
        <v>0</v>
      </c>
      <c r="G16" s="675">
        <v>6.165</v>
      </c>
      <c r="H16" s="835">
        <f t="shared" si="2"/>
        <v>6</v>
      </c>
      <c r="I16" s="675">
        <v>1.173</v>
      </c>
      <c r="J16" s="835">
        <f t="shared" si="3"/>
        <v>1</v>
      </c>
      <c r="K16" s="675">
        <v>0</v>
      </c>
      <c r="L16" s="835">
        <f t="shared" si="4"/>
        <v>0</v>
      </c>
      <c r="M16" s="675">
        <v>0</v>
      </c>
      <c r="N16" s="841">
        <f t="shared" si="5"/>
        <v>0</v>
      </c>
      <c r="O16" s="675">
        <v>80.158000000000001</v>
      </c>
      <c r="P16" s="841">
        <f t="shared" si="6"/>
        <v>80</v>
      </c>
      <c r="Q16" s="675">
        <v>74.850999999999999</v>
      </c>
      <c r="R16" s="841">
        <f t="shared" si="7"/>
        <v>75</v>
      </c>
      <c r="S16" s="675">
        <v>1.663</v>
      </c>
      <c r="T16" s="841">
        <f t="shared" si="8"/>
        <v>2</v>
      </c>
      <c r="U16" s="675">
        <v>71.156000000000006</v>
      </c>
      <c r="V16" s="841">
        <f t="shared" si="9"/>
        <v>71</v>
      </c>
      <c r="W16" s="675">
        <v>70.572000000000003</v>
      </c>
      <c r="X16" s="841">
        <f t="shared" si="10"/>
        <v>71</v>
      </c>
      <c r="Y16" s="676">
        <v>2.544</v>
      </c>
      <c r="Z16" s="841">
        <f t="shared" si="11"/>
        <v>3</v>
      </c>
      <c r="AA16" s="676">
        <v>5.0000000000000001E-3</v>
      </c>
      <c r="AB16" s="676">
        <v>2.3E-2</v>
      </c>
      <c r="AC16" s="676">
        <v>19.553000000000001</v>
      </c>
      <c r="AD16" s="582">
        <v>1.504</v>
      </c>
      <c r="AE16" s="582">
        <v>0.88800000000000001</v>
      </c>
      <c r="AF16" s="582">
        <v>4.931</v>
      </c>
      <c r="AG16" s="582">
        <v>126.57</v>
      </c>
      <c r="AH16" s="582">
        <v>2.6930000000000001</v>
      </c>
    </row>
    <row r="17" spans="1:34" s="465" customFormat="1" ht="15" customHeight="1" thickBot="1">
      <c r="A17" s="497" t="s">
        <v>296</v>
      </c>
      <c r="B17" s="495" t="s">
        <v>304</v>
      </c>
      <c r="C17" s="674">
        <v>202.16200000000001</v>
      </c>
      <c r="D17" s="841">
        <f t="shared" si="0"/>
        <v>200</v>
      </c>
      <c r="E17" s="675">
        <v>3.5999999999999997E-2</v>
      </c>
      <c r="F17" s="841">
        <f t="shared" si="1"/>
        <v>0</v>
      </c>
      <c r="G17" s="675">
        <v>4.0000000000000001E-3</v>
      </c>
      <c r="H17" s="835">
        <f t="shared" si="2"/>
        <v>0</v>
      </c>
      <c r="I17" s="675">
        <v>0</v>
      </c>
      <c r="J17" s="835">
        <f t="shared" si="3"/>
        <v>0</v>
      </c>
      <c r="K17" s="675">
        <v>0</v>
      </c>
      <c r="L17" s="835">
        <f t="shared" si="4"/>
        <v>0</v>
      </c>
      <c r="M17" s="675">
        <v>0</v>
      </c>
      <c r="N17" s="841">
        <f t="shared" si="5"/>
        <v>0</v>
      </c>
      <c r="O17" s="675">
        <v>28.3</v>
      </c>
      <c r="P17" s="841">
        <f t="shared" si="6"/>
        <v>30</v>
      </c>
      <c r="Q17" s="675">
        <v>51.107999999999997</v>
      </c>
      <c r="R17" s="841">
        <f t="shared" si="7"/>
        <v>51</v>
      </c>
      <c r="S17" s="675">
        <v>0.06</v>
      </c>
      <c r="T17" s="841">
        <f t="shared" si="8"/>
        <v>0</v>
      </c>
      <c r="U17" s="675">
        <v>48.645000000000003</v>
      </c>
      <c r="V17" s="841">
        <f t="shared" si="9"/>
        <v>49</v>
      </c>
      <c r="W17" s="675">
        <v>48.523000000000003</v>
      </c>
      <c r="X17" s="841">
        <f t="shared" si="10"/>
        <v>49</v>
      </c>
      <c r="Y17" s="676">
        <v>1.7000000000000001E-2</v>
      </c>
      <c r="Z17" s="841">
        <f t="shared" si="11"/>
        <v>0</v>
      </c>
      <c r="AA17" s="676">
        <v>0</v>
      </c>
      <c r="AB17" s="676">
        <v>0</v>
      </c>
      <c r="AC17" s="676">
        <v>7.7359999999999998</v>
      </c>
      <c r="AD17" s="582">
        <v>0.59499999999999997</v>
      </c>
      <c r="AE17" s="582">
        <v>0.02</v>
      </c>
      <c r="AF17" s="582">
        <v>0.114</v>
      </c>
      <c r="AG17" s="582">
        <v>3.008</v>
      </c>
      <c r="AH17" s="582">
        <v>6.4000000000000001E-2</v>
      </c>
    </row>
    <row r="18" spans="1:34" s="465" customFormat="1" ht="15" customHeight="1" thickBot="1">
      <c r="A18" s="497" t="s">
        <v>296</v>
      </c>
      <c r="B18" s="495" t="s">
        <v>36</v>
      </c>
      <c r="C18" s="674">
        <v>245.78</v>
      </c>
      <c r="D18" s="841">
        <f t="shared" si="0"/>
        <v>250</v>
      </c>
      <c r="E18" s="675">
        <v>0</v>
      </c>
      <c r="F18" s="841">
        <f t="shared" si="1"/>
        <v>0</v>
      </c>
      <c r="G18" s="675">
        <v>0</v>
      </c>
      <c r="H18" s="835">
        <f t="shared" si="2"/>
        <v>0</v>
      </c>
      <c r="I18" s="675">
        <v>0</v>
      </c>
      <c r="J18" s="835">
        <f t="shared" si="3"/>
        <v>0</v>
      </c>
      <c r="K18" s="675">
        <v>0</v>
      </c>
      <c r="L18" s="835">
        <f t="shared" si="4"/>
        <v>0</v>
      </c>
      <c r="M18" s="675">
        <v>0</v>
      </c>
      <c r="N18" s="841">
        <f t="shared" si="5"/>
        <v>0</v>
      </c>
      <c r="O18" s="675">
        <v>26.622</v>
      </c>
      <c r="P18" s="841">
        <f t="shared" si="6"/>
        <v>25</v>
      </c>
      <c r="Q18" s="675">
        <v>62.107999999999997</v>
      </c>
      <c r="R18" s="841">
        <f t="shared" si="7"/>
        <v>62</v>
      </c>
      <c r="S18" s="675">
        <v>0</v>
      </c>
      <c r="T18" s="841">
        <f t="shared" si="8"/>
        <v>0</v>
      </c>
      <c r="U18" s="675">
        <v>60.164000000000001</v>
      </c>
      <c r="V18" s="841">
        <f t="shared" si="9"/>
        <v>60</v>
      </c>
      <c r="W18" s="675">
        <v>60.164000000000001</v>
      </c>
      <c r="X18" s="841">
        <f t="shared" si="10"/>
        <v>60</v>
      </c>
      <c r="Y18" s="676">
        <v>0</v>
      </c>
      <c r="Z18" s="841">
        <f t="shared" si="11"/>
        <v>0</v>
      </c>
      <c r="AA18" s="676">
        <v>0</v>
      </c>
      <c r="AB18" s="676">
        <v>0</v>
      </c>
      <c r="AC18" s="676">
        <v>6.8029999999999999</v>
      </c>
      <c r="AD18" s="582">
        <v>0.52300000000000002</v>
      </c>
      <c r="AE18" s="582">
        <v>1.0999999999999999E-2</v>
      </c>
      <c r="AF18" s="582">
        <v>6.3E-2</v>
      </c>
      <c r="AG18" s="582">
        <v>1.3180000000000001</v>
      </c>
      <c r="AH18" s="582">
        <v>2.8000000000000001E-2</v>
      </c>
    </row>
    <row r="19" spans="1:34" s="465" customFormat="1" ht="15" customHeight="1" thickBot="1">
      <c r="A19" s="497" t="s">
        <v>296</v>
      </c>
      <c r="B19" s="495" t="s">
        <v>37</v>
      </c>
      <c r="C19" s="674">
        <v>123.441</v>
      </c>
      <c r="D19" s="841">
        <f t="shared" si="0"/>
        <v>120</v>
      </c>
      <c r="E19" s="582">
        <v>0</v>
      </c>
      <c r="F19" s="841">
        <f t="shared" si="1"/>
        <v>0</v>
      </c>
      <c r="G19" s="582">
        <v>0</v>
      </c>
      <c r="H19" s="835">
        <f t="shared" si="2"/>
        <v>0</v>
      </c>
      <c r="I19" s="582">
        <v>0</v>
      </c>
      <c r="J19" s="835">
        <f t="shared" si="3"/>
        <v>0</v>
      </c>
      <c r="K19" s="582">
        <v>0</v>
      </c>
      <c r="L19" s="835">
        <f t="shared" si="4"/>
        <v>0</v>
      </c>
      <c r="M19" s="582">
        <v>0</v>
      </c>
      <c r="N19" s="841">
        <f t="shared" si="5"/>
        <v>0</v>
      </c>
      <c r="O19" s="582">
        <v>32.500999999999998</v>
      </c>
      <c r="P19" s="841">
        <f t="shared" si="6"/>
        <v>35</v>
      </c>
      <c r="Q19" s="582">
        <v>32.212000000000003</v>
      </c>
      <c r="R19" s="841">
        <f t="shared" si="7"/>
        <v>32</v>
      </c>
      <c r="S19" s="582">
        <v>0</v>
      </c>
      <c r="T19" s="841">
        <f t="shared" si="8"/>
        <v>0</v>
      </c>
      <c r="U19" s="582">
        <v>31.256</v>
      </c>
      <c r="V19" s="841">
        <f t="shared" si="9"/>
        <v>31</v>
      </c>
      <c r="W19" s="582">
        <v>23.658000000000001</v>
      </c>
      <c r="X19" s="841">
        <f t="shared" si="10"/>
        <v>24</v>
      </c>
      <c r="Y19" s="582">
        <v>0</v>
      </c>
      <c r="Z19" s="841">
        <f t="shared" si="11"/>
        <v>0</v>
      </c>
      <c r="AA19" s="582">
        <v>0</v>
      </c>
      <c r="AB19" s="582">
        <v>0</v>
      </c>
      <c r="AC19" s="582">
        <v>6.18</v>
      </c>
      <c r="AD19" s="582">
        <v>0.47499999999999998</v>
      </c>
      <c r="AE19" s="582">
        <v>1.0999999999999999E-2</v>
      </c>
      <c r="AF19" s="582">
        <v>6.3E-2</v>
      </c>
      <c r="AG19" s="582">
        <v>0.47399999999999998</v>
      </c>
      <c r="AH19" s="582">
        <v>0.01</v>
      </c>
    </row>
    <row r="20" spans="1:34" s="465" customFormat="1" ht="15" customHeight="1" thickBot="1">
      <c r="A20" s="497" t="s">
        <v>296</v>
      </c>
      <c r="B20" s="495" t="s">
        <v>39</v>
      </c>
      <c r="C20" s="675">
        <v>229.10400000000001</v>
      </c>
      <c r="D20" s="841">
        <f t="shared" si="0"/>
        <v>230</v>
      </c>
      <c r="E20" s="675">
        <v>0</v>
      </c>
      <c r="F20" s="841">
        <f t="shared" si="1"/>
        <v>0</v>
      </c>
      <c r="G20" s="675">
        <v>0</v>
      </c>
      <c r="H20" s="835">
        <f t="shared" si="2"/>
        <v>0</v>
      </c>
      <c r="I20" s="675">
        <v>0</v>
      </c>
      <c r="J20" s="835">
        <f t="shared" si="3"/>
        <v>0</v>
      </c>
      <c r="K20" s="675">
        <v>0</v>
      </c>
      <c r="L20" s="835">
        <f t="shared" si="4"/>
        <v>0</v>
      </c>
      <c r="M20" s="675">
        <v>0</v>
      </c>
      <c r="N20" s="841">
        <f t="shared" si="5"/>
        <v>0</v>
      </c>
      <c r="O20" s="675">
        <v>26.896000000000001</v>
      </c>
      <c r="P20" s="841">
        <f t="shared" si="6"/>
        <v>25</v>
      </c>
      <c r="Q20" s="675">
        <v>57.709000000000003</v>
      </c>
      <c r="R20" s="841">
        <f t="shared" si="7"/>
        <v>58</v>
      </c>
      <c r="S20" s="675">
        <v>0.22500000000000001</v>
      </c>
      <c r="T20" s="841">
        <f t="shared" si="8"/>
        <v>0</v>
      </c>
      <c r="U20" s="675">
        <v>55.917999999999999</v>
      </c>
      <c r="V20" s="841">
        <f t="shared" si="9"/>
        <v>56</v>
      </c>
      <c r="W20" s="675">
        <v>54.662999999999997</v>
      </c>
      <c r="X20" s="841">
        <f t="shared" si="10"/>
        <v>55</v>
      </c>
      <c r="Y20" s="676">
        <v>0.14000000000000001</v>
      </c>
      <c r="Z20" s="841">
        <f t="shared" si="11"/>
        <v>0</v>
      </c>
      <c r="AA20" s="676">
        <v>0</v>
      </c>
      <c r="AB20" s="676">
        <v>0</v>
      </c>
      <c r="AC20" s="676">
        <v>7.7910000000000004</v>
      </c>
      <c r="AD20" s="582">
        <v>0.59899999999999998</v>
      </c>
      <c r="AE20" s="582">
        <v>4.9000000000000002E-2</v>
      </c>
      <c r="AF20" s="582">
        <v>0.27200000000000002</v>
      </c>
      <c r="AG20" s="582">
        <v>0.94</v>
      </c>
      <c r="AH20" s="582">
        <v>0.02</v>
      </c>
    </row>
    <row r="21" spans="1:34" s="465" customFormat="1" ht="15" customHeight="1" thickBot="1">
      <c r="A21" s="497" t="s">
        <v>296</v>
      </c>
      <c r="B21" s="495" t="s">
        <v>40</v>
      </c>
      <c r="C21" s="674">
        <v>241.71600000000001</v>
      </c>
      <c r="D21" s="841">
        <f t="shared" si="0"/>
        <v>240</v>
      </c>
      <c r="E21" s="674">
        <v>0</v>
      </c>
      <c r="F21" s="841">
        <f t="shared" si="1"/>
        <v>0</v>
      </c>
      <c r="G21" s="674">
        <v>0</v>
      </c>
      <c r="H21" s="835">
        <f t="shared" si="2"/>
        <v>0</v>
      </c>
      <c r="I21" s="674">
        <v>0</v>
      </c>
      <c r="J21" s="835">
        <f t="shared" si="3"/>
        <v>0</v>
      </c>
      <c r="K21" s="674">
        <v>0</v>
      </c>
      <c r="L21" s="835">
        <f t="shared" si="4"/>
        <v>0</v>
      </c>
      <c r="M21" s="674">
        <v>0</v>
      </c>
      <c r="N21" s="841">
        <f t="shared" si="5"/>
        <v>0</v>
      </c>
      <c r="O21" s="674">
        <v>39.22</v>
      </c>
      <c r="P21" s="841">
        <f t="shared" si="6"/>
        <v>40</v>
      </c>
      <c r="Q21" s="674">
        <v>61.731999999999999</v>
      </c>
      <c r="R21" s="841">
        <f t="shared" si="7"/>
        <v>62</v>
      </c>
      <c r="S21" s="674">
        <v>0</v>
      </c>
      <c r="T21" s="841">
        <f t="shared" si="8"/>
        <v>0</v>
      </c>
      <c r="U21" s="674">
        <v>58.835000000000001</v>
      </c>
      <c r="V21" s="841">
        <f t="shared" si="9"/>
        <v>59</v>
      </c>
      <c r="W21" s="674">
        <v>55.354999999999997</v>
      </c>
      <c r="X21" s="841">
        <f t="shared" si="10"/>
        <v>55</v>
      </c>
      <c r="Y21" s="674">
        <v>2.7E-2</v>
      </c>
      <c r="Z21" s="841">
        <f t="shared" si="11"/>
        <v>0</v>
      </c>
      <c r="AA21" s="674">
        <v>1.109</v>
      </c>
      <c r="AB21" s="674">
        <v>5.5469999999999997</v>
      </c>
      <c r="AC21" s="674">
        <v>8.1050000000000004</v>
      </c>
      <c r="AD21" s="674">
        <v>0.623</v>
      </c>
      <c r="AE21" s="674">
        <v>9.9000000000000005E-2</v>
      </c>
      <c r="AF21" s="674">
        <v>0.54700000000000004</v>
      </c>
      <c r="AG21" s="674">
        <v>38.183999999999997</v>
      </c>
      <c r="AH21" s="674">
        <v>0.81200000000000006</v>
      </c>
    </row>
    <row r="22" spans="1:34" s="465" customFormat="1" ht="18.899999999999999" thickBot="1">
      <c r="A22" s="497" t="s">
        <v>296</v>
      </c>
      <c r="B22" s="495" t="s">
        <v>306</v>
      </c>
      <c r="C22" s="582">
        <v>294.79599999999999</v>
      </c>
      <c r="D22" s="841">
        <f t="shared" si="0"/>
        <v>290</v>
      </c>
      <c r="E22" s="582">
        <v>0.59399999999999997</v>
      </c>
      <c r="F22" s="841">
        <f t="shared" si="1"/>
        <v>0</v>
      </c>
      <c r="G22" s="582">
        <v>6.6000000000000003E-2</v>
      </c>
      <c r="H22" s="835">
        <f t="shared" si="2"/>
        <v>0</v>
      </c>
      <c r="I22" s="582">
        <v>0</v>
      </c>
      <c r="J22" s="835">
        <f t="shared" si="3"/>
        <v>0</v>
      </c>
      <c r="K22" s="582">
        <v>0</v>
      </c>
      <c r="L22" s="835">
        <f t="shared" si="4"/>
        <v>0</v>
      </c>
      <c r="M22" s="582">
        <v>0</v>
      </c>
      <c r="N22" s="841">
        <f t="shared" si="5"/>
        <v>0</v>
      </c>
      <c r="O22" s="582">
        <v>30.084</v>
      </c>
      <c r="P22" s="841">
        <f t="shared" si="6"/>
        <v>30</v>
      </c>
      <c r="Q22" s="582">
        <v>73.641000000000005</v>
      </c>
      <c r="R22" s="841">
        <f t="shared" si="7"/>
        <v>74</v>
      </c>
      <c r="S22" s="582">
        <v>0</v>
      </c>
      <c r="T22" s="841">
        <f t="shared" si="8"/>
        <v>0</v>
      </c>
      <c r="U22" s="582">
        <v>67.811000000000007</v>
      </c>
      <c r="V22" s="841">
        <f t="shared" si="9"/>
        <v>68</v>
      </c>
      <c r="W22" s="582">
        <v>67.811000000000007</v>
      </c>
      <c r="X22" s="841">
        <f t="shared" si="10"/>
        <v>68</v>
      </c>
      <c r="Y22" s="582">
        <v>0.52800000000000002</v>
      </c>
      <c r="Z22" s="841" t="str">
        <f t="shared" si="11"/>
        <v>less than 1 g</v>
      </c>
      <c r="AA22" s="582">
        <v>0</v>
      </c>
      <c r="AB22" s="582">
        <v>0</v>
      </c>
      <c r="AC22" s="582">
        <v>6.3789999999999996</v>
      </c>
      <c r="AD22" s="582">
        <v>0.49099999999999999</v>
      </c>
      <c r="AE22" s="582">
        <v>1.2999999999999999E-2</v>
      </c>
      <c r="AF22" s="582">
        <v>7.3999999999999996E-2</v>
      </c>
      <c r="AG22" s="582">
        <v>1.181</v>
      </c>
      <c r="AH22" s="582">
        <v>2.5000000000000001E-2</v>
      </c>
    </row>
    <row r="23" spans="1:34" s="465" customFormat="1" ht="15" customHeight="1" thickBot="1">
      <c r="A23" s="497" t="s">
        <v>296</v>
      </c>
      <c r="B23" s="495" t="s">
        <v>42</v>
      </c>
      <c r="C23" s="675">
        <v>262.97899999999998</v>
      </c>
      <c r="D23" s="841">
        <f t="shared" si="0"/>
        <v>260</v>
      </c>
      <c r="E23" s="675">
        <v>0.10199999999999999</v>
      </c>
      <c r="F23" s="841">
        <f t="shared" si="1"/>
        <v>0</v>
      </c>
      <c r="G23" s="675">
        <v>1.0999999999999999E-2</v>
      </c>
      <c r="H23" s="835">
        <f t="shared" si="2"/>
        <v>0</v>
      </c>
      <c r="I23" s="675">
        <v>6.0000000000000001E-3</v>
      </c>
      <c r="J23" s="835">
        <f t="shared" si="3"/>
        <v>0</v>
      </c>
      <c r="K23" s="675">
        <v>6.0000000000000001E-3</v>
      </c>
      <c r="L23" s="835">
        <f t="shared" si="4"/>
        <v>0</v>
      </c>
      <c r="M23" s="675">
        <v>0</v>
      </c>
      <c r="N23" s="841">
        <f t="shared" si="5"/>
        <v>0</v>
      </c>
      <c r="O23" s="675">
        <v>27.562999999999999</v>
      </c>
      <c r="P23" s="841">
        <f t="shared" si="6"/>
        <v>30</v>
      </c>
      <c r="Q23" s="675">
        <v>66.436999999999998</v>
      </c>
      <c r="R23" s="841">
        <f t="shared" si="7"/>
        <v>66</v>
      </c>
      <c r="S23" s="675">
        <v>0.17499999999999999</v>
      </c>
      <c r="T23" s="841">
        <f t="shared" si="8"/>
        <v>0</v>
      </c>
      <c r="U23" s="675">
        <v>63.679000000000002</v>
      </c>
      <c r="V23" s="841">
        <f t="shared" si="9"/>
        <v>64</v>
      </c>
      <c r="W23" s="675">
        <v>62.514000000000003</v>
      </c>
      <c r="X23" s="841">
        <f t="shared" si="10"/>
        <v>63</v>
      </c>
      <c r="Y23" s="676">
        <v>0.153</v>
      </c>
      <c r="Z23" s="841">
        <f t="shared" si="11"/>
        <v>0</v>
      </c>
      <c r="AA23" s="676">
        <v>0.69</v>
      </c>
      <c r="AB23" s="676">
        <v>3.45</v>
      </c>
      <c r="AC23" s="676">
        <v>7.758</v>
      </c>
      <c r="AD23" s="582">
        <v>0.59699999999999998</v>
      </c>
      <c r="AE23" s="582">
        <v>5.3999999999999999E-2</v>
      </c>
      <c r="AF23" s="582">
        <v>0.30099999999999999</v>
      </c>
      <c r="AG23" s="582">
        <v>39.08</v>
      </c>
      <c r="AH23" s="582">
        <v>0.83099999999999996</v>
      </c>
    </row>
    <row r="24" spans="1:34" s="465" customFormat="1" ht="15" customHeight="1" thickBot="1">
      <c r="A24" s="497" t="s">
        <v>296</v>
      </c>
      <c r="B24" s="495" t="s">
        <v>45</v>
      </c>
      <c r="C24" s="675">
        <v>224.94200000000001</v>
      </c>
      <c r="D24" s="841">
        <f t="shared" si="0"/>
        <v>220</v>
      </c>
      <c r="E24" s="675">
        <v>0</v>
      </c>
      <c r="F24" s="841">
        <f t="shared" si="1"/>
        <v>0</v>
      </c>
      <c r="G24" s="675">
        <v>0</v>
      </c>
      <c r="H24" s="835">
        <f t="shared" si="2"/>
        <v>0</v>
      </c>
      <c r="I24" s="675">
        <v>0</v>
      </c>
      <c r="J24" s="835">
        <f t="shared" si="3"/>
        <v>0</v>
      </c>
      <c r="K24" s="675">
        <v>0</v>
      </c>
      <c r="L24" s="835">
        <f t="shared" si="4"/>
        <v>0</v>
      </c>
      <c r="M24" s="675">
        <v>0</v>
      </c>
      <c r="N24" s="841">
        <f t="shared" si="5"/>
        <v>0</v>
      </c>
      <c r="O24" s="675">
        <v>27.329000000000001</v>
      </c>
      <c r="P24" s="841">
        <f t="shared" si="6"/>
        <v>25</v>
      </c>
      <c r="Q24" s="675">
        <v>56.692999999999998</v>
      </c>
      <c r="R24" s="841">
        <f t="shared" si="7"/>
        <v>57</v>
      </c>
      <c r="S24" s="675">
        <v>0</v>
      </c>
      <c r="T24" s="841">
        <f t="shared" si="8"/>
        <v>0</v>
      </c>
      <c r="U24" s="675">
        <v>54.404000000000003</v>
      </c>
      <c r="V24" s="841">
        <f t="shared" si="9"/>
        <v>54</v>
      </c>
      <c r="W24" s="675">
        <v>54.19</v>
      </c>
      <c r="X24" s="841">
        <f t="shared" si="10"/>
        <v>54</v>
      </c>
      <c r="Y24" s="676">
        <v>6.0000000000000001E-3</v>
      </c>
      <c r="Z24" s="841">
        <f t="shared" si="11"/>
        <v>0</v>
      </c>
      <c r="AA24" s="676">
        <v>0</v>
      </c>
      <c r="AB24" s="676">
        <v>0</v>
      </c>
      <c r="AC24" s="676">
        <v>6.9589999999999996</v>
      </c>
      <c r="AD24" s="582">
        <v>0.53500000000000003</v>
      </c>
      <c r="AE24" s="582">
        <v>2.1999999999999999E-2</v>
      </c>
      <c r="AF24" s="582">
        <v>0.124</v>
      </c>
      <c r="AG24" s="582">
        <v>8.0619999999999994</v>
      </c>
      <c r="AH24" s="582">
        <v>0.17199999999999999</v>
      </c>
    </row>
    <row r="25" spans="1:34" s="465" customFormat="1" ht="15" customHeight="1" thickBot="1">
      <c r="A25" s="497" t="s">
        <v>296</v>
      </c>
      <c r="B25" s="495" t="s">
        <v>46</v>
      </c>
      <c r="C25" s="675">
        <v>218.697</v>
      </c>
      <c r="D25" s="841">
        <f t="shared" si="0"/>
        <v>220</v>
      </c>
      <c r="E25" s="675">
        <v>0</v>
      </c>
      <c r="F25" s="841">
        <f t="shared" si="1"/>
        <v>0</v>
      </c>
      <c r="G25" s="675">
        <v>0</v>
      </c>
      <c r="H25" s="835">
        <f t="shared" si="2"/>
        <v>0</v>
      </c>
      <c r="I25" s="675">
        <v>0</v>
      </c>
      <c r="J25" s="835">
        <f t="shared" si="3"/>
        <v>0</v>
      </c>
      <c r="K25" s="675">
        <v>0</v>
      </c>
      <c r="L25" s="835">
        <f t="shared" si="4"/>
        <v>0</v>
      </c>
      <c r="M25" s="675">
        <v>0</v>
      </c>
      <c r="N25" s="841">
        <f t="shared" si="5"/>
        <v>0</v>
      </c>
      <c r="O25" s="675">
        <v>55.487000000000002</v>
      </c>
      <c r="P25" s="841">
        <f t="shared" si="6"/>
        <v>55</v>
      </c>
      <c r="Q25" s="675">
        <v>55.456000000000003</v>
      </c>
      <c r="R25" s="841">
        <f t="shared" si="7"/>
        <v>55</v>
      </c>
      <c r="S25" s="675">
        <v>3.1E-2</v>
      </c>
      <c r="T25" s="841">
        <f t="shared" si="8"/>
        <v>0</v>
      </c>
      <c r="U25" s="675">
        <v>52.875</v>
      </c>
      <c r="V25" s="841">
        <f t="shared" si="9"/>
        <v>53</v>
      </c>
      <c r="W25" s="675">
        <v>52.875</v>
      </c>
      <c r="X25" s="841">
        <f t="shared" si="10"/>
        <v>53</v>
      </c>
      <c r="Y25" s="676">
        <v>5.0000000000000001E-3</v>
      </c>
      <c r="Z25" s="841">
        <f t="shared" si="11"/>
        <v>0</v>
      </c>
      <c r="AA25" s="676">
        <v>0</v>
      </c>
      <c r="AB25" s="676">
        <v>0</v>
      </c>
      <c r="AC25" s="676">
        <v>7.6989999999999998</v>
      </c>
      <c r="AD25" s="582">
        <v>0.59199999999999997</v>
      </c>
      <c r="AE25" s="582">
        <v>0.05</v>
      </c>
      <c r="AF25" s="582">
        <v>0.27900000000000003</v>
      </c>
      <c r="AG25" s="582">
        <v>2.5619999999999998</v>
      </c>
      <c r="AH25" s="582">
        <v>5.5E-2</v>
      </c>
    </row>
    <row r="26" spans="1:34" s="465" customFormat="1" ht="15" customHeight="1" thickBot="1">
      <c r="A26" s="497" t="s">
        <v>296</v>
      </c>
      <c r="B26" s="495" t="s">
        <v>307</v>
      </c>
      <c r="C26" s="579">
        <v>246.76</v>
      </c>
      <c r="D26" s="841">
        <f t="shared" si="0"/>
        <v>250</v>
      </c>
      <c r="E26" s="579">
        <v>0</v>
      </c>
      <c r="F26" s="841">
        <f t="shared" si="1"/>
        <v>0</v>
      </c>
      <c r="G26" s="579">
        <v>0</v>
      </c>
      <c r="H26" s="835">
        <f t="shared" si="2"/>
        <v>0</v>
      </c>
      <c r="I26" s="579">
        <v>0</v>
      </c>
      <c r="J26" s="835">
        <f t="shared" si="3"/>
        <v>0</v>
      </c>
      <c r="K26" s="579">
        <v>0</v>
      </c>
      <c r="L26" s="835">
        <f t="shared" si="4"/>
        <v>0</v>
      </c>
      <c r="M26" s="579">
        <v>0</v>
      </c>
      <c r="N26" s="841">
        <f t="shared" si="5"/>
        <v>0</v>
      </c>
      <c r="O26" s="579">
        <v>27.869</v>
      </c>
      <c r="P26" s="841">
        <f t="shared" si="6"/>
        <v>30</v>
      </c>
      <c r="Q26" s="579">
        <v>62.55</v>
      </c>
      <c r="R26" s="841">
        <f t="shared" si="7"/>
        <v>63</v>
      </c>
      <c r="S26" s="579">
        <v>0</v>
      </c>
      <c r="T26" s="841">
        <f t="shared" si="8"/>
        <v>0</v>
      </c>
      <c r="U26" s="579">
        <v>60.031999999999996</v>
      </c>
      <c r="V26" s="841">
        <f t="shared" si="9"/>
        <v>60</v>
      </c>
      <c r="W26" s="579">
        <v>60.031999999999996</v>
      </c>
      <c r="X26" s="841">
        <f t="shared" si="10"/>
        <v>60</v>
      </c>
      <c r="Y26" s="575">
        <v>0</v>
      </c>
      <c r="Z26" s="841">
        <f t="shared" si="11"/>
        <v>0</v>
      </c>
      <c r="AA26" s="575">
        <v>0</v>
      </c>
      <c r="AB26" s="575">
        <v>0</v>
      </c>
      <c r="AC26" s="575">
        <v>6.5350000000000001</v>
      </c>
      <c r="AD26" s="578">
        <v>0.503</v>
      </c>
      <c r="AE26" s="578">
        <v>1.4E-2</v>
      </c>
      <c r="AF26" s="578">
        <v>7.9000000000000001E-2</v>
      </c>
      <c r="AG26" s="578">
        <v>5.9189999999999996</v>
      </c>
      <c r="AH26" s="578">
        <v>0.126</v>
      </c>
    </row>
    <row r="27" spans="1:34" s="465" customFormat="1" ht="15" customHeight="1" thickBot="1">
      <c r="A27" s="497" t="s">
        <v>296</v>
      </c>
      <c r="B27" s="495" t="s">
        <v>308</v>
      </c>
      <c r="C27" s="554">
        <v>231.88900000000001</v>
      </c>
      <c r="D27" s="841">
        <f t="shared" si="0"/>
        <v>230</v>
      </c>
      <c r="E27" s="554">
        <v>0</v>
      </c>
      <c r="F27" s="841">
        <f t="shared" si="1"/>
        <v>0</v>
      </c>
      <c r="G27" s="554">
        <v>0</v>
      </c>
      <c r="H27" s="835">
        <f t="shared" si="2"/>
        <v>0</v>
      </c>
      <c r="I27" s="554">
        <v>0</v>
      </c>
      <c r="J27" s="835">
        <f t="shared" si="3"/>
        <v>0</v>
      </c>
      <c r="K27" s="554">
        <v>0</v>
      </c>
      <c r="L27" s="835">
        <f t="shared" si="4"/>
        <v>0</v>
      </c>
      <c r="M27" s="554">
        <v>0</v>
      </c>
      <c r="N27" s="841">
        <f t="shared" si="5"/>
        <v>0</v>
      </c>
      <c r="O27" s="554">
        <v>28.498999999999999</v>
      </c>
      <c r="P27" s="841">
        <f t="shared" si="6"/>
        <v>30</v>
      </c>
      <c r="Q27" s="554">
        <v>57.606000000000002</v>
      </c>
      <c r="R27" s="841">
        <f t="shared" si="7"/>
        <v>58</v>
      </c>
      <c r="S27" s="554">
        <v>0</v>
      </c>
      <c r="T27" s="841">
        <f t="shared" si="8"/>
        <v>0</v>
      </c>
      <c r="U27" s="554">
        <v>57.207000000000001</v>
      </c>
      <c r="V27" s="841">
        <f t="shared" si="9"/>
        <v>57</v>
      </c>
      <c r="W27" s="554">
        <v>57.207000000000001</v>
      </c>
      <c r="X27" s="841">
        <f t="shared" si="10"/>
        <v>57</v>
      </c>
      <c r="Y27" s="554">
        <v>0</v>
      </c>
      <c r="Z27" s="841">
        <f t="shared" si="11"/>
        <v>0</v>
      </c>
      <c r="AA27" s="554">
        <v>0</v>
      </c>
      <c r="AB27" s="554">
        <v>0</v>
      </c>
      <c r="AC27" s="554">
        <v>6.5970000000000004</v>
      </c>
      <c r="AD27" s="554">
        <v>0.50700000000000001</v>
      </c>
      <c r="AE27" s="554">
        <v>1.2E-2</v>
      </c>
      <c r="AF27" s="554">
        <v>6.7000000000000004E-2</v>
      </c>
      <c r="AG27" s="554">
        <v>4.2930000000000001</v>
      </c>
      <c r="AH27" s="554">
        <v>9.0999999999999998E-2</v>
      </c>
    </row>
    <row r="28" spans="1:34" s="465" customFormat="1" ht="15" customHeight="1" thickBot="1">
      <c r="A28" s="497" t="s">
        <v>296</v>
      </c>
      <c r="B28" s="495" t="s">
        <v>48</v>
      </c>
      <c r="C28" s="579">
        <v>190.601</v>
      </c>
      <c r="D28" s="841">
        <f t="shared" si="0"/>
        <v>190</v>
      </c>
      <c r="E28" s="579">
        <v>0.06</v>
      </c>
      <c r="F28" s="841">
        <f t="shared" si="1"/>
        <v>0</v>
      </c>
      <c r="G28" s="579">
        <v>1.4E-2</v>
      </c>
      <c r="H28" s="835">
        <f t="shared" si="2"/>
        <v>0</v>
      </c>
      <c r="I28" s="579">
        <v>1E-3</v>
      </c>
      <c r="J28" s="835">
        <f t="shared" si="3"/>
        <v>0</v>
      </c>
      <c r="K28" s="579">
        <v>0</v>
      </c>
      <c r="L28" s="835">
        <f t="shared" si="4"/>
        <v>0</v>
      </c>
      <c r="M28" s="579">
        <v>0</v>
      </c>
      <c r="N28" s="841">
        <f t="shared" si="5"/>
        <v>0</v>
      </c>
      <c r="O28" s="579">
        <v>29.785</v>
      </c>
      <c r="P28" s="841">
        <f t="shared" si="6"/>
        <v>30</v>
      </c>
      <c r="Q28" s="579">
        <v>49.347999999999999</v>
      </c>
      <c r="R28" s="841">
        <f t="shared" si="7"/>
        <v>49</v>
      </c>
      <c r="S28" s="579">
        <v>0.121</v>
      </c>
      <c r="T28" s="841">
        <f t="shared" si="8"/>
        <v>0</v>
      </c>
      <c r="U28" s="579">
        <v>47.018999999999998</v>
      </c>
      <c r="V28" s="841">
        <f t="shared" si="9"/>
        <v>47</v>
      </c>
      <c r="W28" s="579">
        <v>46.89</v>
      </c>
      <c r="X28" s="841">
        <f t="shared" si="10"/>
        <v>47</v>
      </c>
      <c r="Y28" s="575">
        <v>4.2999999999999997E-2</v>
      </c>
      <c r="Z28" s="841">
        <f t="shared" si="11"/>
        <v>0</v>
      </c>
      <c r="AA28" s="575">
        <v>2.1999999999999999E-2</v>
      </c>
      <c r="AB28" s="575">
        <v>0.108</v>
      </c>
      <c r="AC28" s="575">
        <v>9.5790000000000006</v>
      </c>
      <c r="AD28" s="578">
        <v>0.73699999999999999</v>
      </c>
      <c r="AE28" s="578">
        <v>5.0999999999999997E-2</v>
      </c>
      <c r="AF28" s="578">
        <v>0.28299999999999997</v>
      </c>
      <c r="AG28" s="578">
        <v>9.0860000000000003</v>
      </c>
      <c r="AH28" s="578">
        <v>0.193</v>
      </c>
    </row>
    <row r="29" spans="1:34" s="465" customFormat="1" ht="15" customHeight="1" thickBot="1">
      <c r="A29" s="497" t="s">
        <v>296</v>
      </c>
      <c r="B29" s="495" t="s">
        <v>50</v>
      </c>
      <c r="C29" s="579">
        <v>248.58099999999999</v>
      </c>
      <c r="D29" s="841">
        <f t="shared" si="0"/>
        <v>250</v>
      </c>
      <c r="E29" s="579">
        <v>0</v>
      </c>
      <c r="F29" s="841">
        <f t="shared" si="1"/>
        <v>0</v>
      </c>
      <c r="G29" s="579">
        <v>1.7000000000000001E-2</v>
      </c>
      <c r="H29" s="835">
        <f t="shared" si="2"/>
        <v>0</v>
      </c>
      <c r="I29" s="579">
        <v>4.0000000000000001E-3</v>
      </c>
      <c r="J29" s="835">
        <f t="shared" si="3"/>
        <v>0</v>
      </c>
      <c r="K29" s="579">
        <v>0</v>
      </c>
      <c r="L29" s="835">
        <f t="shared" si="4"/>
        <v>0</v>
      </c>
      <c r="M29" s="579">
        <v>0</v>
      </c>
      <c r="N29" s="841">
        <f t="shared" si="5"/>
        <v>0</v>
      </c>
      <c r="O29" s="579">
        <v>37.308</v>
      </c>
      <c r="P29" s="841">
        <f t="shared" si="6"/>
        <v>35</v>
      </c>
      <c r="Q29" s="579">
        <v>63.216999999999999</v>
      </c>
      <c r="R29" s="841">
        <f t="shared" si="7"/>
        <v>63</v>
      </c>
      <c r="S29" s="579">
        <v>0.115</v>
      </c>
      <c r="T29" s="841">
        <f t="shared" si="8"/>
        <v>0</v>
      </c>
      <c r="U29" s="579">
        <v>60.334000000000003</v>
      </c>
      <c r="V29" s="841">
        <f t="shared" si="9"/>
        <v>60</v>
      </c>
      <c r="W29" s="579">
        <v>59.411000000000001</v>
      </c>
      <c r="X29" s="841">
        <f t="shared" si="10"/>
        <v>59</v>
      </c>
      <c r="Y29" s="575">
        <v>3.4000000000000002E-2</v>
      </c>
      <c r="Z29" s="841">
        <f t="shared" si="11"/>
        <v>0</v>
      </c>
      <c r="AA29" s="575">
        <v>0</v>
      </c>
      <c r="AB29" s="575">
        <v>0</v>
      </c>
      <c r="AC29" s="575">
        <v>8.3010000000000002</v>
      </c>
      <c r="AD29" s="578">
        <v>0.63900000000000001</v>
      </c>
      <c r="AE29" s="578">
        <v>7.8E-2</v>
      </c>
      <c r="AF29" s="578">
        <v>0.43099999999999999</v>
      </c>
      <c r="AG29" s="578">
        <v>18.064</v>
      </c>
      <c r="AH29" s="578">
        <v>0.38400000000000001</v>
      </c>
    </row>
    <row r="30" spans="1:34" s="465" customFormat="1" ht="15" customHeight="1" thickBot="1">
      <c r="A30" s="497" t="s">
        <v>296</v>
      </c>
      <c r="B30" s="495" t="s">
        <v>51</v>
      </c>
      <c r="C30" s="579">
        <v>246.00800000000001</v>
      </c>
      <c r="D30" s="841">
        <f t="shared" si="0"/>
        <v>250</v>
      </c>
      <c r="E30" s="579">
        <v>0</v>
      </c>
      <c r="F30" s="841">
        <f t="shared" si="1"/>
        <v>0</v>
      </c>
      <c r="G30" s="579">
        <v>2.1999999999999999E-2</v>
      </c>
      <c r="H30" s="835">
        <f t="shared" si="2"/>
        <v>0</v>
      </c>
      <c r="I30" s="579">
        <v>2E-3</v>
      </c>
      <c r="J30" s="835">
        <f t="shared" si="3"/>
        <v>0</v>
      </c>
      <c r="K30" s="579">
        <v>0</v>
      </c>
      <c r="L30" s="835">
        <f t="shared" si="4"/>
        <v>0</v>
      </c>
      <c r="M30" s="579">
        <v>0</v>
      </c>
      <c r="N30" s="841">
        <f t="shared" si="5"/>
        <v>0</v>
      </c>
      <c r="O30" s="579">
        <v>33.192999999999998</v>
      </c>
      <c r="P30" s="841">
        <f t="shared" si="6"/>
        <v>35</v>
      </c>
      <c r="Q30" s="579">
        <v>61.747</v>
      </c>
      <c r="R30" s="841">
        <f t="shared" si="7"/>
        <v>62</v>
      </c>
      <c r="S30" s="579">
        <v>0.23400000000000001</v>
      </c>
      <c r="T30" s="841">
        <f t="shared" si="8"/>
        <v>0</v>
      </c>
      <c r="U30" s="579">
        <v>57.231999999999999</v>
      </c>
      <c r="V30" s="841">
        <f t="shared" si="9"/>
        <v>57</v>
      </c>
      <c r="W30" s="579">
        <v>45.286000000000001</v>
      </c>
      <c r="X30" s="841">
        <f t="shared" si="10"/>
        <v>45</v>
      </c>
      <c r="Y30" s="575">
        <v>0.107</v>
      </c>
      <c r="Z30" s="841">
        <f t="shared" si="11"/>
        <v>0</v>
      </c>
      <c r="AA30" s="575">
        <v>0</v>
      </c>
      <c r="AB30" s="575">
        <v>0</v>
      </c>
      <c r="AC30" s="575">
        <v>7.726</v>
      </c>
      <c r="AD30" s="578">
        <v>0.59399999999999997</v>
      </c>
      <c r="AE30" s="578">
        <v>6.2E-2</v>
      </c>
      <c r="AF30" s="578">
        <v>0.34599999999999997</v>
      </c>
      <c r="AG30" s="578">
        <v>9.3800000000000008</v>
      </c>
      <c r="AH30" s="578">
        <v>0.2</v>
      </c>
    </row>
    <row r="31" spans="1:34" s="465" customFormat="1" ht="15" customHeight="1" thickBot="1">
      <c r="A31" s="497" t="s">
        <v>296</v>
      </c>
      <c r="B31" s="495" t="s">
        <v>52</v>
      </c>
      <c r="C31" s="579">
        <v>226.244</v>
      </c>
      <c r="D31" s="841">
        <f t="shared" si="0"/>
        <v>230</v>
      </c>
      <c r="E31" s="579">
        <v>7.0999999999999994E-2</v>
      </c>
      <c r="F31" s="841">
        <f t="shared" si="1"/>
        <v>0</v>
      </c>
      <c r="G31" s="579">
        <v>8.0000000000000002E-3</v>
      </c>
      <c r="H31" s="835">
        <f t="shared" si="2"/>
        <v>0</v>
      </c>
      <c r="I31" s="579">
        <v>2E-3</v>
      </c>
      <c r="J31" s="835">
        <f t="shared" si="3"/>
        <v>0</v>
      </c>
      <c r="K31" s="579">
        <v>8.0000000000000002E-3</v>
      </c>
      <c r="L31" s="835">
        <f t="shared" si="4"/>
        <v>0</v>
      </c>
      <c r="M31" s="579">
        <v>0</v>
      </c>
      <c r="N31" s="841">
        <f t="shared" si="5"/>
        <v>0</v>
      </c>
      <c r="O31" s="579">
        <v>31.948</v>
      </c>
      <c r="P31" s="841">
        <f t="shared" si="6"/>
        <v>30</v>
      </c>
      <c r="Q31" s="579">
        <v>57.183</v>
      </c>
      <c r="R31" s="841">
        <f t="shared" si="7"/>
        <v>57</v>
      </c>
      <c r="S31" s="579">
        <v>0.17499999999999999</v>
      </c>
      <c r="T31" s="841">
        <f t="shared" si="8"/>
        <v>0</v>
      </c>
      <c r="U31" s="579">
        <v>54.877000000000002</v>
      </c>
      <c r="V31" s="841">
        <f t="shared" si="9"/>
        <v>55</v>
      </c>
      <c r="W31" s="579">
        <v>53.768000000000001</v>
      </c>
      <c r="X31" s="841">
        <f t="shared" si="10"/>
        <v>54</v>
      </c>
      <c r="Y31" s="575">
        <v>9.1999999999999998E-2</v>
      </c>
      <c r="Z31" s="841">
        <f t="shared" si="11"/>
        <v>0</v>
      </c>
      <c r="AA31" s="575">
        <v>0</v>
      </c>
      <c r="AB31" s="575">
        <v>0</v>
      </c>
      <c r="AC31" s="575">
        <v>8.0909999999999993</v>
      </c>
      <c r="AD31" s="578">
        <v>0.622</v>
      </c>
      <c r="AE31" s="578">
        <v>6.0999999999999999E-2</v>
      </c>
      <c r="AF31" s="578">
        <v>0.33800000000000002</v>
      </c>
      <c r="AG31" s="578">
        <v>8.8529999999999998</v>
      </c>
      <c r="AH31" s="599">
        <v>0.188</v>
      </c>
    </row>
    <row r="32" spans="1:34" s="465" customFormat="1" ht="15" customHeight="1" thickBot="1">
      <c r="A32" s="497" t="s">
        <v>296</v>
      </c>
      <c r="B32" s="495" t="s">
        <v>53</v>
      </c>
      <c r="C32" s="579">
        <v>249.21700000000001</v>
      </c>
      <c r="D32" s="841">
        <f t="shared" si="0"/>
        <v>250</v>
      </c>
      <c r="E32" s="579">
        <v>0</v>
      </c>
      <c r="F32" s="841">
        <f t="shared" si="1"/>
        <v>0</v>
      </c>
      <c r="G32" s="579">
        <v>8.0000000000000002E-3</v>
      </c>
      <c r="H32" s="835">
        <f t="shared" si="2"/>
        <v>0</v>
      </c>
      <c r="I32" s="579">
        <v>2E-3</v>
      </c>
      <c r="J32" s="835">
        <f t="shared" si="3"/>
        <v>0</v>
      </c>
      <c r="K32" s="579">
        <v>0</v>
      </c>
      <c r="L32" s="835">
        <f t="shared" si="4"/>
        <v>0</v>
      </c>
      <c r="M32" s="579">
        <v>0</v>
      </c>
      <c r="N32" s="841">
        <f t="shared" si="5"/>
        <v>0</v>
      </c>
      <c r="O32" s="579">
        <v>35.703000000000003</v>
      </c>
      <c r="P32" s="841">
        <f t="shared" si="6"/>
        <v>35</v>
      </c>
      <c r="Q32" s="579">
        <v>62.856999999999999</v>
      </c>
      <c r="R32" s="841">
        <f t="shared" si="7"/>
        <v>63</v>
      </c>
      <c r="S32" s="579">
        <v>0.08</v>
      </c>
      <c r="T32" s="841">
        <f t="shared" si="8"/>
        <v>0</v>
      </c>
      <c r="U32" s="579">
        <v>60.536999999999999</v>
      </c>
      <c r="V32" s="841">
        <f t="shared" si="9"/>
        <v>61</v>
      </c>
      <c r="W32" s="579">
        <v>59.619</v>
      </c>
      <c r="X32" s="841">
        <f t="shared" si="10"/>
        <v>60</v>
      </c>
      <c r="Y32" s="575">
        <v>3.6999999999999998E-2</v>
      </c>
      <c r="Z32" s="841">
        <f t="shared" si="11"/>
        <v>0</v>
      </c>
      <c r="AA32" s="575">
        <v>0</v>
      </c>
      <c r="AB32" s="575">
        <v>0</v>
      </c>
      <c r="AC32" s="575">
        <v>8.1340000000000003</v>
      </c>
      <c r="AD32" s="578">
        <v>0.626</v>
      </c>
      <c r="AE32" s="578">
        <v>0.192</v>
      </c>
      <c r="AF32" s="578">
        <v>1.0669999999999999</v>
      </c>
      <c r="AG32" s="578">
        <v>14.792999999999999</v>
      </c>
      <c r="AH32" s="599">
        <v>0.315</v>
      </c>
    </row>
    <row r="33" spans="1:34" s="465" customFormat="1" ht="15" customHeight="1" thickBot="1">
      <c r="A33" s="497" t="s">
        <v>296</v>
      </c>
      <c r="B33" s="495" t="s">
        <v>54</v>
      </c>
      <c r="C33" s="579">
        <v>253.376</v>
      </c>
      <c r="D33" s="841">
        <f t="shared" si="0"/>
        <v>250</v>
      </c>
      <c r="E33" s="579">
        <v>0</v>
      </c>
      <c r="F33" s="841">
        <f t="shared" si="1"/>
        <v>0</v>
      </c>
      <c r="G33" s="579">
        <v>0.01</v>
      </c>
      <c r="H33" s="835">
        <f t="shared" si="2"/>
        <v>0</v>
      </c>
      <c r="I33" s="579">
        <v>2E-3</v>
      </c>
      <c r="J33" s="835">
        <f t="shared" si="3"/>
        <v>0</v>
      </c>
      <c r="K33" s="579">
        <v>0</v>
      </c>
      <c r="L33" s="835">
        <f t="shared" si="4"/>
        <v>0</v>
      </c>
      <c r="M33" s="579">
        <v>0</v>
      </c>
      <c r="N33" s="841">
        <f t="shared" si="5"/>
        <v>0</v>
      </c>
      <c r="O33" s="579">
        <v>37.112000000000002</v>
      </c>
      <c r="P33" s="841">
        <f t="shared" si="6"/>
        <v>35</v>
      </c>
      <c r="Q33" s="579">
        <v>64.144000000000005</v>
      </c>
      <c r="R33" s="841">
        <f t="shared" si="7"/>
        <v>64</v>
      </c>
      <c r="S33" s="579">
        <v>0.14599999999999999</v>
      </c>
      <c r="T33" s="841">
        <f t="shared" si="8"/>
        <v>0</v>
      </c>
      <c r="U33" s="579">
        <v>61.743000000000002</v>
      </c>
      <c r="V33" s="841">
        <f t="shared" si="9"/>
        <v>62</v>
      </c>
      <c r="W33" s="579">
        <v>60.856999999999999</v>
      </c>
      <c r="X33" s="841">
        <f t="shared" si="10"/>
        <v>61</v>
      </c>
      <c r="Y33" s="575">
        <v>0.104</v>
      </c>
      <c r="Z33" s="841">
        <f t="shared" si="11"/>
        <v>0</v>
      </c>
      <c r="AA33" s="575">
        <v>0</v>
      </c>
      <c r="AB33" s="575">
        <v>0</v>
      </c>
      <c r="AC33" s="575">
        <v>8.2810000000000006</v>
      </c>
      <c r="AD33" s="578">
        <v>0.63700000000000001</v>
      </c>
      <c r="AE33" s="578">
        <v>9.1999999999999998E-2</v>
      </c>
      <c r="AF33" s="578">
        <v>0.51200000000000001</v>
      </c>
      <c r="AG33" s="578">
        <v>10.775</v>
      </c>
      <c r="AH33" s="599">
        <v>0.22900000000000001</v>
      </c>
    </row>
    <row r="34" spans="1:34" s="465" customFormat="1" ht="15" customHeight="1" thickBot="1">
      <c r="A34" s="497" t="s">
        <v>296</v>
      </c>
      <c r="B34" s="495" t="s">
        <v>55</v>
      </c>
      <c r="C34" s="579">
        <v>214.839</v>
      </c>
      <c r="D34" s="841">
        <f t="shared" si="0"/>
        <v>210</v>
      </c>
      <c r="E34" s="579">
        <v>1.7000000000000001E-2</v>
      </c>
      <c r="F34" s="841">
        <f t="shared" si="1"/>
        <v>0</v>
      </c>
      <c r="G34" s="579">
        <v>2.9000000000000001E-2</v>
      </c>
      <c r="H34" s="835">
        <f t="shared" si="2"/>
        <v>0</v>
      </c>
      <c r="I34" s="579">
        <v>0</v>
      </c>
      <c r="J34" s="835">
        <f t="shared" si="3"/>
        <v>0</v>
      </c>
      <c r="K34" s="579">
        <v>0</v>
      </c>
      <c r="L34" s="835">
        <f t="shared" si="4"/>
        <v>0</v>
      </c>
      <c r="M34" s="579">
        <v>0</v>
      </c>
      <c r="N34" s="841">
        <f t="shared" si="5"/>
        <v>0</v>
      </c>
      <c r="O34" s="579">
        <v>47.418999999999997</v>
      </c>
      <c r="P34" s="841">
        <f t="shared" si="6"/>
        <v>45</v>
      </c>
      <c r="Q34" s="579">
        <v>54.9</v>
      </c>
      <c r="R34" s="841">
        <f t="shared" si="7"/>
        <v>55</v>
      </c>
      <c r="S34" s="579">
        <v>9.4E-2</v>
      </c>
      <c r="T34" s="841">
        <f t="shared" si="8"/>
        <v>0</v>
      </c>
      <c r="U34" s="579">
        <v>51.05</v>
      </c>
      <c r="V34" s="841">
        <f t="shared" si="9"/>
        <v>51</v>
      </c>
      <c r="W34" s="579">
        <v>50.689</v>
      </c>
      <c r="X34" s="841">
        <f t="shared" si="10"/>
        <v>51</v>
      </c>
      <c r="Y34" s="575">
        <v>9.7000000000000003E-2</v>
      </c>
      <c r="Z34" s="841">
        <f t="shared" si="11"/>
        <v>0</v>
      </c>
      <c r="AA34" s="575">
        <v>1.4E-2</v>
      </c>
      <c r="AB34" s="575">
        <v>7.0000000000000007E-2</v>
      </c>
      <c r="AC34" s="575">
        <v>9.0690000000000008</v>
      </c>
      <c r="AD34" s="578">
        <v>0.69799999999999995</v>
      </c>
      <c r="AE34" s="578">
        <v>6.2E-2</v>
      </c>
      <c r="AF34" s="578">
        <v>0.34300000000000003</v>
      </c>
      <c r="AG34" s="578">
        <v>17.827999999999999</v>
      </c>
      <c r="AH34" s="599">
        <v>0.379</v>
      </c>
    </row>
    <row r="35" spans="1:34" s="465" customFormat="1" ht="15" customHeight="1" thickBot="1">
      <c r="A35" s="497" t="s">
        <v>296</v>
      </c>
      <c r="B35" s="495" t="s">
        <v>336</v>
      </c>
      <c r="C35" s="694">
        <v>214.839</v>
      </c>
      <c r="D35" s="841">
        <f t="shared" si="0"/>
        <v>210</v>
      </c>
      <c r="E35" s="694">
        <v>1.7000000000000001E-2</v>
      </c>
      <c r="F35" s="841">
        <f t="shared" si="1"/>
        <v>0</v>
      </c>
      <c r="G35" s="694">
        <v>2.9000000000000001E-2</v>
      </c>
      <c r="H35" s="835">
        <f t="shared" si="2"/>
        <v>0</v>
      </c>
      <c r="I35" s="694">
        <v>0</v>
      </c>
      <c r="J35" s="835">
        <f t="shared" si="3"/>
        <v>0</v>
      </c>
      <c r="K35" s="694">
        <v>1E-3</v>
      </c>
      <c r="L35" s="835">
        <f t="shared" si="4"/>
        <v>0</v>
      </c>
      <c r="M35" s="694">
        <v>0</v>
      </c>
      <c r="N35" s="841">
        <f t="shared" si="5"/>
        <v>0</v>
      </c>
      <c r="O35" s="694">
        <v>47.418999999999997</v>
      </c>
      <c r="P35" s="841">
        <f t="shared" si="6"/>
        <v>45</v>
      </c>
      <c r="Q35" s="694">
        <v>54.9</v>
      </c>
      <c r="R35" s="841">
        <f t="shared" si="7"/>
        <v>55</v>
      </c>
      <c r="S35" s="694">
        <v>9.4E-2</v>
      </c>
      <c r="T35" s="841">
        <f t="shared" si="8"/>
        <v>0</v>
      </c>
      <c r="U35" s="694">
        <v>51.05</v>
      </c>
      <c r="V35" s="841">
        <f t="shared" si="9"/>
        <v>51</v>
      </c>
      <c r="W35" s="694">
        <v>50.689</v>
      </c>
      <c r="X35" s="841">
        <f t="shared" si="10"/>
        <v>51</v>
      </c>
      <c r="Y35" s="694">
        <v>9.7000000000000003E-2</v>
      </c>
      <c r="Z35" s="841">
        <f t="shared" si="11"/>
        <v>0</v>
      </c>
      <c r="AA35" s="694">
        <v>1.4E-2</v>
      </c>
      <c r="AB35" s="694">
        <v>7.0000000000000007E-2</v>
      </c>
      <c r="AC35" s="694">
        <v>9.0690000000000008</v>
      </c>
      <c r="AD35" s="694">
        <v>0.69799999999999995</v>
      </c>
      <c r="AE35" s="694">
        <v>6.2E-2</v>
      </c>
      <c r="AF35" s="694">
        <v>0.34300000000000003</v>
      </c>
      <c r="AG35" s="694">
        <v>17.827999999999999</v>
      </c>
      <c r="AH35" s="694">
        <v>0.379</v>
      </c>
    </row>
    <row r="36" spans="1:34" s="465" customFormat="1" ht="15" customHeight="1" thickBot="1">
      <c r="A36" s="497" t="s">
        <v>296</v>
      </c>
      <c r="B36" s="495" t="s">
        <v>310</v>
      </c>
      <c r="C36" s="616">
        <v>255.28</v>
      </c>
      <c r="D36" s="841">
        <f t="shared" si="0"/>
        <v>260</v>
      </c>
      <c r="E36" s="616">
        <v>0</v>
      </c>
      <c r="F36" s="841">
        <f t="shared" si="1"/>
        <v>0</v>
      </c>
      <c r="G36" s="616">
        <v>0</v>
      </c>
      <c r="H36" s="835">
        <f t="shared" si="2"/>
        <v>0</v>
      </c>
      <c r="I36" s="616">
        <v>0</v>
      </c>
      <c r="J36" s="835">
        <f t="shared" si="3"/>
        <v>0</v>
      </c>
      <c r="K36" s="616">
        <v>0</v>
      </c>
      <c r="L36" s="835">
        <f t="shared" si="4"/>
        <v>0</v>
      </c>
      <c r="M36" s="616">
        <v>0</v>
      </c>
      <c r="N36" s="841">
        <f t="shared" si="5"/>
        <v>0</v>
      </c>
      <c r="O36" s="616">
        <v>28.465</v>
      </c>
      <c r="P36" s="841">
        <f t="shared" si="6"/>
        <v>30</v>
      </c>
      <c r="Q36" s="616">
        <v>64.712000000000003</v>
      </c>
      <c r="R36" s="841">
        <f t="shared" si="7"/>
        <v>65</v>
      </c>
      <c r="S36" s="616">
        <v>0</v>
      </c>
      <c r="T36" s="841">
        <f t="shared" si="8"/>
        <v>0</v>
      </c>
      <c r="U36" s="616">
        <v>62.107999999999997</v>
      </c>
      <c r="V36" s="841">
        <f t="shared" si="9"/>
        <v>62</v>
      </c>
      <c r="W36" s="616">
        <v>62.107999999999997</v>
      </c>
      <c r="X36" s="841">
        <f t="shared" si="10"/>
        <v>62</v>
      </c>
      <c r="Y36" s="616">
        <v>0</v>
      </c>
      <c r="Z36" s="841">
        <f t="shared" si="11"/>
        <v>0</v>
      </c>
      <c r="AA36" s="616">
        <v>0</v>
      </c>
      <c r="AB36" s="616">
        <v>0</v>
      </c>
      <c r="AC36" s="616">
        <v>6.4610000000000003</v>
      </c>
      <c r="AD36" s="616">
        <v>0.497</v>
      </c>
      <c r="AE36" s="616">
        <v>1.4999999999999999E-2</v>
      </c>
      <c r="AF36" s="616">
        <v>8.2000000000000003E-2</v>
      </c>
      <c r="AG36" s="616">
        <v>0.61699999999999999</v>
      </c>
      <c r="AH36" s="616">
        <v>1.2999999999999999E-2</v>
      </c>
    </row>
    <row r="37" spans="1:34" s="465" customFormat="1" ht="18.899999999999999" thickBot="1">
      <c r="A37" s="497" t="s">
        <v>296</v>
      </c>
      <c r="B37" s="495" t="s">
        <v>311</v>
      </c>
      <c r="C37" s="579">
        <v>212.291</v>
      </c>
      <c r="D37" s="841">
        <f t="shared" si="0"/>
        <v>210</v>
      </c>
      <c r="E37" s="579">
        <v>0</v>
      </c>
      <c r="F37" s="841">
        <f t="shared" si="1"/>
        <v>0</v>
      </c>
      <c r="G37" s="579">
        <v>0</v>
      </c>
      <c r="H37" s="835">
        <f t="shared" si="2"/>
        <v>0</v>
      </c>
      <c r="I37" s="579">
        <v>0</v>
      </c>
      <c r="J37" s="835">
        <f t="shared" si="3"/>
        <v>0</v>
      </c>
      <c r="K37" s="579">
        <v>0</v>
      </c>
      <c r="L37" s="835">
        <f t="shared" si="4"/>
        <v>0</v>
      </c>
      <c r="M37" s="579">
        <v>0</v>
      </c>
      <c r="N37" s="841">
        <f t="shared" si="5"/>
        <v>0</v>
      </c>
      <c r="O37" s="579">
        <v>32.960999999999999</v>
      </c>
      <c r="P37" s="841">
        <f t="shared" si="6"/>
        <v>35</v>
      </c>
      <c r="Q37" s="579">
        <v>54.226999999999997</v>
      </c>
      <c r="R37" s="841">
        <f t="shared" si="7"/>
        <v>54</v>
      </c>
      <c r="S37" s="579">
        <v>0.13900000000000001</v>
      </c>
      <c r="T37" s="841">
        <f t="shared" si="8"/>
        <v>0</v>
      </c>
      <c r="U37" s="579">
        <v>52.68</v>
      </c>
      <c r="V37" s="841">
        <f t="shared" si="9"/>
        <v>53</v>
      </c>
      <c r="W37" s="579">
        <v>52.186999999999998</v>
      </c>
      <c r="X37" s="841">
        <f t="shared" si="10"/>
        <v>52</v>
      </c>
      <c r="Y37" s="575">
        <v>9.8000000000000004E-2</v>
      </c>
      <c r="Z37" s="841">
        <f t="shared" si="11"/>
        <v>0</v>
      </c>
      <c r="AA37" s="575">
        <v>0</v>
      </c>
      <c r="AB37" s="575">
        <v>0</v>
      </c>
      <c r="AC37" s="575">
        <v>7.0419999999999998</v>
      </c>
      <c r="AD37" s="578">
        <v>0.54200000000000004</v>
      </c>
      <c r="AE37" s="578">
        <v>5.2999999999999999E-2</v>
      </c>
      <c r="AF37" s="578">
        <v>0.29499999999999998</v>
      </c>
      <c r="AG37" s="578">
        <v>0.88600000000000001</v>
      </c>
      <c r="AH37" s="599">
        <v>1.9E-2</v>
      </c>
    </row>
    <row r="38" spans="1:34" s="465" customFormat="1" ht="15" customHeight="1" thickBot="1">
      <c r="A38" s="497" t="s">
        <v>296</v>
      </c>
      <c r="B38" s="495" t="s">
        <v>58</v>
      </c>
      <c r="C38" s="579">
        <v>243.512</v>
      </c>
      <c r="D38" s="841">
        <f t="shared" si="0"/>
        <v>240</v>
      </c>
      <c r="E38" s="579">
        <v>0</v>
      </c>
      <c r="F38" s="841">
        <f t="shared" si="1"/>
        <v>0</v>
      </c>
      <c r="G38" s="579">
        <v>0.59399999999999997</v>
      </c>
      <c r="H38" s="835">
        <f t="shared" si="2"/>
        <v>0.5</v>
      </c>
      <c r="I38" s="579">
        <v>0</v>
      </c>
      <c r="J38" s="835">
        <f t="shared" si="3"/>
        <v>0</v>
      </c>
      <c r="K38" s="579">
        <v>0</v>
      </c>
      <c r="L38" s="835">
        <f t="shared" si="4"/>
        <v>0</v>
      </c>
      <c r="M38" s="579">
        <v>0</v>
      </c>
      <c r="N38" s="841">
        <f t="shared" si="5"/>
        <v>0</v>
      </c>
      <c r="O38" s="579">
        <v>36.305999999999997</v>
      </c>
      <c r="P38" s="841">
        <f t="shared" si="6"/>
        <v>35</v>
      </c>
      <c r="Q38" s="579">
        <v>61.723999999999997</v>
      </c>
      <c r="R38" s="841">
        <f t="shared" si="7"/>
        <v>62</v>
      </c>
      <c r="S38" s="579">
        <v>0.115</v>
      </c>
      <c r="T38" s="841">
        <f t="shared" si="8"/>
        <v>0</v>
      </c>
      <c r="U38" s="579">
        <v>59.31</v>
      </c>
      <c r="V38" s="841">
        <f t="shared" si="9"/>
        <v>59</v>
      </c>
      <c r="W38" s="579">
        <v>58.723999999999997</v>
      </c>
      <c r="X38" s="841">
        <f t="shared" si="10"/>
        <v>59</v>
      </c>
      <c r="Y38" s="575">
        <v>3.9E-2</v>
      </c>
      <c r="Z38" s="841">
        <f t="shared" si="11"/>
        <v>0</v>
      </c>
      <c r="AA38" s="575">
        <v>0</v>
      </c>
      <c r="AB38" s="575">
        <v>0</v>
      </c>
      <c r="AC38" s="575">
        <v>9.58</v>
      </c>
      <c r="AD38" s="578">
        <v>0.73699999999999999</v>
      </c>
      <c r="AE38" s="578">
        <v>7.2999999999999995E-2</v>
      </c>
      <c r="AF38" s="578">
        <v>0.40600000000000003</v>
      </c>
      <c r="AG38" s="578">
        <v>1.4159999999999999</v>
      </c>
      <c r="AH38" s="599">
        <v>0.03</v>
      </c>
    </row>
    <row r="39" spans="1:34" s="465" customFormat="1" ht="15" customHeight="1" thickBot="1">
      <c r="A39" s="497" t="s">
        <v>296</v>
      </c>
      <c r="B39" s="495" t="s">
        <v>59</v>
      </c>
      <c r="C39" s="579">
        <v>249.21700000000001</v>
      </c>
      <c r="D39" s="841">
        <f t="shared" si="0"/>
        <v>250</v>
      </c>
      <c r="E39" s="579">
        <v>0</v>
      </c>
      <c r="F39" s="841">
        <f t="shared" si="1"/>
        <v>0</v>
      </c>
      <c r="G39" s="579">
        <v>8.0000000000000002E-3</v>
      </c>
      <c r="H39" s="835">
        <f t="shared" si="2"/>
        <v>0</v>
      </c>
      <c r="I39" s="579">
        <v>2E-3</v>
      </c>
      <c r="J39" s="835">
        <f t="shared" si="3"/>
        <v>0</v>
      </c>
      <c r="K39" s="579">
        <v>0</v>
      </c>
      <c r="L39" s="835">
        <f t="shared" si="4"/>
        <v>0</v>
      </c>
      <c r="M39" s="579">
        <v>0</v>
      </c>
      <c r="N39" s="841">
        <f t="shared" si="5"/>
        <v>0</v>
      </c>
      <c r="O39" s="579">
        <v>35.703000000000003</v>
      </c>
      <c r="P39" s="841">
        <f t="shared" si="6"/>
        <v>35</v>
      </c>
      <c r="Q39" s="579">
        <v>62.856999999999999</v>
      </c>
      <c r="R39" s="841">
        <f t="shared" si="7"/>
        <v>63</v>
      </c>
      <c r="S39" s="579">
        <v>0.08</v>
      </c>
      <c r="T39" s="841">
        <f t="shared" si="8"/>
        <v>0</v>
      </c>
      <c r="U39" s="579">
        <v>60.536999999999999</v>
      </c>
      <c r="V39" s="841">
        <f t="shared" si="9"/>
        <v>61</v>
      </c>
      <c r="W39" s="579">
        <v>59.619</v>
      </c>
      <c r="X39" s="841">
        <f t="shared" si="10"/>
        <v>60</v>
      </c>
      <c r="Y39" s="575">
        <v>3.6999999999999998E-2</v>
      </c>
      <c r="Z39" s="841">
        <f t="shared" si="11"/>
        <v>0</v>
      </c>
      <c r="AA39" s="575">
        <v>0</v>
      </c>
      <c r="AB39" s="575">
        <v>0</v>
      </c>
      <c r="AC39" s="575">
        <v>8.1340000000000003</v>
      </c>
      <c r="AD39" s="578">
        <v>0.626</v>
      </c>
      <c r="AE39" s="578">
        <v>0.192</v>
      </c>
      <c r="AF39" s="578">
        <v>1.0669999999999999</v>
      </c>
      <c r="AG39" s="578">
        <v>14.792999999999999</v>
      </c>
      <c r="AH39" s="599">
        <v>0.315</v>
      </c>
    </row>
    <row r="40" spans="1:34" s="465" customFormat="1" ht="15" customHeight="1" thickBot="1">
      <c r="A40" s="497" t="s">
        <v>296</v>
      </c>
      <c r="B40" s="495" t="s">
        <v>60</v>
      </c>
      <c r="C40" s="579">
        <v>239.6</v>
      </c>
      <c r="D40" s="841">
        <f t="shared" si="0"/>
        <v>240</v>
      </c>
      <c r="E40" s="579">
        <v>2.4E-2</v>
      </c>
      <c r="F40" s="841">
        <f t="shared" si="1"/>
        <v>0</v>
      </c>
      <c r="G40" s="579">
        <v>3.0000000000000001E-3</v>
      </c>
      <c r="H40" s="835">
        <f t="shared" si="2"/>
        <v>0</v>
      </c>
      <c r="I40" s="579">
        <v>3.0000000000000001E-3</v>
      </c>
      <c r="J40" s="835">
        <f t="shared" si="3"/>
        <v>0</v>
      </c>
      <c r="K40" s="579">
        <v>0</v>
      </c>
      <c r="L40" s="835">
        <f t="shared" si="4"/>
        <v>0</v>
      </c>
      <c r="M40" s="579">
        <v>0</v>
      </c>
      <c r="N40" s="841">
        <f t="shared" si="5"/>
        <v>0</v>
      </c>
      <c r="O40" s="579">
        <v>35.335000000000001</v>
      </c>
      <c r="P40" s="841">
        <f t="shared" si="6"/>
        <v>35</v>
      </c>
      <c r="Q40" s="579">
        <v>60.832999999999998</v>
      </c>
      <c r="R40" s="841">
        <f t="shared" si="7"/>
        <v>61</v>
      </c>
      <c r="S40" s="579">
        <v>0.84</v>
      </c>
      <c r="T40" s="841" t="str">
        <f t="shared" si="8"/>
        <v>less than 1 g</v>
      </c>
      <c r="U40" s="579">
        <v>57.673999999999999</v>
      </c>
      <c r="V40" s="841">
        <f t="shared" si="9"/>
        <v>58</v>
      </c>
      <c r="W40" s="579">
        <v>57.103000000000002</v>
      </c>
      <c r="X40" s="841">
        <f t="shared" si="10"/>
        <v>57</v>
      </c>
      <c r="Y40" s="579">
        <v>0.29299999999999998</v>
      </c>
      <c r="Z40" s="841">
        <f t="shared" si="11"/>
        <v>0</v>
      </c>
      <c r="AA40" s="579">
        <v>0</v>
      </c>
      <c r="AB40" s="579">
        <v>0</v>
      </c>
      <c r="AC40" s="579">
        <v>9.9209999999999994</v>
      </c>
      <c r="AD40" s="579">
        <v>0.76300000000000001</v>
      </c>
      <c r="AE40" s="579">
        <v>0.105</v>
      </c>
      <c r="AF40" s="579">
        <v>0.58399999999999996</v>
      </c>
      <c r="AG40" s="579">
        <v>24.245000000000001</v>
      </c>
      <c r="AH40" s="579">
        <v>0.51600000000000001</v>
      </c>
    </row>
    <row r="41" spans="1:34" s="465" customFormat="1" ht="15" customHeight="1" thickBot="1">
      <c r="A41" s="497" t="s">
        <v>296</v>
      </c>
      <c r="B41" s="495" t="s">
        <v>61</v>
      </c>
      <c r="C41" s="579">
        <v>165.00200000000001</v>
      </c>
      <c r="D41" s="841">
        <f t="shared" si="0"/>
        <v>170</v>
      </c>
      <c r="E41" s="579">
        <v>0.47</v>
      </c>
      <c r="F41" s="841">
        <f t="shared" si="1"/>
        <v>0</v>
      </c>
      <c r="G41" s="579">
        <v>5.1999999999999998E-2</v>
      </c>
      <c r="H41" s="835">
        <f t="shared" si="2"/>
        <v>0</v>
      </c>
      <c r="I41" s="579">
        <v>2E-3</v>
      </c>
      <c r="J41" s="835">
        <f t="shared" si="3"/>
        <v>0</v>
      </c>
      <c r="K41" s="579">
        <v>0</v>
      </c>
      <c r="L41" s="835">
        <f t="shared" si="4"/>
        <v>0</v>
      </c>
      <c r="M41" s="579">
        <v>0</v>
      </c>
      <c r="N41" s="841">
        <f t="shared" si="5"/>
        <v>0</v>
      </c>
      <c r="O41" s="579">
        <v>29.687000000000001</v>
      </c>
      <c r="P41" s="841">
        <f t="shared" si="6"/>
        <v>30</v>
      </c>
      <c r="Q41" s="579">
        <v>42.561</v>
      </c>
      <c r="R41" s="841">
        <f t="shared" si="7"/>
        <v>43</v>
      </c>
      <c r="S41" s="579">
        <v>0.20100000000000001</v>
      </c>
      <c r="T41" s="841">
        <f t="shared" si="8"/>
        <v>0</v>
      </c>
      <c r="U41" s="579">
        <v>40.328000000000003</v>
      </c>
      <c r="V41" s="841">
        <f t="shared" si="9"/>
        <v>40</v>
      </c>
      <c r="W41" s="579">
        <v>39.798000000000002</v>
      </c>
      <c r="X41" s="841">
        <f t="shared" si="10"/>
        <v>40</v>
      </c>
      <c r="Y41" s="579">
        <v>0.124</v>
      </c>
      <c r="Z41" s="841">
        <f t="shared" si="11"/>
        <v>0</v>
      </c>
      <c r="AA41" s="579">
        <v>0</v>
      </c>
      <c r="AB41" s="579">
        <v>0</v>
      </c>
      <c r="AC41" s="579">
        <v>9.69</v>
      </c>
      <c r="AD41" s="579">
        <v>0.745</v>
      </c>
      <c r="AE41" s="579">
        <v>4.8000000000000001E-2</v>
      </c>
      <c r="AF41" s="579">
        <v>0.26500000000000001</v>
      </c>
      <c r="AG41" s="579">
        <v>27.547999999999998</v>
      </c>
      <c r="AH41" s="579">
        <v>0.58599999999999997</v>
      </c>
    </row>
    <row r="42" spans="1:34" s="465" customFormat="1" ht="15" customHeight="1" thickBot="1">
      <c r="A42" s="497" t="s">
        <v>296</v>
      </c>
      <c r="B42" s="495" t="s">
        <v>64</v>
      </c>
      <c r="C42" s="579">
        <v>291.995</v>
      </c>
      <c r="D42" s="841">
        <f t="shared" si="0"/>
        <v>290</v>
      </c>
      <c r="E42" s="579">
        <v>0</v>
      </c>
      <c r="F42" s="841">
        <f t="shared" si="1"/>
        <v>0</v>
      </c>
      <c r="G42" s="579">
        <v>0</v>
      </c>
      <c r="H42" s="835">
        <f t="shared" si="2"/>
        <v>0</v>
      </c>
      <c r="I42" s="579">
        <v>0</v>
      </c>
      <c r="J42" s="835">
        <f t="shared" si="3"/>
        <v>0</v>
      </c>
      <c r="K42" s="579">
        <v>0</v>
      </c>
      <c r="L42" s="835">
        <f t="shared" si="4"/>
        <v>0</v>
      </c>
      <c r="M42" s="579">
        <v>0</v>
      </c>
      <c r="N42" s="841">
        <f t="shared" si="5"/>
        <v>0</v>
      </c>
      <c r="O42" s="579">
        <v>36.152000000000001</v>
      </c>
      <c r="P42" s="841">
        <f t="shared" si="6"/>
        <v>35</v>
      </c>
      <c r="Q42" s="579">
        <v>58.719000000000001</v>
      </c>
      <c r="R42" s="841">
        <f t="shared" si="7"/>
        <v>59</v>
      </c>
      <c r="S42" s="579">
        <v>1.9E-2</v>
      </c>
      <c r="T42" s="841">
        <f t="shared" si="8"/>
        <v>0</v>
      </c>
      <c r="U42" s="579">
        <v>57.039000000000001</v>
      </c>
      <c r="V42" s="841">
        <f t="shared" si="9"/>
        <v>57</v>
      </c>
      <c r="W42" s="579">
        <v>57.039000000000001</v>
      </c>
      <c r="X42" s="841">
        <f t="shared" si="10"/>
        <v>57</v>
      </c>
      <c r="Y42" s="579">
        <v>0</v>
      </c>
      <c r="Z42" s="841">
        <f t="shared" si="11"/>
        <v>0</v>
      </c>
      <c r="AA42" s="579">
        <v>0</v>
      </c>
      <c r="AB42" s="579">
        <v>0</v>
      </c>
      <c r="AC42" s="579">
        <v>8.3840000000000003</v>
      </c>
      <c r="AD42" s="579">
        <v>0.64500000000000002</v>
      </c>
      <c r="AE42" s="579">
        <v>5.2999999999999999E-2</v>
      </c>
      <c r="AF42" s="579">
        <v>0.29499999999999998</v>
      </c>
      <c r="AG42" s="579">
        <v>18.213000000000001</v>
      </c>
      <c r="AH42" s="579">
        <v>0.38800000000000001</v>
      </c>
    </row>
    <row r="43" spans="1:34" s="465" customFormat="1" ht="15" customHeight="1" thickBot="1">
      <c r="A43" s="497" t="s">
        <v>296</v>
      </c>
      <c r="B43" s="495" t="s">
        <v>312</v>
      </c>
      <c r="C43" s="579">
        <v>208.52799999999999</v>
      </c>
      <c r="D43" s="841">
        <f t="shared" si="0"/>
        <v>210</v>
      </c>
      <c r="E43" s="579">
        <v>0.124</v>
      </c>
      <c r="F43" s="841">
        <f t="shared" si="1"/>
        <v>0</v>
      </c>
      <c r="G43" s="579">
        <v>1.4E-2</v>
      </c>
      <c r="H43" s="835">
        <f t="shared" si="2"/>
        <v>0</v>
      </c>
      <c r="I43" s="579">
        <v>0</v>
      </c>
      <c r="J43" s="835">
        <f t="shared" si="3"/>
        <v>0</v>
      </c>
      <c r="K43" s="579">
        <v>0</v>
      </c>
      <c r="L43" s="835">
        <f t="shared" si="4"/>
        <v>0</v>
      </c>
      <c r="M43" s="579">
        <v>0</v>
      </c>
      <c r="N43" s="841">
        <f t="shared" si="5"/>
        <v>0</v>
      </c>
      <c r="O43" s="579">
        <v>32.692</v>
      </c>
      <c r="P43" s="841">
        <f t="shared" si="6"/>
        <v>35</v>
      </c>
      <c r="Q43" s="579">
        <v>53.258000000000003</v>
      </c>
      <c r="R43" s="841">
        <f t="shared" si="7"/>
        <v>53</v>
      </c>
      <c r="S43" s="579">
        <v>2.7E-2</v>
      </c>
      <c r="T43" s="841">
        <f t="shared" si="8"/>
        <v>0</v>
      </c>
      <c r="U43" s="579">
        <v>51.122</v>
      </c>
      <c r="V43" s="841">
        <f t="shared" si="9"/>
        <v>51</v>
      </c>
      <c r="W43" s="579">
        <v>50.978999999999999</v>
      </c>
      <c r="X43" s="841">
        <f t="shared" si="10"/>
        <v>51</v>
      </c>
      <c r="Y43" s="579">
        <v>3.5999999999999997E-2</v>
      </c>
      <c r="Z43" s="841">
        <f t="shared" si="11"/>
        <v>0</v>
      </c>
      <c r="AA43" s="579">
        <v>0</v>
      </c>
      <c r="AB43" s="579">
        <v>0</v>
      </c>
      <c r="AC43" s="579">
        <v>8.6679999999999993</v>
      </c>
      <c r="AD43" s="579">
        <v>0.66700000000000004</v>
      </c>
      <c r="AE43" s="579">
        <v>3.7999999999999999E-2</v>
      </c>
      <c r="AF43" s="579">
        <v>0.21199999999999999</v>
      </c>
      <c r="AG43" s="579">
        <v>10.311</v>
      </c>
      <c r="AH43" s="579">
        <v>0.219</v>
      </c>
    </row>
    <row r="44" spans="1:34" s="465" customFormat="1" ht="15" customHeight="1" thickBot="1">
      <c r="A44" s="497" t="s">
        <v>296</v>
      </c>
      <c r="B44" s="495" t="s">
        <v>313</v>
      </c>
      <c r="C44" s="579">
        <v>197.874</v>
      </c>
      <c r="D44" s="841">
        <f t="shared" si="0"/>
        <v>200</v>
      </c>
      <c r="E44" s="579">
        <v>0</v>
      </c>
      <c r="F44" s="841">
        <f t="shared" si="1"/>
        <v>0</v>
      </c>
      <c r="G44" s="579">
        <v>0</v>
      </c>
      <c r="H44" s="835">
        <f t="shared" si="2"/>
        <v>0</v>
      </c>
      <c r="I44" s="579">
        <v>0</v>
      </c>
      <c r="J44" s="835">
        <f t="shared" si="3"/>
        <v>0</v>
      </c>
      <c r="K44" s="579">
        <v>0</v>
      </c>
      <c r="L44" s="835">
        <f t="shared" si="4"/>
        <v>0</v>
      </c>
      <c r="M44" s="579">
        <v>0</v>
      </c>
      <c r="N44" s="841">
        <f t="shared" si="5"/>
        <v>0</v>
      </c>
      <c r="O44" s="579">
        <v>28.884</v>
      </c>
      <c r="P44" s="841">
        <f t="shared" si="6"/>
        <v>30</v>
      </c>
      <c r="Q44" s="579">
        <v>49.951000000000001</v>
      </c>
      <c r="R44" s="841">
        <f t="shared" si="7"/>
        <v>50</v>
      </c>
      <c r="S44" s="579">
        <v>0</v>
      </c>
      <c r="T44" s="841">
        <f t="shared" si="8"/>
        <v>0</v>
      </c>
      <c r="U44" s="579">
        <v>47.982999999999997</v>
      </c>
      <c r="V44" s="841">
        <f t="shared" si="9"/>
        <v>48</v>
      </c>
      <c r="W44" s="579">
        <v>47.982999999999997</v>
      </c>
      <c r="X44" s="841">
        <f t="shared" si="10"/>
        <v>48</v>
      </c>
      <c r="Y44" s="579">
        <v>0</v>
      </c>
      <c r="Z44" s="841">
        <f t="shared" si="11"/>
        <v>0</v>
      </c>
      <c r="AA44" s="579">
        <v>0</v>
      </c>
      <c r="AB44" s="579">
        <v>0</v>
      </c>
      <c r="AC44" s="579">
        <v>6.819</v>
      </c>
      <c r="AD44" s="579">
        <v>0.52500000000000002</v>
      </c>
      <c r="AE44" s="579">
        <v>8.9999999999999993E-3</v>
      </c>
      <c r="AF44" s="579">
        <v>4.8000000000000001E-2</v>
      </c>
      <c r="AG44" s="579">
        <v>0.36299999999999999</v>
      </c>
      <c r="AH44" s="579">
        <v>8.0000000000000002E-3</v>
      </c>
    </row>
    <row r="45" spans="1:34" s="465" customFormat="1" ht="15" customHeight="1" thickBot="1">
      <c r="A45" s="497" t="s">
        <v>296</v>
      </c>
      <c r="B45" s="495" t="s">
        <v>65</v>
      </c>
      <c r="C45" s="579">
        <v>254.827</v>
      </c>
      <c r="D45" s="841">
        <f t="shared" si="0"/>
        <v>250</v>
      </c>
      <c r="E45" s="579">
        <v>0</v>
      </c>
      <c r="F45" s="841">
        <f t="shared" si="1"/>
        <v>0</v>
      </c>
      <c r="G45" s="579">
        <v>0</v>
      </c>
      <c r="H45" s="835">
        <f t="shared" si="2"/>
        <v>0</v>
      </c>
      <c r="I45" s="579">
        <v>0</v>
      </c>
      <c r="J45" s="835">
        <f t="shared" si="3"/>
        <v>0</v>
      </c>
      <c r="K45" s="579">
        <v>0</v>
      </c>
      <c r="L45" s="835">
        <f t="shared" si="4"/>
        <v>0</v>
      </c>
      <c r="M45" s="579">
        <v>0</v>
      </c>
      <c r="N45" s="841">
        <f t="shared" si="5"/>
        <v>0</v>
      </c>
      <c r="O45" s="579">
        <v>36.457000000000001</v>
      </c>
      <c r="P45" s="841">
        <f t="shared" si="6"/>
        <v>35</v>
      </c>
      <c r="Q45" s="579">
        <v>64.397000000000006</v>
      </c>
      <c r="R45" s="841">
        <f t="shared" si="7"/>
        <v>64</v>
      </c>
      <c r="S45" s="579">
        <v>0</v>
      </c>
      <c r="T45" s="841">
        <f t="shared" si="8"/>
        <v>0</v>
      </c>
      <c r="U45" s="579">
        <v>60.616999999999997</v>
      </c>
      <c r="V45" s="841">
        <f t="shared" si="9"/>
        <v>61</v>
      </c>
      <c r="W45" s="579">
        <v>60.616999999999997</v>
      </c>
      <c r="X45" s="841">
        <f t="shared" si="10"/>
        <v>61</v>
      </c>
      <c r="Y45" s="579">
        <v>0</v>
      </c>
      <c r="Z45" s="841">
        <f t="shared" si="11"/>
        <v>0</v>
      </c>
      <c r="AA45" s="579">
        <v>0</v>
      </c>
      <c r="AB45" s="579">
        <v>0</v>
      </c>
      <c r="AC45" s="579">
        <v>6.5750000000000002</v>
      </c>
      <c r="AD45" s="579">
        <v>0.50600000000000001</v>
      </c>
      <c r="AE45" s="579">
        <v>0.02</v>
      </c>
      <c r="AF45" s="579">
        <v>0.112</v>
      </c>
      <c r="AG45" s="579">
        <v>0.83</v>
      </c>
      <c r="AH45" s="579">
        <v>1.7999999999999999E-2</v>
      </c>
    </row>
    <row r="46" spans="1:34" s="465" customFormat="1" ht="15" customHeight="1" thickBot="1">
      <c r="A46" s="497" t="s">
        <v>296</v>
      </c>
      <c r="B46" s="495" t="s">
        <v>314</v>
      </c>
      <c r="C46" s="579">
        <v>257.411</v>
      </c>
      <c r="D46" s="841">
        <f t="shared" si="0"/>
        <v>260</v>
      </c>
      <c r="E46" s="579">
        <v>0</v>
      </c>
      <c r="F46" s="841">
        <f t="shared" si="1"/>
        <v>0</v>
      </c>
      <c r="G46" s="579">
        <v>0</v>
      </c>
      <c r="H46" s="835">
        <f t="shared" si="2"/>
        <v>0</v>
      </c>
      <c r="I46" s="579">
        <v>0</v>
      </c>
      <c r="J46" s="835">
        <f t="shared" si="3"/>
        <v>0</v>
      </c>
      <c r="K46" s="579">
        <v>0</v>
      </c>
      <c r="L46" s="835">
        <f t="shared" si="4"/>
        <v>0</v>
      </c>
      <c r="M46" s="579">
        <v>0</v>
      </c>
      <c r="N46" s="841">
        <f t="shared" si="5"/>
        <v>0</v>
      </c>
      <c r="O46" s="579">
        <v>28.428000000000001</v>
      </c>
      <c r="P46" s="841">
        <f t="shared" si="6"/>
        <v>30</v>
      </c>
      <c r="Q46" s="579">
        <v>64.281000000000006</v>
      </c>
      <c r="R46" s="841">
        <f t="shared" si="7"/>
        <v>64</v>
      </c>
      <c r="S46" s="579">
        <v>4.7E-2</v>
      </c>
      <c r="T46" s="841">
        <f t="shared" si="8"/>
        <v>0</v>
      </c>
      <c r="U46" s="579">
        <v>60.604999999999997</v>
      </c>
      <c r="V46" s="841">
        <f t="shared" si="9"/>
        <v>61</v>
      </c>
      <c r="W46" s="579">
        <v>60.604999999999997</v>
      </c>
      <c r="X46" s="841">
        <f t="shared" si="10"/>
        <v>61</v>
      </c>
      <c r="Y46" s="579">
        <v>5.0000000000000001E-3</v>
      </c>
      <c r="Z46" s="841">
        <f t="shared" si="11"/>
        <v>0</v>
      </c>
      <c r="AA46" s="579">
        <v>0</v>
      </c>
      <c r="AB46" s="579">
        <v>0</v>
      </c>
      <c r="AC46" s="579">
        <v>6.6269999999999998</v>
      </c>
      <c r="AD46" s="579">
        <v>0.51</v>
      </c>
      <c r="AE46" s="579">
        <v>1.4999999999999999E-2</v>
      </c>
      <c r="AF46" s="579">
        <v>8.2000000000000003E-2</v>
      </c>
      <c r="AG46" s="579">
        <v>1.028</v>
      </c>
      <c r="AH46" s="579">
        <v>2.1999999999999999E-2</v>
      </c>
    </row>
    <row r="47" spans="1:34" s="465" customFormat="1" ht="15" customHeight="1" thickBot="1">
      <c r="A47" s="497" t="s">
        <v>296</v>
      </c>
      <c r="B47" s="495" t="s">
        <v>66</v>
      </c>
      <c r="C47" s="579">
        <v>258.15899999999999</v>
      </c>
      <c r="D47" s="841">
        <f t="shared" si="0"/>
        <v>260</v>
      </c>
      <c r="E47" s="579">
        <v>8.1000000000000003E-2</v>
      </c>
      <c r="F47" s="841">
        <f t="shared" si="1"/>
        <v>0</v>
      </c>
      <c r="G47" s="579">
        <v>8.9999999999999993E-3</v>
      </c>
      <c r="H47" s="835">
        <f t="shared" si="2"/>
        <v>0</v>
      </c>
      <c r="I47" s="579">
        <v>0</v>
      </c>
      <c r="J47" s="835">
        <f t="shared" si="3"/>
        <v>0</v>
      </c>
      <c r="K47" s="579">
        <v>0</v>
      </c>
      <c r="L47" s="835">
        <f t="shared" si="4"/>
        <v>0</v>
      </c>
      <c r="M47" s="579">
        <v>0</v>
      </c>
      <c r="N47" s="841">
        <f t="shared" si="5"/>
        <v>0</v>
      </c>
      <c r="O47" s="579">
        <v>37.018000000000001</v>
      </c>
      <c r="P47" s="841">
        <f t="shared" si="6"/>
        <v>35</v>
      </c>
      <c r="Q47" s="579">
        <v>65.064999999999998</v>
      </c>
      <c r="R47" s="841">
        <f t="shared" si="7"/>
        <v>65</v>
      </c>
      <c r="S47" s="579">
        <v>0.17599999999999999</v>
      </c>
      <c r="T47" s="841">
        <f t="shared" si="8"/>
        <v>0</v>
      </c>
      <c r="U47" s="579">
        <v>63.173999999999999</v>
      </c>
      <c r="V47" s="841">
        <f t="shared" si="9"/>
        <v>63</v>
      </c>
      <c r="W47" s="579">
        <v>62.311999999999998</v>
      </c>
      <c r="X47" s="841">
        <f t="shared" si="10"/>
        <v>62</v>
      </c>
      <c r="Y47" s="579">
        <v>0.159</v>
      </c>
      <c r="Z47" s="841">
        <f t="shared" si="11"/>
        <v>0</v>
      </c>
      <c r="AA47" s="579">
        <v>0</v>
      </c>
      <c r="AB47" s="579">
        <v>0</v>
      </c>
      <c r="AC47" s="579">
        <v>8.35</v>
      </c>
      <c r="AD47" s="579">
        <v>0.64200000000000002</v>
      </c>
      <c r="AE47" s="579">
        <v>0.109</v>
      </c>
      <c r="AF47" s="579">
        <v>0.60599999999999998</v>
      </c>
      <c r="AG47" s="579">
        <v>10.994</v>
      </c>
      <c r="AH47" s="579">
        <v>0.23400000000000001</v>
      </c>
    </row>
    <row r="48" spans="1:34" s="465" customFormat="1" ht="15" customHeight="1" thickBot="1">
      <c r="A48" s="497" t="s">
        <v>296</v>
      </c>
      <c r="B48" s="495" t="s">
        <v>67</v>
      </c>
      <c r="C48" s="579">
        <v>256.346</v>
      </c>
      <c r="D48" s="841">
        <f t="shared" si="0"/>
        <v>260</v>
      </c>
      <c r="E48" s="579">
        <v>1.7000000000000001E-2</v>
      </c>
      <c r="F48" s="841">
        <f t="shared" si="1"/>
        <v>0</v>
      </c>
      <c r="G48" s="579">
        <v>2E-3</v>
      </c>
      <c r="H48" s="835">
        <f t="shared" si="2"/>
        <v>0</v>
      </c>
      <c r="I48" s="579">
        <v>0</v>
      </c>
      <c r="J48" s="835">
        <f t="shared" si="3"/>
        <v>0</v>
      </c>
      <c r="K48" s="579">
        <v>0</v>
      </c>
      <c r="L48" s="835">
        <f t="shared" si="4"/>
        <v>0</v>
      </c>
      <c r="M48" s="579">
        <v>0</v>
      </c>
      <c r="N48" s="841">
        <f t="shared" si="5"/>
        <v>0</v>
      </c>
      <c r="O48" s="579">
        <v>36.264000000000003</v>
      </c>
      <c r="P48" s="841">
        <f t="shared" si="6"/>
        <v>35</v>
      </c>
      <c r="Q48" s="579">
        <v>64.825999999999993</v>
      </c>
      <c r="R48" s="841">
        <f t="shared" si="7"/>
        <v>65</v>
      </c>
      <c r="S48" s="579">
        <v>7.0000000000000007E-2</v>
      </c>
      <c r="T48" s="841">
        <f t="shared" si="8"/>
        <v>0</v>
      </c>
      <c r="U48" s="579">
        <v>62.826000000000001</v>
      </c>
      <c r="V48" s="841">
        <f t="shared" si="9"/>
        <v>63</v>
      </c>
      <c r="W48" s="579">
        <v>62.509</v>
      </c>
      <c r="X48" s="841">
        <f t="shared" si="10"/>
        <v>63</v>
      </c>
      <c r="Y48" s="579">
        <v>7.6999999999999999E-2</v>
      </c>
      <c r="Z48" s="841">
        <f t="shared" si="11"/>
        <v>0</v>
      </c>
      <c r="AA48" s="579">
        <v>0</v>
      </c>
      <c r="AB48" s="579">
        <v>0</v>
      </c>
      <c r="AC48" s="579">
        <v>8.1489999999999991</v>
      </c>
      <c r="AD48" s="579">
        <v>0.627</v>
      </c>
      <c r="AE48" s="579">
        <v>6.4000000000000001E-2</v>
      </c>
      <c r="AF48" s="579">
        <v>0.35499999999999998</v>
      </c>
      <c r="AG48" s="579">
        <v>2.3929999999999998</v>
      </c>
      <c r="AH48" s="579">
        <v>5.0999999999999997E-2</v>
      </c>
    </row>
    <row r="49" spans="1:42" s="465" customFormat="1" ht="15" customHeight="1" thickBot="1">
      <c r="A49" s="497" t="s">
        <v>296</v>
      </c>
      <c r="B49" s="495" t="s">
        <v>68</v>
      </c>
      <c r="C49" s="579">
        <v>219.71199999999999</v>
      </c>
      <c r="D49" s="841">
        <f t="shared" si="0"/>
        <v>220</v>
      </c>
      <c r="E49" s="579">
        <v>2.1999999999999999E-2</v>
      </c>
      <c r="F49" s="841">
        <f t="shared" si="1"/>
        <v>0</v>
      </c>
      <c r="G49" s="579">
        <v>1E-3</v>
      </c>
      <c r="H49" s="835">
        <f t="shared" si="2"/>
        <v>0</v>
      </c>
      <c r="I49" s="579">
        <v>0</v>
      </c>
      <c r="J49" s="835">
        <f t="shared" si="3"/>
        <v>0</v>
      </c>
      <c r="K49" s="579">
        <v>0</v>
      </c>
      <c r="L49" s="835">
        <f t="shared" si="4"/>
        <v>0</v>
      </c>
      <c r="M49" s="579">
        <v>0</v>
      </c>
      <c r="N49" s="841">
        <f t="shared" si="5"/>
        <v>0</v>
      </c>
      <c r="O49" s="579">
        <v>33.119</v>
      </c>
      <c r="P49" s="841">
        <f t="shared" si="6"/>
        <v>35</v>
      </c>
      <c r="Q49" s="579">
        <v>55.972000000000001</v>
      </c>
      <c r="R49" s="841">
        <f t="shared" si="7"/>
        <v>56</v>
      </c>
      <c r="S49" s="579">
        <v>0.158</v>
      </c>
      <c r="T49" s="841">
        <f t="shared" si="8"/>
        <v>0</v>
      </c>
      <c r="U49" s="579">
        <v>53.459000000000003</v>
      </c>
      <c r="V49" s="841">
        <f t="shared" si="9"/>
        <v>53</v>
      </c>
      <c r="W49" s="579">
        <v>52.807000000000002</v>
      </c>
      <c r="X49" s="841">
        <f t="shared" si="10"/>
        <v>53</v>
      </c>
      <c r="Y49" s="579">
        <v>0.13700000000000001</v>
      </c>
      <c r="Z49" s="841">
        <f t="shared" si="11"/>
        <v>0</v>
      </c>
      <c r="AA49" s="579">
        <v>0</v>
      </c>
      <c r="AB49" s="579">
        <v>0</v>
      </c>
      <c r="AC49" s="579">
        <v>9.1270000000000007</v>
      </c>
      <c r="AD49" s="579">
        <v>0.70199999999999996</v>
      </c>
      <c r="AE49" s="579">
        <v>7.3999999999999996E-2</v>
      </c>
      <c r="AF49" s="579">
        <v>0.41399999999999998</v>
      </c>
      <c r="AG49" s="579">
        <v>17.309000000000001</v>
      </c>
      <c r="AH49" s="579">
        <v>0.36799999999999999</v>
      </c>
    </row>
    <row r="50" spans="1:42" s="465" customFormat="1" ht="15" customHeight="1" thickBot="1">
      <c r="A50" s="497" t="s">
        <v>296</v>
      </c>
      <c r="B50" s="495" t="s">
        <v>69</v>
      </c>
      <c r="C50" s="579">
        <v>252.51400000000001</v>
      </c>
      <c r="D50" s="841">
        <f t="shared" si="0"/>
        <v>250</v>
      </c>
      <c r="E50" s="579">
        <v>0.20899999999999999</v>
      </c>
      <c r="F50" s="841">
        <f t="shared" si="1"/>
        <v>0</v>
      </c>
      <c r="G50" s="579">
        <v>2.3E-2</v>
      </c>
      <c r="H50" s="835">
        <f t="shared" si="2"/>
        <v>0</v>
      </c>
      <c r="I50" s="579">
        <v>1E-3</v>
      </c>
      <c r="J50" s="835">
        <f t="shared" si="3"/>
        <v>0</v>
      </c>
      <c r="K50" s="579">
        <v>0</v>
      </c>
      <c r="L50" s="835">
        <f t="shared" si="4"/>
        <v>0</v>
      </c>
      <c r="M50" s="579">
        <v>0</v>
      </c>
      <c r="N50" s="841">
        <f t="shared" si="5"/>
        <v>0</v>
      </c>
      <c r="O50" s="579">
        <v>41.146000000000001</v>
      </c>
      <c r="P50" s="841">
        <f t="shared" si="6"/>
        <v>40</v>
      </c>
      <c r="Q50" s="579">
        <v>64.156999999999996</v>
      </c>
      <c r="R50" s="841">
        <f t="shared" si="7"/>
        <v>64</v>
      </c>
      <c r="S50" s="579">
        <v>0.17399999999999999</v>
      </c>
      <c r="T50" s="841">
        <f t="shared" si="8"/>
        <v>0</v>
      </c>
      <c r="U50" s="579">
        <v>61.408000000000001</v>
      </c>
      <c r="V50" s="841">
        <f t="shared" si="9"/>
        <v>61</v>
      </c>
      <c r="W50" s="579">
        <v>60.762999999999998</v>
      </c>
      <c r="X50" s="841">
        <f t="shared" si="10"/>
        <v>61</v>
      </c>
      <c r="Y50" s="579">
        <v>0.14299999999999999</v>
      </c>
      <c r="Z50" s="841">
        <f t="shared" si="11"/>
        <v>0</v>
      </c>
      <c r="AA50" s="579">
        <v>0</v>
      </c>
      <c r="AB50" s="579">
        <v>0</v>
      </c>
      <c r="AC50" s="579">
        <v>9.2899999999999991</v>
      </c>
      <c r="AD50" s="579">
        <v>0.71499999999999997</v>
      </c>
      <c r="AE50" s="579">
        <v>6.5000000000000002E-2</v>
      </c>
      <c r="AF50" s="579">
        <v>0.36299999999999999</v>
      </c>
      <c r="AG50" s="579">
        <v>15.942</v>
      </c>
      <c r="AH50" s="579">
        <v>0.33900000000000002</v>
      </c>
    </row>
    <row r="51" spans="1:42" s="465" customFormat="1" ht="15" customHeight="1" thickBot="1">
      <c r="A51" s="497" t="s">
        <v>296</v>
      </c>
      <c r="B51" s="495" t="s">
        <v>71</v>
      </c>
      <c r="C51" s="579">
        <v>279.41199999999998</v>
      </c>
      <c r="D51" s="841">
        <f t="shared" si="0"/>
        <v>280</v>
      </c>
      <c r="E51" s="579">
        <v>0</v>
      </c>
      <c r="F51" s="841">
        <f t="shared" si="1"/>
        <v>0</v>
      </c>
      <c r="G51" s="579">
        <v>0</v>
      </c>
      <c r="H51" s="835">
        <f t="shared" si="2"/>
        <v>0</v>
      </c>
      <c r="I51" s="579">
        <v>0</v>
      </c>
      <c r="J51" s="835">
        <f t="shared" si="3"/>
        <v>0</v>
      </c>
      <c r="K51" s="579">
        <v>0</v>
      </c>
      <c r="L51" s="835">
        <f t="shared" si="4"/>
        <v>0</v>
      </c>
      <c r="M51" s="579">
        <v>0</v>
      </c>
      <c r="N51" s="841">
        <f t="shared" si="5"/>
        <v>0</v>
      </c>
      <c r="O51" s="579">
        <v>62.802</v>
      </c>
      <c r="P51" s="841">
        <f t="shared" si="6"/>
        <v>65</v>
      </c>
      <c r="Q51" s="579">
        <v>71.161000000000001</v>
      </c>
      <c r="R51" s="841">
        <f t="shared" si="7"/>
        <v>71</v>
      </c>
      <c r="S51" s="579">
        <v>2.1999999999999999E-2</v>
      </c>
      <c r="T51" s="841">
        <f t="shared" si="8"/>
        <v>0</v>
      </c>
      <c r="U51" s="579">
        <v>69.242999999999995</v>
      </c>
      <c r="V51" s="841">
        <f t="shared" si="9"/>
        <v>69</v>
      </c>
      <c r="W51" s="579">
        <v>69.242999999999995</v>
      </c>
      <c r="X51" s="841">
        <f t="shared" si="10"/>
        <v>69</v>
      </c>
      <c r="Y51" s="579">
        <v>0.26500000000000001</v>
      </c>
      <c r="Z51" s="841">
        <f t="shared" si="11"/>
        <v>0</v>
      </c>
      <c r="AA51" s="579">
        <v>0</v>
      </c>
      <c r="AB51" s="579">
        <v>0</v>
      </c>
      <c r="AC51" s="579">
        <v>7.5259999999999998</v>
      </c>
      <c r="AD51" s="579">
        <v>0.57899999999999996</v>
      </c>
      <c r="AE51" s="579">
        <v>6.9000000000000006E-2</v>
      </c>
      <c r="AF51" s="579">
        <v>0.38300000000000001</v>
      </c>
      <c r="AG51" s="579">
        <v>1.014</v>
      </c>
      <c r="AH51" s="579">
        <v>2.1999999999999999E-2</v>
      </c>
    </row>
    <row r="52" spans="1:42" s="465" customFormat="1" ht="15" customHeight="1" thickBot="1">
      <c r="A52" s="497" t="s">
        <v>296</v>
      </c>
      <c r="B52" s="495" t="s">
        <v>72</v>
      </c>
      <c r="C52" s="579">
        <v>279.41199999999998</v>
      </c>
      <c r="D52" s="841">
        <f t="shared" si="0"/>
        <v>280</v>
      </c>
      <c r="E52" s="579">
        <v>0</v>
      </c>
      <c r="F52" s="841">
        <f t="shared" si="1"/>
        <v>0</v>
      </c>
      <c r="G52" s="579">
        <v>0</v>
      </c>
      <c r="H52" s="835">
        <f t="shared" si="2"/>
        <v>0</v>
      </c>
      <c r="I52" s="579">
        <v>0</v>
      </c>
      <c r="J52" s="835">
        <f t="shared" si="3"/>
        <v>0</v>
      </c>
      <c r="K52" s="579">
        <v>0</v>
      </c>
      <c r="L52" s="835">
        <f t="shared" si="4"/>
        <v>0</v>
      </c>
      <c r="M52" s="579">
        <v>0</v>
      </c>
      <c r="N52" s="841">
        <f t="shared" si="5"/>
        <v>0</v>
      </c>
      <c r="O52" s="579">
        <v>62.802</v>
      </c>
      <c r="P52" s="841">
        <f t="shared" si="6"/>
        <v>65</v>
      </c>
      <c r="Q52" s="579">
        <v>71.161000000000001</v>
      </c>
      <c r="R52" s="841">
        <f t="shared" si="7"/>
        <v>71</v>
      </c>
      <c r="S52" s="579">
        <v>2.1999999999999999E-2</v>
      </c>
      <c r="T52" s="841">
        <f t="shared" si="8"/>
        <v>0</v>
      </c>
      <c r="U52" s="579">
        <v>69.242999999999995</v>
      </c>
      <c r="V52" s="841">
        <f t="shared" si="9"/>
        <v>69</v>
      </c>
      <c r="W52" s="579">
        <v>69.242999999999995</v>
      </c>
      <c r="X52" s="841">
        <f t="shared" si="10"/>
        <v>69</v>
      </c>
      <c r="Y52" s="575">
        <v>0.26500000000000001</v>
      </c>
      <c r="Z52" s="841">
        <f t="shared" si="11"/>
        <v>0</v>
      </c>
      <c r="AA52" s="575">
        <v>0</v>
      </c>
      <c r="AB52" s="575">
        <v>0</v>
      </c>
      <c r="AC52" s="575">
        <v>7.5259999999999998</v>
      </c>
      <c r="AD52" s="578">
        <v>0.57899999999999996</v>
      </c>
      <c r="AE52" s="578">
        <v>6.9000000000000006E-2</v>
      </c>
      <c r="AF52" s="578">
        <v>0.38300000000000001</v>
      </c>
      <c r="AG52" s="578">
        <v>1.014</v>
      </c>
      <c r="AH52" s="578">
        <v>2.1999999999999999E-2</v>
      </c>
    </row>
    <row r="53" spans="1:42" s="465" customFormat="1" ht="15" customHeight="1" thickBot="1">
      <c r="A53" s="497" t="s">
        <v>296</v>
      </c>
      <c r="B53" s="495" t="s">
        <v>73</v>
      </c>
      <c r="C53" s="714">
        <v>216.06399999999999</v>
      </c>
      <c r="D53" s="841">
        <f t="shared" si="0"/>
        <v>220</v>
      </c>
      <c r="E53" s="714">
        <v>13.153</v>
      </c>
      <c r="F53" s="841">
        <f t="shared" si="1"/>
        <v>15</v>
      </c>
      <c r="G53" s="714">
        <v>1.4610000000000001</v>
      </c>
      <c r="H53" s="835">
        <f t="shared" si="2"/>
        <v>1.5</v>
      </c>
      <c r="I53" s="714">
        <v>1.3109999999999999</v>
      </c>
      <c r="J53" s="835">
        <f t="shared" si="3"/>
        <v>1.5</v>
      </c>
      <c r="K53" s="714">
        <v>0</v>
      </c>
      <c r="L53" s="835">
        <f t="shared" si="4"/>
        <v>0</v>
      </c>
      <c r="M53" s="714">
        <v>0</v>
      </c>
      <c r="N53" s="841">
        <f t="shared" si="5"/>
        <v>0</v>
      </c>
      <c r="O53" s="714">
        <v>35.094000000000001</v>
      </c>
      <c r="P53" s="841">
        <f t="shared" si="6"/>
        <v>35</v>
      </c>
      <c r="Q53" s="714">
        <v>50.887</v>
      </c>
      <c r="R53" s="841">
        <f t="shared" si="7"/>
        <v>51</v>
      </c>
      <c r="S53" s="714">
        <v>0.33200000000000002</v>
      </c>
      <c r="T53" s="841">
        <f t="shared" si="8"/>
        <v>0</v>
      </c>
      <c r="U53" s="714">
        <v>48.968000000000004</v>
      </c>
      <c r="V53" s="841">
        <f t="shared" si="9"/>
        <v>49</v>
      </c>
      <c r="W53" s="714">
        <v>42.697000000000003</v>
      </c>
      <c r="X53" s="841">
        <f t="shared" si="10"/>
        <v>43</v>
      </c>
      <c r="Y53" s="714">
        <v>7.6999999999999999E-2</v>
      </c>
      <c r="Z53" s="841">
        <f t="shared" si="11"/>
        <v>0</v>
      </c>
      <c r="AA53" s="714">
        <v>0</v>
      </c>
      <c r="AB53" s="714">
        <v>0</v>
      </c>
      <c r="AC53" s="714">
        <v>7.452</v>
      </c>
      <c r="AD53" s="714">
        <v>0.57299999999999995</v>
      </c>
      <c r="AE53" s="714">
        <v>3.9E-2</v>
      </c>
      <c r="AF53" s="714">
        <v>0.214</v>
      </c>
      <c r="AG53" s="714">
        <v>4.6669999999999998</v>
      </c>
      <c r="AH53" s="714">
        <v>9.9000000000000005E-2</v>
      </c>
    </row>
    <row r="54" spans="1:42" s="465" customFormat="1" ht="15" customHeight="1" thickBot="1">
      <c r="A54" s="497" t="s">
        <v>296</v>
      </c>
      <c r="B54" s="495" t="s">
        <v>75</v>
      </c>
      <c r="C54" s="579">
        <v>225.78100000000001</v>
      </c>
      <c r="D54" s="841">
        <f t="shared" si="0"/>
        <v>230</v>
      </c>
      <c r="E54" s="579">
        <v>0</v>
      </c>
      <c r="F54" s="841">
        <f t="shared" si="1"/>
        <v>0</v>
      </c>
      <c r="G54" s="579">
        <v>0</v>
      </c>
      <c r="H54" s="835">
        <f t="shared" si="2"/>
        <v>0</v>
      </c>
      <c r="I54" s="579">
        <v>0</v>
      </c>
      <c r="J54" s="835">
        <f t="shared" si="3"/>
        <v>0</v>
      </c>
      <c r="K54" s="579">
        <v>0</v>
      </c>
      <c r="L54" s="835">
        <f t="shared" si="4"/>
        <v>0</v>
      </c>
      <c r="M54" s="579">
        <v>0</v>
      </c>
      <c r="N54" s="841">
        <f t="shared" si="5"/>
        <v>0</v>
      </c>
      <c r="O54" s="579">
        <v>37.478000000000002</v>
      </c>
      <c r="P54" s="841">
        <f t="shared" si="6"/>
        <v>35</v>
      </c>
      <c r="Q54" s="579">
        <v>56.901000000000003</v>
      </c>
      <c r="R54" s="841">
        <f t="shared" si="7"/>
        <v>57</v>
      </c>
      <c r="S54" s="579">
        <v>3.5999999999999997E-2</v>
      </c>
      <c r="T54" s="841">
        <f t="shared" si="8"/>
        <v>0</v>
      </c>
      <c r="U54" s="579">
        <v>55.155999999999999</v>
      </c>
      <c r="V54" s="841">
        <f t="shared" si="9"/>
        <v>55</v>
      </c>
      <c r="W54" s="579">
        <v>55.088999999999999</v>
      </c>
      <c r="X54" s="841">
        <f t="shared" si="10"/>
        <v>55</v>
      </c>
      <c r="Y54" s="575">
        <v>0</v>
      </c>
      <c r="Z54" s="841">
        <f t="shared" si="11"/>
        <v>0</v>
      </c>
      <c r="AA54" s="575">
        <v>0</v>
      </c>
      <c r="AB54" s="575">
        <v>0</v>
      </c>
      <c r="AC54" s="575">
        <v>7.6020000000000003</v>
      </c>
      <c r="AD54" s="578">
        <v>0.58499999999999996</v>
      </c>
      <c r="AE54" s="578">
        <v>5.0999999999999997E-2</v>
      </c>
      <c r="AF54" s="578">
        <v>0.28599999999999998</v>
      </c>
      <c r="AG54" s="578">
        <v>17.221</v>
      </c>
      <c r="AH54" s="599">
        <v>0.36599999999999999</v>
      </c>
    </row>
    <row r="55" spans="1:42" s="465" customFormat="1" ht="15" customHeight="1" thickBot="1">
      <c r="A55" s="497" t="s">
        <v>296</v>
      </c>
      <c r="B55" s="495" t="s">
        <v>76</v>
      </c>
      <c r="C55" s="579">
        <v>252.33799999999999</v>
      </c>
      <c r="D55" s="841">
        <f t="shared" si="0"/>
        <v>250</v>
      </c>
      <c r="E55" s="579">
        <v>7.4999999999999997E-2</v>
      </c>
      <c r="F55" s="841">
        <f t="shared" si="1"/>
        <v>0</v>
      </c>
      <c r="G55" s="579">
        <v>8.0000000000000002E-3</v>
      </c>
      <c r="H55" s="835">
        <f t="shared" si="2"/>
        <v>0</v>
      </c>
      <c r="I55" s="579">
        <v>1E-3</v>
      </c>
      <c r="J55" s="835">
        <f t="shared" si="3"/>
        <v>0</v>
      </c>
      <c r="K55" s="579">
        <v>0</v>
      </c>
      <c r="L55" s="835">
        <f t="shared" si="4"/>
        <v>0</v>
      </c>
      <c r="M55" s="579">
        <v>0</v>
      </c>
      <c r="N55" s="841">
        <f t="shared" si="5"/>
        <v>0</v>
      </c>
      <c r="O55" s="579">
        <v>35.122999999999998</v>
      </c>
      <c r="P55" s="841">
        <f t="shared" si="6"/>
        <v>35</v>
      </c>
      <c r="Q55" s="579">
        <v>64.105000000000004</v>
      </c>
      <c r="R55" s="841">
        <f t="shared" si="7"/>
        <v>64</v>
      </c>
      <c r="S55" s="579">
        <v>4.4999999999999998E-2</v>
      </c>
      <c r="T55" s="841">
        <f t="shared" si="8"/>
        <v>0</v>
      </c>
      <c r="U55" s="579">
        <v>61.981999999999999</v>
      </c>
      <c r="V55" s="841">
        <f t="shared" si="9"/>
        <v>62</v>
      </c>
      <c r="W55" s="579">
        <v>61.637</v>
      </c>
      <c r="X55" s="841">
        <f t="shared" si="10"/>
        <v>62</v>
      </c>
      <c r="Y55" s="575">
        <v>5.2999999999999999E-2</v>
      </c>
      <c r="Z55" s="841">
        <f t="shared" si="11"/>
        <v>0</v>
      </c>
      <c r="AA55" s="575">
        <v>0</v>
      </c>
      <c r="AB55" s="575">
        <v>0</v>
      </c>
      <c r="AC55" s="575">
        <v>7.71</v>
      </c>
      <c r="AD55" s="578">
        <v>0.59299999999999997</v>
      </c>
      <c r="AE55" s="578">
        <v>6.6000000000000003E-2</v>
      </c>
      <c r="AF55" s="578">
        <v>0.36799999999999999</v>
      </c>
      <c r="AG55" s="578">
        <v>7.1109999999999998</v>
      </c>
      <c r="AH55" s="599">
        <v>0.151</v>
      </c>
    </row>
    <row r="56" spans="1:42" s="465" customFormat="1" ht="15" customHeight="1" thickBot="1">
      <c r="A56" s="497" t="s">
        <v>296</v>
      </c>
      <c r="B56" s="484" t="s">
        <v>78</v>
      </c>
      <c r="C56" s="579">
        <v>234.35599999999999</v>
      </c>
      <c r="D56" s="841">
        <f t="shared" si="0"/>
        <v>230</v>
      </c>
      <c r="E56" s="579">
        <v>0.01</v>
      </c>
      <c r="F56" s="841">
        <f t="shared" si="1"/>
        <v>0</v>
      </c>
      <c r="G56" s="579">
        <v>8.9999999999999993E-3</v>
      </c>
      <c r="H56" s="835">
        <f t="shared" si="2"/>
        <v>0</v>
      </c>
      <c r="I56" s="579">
        <v>0</v>
      </c>
      <c r="J56" s="835">
        <f t="shared" si="3"/>
        <v>0</v>
      </c>
      <c r="K56" s="579">
        <v>0</v>
      </c>
      <c r="L56" s="835">
        <f t="shared" si="4"/>
        <v>0</v>
      </c>
      <c r="M56" s="579">
        <v>0</v>
      </c>
      <c r="N56" s="841">
        <f t="shared" si="5"/>
        <v>0</v>
      </c>
      <c r="O56" s="579">
        <v>39.930999999999997</v>
      </c>
      <c r="P56" s="841">
        <f t="shared" si="6"/>
        <v>40</v>
      </c>
      <c r="Q56" s="579">
        <v>56.563000000000002</v>
      </c>
      <c r="R56" s="841">
        <f t="shared" si="7"/>
        <v>57</v>
      </c>
      <c r="S56" s="579">
        <v>0.216</v>
      </c>
      <c r="T56" s="841">
        <f t="shared" si="8"/>
        <v>0</v>
      </c>
      <c r="U56" s="579">
        <v>52.682000000000002</v>
      </c>
      <c r="V56" s="841">
        <f t="shared" si="9"/>
        <v>53</v>
      </c>
      <c r="W56" s="579">
        <v>51.161000000000001</v>
      </c>
      <c r="X56" s="841">
        <f t="shared" si="10"/>
        <v>51</v>
      </c>
      <c r="Y56" s="575">
        <v>0.40200000000000002</v>
      </c>
      <c r="Z56" s="841">
        <f t="shared" si="11"/>
        <v>0</v>
      </c>
      <c r="AA56" s="575">
        <v>0</v>
      </c>
      <c r="AB56" s="575">
        <v>0</v>
      </c>
      <c r="AC56" s="575">
        <v>12.752000000000001</v>
      </c>
      <c r="AD56" s="578">
        <v>0.98099999999999998</v>
      </c>
      <c r="AE56" s="578">
        <v>0.17</v>
      </c>
      <c r="AF56" s="578">
        <v>0.94599999999999995</v>
      </c>
      <c r="AG56" s="578">
        <v>18.734000000000002</v>
      </c>
      <c r="AH56" s="599">
        <v>0.39900000000000002</v>
      </c>
    </row>
    <row r="57" spans="1:42" s="465" customFormat="1" ht="15" customHeight="1" thickBot="1">
      <c r="A57" s="497" t="s">
        <v>296</v>
      </c>
      <c r="B57" s="498" t="s">
        <v>324</v>
      </c>
      <c r="C57" s="678">
        <v>248.99700000000001</v>
      </c>
      <c r="D57" s="841">
        <f t="shared" ref="D57:D94" si="12">MROUND(C57,10)</f>
        <v>250</v>
      </c>
      <c r="E57" s="678">
        <v>0</v>
      </c>
      <c r="F57" s="841">
        <f t="shared" ref="F57:F94" si="13">IF(E57&lt;5,0,(IF(E57&gt;50,MROUND(E57,10),MROUND(E57,5))))</f>
        <v>0</v>
      </c>
      <c r="G57" s="678">
        <v>0</v>
      </c>
      <c r="H57" s="835">
        <f t="shared" ref="H57:H94" si="14">IF(G57&lt;0.5,0,IF(G57&gt;5,MROUND(G57,1),MROUND(G57,0.5)))</f>
        <v>0</v>
      </c>
      <c r="I57" s="678">
        <v>0</v>
      </c>
      <c r="J57" s="835">
        <f t="shared" ref="J57:J94" si="15">IF(I57&lt;0.5,0,IF(I57&gt;5,MROUND(I57,1),MROUND(I57,0.5)))</f>
        <v>0</v>
      </c>
      <c r="K57" s="678">
        <v>0</v>
      </c>
      <c r="L57" s="835">
        <f t="shared" ref="L57:L94" si="16">IF(K57&lt;0.5,0,IF(K57&gt;5,MROUND(K57,1),MROUND(K57,0.5)))</f>
        <v>0</v>
      </c>
      <c r="M57" s="678">
        <v>0</v>
      </c>
      <c r="N57" s="841">
        <f t="shared" ref="N57:N94" si="17">IF(M57&lt;2,0,IF(M57&gt;5,MROUND(M57,5),"less than 5 mg"))</f>
        <v>0</v>
      </c>
      <c r="O57" s="678">
        <v>49.322000000000003</v>
      </c>
      <c r="P57" s="841">
        <f t="shared" ref="P57:P94" si="18">IF(O57&lt;5,0,IF(O57&gt;140,MROUND(O57,10),MROUND(O57,5)))</f>
        <v>50</v>
      </c>
      <c r="Q57" s="678">
        <v>63.204999999999998</v>
      </c>
      <c r="R57" s="841">
        <f t="shared" ref="R57:R94" si="19">IF(Q57&lt;0.5,0,IF(Q57&gt;1,MROUND(Q57,1),"less than 1 g"))</f>
        <v>63</v>
      </c>
      <c r="S57" s="678">
        <v>2.4E-2</v>
      </c>
      <c r="T57" s="841">
        <f t="shared" ref="T57:T94" si="20">IF(S57&lt;0.5,0,IF(S57&gt;1,MROUND(S57,1),"less than 1 g"))</f>
        <v>0</v>
      </c>
      <c r="U57" s="678">
        <v>61.420999999999999</v>
      </c>
      <c r="V57" s="841">
        <f t="shared" ref="V57:V94" si="21">IF(U57&lt;0.5,0,IF(U57&gt;1,MROUND(U57,1),"less than 1 g"))</f>
        <v>61</v>
      </c>
      <c r="W57" s="678">
        <v>61.420999999999999</v>
      </c>
      <c r="X57" s="841">
        <f t="shared" ref="X57:X94" si="22">IF(W57&lt;0.5,0,IF(W57&gt;1,MROUND(W57,1),"less than 1 g"))</f>
        <v>61</v>
      </c>
      <c r="Y57" s="679">
        <v>0.13300000000000001</v>
      </c>
      <c r="Z57" s="841">
        <f t="shared" ref="Z57:Z94" si="23">IF(Y57&lt;0.5,0,IF(Y57&gt;1,MROUND(Y57,1),"less than 1 g"))</f>
        <v>0</v>
      </c>
      <c r="AA57" s="679">
        <v>0</v>
      </c>
      <c r="AB57" s="679">
        <v>0</v>
      </c>
      <c r="AC57" s="680">
        <v>8.0030000000000001</v>
      </c>
      <c r="AD57" s="680">
        <v>0.61599999999999999</v>
      </c>
      <c r="AE57" s="1160">
        <v>5.8999999999999997E-2</v>
      </c>
      <c r="AF57" s="680">
        <v>0.33</v>
      </c>
      <c r="AG57" s="680">
        <v>0.84699999999999998</v>
      </c>
      <c r="AH57" s="681">
        <v>1.7999999999999999E-2</v>
      </c>
    </row>
    <row r="58" spans="1:42" s="465" customFormat="1" ht="15" customHeight="1" thickBot="1">
      <c r="A58" s="497" t="s">
        <v>296</v>
      </c>
      <c r="B58" s="498" t="s">
        <v>180</v>
      </c>
      <c r="C58" s="678">
        <v>235.05199999999999</v>
      </c>
      <c r="D58" s="841">
        <f t="shared" si="12"/>
        <v>240</v>
      </c>
      <c r="E58" s="678">
        <v>0</v>
      </c>
      <c r="F58" s="841">
        <f t="shared" si="13"/>
        <v>0</v>
      </c>
      <c r="G58" s="678">
        <v>0</v>
      </c>
      <c r="H58" s="835">
        <f t="shared" si="14"/>
        <v>0</v>
      </c>
      <c r="I58" s="678">
        <v>0</v>
      </c>
      <c r="J58" s="835">
        <f t="shared" si="15"/>
        <v>0</v>
      </c>
      <c r="K58" s="678">
        <v>0</v>
      </c>
      <c r="L58" s="835">
        <f t="shared" si="16"/>
        <v>0</v>
      </c>
      <c r="M58" s="678">
        <v>0</v>
      </c>
      <c r="N58" s="841">
        <f t="shared" si="17"/>
        <v>0</v>
      </c>
      <c r="O58" s="678">
        <v>106.051</v>
      </c>
      <c r="P58" s="841">
        <f t="shared" si="18"/>
        <v>105</v>
      </c>
      <c r="Q58" s="678">
        <v>60.137999999999998</v>
      </c>
      <c r="R58" s="841">
        <f t="shared" si="19"/>
        <v>60</v>
      </c>
      <c r="S58" s="678">
        <v>2.1999999999999999E-2</v>
      </c>
      <c r="T58" s="841">
        <f t="shared" si="20"/>
        <v>0</v>
      </c>
      <c r="U58" s="678">
        <v>54.720999999999997</v>
      </c>
      <c r="V58" s="841">
        <f t="shared" si="21"/>
        <v>55</v>
      </c>
      <c r="W58" s="678">
        <v>54.720999999999997</v>
      </c>
      <c r="X58" s="841">
        <f t="shared" si="22"/>
        <v>55</v>
      </c>
      <c r="Y58" s="679">
        <v>3.0000000000000001E-3</v>
      </c>
      <c r="Z58" s="841">
        <f t="shared" si="23"/>
        <v>0</v>
      </c>
      <c r="AA58" s="679">
        <v>0</v>
      </c>
      <c r="AB58" s="679">
        <v>0</v>
      </c>
      <c r="AC58" s="679">
        <v>8.1579999999999995</v>
      </c>
      <c r="AD58" s="680">
        <v>0.628</v>
      </c>
      <c r="AE58" s="680">
        <v>0.55200000000000005</v>
      </c>
      <c r="AF58" s="680">
        <v>3.0649999999999999</v>
      </c>
      <c r="AG58" s="680">
        <v>21.021999999999998</v>
      </c>
      <c r="AH58" s="681">
        <v>0.44700000000000001</v>
      </c>
    </row>
    <row r="59" spans="1:42" s="465" customFormat="1" ht="15" customHeight="1" thickBot="1">
      <c r="A59" s="497" t="s">
        <v>296</v>
      </c>
      <c r="B59" s="482" t="s">
        <v>315</v>
      </c>
      <c r="C59" s="714">
        <v>199.65799999999999</v>
      </c>
      <c r="D59" s="841">
        <f t="shared" si="12"/>
        <v>200</v>
      </c>
      <c r="E59" s="714">
        <v>6.0000000000000001E-3</v>
      </c>
      <c r="F59" s="841">
        <f t="shared" si="13"/>
        <v>0</v>
      </c>
      <c r="G59" s="714">
        <v>1E-3</v>
      </c>
      <c r="H59" s="835">
        <f t="shared" si="14"/>
        <v>0</v>
      </c>
      <c r="I59" s="714">
        <v>0</v>
      </c>
      <c r="J59" s="835">
        <f t="shared" si="15"/>
        <v>0</v>
      </c>
      <c r="K59" s="714">
        <v>0</v>
      </c>
      <c r="L59" s="835">
        <f t="shared" si="16"/>
        <v>0</v>
      </c>
      <c r="M59" s="714">
        <v>0</v>
      </c>
      <c r="N59" s="841">
        <f t="shared" si="17"/>
        <v>0</v>
      </c>
      <c r="O59" s="714">
        <v>35.704000000000001</v>
      </c>
      <c r="P59" s="841">
        <f t="shared" si="18"/>
        <v>35</v>
      </c>
      <c r="Q59" s="714">
        <v>49.283000000000001</v>
      </c>
      <c r="R59" s="841">
        <f t="shared" si="19"/>
        <v>49</v>
      </c>
      <c r="S59" s="714">
        <v>5.8999999999999997E-2</v>
      </c>
      <c r="T59" s="841">
        <f t="shared" si="20"/>
        <v>0</v>
      </c>
      <c r="U59" s="714">
        <v>46.65</v>
      </c>
      <c r="V59" s="841">
        <f t="shared" si="21"/>
        <v>47</v>
      </c>
      <c r="W59" s="714">
        <v>46.65</v>
      </c>
      <c r="X59" s="841">
        <f t="shared" si="22"/>
        <v>47</v>
      </c>
      <c r="Y59" s="714">
        <v>0.23499999999999999</v>
      </c>
      <c r="Z59" s="841">
        <f t="shared" si="23"/>
        <v>0</v>
      </c>
      <c r="AA59" s="714">
        <v>0</v>
      </c>
      <c r="AB59" s="714">
        <v>0</v>
      </c>
      <c r="AC59" s="714">
        <v>9.0879999999999992</v>
      </c>
      <c r="AD59" s="714">
        <v>0.69899999999999995</v>
      </c>
      <c r="AE59" s="714">
        <v>3.7999999999999999E-2</v>
      </c>
      <c r="AF59" s="714">
        <v>0.21</v>
      </c>
      <c r="AG59" s="714">
        <v>11.332000000000001</v>
      </c>
      <c r="AH59" s="714">
        <v>0.24099999999999999</v>
      </c>
    </row>
    <row r="60" spans="1:42" s="465" customFormat="1" ht="15" customHeight="1" thickBot="1">
      <c r="A60" s="497" t="s">
        <v>92</v>
      </c>
      <c r="B60" s="479" t="s">
        <v>94</v>
      </c>
      <c r="C60" s="579">
        <v>300.19600000000003</v>
      </c>
      <c r="D60" s="841">
        <f t="shared" si="12"/>
        <v>300</v>
      </c>
      <c r="E60" s="579">
        <v>9.2040000000000006</v>
      </c>
      <c r="F60" s="841">
        <f t="shared" si="13"/>
        <v>10</v>
      </c>
      <c r="G60" s="579">
        <v>3.7029999999999998</v>
      </c>
      <c r="H60" s="835">
        <f t="shared" si="14"/>
        <v>3.5</v>
      </c>
      <c r="I60" s="579">
        <v>3.0019999999999998</v>
      </c>
      <c r="J60" s="835">
        <f t="shared" si="15"/>
        <v>3</v>
      </c>
      <c r="K60" s="579">
        <v>0.01</v>
      </c>
      <c r="L60" s="835">
        <f t="shared" si="16"/>
        <v>0</v>
      </c>
      <c r="M60" s="579">
        <v>0</v>
      </c>
      <c r="N60" s="841">
        <f t="shared" si="17"/>
        <v>0</v>
      </c>
      <c r="O60" s="579">
        <v>155.702</v>
      </c>
      <c r="P60" s="841">
        <f t="shared" si="18"/>
        <v>160</v>
      </c>
      <c r="Q60" s="579">
        <v>66.751999999999995</v>
      </c>
      <c r="R60" s="841">
        <f t="shared" si="19"/>
        <v>67</v>
      </c>
      <c r="S60" s="579">
        <v>0.107</v>
      </c>
      <c r="T60" s="841">
        <f t="shared" si="20"/>
        <v>0</v>
      </c>
      <c r="U60" s="579">
        <v>59.823</v>
      </c>
      <c r="V60" s="841">
        <f t="shared" si="21"/>
        <v>60</v>
      </c>
      <c r="W60" s="579">
        <v>51.732999999999997</v>
      </c>
      <c r="X60" s="841">
        <f t="shared" si="22"/>
        <v>52</v>
      </c>
      <c r="Y60" s="575">
        <v>0.56699999999999995</v>
      </c>
      <c r="Z60" s="841" t="str">
        <f t="shared" si="23"/>
        <v>less than 1 g</v>
      </c>
      <c r="AA60" s="575">
        <v>0</v>
      </c>
      <c r="AB60" s="575">
        <v>0</v>
      </c>
      <c r="AC60" s="575">
        <v>33.151000000000003</v>
      </c>
      <c r="AD60" s="1161">
        <v>2.5499999999999998</v>
      </c>
      <c r="AE60" s="1161">
        <v>0.248</v>
      </c>
      <c r="AF60" s="1161">
        <v>1.3759999999999999</v>
      </c>
      <c r="AG60" s="1161">
        <v>6.3250000000000002</v>
      </c>
      <c r="AH60" s="1161">
        <v>0.13500000000000001</v>
      </c>
    </row>
    <row r="61" spans="1:42" s="465" customFormat="1" ht="15" customHeight="1" thickBot="1">
      <c r="A61" s="497" t="s">
        <v>92</v>
      </c>
      <c r="B61" s="478" t="s">
        <v>93</v>
      </c>
      <c r="C61" s="1161">
        <v>283.142</v>
      </c>
      <c r="D61" s="841">
        <f t="shared" si="12"/>
        <v>280</v>
      </c>
      <c r="E61" s="1161">
        <v>13.7</v>
      </c>
      <c r="F61" s="841">
        <f t="shared" si="13"/>
        <v>15</v>
      </c>
      <c r="G61" s="1161">
        <v>4.1950000000000003</v>
      </c>
      <c r="H61" s="835">
        <f t="shared" si="14"/>
        <v>4</v>
      </c>
      <c r="I61" s="1161">
        <v>3.2509999999999999</v>
      </c>
      <c r="J61" s="835">
        <f t="shared" si="15"/>
        <v>3.5</v>
      </c>
      <c r="K61" s="1161">
        <v>2E-3</v>
      </c>
      <c r="L61" s="835">
        <f t="shared" si="16"/>
        <v>0</v>
      </c>
      <c r="M61" s="1161">
        <v>0</v>
      </c>
      <c r="N61" s="841">
        <f t="shared" si="17"/>
        <v>0</v>
      </c>
      <c r="O61" s="1161">
        <v>60.194000000000003</v>
      </c>
      <c r="P61" s="841">
        <f t="shared" si="18"/>
        <v>60</v>
      </c>
      <c r="Q61" s="1161">
        <v>66.567999999999998</v>
      </c>
      <c r="R61" s="841">
        <f t="shared" si="19"/>
        <v>67</v>
      </c>
      <c r="S61" s="1161">
        <v>0.56699999999999995</v>
      </c>
      <c r="T61" s="841" t="str">
        <f t="shared" si="20"/>
        <v>less than 1 g</v>
      </c>
      <c r="U61" s="1161">
        <v>62.567999999999998</v>
      </c>
      <c r="V61" s="841">
        <f t="shared" si="21"/>
        <v>63</v>
      </c>
      <c r="W61" s="1161">
        <v>56.759</v>
      </c>
      <c r="X61" s="841">
        <f t="shared" si="22"/>
        <v>57</v>
      </c>
      <c r="Y61" s="1161">
        <v>0.52</v>
      </c>
      <c r="Z61" s="841" t="str">
        <f t="shared" si="23"/>
        <v>less than 1 g</v>
      </c>
      <c r="AA61" s="1161">
        <v>0.01</v>
      </c>
      <c r="AB61" s="1161">
        <v>5.0999999999999997E-2</v>
      </c>
      <c r="AC61" s="1161">
        <v>12.609</v>
      </c>
      <c r="AD61" s="1161">
        <v>0.97</v>
      </c>
      <c r="AE61" s="1161">
        <v>0.45200000000000001</v>
      </c>
      <c r="AF61" s="1161">
        <v>2.5129999999999999</v>
      </c>
      <c r="AG61" s="1161">
        <v>60.000999999999998</v>
      </c>
      <c r="AH61" s="1161">
        <v>1.2769999999999999</v>
      </c>
    </row>
    <row r="62" spans="1:42" s="465" customFormat="1" ht="15" customHeight="1" thickBot="1">
      <c r="A62" s="497" t="s">
        <v>92</v>
      </c>
      <c r="B62" s="478" t="s">
        <v>95</v>
      </c>
      <c r="C62" s="579">
        <v>321.815</v>
      </c>
      <c r="D62" s="841">
        <f t="shared" si="12"/>
        <v>320</v>
      </c>
      <c r="E62" s="579">
        <v>18.701000000000001</v>
      </c>
      <c r="F62" s="841">
        <f t="shared" si="13"/>
        <v>20</v>
      </c>
      <c r="G62" s="579">
        <v>4.7460000000000004</v>
      </c>
      <c r="H62" s="835">
        <f t="shared" si="14"/>
        <v>4.5</v>
      </c>
      <c r="I62" s="579">
        <v>3.8140000000000001</v>
      </c>
      <c r="J62" s="835">
        <f t="shared" si="15"/>
        <v>4</v>
      </c>
      <c r="K62" s="579">
        <v>4.3999999999999997E-2</v>
      </c>
      <c r="L62" s="835">
        <f t="shared" si="16"/>
        <v>0</v>
      </c>
      <c r="M62" s="579">
        <v>5.1619999999999999</v>
      </c>
      <c r="N62" s="841">
        <f t="shared" si="17"/>
        <v>5</v>
      </c>
      <c r="O62" s="1160">
        <v>68.512</v>
      </c>
      <c r="P62" s="841">
        <f t="shared" si="18"/>
        <v>70</v>
      </c>
      <c r="Q62" s="579">
        <v>68.97</v>
      </c>
      <c r="R62" s="841">
        <f t="shared" si="19"/>
        <v>69</v>
      </c>
      <c r="S62" s="579">
        <v>2.1999999999999999E-2</v>
      </c>
      <c r="T62" s="841">
        <f t="shared" si="20"/>
        <v>0</v>
      </c>
      <c r="U62" s="579">
        <v>63.802999999999997</v>
      </c>
      <c r="V62" s="841">
        <f t="shared" si="21"/>
        <v>64</v>
      </c>
      <c r="W62" s="579">
        <v>62.697000000000003</v>
      </c>
      <c r="X62" s="841">
        <f t="shared" si="22"/>
        <v>63</v>
      </c>
      <c r="Y62" s="575">
        <v>0.59299999999999997</v>
      </c>
      <c r="Z62" s="841" t="str">
        <f t="shared" si="23"/>
        <v>less than 1 g</v>
      </c>
      <c r="AA62" s="575">
        <v>0</v>
      </c>
      <c r="AB62" s="575">
        <v>0</v>
      </c>
      <c r="AC62" s="575">
        <v>20.103999999999999</v>
      </c>
      <c r="AD62" s="1161">
        <v>1.546</v>
      </c>
      <c r="AE62" s="1161">
        <v>8.7999999999999995E-2</v>
      </c>
      <c r="AF62" s="1161">
        <v>0.49</v>
      </c>
      <c r="AG62" s="1161">
        <v>18.004999999999999</v>
      </c>
      <c r="AH62" s="1161">
        <v>0.38300000000000001</v>
      </c>
    </row>
    <row r="63" spans="1:42" s="465" customFormat="1" ht="15" customHeight="1" thickBot="1">
      <c r="A63" s="497" t="s">
        <v>92</v>
      </c>
      <c r="B63" s="478" t="s">
        <v>182</v>
      </c>
      <c r="C63" s="714">
        <v>332.24900000000002</v>
      </c>
      <c r="D63" s="841">
        <f t="shared" si="12"/>
        <v>330</v>
      </c>
      <c r="E63" s="714">
        <v>22.282</v>
      </c>
      <c r="F63" s="841">
        <f t="shared" si="13"/>
        <v>20</v>
      </c>
      <c r="G63" s="714">
        <v>5.1820000000000004</v>
      </c>
      <c r="H63" s="835">
        <f t="shared" si="14"/>
        <v>5</v>
      </c>
      <c r="I63" s="714">
        <v>3.9279999999999999</v>
      </c>
      <c r="J63" s="835">
        <f t="shared" si="15"/>
        <v>4</v>
      </c>
      <c r="K63" s="714">
        <v>0</v>
      </c>
      <c r="L63" s="835">
        <f t="shared" si="16"/>
        <v>0</v>
      </c>
      <c r="M63" s="714">
        <v>2.1219999999999999</v>
      </c>
      <c r="N63" s="841" t="str">
        <f t="shared" si="17"/>
        <v>less than 5 mg</v>
      </c>
      <c r="O63" s="714">
        <v>99.956000000000003</v>
      </c>
      <c r="P63" s="841">
        <f t="shared" si="18"/>
        <v>100</v>
      </c>
      <c r="Q63" s="714">
        <v>71.191000000000003</v>
      </c>
      <c r="R63" s="841">
        <f t="shared" si="19"/>
        <v>71</v>
      </c>
      <c r="S63" s="714">
        <v>0.45300000000000001</v>
      </c>
      <c r="T63" s="841">
        <f t="shared" si="20"/>
        <v>0</v>
      </c>
      <c r="U63" s="714">
        <v>63.457000000000001</v>
      </c>
      <c r="V63" s="841">
        <f t="shared" si="21"/>
        <v>63</v>
      </c>
      <c r="W63" s="714">
        <v>63.212000000000003</v>
      </c>
      <c r="X63" s="841">
        <f t="shared" si="22"/>
        <v>63</v>
      </c>
      <c r="Y63" s="718">
        <v>0.93300000000000005</v>
      </c>
      <c r="Z63" s="841" t="str">
        <f t="shared" si="23"/>
        <v>less than 1 g</v>
      </c>
      <c r="AA63" s="718">
        <v>1E-3</v>
      </c>
      <c r="AB63" s="718">
        <v>3.0000000000000001E-3</v>
      </c>
      <c r="AC63" s="718">
        <v>13.773999999999999</v>
      </c>
      <c r="AD63" s="825">
        <v>1.06</v>
      </c>
      <c r="AE63" s="825">
        <v>0.48699999999999999</v>
      </c>
      <c r="AF63" s="825">
        <v>2.706</v>
      </c>
      <c r="AG63" s="825">
        <v>72.837000000000003</v>
      </c>
      <c r="AH63" s="825">
        <v>1.55</v>
      </c>
      <c r="AI63" s="813"/>
      <c r="AJ63" s="813"/>
      <c r="AK63" s="813"/>
      <c r="AL63" s="813"/>
      <c r="AM63" s="813"/>
      <c r="AN63" s="813"/>
      <c r="AO63" s="813"/>
      <c r="AP63" s="813"/>
    </row>
    <row r="64" spans="1:42" s="465" customFormat="1" ht="15" customHeight="1" thickBot="1">
      <c r="A64" s="497" t="s">
        <v>92</v>
      </c>
      <c r="B64" s="478" t="s">
        <v>98</v>
      </c>
      <c r="C64" s="714">
        <v>310.07600000000002</v>
      </c>
      <c r="D64" s="841">
        <f t="shared" si="12"/>
        <v>310</v>
      </c>
      <c r="E64" s="714">
        <v>18.812000000000001</v>
      </c>
      <c r="F64" s="841">
        <f t="shared" si="13"/>
        <v>20</v>
      </c>
      <c r="G64" s="714">
        <v>4.774</v>
      </c>
      <c r="H64" s="835">
        <f t="shared" si="14"/>
        <v>5</v>
      </c>
      <c r="I64" s="714">
        <v>3.8359999999999999</v>
      </c>
      <c r="J64" s="835">
        <f t="shared" si="15"/>
        <v>4</v>
      </c>
      <c r="K64" s="714">
        <v>4.3999999999999997E-2</v>
      </c>
      <c r="L64" s="835">
        <f t="shared" si="16"/>
        <v>0</v>
      </c>
      <c r="M64" s="714">
        <v>5.1929999999999996</v>
      </c>
      <c r="N64" s="841">
        <f t="shared" si="17"/>
        <v>5</v>
      </c>
      <c r="O64" s="714">
        <v>69.286000000000001</v>
      </c>
      <c r="P64" s="841">
        <f t="shared" si="18"/>
        <v>70</v>
      </c>
      <c r="Q64" s="714">
        <v>66.650000000000006</v>
      </c>
      <c r="R64" s="841">
        <f t="shared" si="19"/>
        <v>67</v>
      </c>
      <c r="S64" s="714">
        <v>2.1999999999999999E-2</v>
      </c>
      <c r="T64" s="841">
        <f t="shared" si="20"/>
        <v>0</v>
      </c>
      <c r="U64" s="714">
        <v>60.728000000000002</v>
      </c>
      <c r="V64" s="841">
        <f t="shared" si="21"/>
        <v>61</v>
      </c>
      <c r="W64" s="714">
        <v>60.338999999999999</v>
      </c>
      <c r="X64" s="841">
        <f t="shared" si="22"/>
        <v>60</v>
      </c>
      <c r="Y64" s="718">
        <v>0.59599999999999997</v>
      </c>
      <c r="Z64" s="841" t="str">
        <f t="shared" si="23"/>
        <v>less than 1 g</v>
      </c>
      <c r="AA64" s="718">
        <v>0</v>
      </c>
      <c r="AB64" s="718">
        <v>0</v>
      </c>
      <c r="AC64" s="718">
        <v>17.768999999999998</v>
      </c>
      <c r="AD64" s="715">
        <v>1.367</v>
      </c>
      <c r="AE64" s="715">
        <v>8.8999999999999996E-2</v>
      </c>
      <c r="AF64" s="715">
        <v>0.49299999999999999</v>
      </c>
      <c r="AG64" s="715">
        <v>15.382</v>
      </c>
      <c r="AH64" s="715">
        <v>0.32700000000000001</v>
      </c>
      <c r="AI64" s="813"/>
      <c r="AJ64" s="813"/>
      <c r="AK64" s="813"/>
      <c r="AL64" s="813"/>
      <c r="AM64" s="813"/>
      <c r="AN64" s="813"/>
      <c r="AO64" s="813"/>
      <c r="AP64" s="813"/>
    </row>
    <row r="65" spans="1:34" s="465" customFormat="1" ht="15" customHeight="1" thickBot="1">
      <c r="A65" s="497" t="s">
        <v>92</v>
      </c>
      <c r="B65" s="478" t="s">
        <v>99</v>
      </c>
      <c r="C65" s="578">
        <v>310.93200000000002</v>
      </c>
      <c r="D65" s="841">
        <f t="shared" si="12"/>
        <v>310</v>
      </c>
      <c r="E65" s="578">
        <v>38.152999999999999</v>
      </c>
      <c r="F65" s="841">
        <f t="shared" si="13"/>
        <v>40</v>
      </c>
      <c r="G65" s="578">
        <v>6.931</v>
      </c>
      <c r="H65" s="835">
        <f t="shared" si="14"/>
        <v>7</v>
      </c>
      <c r="I65" s="578">
        <v>5.133</v>
      </c>
      <c r="J65" s="835">
        <f t="shared" si="15"/>
        <v>5</v>
      </c>
      <c r="K65" s="578">
        <v>4.3999999999999997E-2</v>
      </c>
      <c r="L65" s="835">
        <f t="shared" si="16"/>
        <v>0</v>
      </c>
      <c r="M65" s="578">
        <v>5.2069999999999999</v>
      </c>
      <c r="N65" s="841">
        <f t="shared" si="17"/>
        <v>5</v>
      </c>
      <c r="O65" s="578">
        <v>69.126000000000005</v>
      </c>
      <c r="P65" s="841">
        <f t="shared" si="18"/>
        <v>70</v>
      </c>
      <c r="Q65" s="578">
        <v>72.557000000000002</v>
      </c>
      <c r="R65" s="841">
        <f t="shared" si="19"/>
        <v>73</v>
      </c>
      <c r="S65" s="578">
        <v>0.627</v>
      </c>
      <c r="T65" s="841" t="str">
        <f t="shared" si="20"/>
        <v>less than 1 g</v>
      </c>
      <c r="U65" s="578">
        <v>65.626999999999995</v>
      </c>
      <c r="V65" s="841">
        <f t="shared" si="21"/>
        <v>66</v>
      </c>
      <c r="W65" s="578">
        <v>60.506</v>
      </c>
      <c r="X65" s="841">
        <f t="shared" si="22"/>
        <v>61</v>
      </c>
      <c r="Y65" s="578">
        <v>0.98399999999999999</v>
      </c>
      <c r="Z65" s="841" t="str">
        <f t="shared" si="23"/>
        <v>less than 1 g</v>
      </c>
      <c r="AA65" s="578">
        <v>1.7999999999999999E-2</v>
      </c>
      <c r="AB65" s="578">
        <v>0.09</v>
      </c>
      <c r="AC65" s="578">
        <v>20.483000000000001</v>
      </c>
      <c r="AD65" s="578">
        <v>1.5760000000000001</v>
      </c>
      <c r="AE65" s="578">
        <v>0.75</v>
      </c>
      <c r="AF65" s="578">
        <v>4.1639999999999997</v>
      </c>
      <c r="AG65" s="578">
        <v>49.179000000000002</v>
      </c>
      <c r="AH65" s="578">
        <v>1.046</v>
      </c>
    </row>
    <row r="66" spans="1:34" s="465" customFormat="1" ht="15" customHeight="1" thickBot="1">
      <c r="A66" s="497" t="s">
        <v>92</v>
      </c>
      <c r="B66" s="478" t="s">
        <v>100</v>
      </c>
      <c r="C66" s="578">
        <v>293.85899999999998</v>
      </c>
      <c r="D66" s="841">
        <f t="shared" si="12"/>
        <v>290</v>
      </c>
      <c r="E66" s="578">
        <v>16.776</v>
      </c>
      <c r="F66" s="841">
        <f t="shared" si="13"/>
        <v>15</v>
      </c>
      <c r="G66" s="578">
        <v>4.5540000000000003</v>
      </c>
      <c r="H66" s="835">
        <f t="shared" si="14"/>
        <v>4.5</v>
      </c>
      <c r="I66" s="578">
        <v>3.8959999999999999</v>
      </c>
      <c r="J66" s="835">
        <f t="shared" si="15"/>
        <v>4</v>
      </c>
      <c r="K66" s="578">
        <v>2E-3</v>
      </c>
      <c r="L66" s="835">
        <f t="shared" si="16"/>
        <v>0</v>
      </c>
      <c r="M66" s="578">
        <v>1E-3</v>
      </c>
      <c r="N66" s="841">
        <f t="shared" si="17"/>
        <v>0</v>
      </c>
      <c r="O66" s="578">
        <v>75.631</v>
      </c>
      <c r="P66" s="841">
        <f t="shared" si="18"/>
        <v>75</v>
      </c>
      <c r="Q66" s="578">
        <v>68.888000000000005</v>
      </c>
      <c r="R66" s="841">
        <f t="shared" si="19"/>
        <v>69</v>
      </c>
      <c r="S66" s="578">
        <v>0.65300000000000002</v>
      </c>
      <c r="T66" s="841" t="str">
        <f t="shared" si="20"/>
        <v>less than 1 g</v>
      </c>
      <c r="U66" s="578">
        <v>63.558</v>
      </c>
      <c r="V66" s="841">
        <f t="shared" si="21"/>
        <v>64</v>
      </c>
      <c r="W66" s="578">
        <v>58.412999999999997</v>
      </c>
      <c r="X66" s="841">
        <f t="shared" si="22"/>
        <v>58</v>
      </c>
      <c r="Y66" s="578">
        <v>0.71699999999999997</v>
      </c>
      <c r="Z66" s="841" t="str">
        <f t="shared" si="23"/>
        <v>less than 1 g</v>
      </c>
      <c r="AA66" s="578">
        <v>8.9999999999999993E-3</v>
      </c>
      <c r="AB66" s="578">
        <v>4.4999999999999998E-2</v>
      </c>
      <c r="AC66" s="578">
        <v>12.597</v>
      </c>
      <c r="AD66" s="578">
        <v>0.96899999999999997</v>
      </c>
      <c r="AE66" s="578">
        <v>0.59799999999999998</v>
      </c>
      <c r="AF66" s="578">
        <v>3.3210000000000002</v>
      </c>
      <c r="AG66" s="578">
        <v>90.608999999999995</v>
      </c>
      <c r="AH66" s="578">
        <v>1.9279999999999999</v>
      </c>
    </row>
    <row r="67" spans="1:34" s="465" customFormat="1" ht="15" customHeight="1" thickBot="1">
      <c r="A67" s="497" t="s">
        <v>92</v>
      </c>
      <c r="B67" s="478" t="s">
        <v>101</v>
      </c>
      <c r="C67" s="578">
        <v>280.137</v>
      </c>
      <c r="D67" s="841">
        <f t="shared" si="12"/>
        <v>280</v>
      </c>
      <c r="E67" s="578">
        <v>26.353000000000002</v>
      </c>
      <c r="F67" s="841">
        <f t="shared" si="13"/>
        <v>25</v>
      </c>
      <c r="G67" s="578">
        <v>5.6630000000000003</v>
      </c>
      <c r="H67" s="835">
        <f t="shared" si="14"/>
        <v>6</v>
      </c>
      <c r="I67" s="578">
        <v>4.556</v>
      </c>
      <c r="J67" s="835">
        <f t="shared" si="15"/>
        <v>4.5</v>
      </c>
      <c r="K67" s="578">
        <v>0</v>
      </c>
      <c r="L67" s="835">
        <f t="shared" si="16"/>
        <v>0</v>
      </c>
      <c r="M67" s="578">
        <v>1E-3</v>
      </c>
      <c r="N67" s="841">
        <f t="shared" si="17"/>
        <v>0</v>
      </c>
      <c r="O67" s="578">
        <v>82.605000000000004</v>
      </c>
      <c r="P67" s="841">
        <f t="shared" si="18"/>
        <v>85</v>
      </c>
      <c r="Q67" s="578">
        <v>67.921000000000006</v>
      </c>
      <c r="R67" s="841">
        <f t="shared" si="19"/>
        <v>68</v>
      </c>
      <c r="S67" s="578">
        <v>0.92500000000000004</v>
      </c>
      <c r="T67" s="841" t="str">
        <f t="shared" si="20"/>
        <v>less than 1 g</v>
      </c>
      <c r="U67" s="578">
        <v>62.290999999999997</v>
      </c>
      <c r="V67" s="841">
        <f t="shared" si="21"/>
        <v>62</v>
      </c>
      <c r="W67" s="578">
        <v>57.061</v>
      </c>
      <c r="X67" s="841">
        <f t="shared" si="22"/>
        <v>57</v>
      </c>
      <c r="Y67" s="578">
        <v>1.012</v>
      </c>
      <c r="Z67" s="841">
        <f t="shared" si="23"/>
        <v>1</v>
      </c>
      <c r="AA67" s="578">
        <v>1.7999999999999999E-2</v>
      </c>
      <c r="AB67" s="578">
        <v>9.1999999999999998E-2</v>
      </c>
      <c r="AC67" s="578">
        <v>15.569000000000001</v>
      </c>
      <c r="AD67" s="578">
        <v>1.198</v>
      </c>
      <c r="AE67" s="578">
        <v>1.008</v>
      </c>
      <c r="AF67" s="578">
        <v>5.5979999999999999</v>
      </c>
      <c r="AG67" s="578">
        <v>76.311000000000007</v>
      </c>
      <c r="AH67" s="578">
        <v>1.6240000000000001</v>
      </c>
    </row>
    <row r="68" spans="1:34" s="824" customFormat="1" ht="15" customHeight="1" thickBot="1">
      <c r="A68" s="497" t="s">
        <v>92</v>
      </c>
      <c r="B68" s="478" t="s">
        <v>102</v>
      </c>
      <c r="C68" s="714">
        <v>304.21100000000001</v>
      </c>
      <c r="D68" s="841">
        <f t="shared" si="12"/>
        <v>300</v>
      </c>
      <c r="E68" s="714">
        <v>16.53</v>
      </c>
      <c r="F68" s="841">
        <f t="shared" si="13"/>
        <v>15</v>
      </c>
      <c r="G68" s="714">
        <v>4.5529999999999999</v>
      </c>
      <c r="H68" s="835">
        <f t="shared" si="14"/>
        <v>4.5</v>
      </c>
      <c r="I68" s="714">
        <v>3.9809999999999999</v>
      </c>
      <c r="J68" s="835">
        <f t="shared" si="15"/>
        <v>4</v>
      </c>
      <c r="K68" s="714">
        <v>5.2999999999999999E-2</v>
      </c>
      <c r="L68" s="835">
        <f t="shared" si="16"/>
        <v>0</v>
      </c>
      <c r="M68" s="714">
        <v>0</v>
      </c>
      <c r="N68" s="841">
        <f t="shared" si="17"/>
        <v>0</v>
      </c>
      <c r="O68" s="714">
        <v>67.203999999999994</v>
      </c>
      <c r="P68" s="841">
        <f t="shared" si="18"/>
        <v>65</v>
      </c>
      <c r="Q68" s="714">
        <v>66.087999999999994</v>
      </c>
      <c r="R68" s="841">
        <f t="shared" si="19"/>
        <v>66</v>
      </c>
      <c r="S68" s="714">
        <v>0.44400000000000001</v>
      </c>
      <c r="T68" s="841">
        <f t="shared" si="20"/>
        <v>0</v>
      </c>
      <c r="U68" s="714">
        <v>61.845999999999997</v>
      </c>
      <c r="V68" s="841">
        <f t="shared" si="21"/>
        <v>62</v>
      </c>
      <c r="W68" s="714">
        <v>55.47</v>
      </c>
      <c r="X68" s="841">
        <f t="shared" si="22"/>
        <v>55</v>
      </c>
      <c r="Y68" s="718">
        <v>0.25</v>
      </c>
      <c r="Z68" s="841">
        <f t="shared" si="23"/>
        <v>0</v>
      </c>
      <c r="AA68" s="718">
        <v>0</v>
      </c>
      <c r="AB68" s="718">
        <v>0</v>
      </c>
      <c r="AC68" s="718">
        <v>9.1639999999999997</v>
      </c>
      <c r="AD68" s="715">
        <v>0.70499999999999996</v>
      </c>
      <c r="AE68" s="715">
        <v>0.129</v>
      </c>
      <c r="AF68" s="715">
        <v>0.71499999999999997</v>
      </c>
      <c r="AG68" s="715">
        <v>9.1340000000000003</v>
      </c>
      <c r="AH68" s="715">
        <v>0.19400000000000001</v>
      </c>
    </row>
    <row r="69" spans="1:34" s="723" customFormat="1" ht="15" customHeight="1" thickBot="1">
      <c r="A69" s="497" t="s">
        <v>92</v>
      </c>
      <c r="B69" s="478" t="s">
        <v>104</v>
      </c>
      <c r="C69" s="825">
        <v>327.35199999999998</v>
      </c>
      <c r="D69" s="841">
        <f t="shared" si="12"/>
        <v>330</v>
      </c>
      <c r="E69" s="715">
        <v>20.545999999999999</v>
      </c>
      <c r="F69" s="841">
        <f t="shared" si="13"/>
        <v>20</v>
      </c>
      <c r="G69" s="715">
        <v>4.9939999999999998</v>
      </c>
      <c r="H69" s="835">
        <f t="shared" si="14"/>
        <v>5</v>
      </c>
      <c r="I69" s="715">
        <v>3.5510000000000002</v>
      </c>
      <c r="J69" s="835">
        <f t="shared" si="15"/>
        <v>3.5</v>
      </c>
      <c r="K69" s="715">
        <v>0.18</v>
      </c>
      <c r="L69" s="835">
        <f t="shared" si="16"/>
        <v>0</v>
      </c>
      <c r="M69" s="715">
        <v>2.1219999999999999</v>
      </c>
      <c r="N69" s="841" t="str">
        <f t="shared" si="17"/>
        <v>less than 5 mg</v>
      </c>
      <c r="O69" s="715">
        <v>95.647000000000006</v>
      </c>
      <c r="P69" s="841">
        <f t="shared" si="18"/>
        <v>95</v>
      </c>
      <c r="Q69" s="715">
        <v>70.533000000000001</v>
      </c>
      <c r="R69" s="841">
        <f t="shared" si="19"/>
        <v>71</v>
      </c>
      <c r="S69" s="715">
        <v>0.34899999999999998</v>
      </c>
      <c r="T69" s="841">
        <f t="shared" si="20"/>
        <v>0</v>
      </c>
      <c r="U69" s="715">
        <v>63.220999999999997</v>
      </c>
      <c r="V69" s="841">
        <f t="shared" si="21"/>
        <v>63</v>
      </c>
      <c r="W69" s="715">
        <v>61.798999999999999</v>
      </c>
      <c r="X69" s="841">
        <f t="shared" si="22"/>
        <v>62</v>
      </c>
      <c r="Y69" s="715">
        <v>0.73699999999999999</v>
      </c>
      <c r="Z69" s="841" t="str">
        <f t="shared" si="23"/>
        <v>less than 1 g</v>
      </c>
      <c r="AA69" s="715">
        <v>1E-3</v>
      </c>
      <c r="AB69" s="715">
        <v>6.0000000000000001E-3</v>
      </c>
      <c r="AC69" s="715">
        <v>10.170999999999999</v>
      </c>
      <c r="AD69" s="715">
        <v>0.78200000000000003</v>
      </c>
      <c r="AE69" s="715">
        <v>0.38400000000000001</v>
      </c>
      <c r="AF69" s="715">
        <v>2.1339999999999999</v>
      </c>
      <c r="AG69" s="715">
        <v>44.734000000000002</v>
      </c>
      <c r="AH69" s="715">
        <v>0.95199999999999996</v>
      </c>
    </row>
    <row r="70" spans="1:34" s="465" customFormat="1" ht="15" customHeight="1" thickBot="1">
      <c r="A70" s="497" t="s">
        <v>92</v>
      </c>
      <c r="B70" s="478" t="s">
        <v>103</v>
      </c>
      <c r="C70" s="579">
        <v>341.36399999999998</v>
      </c>
      <c r="D70" s="841">
        <f t="shared" si="12"/>
        <v>340</v>
      </c>
      <c r="E70" s="579">
        <v>7.1769999999999996</v>
      </c>
      <c r="F70" s="841">
        <f t="shared" si="13"/>
        <v>5</v>
      </c>
      <c r="G70" s="579">
        <v>3.4470000000000001</v>
      </c>
      <c r="H70" s="835">
        <f t="shared" si="14"/>
        <v>3.5</v>
      </c>
      <c r="I70" s="579">
        <v>2.7029999999999998</v>
      </c>
      <c r="J70" s="835">
        <f t="shared" si="15"/>
        <v>2.5</v>
      </c>
      <c r="K70" s="579">
        <v>0</v>
      </c>
      <c r="L70" s="835">
        <f t="shared" si="16"/>
        <v>0</v>
      </c>
      <c r="M70" s="579">
        <v>2.7E-2</v>
      </c>
      <c r="N70" s="841">
        <f t="shared" si="17"/>
        <v>0</v>
      </c>
      <c r="O70" s="579">
        <v>65.554000000000002</v>
      </c>
      <c r="P70" s="841">
        <f t="shared" si="18"/>
        <v>65</v>
      </c>
      <c r="Q70" s="579">
        <v>78.120999999999995</v>
      </c>
      <c r="R70" s="841">
        <f t="shared" si="19"/>
        <v>78</v>
      </c>
      <c r="S70" s="579">
        <v>9.4E-2</v>
      </c>
      <c r="T70" s="841">
        <f t="shared" si="20"/>
        <v>0</v>
      </c>
      <c r="U70" s="579">
        <v>73.688999999999993</v>
      </c>
      <c r="V70" s="841">
        <f t="shared" si="21"/>
        <v>74</v>
      </c>
      <c r="W70" s="579">
        <v>73.507999999999996</v>
      </c>
      <c r="X70" s="841">
        <f t="shared" si="22"/>
        <v>74</v>
      </c>
      <c r="Y70" s="575">
        <v>0.41399999999999998</v>
      </c>
      <c r="Z70" s="841">
        <f t="shared" si="23"/>
        <v>0</v>
      </c>
      <c r="AA70" s="575">
        <v>0</v>
      </c>
      <c r="AB70" s="575">
        <v>0</v>
      </c>
      <c r="AC70" s="575">
        <v>8.2449999999999992</v>
      </c>
      <c r="AD70" s="578">
        <v>0.63400000000000001</v>
      </c>
      <c r="AE70" s="578">
        <v>0.23899999999999999</v>
      </c>
      <c r="AF70" s="578">
        <v>1.3280000000000001</v>
      </c>
      <c r="AG70" s="578">
        <v>12.784000000000001</v>
      </c>
      <c r="AH70" s="578">
        <v>0.27200000000000002</v>
      </c>
    </row>
    <row r="71" spans="1:34" s="465" customFormat="1" ht="18.899999999999999" thickBot="1">
      <c r="A71" s="497" t="s">
        <v>92</v>
      </c>
      <c r="B71" s="478" t="s">
        <v>318</v>
      </c>
      <c r="C71" s="557">
        <v>300.72300000000001</v>
      </c>
      <c r="D71" s="841">
        <f t="shared" si="12"/>
        <v>300</v>
      </c>
      <c r="E71" s="579">
        <v>2.407</v>
      </c>
      <c r="F71" s="841">
        <f t="shared" si="13"/>
        <v>0</v>
      </c>
      <c r="G71" s="579">
        <v>2.8210000000000002</v>
      </c>
      <c r="H71" s="835">
        <f t="shared" si="14"/>
        <v>3</v>
      </c>
      <c r="I71" s="579">
        <v>2.5259999999999998</v>
      </c>
      <c r="J71" s="835">
        <f t="shared" si="15"/>
        <v>2.5</v>
      </c>
      <c r="K71" s="579">
        <v>0</v>
      </c>
      <c r="L71" s="835">
        <f t="shared" si="16"/>
        <v>0</v>
      </c>
      <c r="M71" s="579">
        <v>0</v>
      </c>
      <c r="N71" s="841">
        <f t="shared" si="17"/>
        <v>0</v>
      </c>
      <c r="O71" s="557">
        <v>73.369</v>
      </c>
      <c r="P71" s="841">
        <f t="shared" si="18"/>
        <v>75</v>
      </c>
      <c r="Q71" s="557">
        <v>70.427000000000007</v>
      </c>
      <c r="R71" s="841">
        <f t="shared" si="19"/>
        <v>70</v>
      </c>
      <c r="S71" s="557">
        <v>0.78200000000000003</v>
      </c>
      <c r="T71" s="841" t="str">
        <f t="shared" si="20"/>
        <v>less than 1 g</v>
      </c>
      <c r="U71" s="557">
        <v>66.052000000000007</v>
      </c>
      <c r="V71" s="841">
        <f t="shared" si="21"/>
        <v>66</v>
      </c>
      <c r="W71" s="557">
        <v>65.697000000000003</v>
      </c>
      <c r="X71" s="841">
        <f t="shared" si="22"/>
        <v>66</v>
      </c>
      <c r="Y71" s="557">
        <v>0.70899999999999996</v>
      </c>
      <c r="Z71" s="841" t="str">
        <f t="shared" si="23"/>
        <v>less than 1 g</v>
      </c>
      <c r="AA71" s="557">
        <v>4.0000000000000001E-3</v>
      </c>
      <c r="AB71" s="557">
        <v>1.7999999999999999E-2</v>
      </c>
      <c r="AC71" s="557">
        <v>11.961</v>
      </c>
      <c r="AD71" s="557">
        <v>0.92</v>
      </c>
      <c r="AE71" s="557">
        <v>0.52300000000000002</v>
      </c>
      <c r="AF71" s="557">
        <v>2.9060000000000001</v>
      </c>
      <c r="AG71" s="557">
        <v>63.695</v>
      </c>
      <c r="AH71" s="557">
        <v>1.355</v>
      </c>
    </row>
    <row r="72" spans="1:34" s="465" customFormat="1" ht="15" customHeight="1" thickBot="1">
      <c r="A72" s="497" t="s">
        <v>92</v>
      </c>
      <c r="B72" s="478" t="s">
        <v>105</v>
      </c>
      <c r="C72" s="578">
        <v>371.75900000000001</v>
      </c>
      <c r="D72" s="841">
        <f t="shared" si="12"/>
        <v>370</v>
      </c>
      <c r="E72" s="578">
        <v>0</v>
      </c>
      <c r="F72" s="841">
        <f t="shared" si="13"/>
        <v>0</v>
      </c>
      <c r="G72" s="578">
        <v>5.1779999999999999</v>
      </c>
      <c r="H72" s="835">
        <f t="shared" si="14"/>
        <v>5</v>
      </c>
      <c r="I72" s="578">
        <v>3.625</v>
      </c>
      <c r="J72" s="835">
        <f t="shared" si="15"/>
        <v>3.5</v>
      </c>
      <c r="K72" s="578">
        <v>2.7E-2</v>
      </c>
      <c r="L72" s="835">
        <f t="shared" si="16"/>
        <v>0</v>
      </c>
      <c r="M72" s="578">
        <v>2.0419999999999998</v>
      </c>
      <c r="N72" s="841" t="str">
        <f t="shared" si="17"/>
        <v>less than 5 mg</v>
      </c>
      <c r="O72" s="1162">
        <v>100.319</v>
      </c>
      <c r="P72" s="841">
        <f t="shared" si="18"/>
        <v>100</v>
      </c>
      <c r="Q72" s="578">
        <v>83.397000000000006</v>
      </c>
      <c r="R72" s="841">
        <f t="shared" si="19"/>
        <v>83</v>
      </c>
      <c r="S72" s="578">
        <v>1.4690000000000001</v>
      </c>
      <c r="T72" s="841">
        <f t="shared" si="20"/>
        <v>1</v>
      </c>
      <c r="U72" s="578">
        <v>74.138000000000005</v>
      </c>
      <c r="V72" s="841">
        <f t="shared" si="21"/>
        <v>74</v>
      </c>
      <c r="W72" s="578">
        <v>73.697999999999993</v>
      </c>
      <c r="X72" s="841">
        <f t="shared" si="22"/>
        <v>74</v>
      </c>
      <c r="Y72" s="578">
        <v>1.5089999999999999</v>
      </c>
      <c r="Z72" s="841">
        <f t="shared" si="23"/>
        <v>2</v>
      </c>
      <c r="AA72" s="578">
        <v>4.0000000000000001E-3</v>
      </c>
      <c r="AB72" s="578">
        <v>1.9E-2</v>
      </c>
      <c r="AC72" s="578">
        <v>15.789</v>
      </c>
      <c r="AD72" s="578">
        <v>1.2150000000000001</v>
      </c>
      <c r="AE72" s="578">
        <v>1.0589999999999999</v>
      </c>
      <c r="AF72" s="578">
        <v>5.8849999999999998</v>
      </c>
      <c r="AG72" s="578">
        <v>122.467</v>
      </c>
      <c r="AH72" s="578">
        <v>2.6059999999999999</v>
      </c>
    </row>
    <row r="73" spans="1:34" s="465" customFormat="1" ht="15" customHeight="1" thickBot="1">
      <c r="A73" s="497" t="s">
        <v>92</v>
      </c>
      <c r="B73" s="478" t="s">
        <v>338</v>
      </c>
      <c r="C73" s="579">
        <v>368.79199999999997</v>
      </c>
      <c r="D73" s="841">
        <f t="shared" si="12"/>
        <v>370</v>
      </c>
      <c r="E73" s="579">
        <v>0</v>
      </c>
      <c r="F73" s="841">
        <f t="shared" si="13"/>
        <v>0</v>
      </c>
      <c r="G73" s="579">
        <v>8.4420000000000002</v>
      </c>
      <c r="H73" s="835">
        <f t="shared" si="14"/>
        <v>8</v>
      </c>
      <c r="I73" s="579">
        <v>3.4119999999999999</v>
      </c>
      <c r="J73" s="835">
        <f t="shared" si="15"/>
        <v>3.5</v>
      </c>
      <c r="K73" s="579">
        <v>0</v>
      </c>
      <c r="L73" s="835">
        <f t="shared" si="16"/>
        <v>0</v>
      </c>
      <c r="M73" s="579">
        <v>0</v>
      </c>
      <c r="N73" s="841">
        <f t="shared" si="17"/>
        <v>0</v>
      </c>
      <c r="O73" s="579">
        <v>104.961</v>
      </c>
      <c r="P73" s="841">
        <f t="shared" si="18"/>
        <v>105</v>
      </c>
      <c r="Q73" s="579">
        <v>72.667000000000002</v>
      </c>
      <c r="R73" s="841">
        <f t="shared" si="19"/>
        <v>73</v>
      </c>
      <c r="S73" s="579">
        <v>0.67500000000000004</v>
      </c>
      <c r="T73" s="841" t="str">
        <f t="shared" si="20"/>
        <v>less than 1 g</v>
      </c>
      <c r="U73" s="579">
        <v>68.938999999999993</v>
      </c>
      <c r="V73" s="841">
        <f t="shared" si="21"/>
        <v>69</v>
      </c>
      <c r="W73" s="579">
        <v>68.501000000000005</v>
      </c>
      <c r="X73" s="841">
        <f t="shared" si="22"/>
        <v>69</v>
      </c>
      <c r="Y73" s="575">
        <v>2.1509999999999998</v>
      </c>
      <c r="Z73" s="841">
        <f t="shared" si="23"/>
        <v>2</v>
      </c>
      <c r="AA73" s="575">
        <v>0</v>
      </c>
      <c r="AB73" s="575">
        <v>0</v>
      </c>
      <c r="AC73" s="575">
        <v>15.026</v>
      </c>
      <c r="AD73" s="578">
        <v>1.1559999999999999</v>
      </c>
      <c r="AE73" s="578">
        <v>0.65500000000000003</v>
      </c>
      <c r="AF73" s="578">
        <v>3.6379999999999999</v>
      </c>
      <c r="AG73" s="578">
        <v>71.531000000000006</v>
      </c>
      <c r="AH73" s="578">
        <v>1.522</v>
      </c>
    </row>
    <row r="74" spans="1:34" s="465" customFormat="1" ht="15" customHeight="1" thickBot="1">
      <c r="A74" s="497" t="s">
        <v>92</v>
      </c>
      <c r="B74" s="478" t="s">
        <v>108</v>
      </c>
      <c r="C74" s="578">
        <v>260.74</v>
      </c>
      <c r="D74" s="841">
        <f t="shared" si="12"/>
        <v>260</v>
      </c>
      <c r="E74" s="578">
        <v>19.350999999999999</v>
      </c>
      <c r="F74" s="841">
        <f t="shared" si="13"/>
        <v>20</v>
      </c>
      <c r="G74" s="578">
        <v>4.8499999999999996</v>
      </c>
      <c r="H74" s="835">
        <f t="shared" si="14"/>
        <v>5</v>
      </c>
      <c r="I74" s="578">
        <v>3.794</v>
      </c>
      <c r="J74" s="835">
        <f t="shared" si="15"/>
        <v>4</v>
      </c>
      <c r="K74" s="578">
        <v>0</v>
      </c>
      <c r="L74" s="835">
        <f t="shared" si="16"/>
        <v>0</v>
      </c>
      <c r="M74" s="578">
        <v>0</v>
      </c>
      <c r="N74" s="841">
        <f t="shared" si="17"/>
        <v>0</v>
      </c>
      <c r="O74" s="578">
        <v>53.223999999999997</v>
      </c>
      <c r="P74" s="841">
        <f t="shared" si="18"/>
        <v>55</v>
      </c>
      <c r="Q74" s="578">
        <v>65.739000000000004</v>
      </c>
      <c r="R74" s="841">
        <f t="shared" si="19"/>
        <v>66</v>
      </c>
      <c r="S74" s="578">
        <v>0.60699999999999998</v>
      </c>
      <c r="T74" s="841" t="str">
        <f t="shared" si="20"/>
        <v>less than 1 g</v>
      </c>
      <c r="U74" s="578">
        <v>61.966000000000001</v>
      </c>
      <c r="V74" s="841">
        <f t="shared" si="21"/>
        <v>62</v>
      </c>
      <c r="W74" s="578">
        <v>57.070999999999998</v>
      </c>
      <c r="X74" s="841">
        <f t="shared" si="22"/>
        <v>57</v>
      </c>
      <c r="Y74" s="578">
        <v>0.63300000000000001</v>
      </c>
      <c r="Z74" s="841" t="str">
        <f t="shared" si="23"/>
        <v>less than 1 g</v>
      </c>
      <c r="AA74" s="578">
        <v>1.7999999999999999E-2</v>
      </c>
      <c r="AB74" s="578">
        <v>9.0999999999999998E-2</v>
      </c>
      <c r="AC74" s="578">
        <v>9.9529999999999994</v>
      </c>
      <c r="AD74" s="578">
        <v>0.76600000000000001</v>
      </c>
      <c r="AE74" s="578">
        <v>0.73099999999999998</v>
      </c>
      <c r="AF74" s="578">
        <v>4.0609999999999999</v>
      </c>
      <c r="AG74" s="578">
        <v>40.783000000000001</v>
      </c>
      <c r="AH74" s="578">
        <v>0.86799999999999999</v>
      </c>
    </row>
    <row r="75" spans="1:34" s="465" customFormat="1" ht="15" customHeight="1" thickBot="1">
      <c r="A75" s="497" t="s">
        <v>92</v>
      </c>
      <c r="B75" s="478" t="s">
        <v>109</v>
      </c>
      <c r="C75" s="579">
        <v>282.65499999999997</v>
      </c>
      <c r="D75" s="841">
        <f t="shared" si="12"/>
        <v>280</v>
      </c>
      <c r="E75" s="579">
        <v>7.3620000000000001</v>
      </c>
      <c r="F75" s="841">
        <f t="shared" si="13"/>
        <v>5</v>
      </c>
      <c r="G75" s="579">
        <v>3.536</v>
      </c>
      <c r="H75" s="835">
        <f t="shared" si="14"/>
        <v>3.5</v>
      </c>
      <c r="I75" s="579">
        <v>2.7730000000000001</v>
      </c>
      <c r="J75" s="835">
        <f t="shared" si="15"/>
        <v>3</v>
      </c>
      <c r="K75" s="579">
        <v>0</v>
      </c>
      <c r="L75" s="835">
        <f t="shared" si="16"/>
        <v>0</v>
      </c>
      <c r="M75" s="579">
        <v>2.8000000000000001E-2</v>
      </c>
      <c r="N75" s="841">
        <f t="shared" si="17"/>
        <v>0</v>
      </c>
      <c r="O75" s="579">
        <v>68.135000000000005</v>
      </c>
      <c r="P75" s="841">
        <f t="shared" si="18"/>
        <v>70</v>
      </c>
      <c r="Q75" s="579">
        <v>63.46</v>
      </c>
      <c r="R75" s="841">
        <f t="shared" si="19"/>
        <v>63</v>
      </c>
      <c r="S75" s="579">
        <v>8.5000000000000006E-2</v>
      </c>
      <c r="T75" s="841">
        <f t="shared" si="20"/>
        <v>0</v>
      </c>
      <c r="U75" s="579">
        <v>59.277000000000001</v>
      </c>
      <c r="V75" s="841">
        <f t="shared" si="21"/>
        <v>59</v>
      </c>
      <c r="W75" s="579">
        <v>59.113999999999997</v>
      </c>
      <c r="X75" s="841">
        <f t="shared" si="22"/>
        <v>59</v>
      </c>
      <c r="Y75" s="575">
        <v>0.42499999999999999</v>
      </c>
      <c r="Z75" s="841">
        <f t="shared" si="23"/>
        <v>0</v>
      </c>
      <c r="AA75" s="575">
        <v>0</v>
      </c>
      <c r="AB75" s="575">
        <v>0</v>
      </c>
      <c r="AC75" s="575">
        <v>8.9459999999999997</v>
      </c>
      <c r="AD75" s="578">
        <v>0.68799999999999994</v>
      </c>
      <c r="AE75" s="578">
        <v>0.245</v>
      </c>
      <c r="AF75" s="578">
        <v>1.3620000000000001</v>
      </c>
      <c r="AG75" s="578">
        <v>12.903</v>
      </c>
      <c r="AH75" s="578">
        <v>0.27500000000000002</v>
      </c>
    </row>
    <row r="76" spans="1:34" s="465" customFormat="1" ht="15" customHeight="1" thickBot="1">
      <c r="A76" s="497" t="s">
        <v>92</v>
      </c>
      <c r="B76" s="478" t="s">
        <v>320</v>
      </c>
      <c r="C76" s="715">
        <v>246.262</v>
      </c>
      <c r="D76" s="841">
        <f t="shared" si="12"/>
        <v>250</v>
      </c>
      <c r="E76" s="715">
        <v>0</v>
      </c>
      <c r="F76" s="841">
        <f t="shared" si="13"/>
        <v>0</v>
      </c>
      <c r="G76" s="715">
        <v>2.6579999999999999</v>
      </c>
      <c r="H76" s="835">
        <f t="shared" si="14"/>
        <v>2.5</v>
      </c>
      <c r="I76" s="715">
        <v>2.464</v>
      </c>
      <c r="J76" s="835">
        <f t="shared" si="15"/>
        <v>2.5</v>
      </c>
      <c r="K76" s="715">
        <v>0</v>
      </c>
      <c r="L76" s="835">
        <f t="shared" si="16"/>
        <v>0</v>
      </c>
      <c r="M76" s="715">
        <v>0</v>
      </c>
      <c r="N76" s="841">
        <f t="shared" si="17"/>
        <v>0</v>
      </c>
      <c r="O76" s="715">
        <v>53.375</v>
      </c>
      <c r="P76" s="841">
        <f t="shared" si="18"/>
        <v>55</v>
      </c>
      <c r="Q76" s="715">
        <v>55.860999999999997</v>
      </c>
      <c r="R76" s="841">
        <f t="shared" si="19"/>
        <v>56</v>
      </c>
      <c r="S76" s="715">
        <v>4.0000000000000001E-3</v>
      </c>
      <c r="T76" s="841">
        <f t="shared" si="20"/>
        <v>0</v>
      </c>
      <c r="U76" s="715">
        <v>52.405000000000001</v>
      </c>
      <c r="V76" s="841">
        <f t="shared" si="21"/>
        <v>52</v>
      </c>
      <c r="W76" s="715">
        <v>52.250999999999998</v>
      </c>
      <c r="X76" s="841">
        <f t="shared" si="22"/>
        <v>52</v>
      </c>
      <c r="Y76" s="715">
        <v>0.24199999999999999</v>
      </c>
      <c r="Z76" s="841">
        <f t="shared" si="23"/>
        <v>0</v>
      </c>
      <c r="AA76" s="715">
        <v>0</v>
      </c>
      <c r="AB76" s="715">
        <v>0</v>
      </c>
      <c r="AC76" s="715">
        <v>6.9790000000000001</v>
      </c>
      <c r="AD76" s="715">
        <v>0.53700000000000003</v>
      </c>
      <c r="AE76" s="715">
        <v>0.06</v>
      </c>
      <c r="AF76" s="715">
        <v>0.33100000000000002</v>
      </c>
      <c r="AG76" s="715">
        <v>6.3840000000000003</v>
      </c>
      <c r="AH76" s="715">
        <v>0.13600000000000001</v>
      </c>
    </row>
    <row r="77" spans="1:34" s="465" customFormat="1" ht="15" customHeight="1" thickBot="1">
      <c r="A77" s="497" t="s">
        <v>92</v>
      </c>
      <c r="B77" s="478" t="s">
        <v>111</v>
      </c>
      <c r="C77" s="579">
        <v>268.755</v>
      </c>
      <c r="D77" s="841">
        <f t="shared" si="12"/>
        <v>270</v>
      </c>
      <c r="E77" s="579">
        <v>9.4770000000000003</v>
      </c>
      <c r="F77" s="841">
        <f t="shared" si="13"/>
        <v>10</v>
      </c>
      <c r="G77" s="579">
        <v>3.75</v>
      </c>
      <c r="H77" s="835">
        <f t="shared" si="14"/>
        <v>4</v>
      </c>
      <c r="I77" s="579">
        <v>3.181</v>
      </c>
      <c r="J77" s="835">
        <f t="shared" si="15"/>
        <v>3</v>
      </c>
      <c r="K77" s="579">
        <v>2.1999999999999999E-2</v>
      </c>
      <c r="L77" s="835">
        <f t="shared" si="16"/>
        <v>0</v>
      </c>
      <c r="M77" s="579">
        <v>2.609</v>
      </c>
      <c r="N77" s="841" t="str">
        <f t="shared" si="17"/>
        <v>less than 5 mg</v>
      </c>
      <c r="O77" s="579">
        <v>62.694000000000003</v>
      </c>
      <c r="P77" s="841">
        <f t="shared" si="18"/>
        <v>65</v>
      </c>
      <c r="Q77" s="579">
        <v>58.753999999999998</v>
      </c>
      <c r="R77" s="841">
        <f t="shared" si="19"/>
        <v>59</v>
      </c>
      <c r="S77" s="579">
        <v>0.41099999999999998</v>
      </c>
      <c r="T77" s="841">
        <f t="shared" si="20"/>
        <v>0</v>
      </c>
      <c r="U77" s="579">
        <v>53.683</v>
      </c>
      <c r="V77" s="841">
        <f t="shared" si="21"/>
        <v>54</v>
      </c>
      <c r="W77" s="579">
        <v>53.063000000000002</v>
      </c>
      <c r="X77" s="841">
        <f t="shared" si="22"/>
        <v>53</v>
      </c>
      <c r="Y77" s="575">
        <v>0.54500000000000004</v>
      </c>
      <c r="Z77" s="841" t="str">
        <f t="shared" si="23"/>
        <v>less than 1 g</v>
      </c>
      <c r="AA77" s="575">
        <v>0</v>
      </c>
      <c r="AB77" s="575">
        <v>0</v>
      </c>
      <c r="AC77" s="575">
        <v>15.916</v>
      </c>
      <c r="AD77" s="578">
        <v>1.224</v>
      </c>
      <c r="AE77" s="578">
        <v>0.20200000000000001</v>
      </c>
      <c r="AF77" s="578">
        <v>1.123</v>
      </c>
      <c r="AG77" s="578">
        <v>35.097999999999999</v>
      </c>
      <c r="AH77" s="578">
        <v>0.747</v>
      </c>
    </row>
    <row r="78" spans="1:34" s="465" customFormat="1" ht="15" customHeight="1" thickBot="1">
      <c r="A78" s="497" t="s">
        <v>92</v>
      </c>
      <c r="B78" s="478" t="s">
        <v>112</v>
      </c>
      <c r="C78" s="579">
        <v>235.12799999999999</v>
      </c>
      <c r="D78" s="841">
        <f t="shared" si="12"/>
        <v>240</v>
      </c>
      <c r="E78" s="579">
        <v>4.8000000000000001E-2</v>
      </c>
      <c r="F78" s="841">
        <f t="shared" si="13"/>
        <v>0</v>
      </c>
      <c r="G78" s="579">
        <v>2.7120000000000002</v>
      </c>
      <c r="H78" s="835">
        <f t="shared" si="14"/>
        <v>2.5</v>
      </c>
      <c r="I78" s="579">
        <v>2.5150000000000001</v>
      </c>
      <c r="J78" s="835">
        <f t="shared" si="15"/>
        <v>2.5</v>
      </c>
      <c r="K78" s="579">
        <v>0</v>
      </c>
      <c r="L78" s="835">
        <f t="shared" si="16"/>
        <v>0</v>
      </c>
      <c r="M78" s="579">
        <v>0</v>
      </c>
      <c r="N78" s="841">
        <f t="shared" si="17"/>
        <v>0</v>
      </c>
      <c r="O78" s="579">
        <v>55.901000000000003</v>
      </c>
      <c r="P78" s="841">
        <f t="shared" si="18"/>
        <v>55</v>
      </c>
      <c r="Q78" s="579">
        <v>52.886000000000003</v>
      </c>
      <c r="R78" s="841">
        <f t="shared" si="19"/>
        <v>53</v>
      </c>
      <c r="S78" s="579">
        <v>0.80200000000000005</v>
      </c>
      <c r="T78" s="841" t="str">
        <f t="shared" si="20"/>
        <v>less than 1 g</v>
      </c>
      <c r="U78" s="579">
        <v>48.677999999999997</v>
      </c>
      <c r="V78" s="841">
        <f t="shared" si="21"/>
        <v>49</v>
      </c>
      <c r="W78" s="579">
        <v>47.825000000000003</v>
      </c>
      <c r="X78" s="841">
        <f t="shared" si="22"/>
        <v>48</v>
      </c>
      <c r="Y78" s="575">
        <v>0.49199999999999999</v>
      </c>
      <c r="Z78" s="841">
        <f t="shared" si="23"/>
        <v>0</v>
      </c>
      <c r="AA78" s="575">
        <v>0</v>
      </c>
      <c r="AB78" s="575">
        <v>0</v>
      </c>
      <c r="AC78" s="575">
        <v>13.993</v>
      </c>
      <c r="AD78" s="578">
        <v>1.0760000000000001</v>
      </c>
      <c r="AE78" s="578">
        <v>0.317</v>
      </c>
      <c r="AF78" s="578">
        <v>1.762</v>
      </c>
      <c r="AG78" s="578">
        <v>54.972000000000001</v>
      </c>
      <c r="AH78" s="578">
        <v>1.17</v>
      </c>
    </row>
    <row r="79" spans="1:34" s="465" customFormat="1" ht="15" customHeight="1" thickBot="1">
      <c r="A79" s="497" t="s">
        <v>92</v>
      </c>
      <c r="B79" s="478" t="s">
        <v>321</v>
      </c>
      <c r="C79" s="579">
        <v>238.066</v>
      </c>
      <c r="D79" s="841">
        <f t="shared" si="12"/>
        <v>240</v>
      </c>
      <c r="E79" s="579">
        <v>0.57199999999999995</v>
      </c>
      <c r="F79" s="841">
        <f t="shared" si="13"/>
        <v>0</v>
      </c>
      <c r="G79" s="579">
        <v>2.6859999999999999</v>
      </c>
      <c r="H79" s="835">
        <f t="shared" si="14"/>
        <v>2.5</v>
      </c>
      <c r="I79" s="579">
        <v>2.4380000000000002</v>
      </c>
      <c r="J79" s="835">
        <f t="shared" si="15"/>
        <v>2.5</v>
      </c>
      <c r="K79" s="579">
        <v>0</v>
      </c>
      <c r="L79" s="835">
        <f t="shared" si="16"/>
        <v>0</v>
      </c>
      <c r="M79" s="579">
        <v>0</v>
      </c>
      <c r="N79" s="841">
        <f t="shared" si="17"/>
        <v>0</v>
      </c>
      <c r="O79" s="579">
        <v>54.417000000000002</v>
      </c>
      <c r="P79" s="841">
        <f t="shared" si="18"/>
        <v>55</v>
      </c>
      <c r="Q79" s="579">
        <v>53.551000000000002</v>
      </c>
      <c r="R79" s="841">
        <f t="shared" si="19"/>
        <v>54</v>
      </c>
      <c r="S79" s="579">
        <v>0.59199999999999997</v>
      </c>
      <c r="T79" s="841" t="str">
        <f t="shared" si="20"/>
        <v>less than 1 g</v>
      </c>
      <c r="U79" s="579">
        <v>49.615000000000002</v>
      </c>
      <c r="V79" s="841">
        <f t="shared" si="21"/>
        <v>50</v>
      </c>
      <c r="W79" s="579">
        <v>48.779000000000003</v>
      </c>
      <c r="X79" s="841">
        <f t="shared" si="22"/>
        <v>49</v>
      </c>
      <c r="Y79" s="575">
        <v>0.41499999999999998</v>
      </c>
      <c r="Z79" s="841">
        <f t="shared" si="23"/>
        <v>0</v>
      </c>
      <c r="AA79" s="575">
        <v>0</v>
      </c>
      <c r="AB79" s="575">
        <v>0</v>
      </c>
      <c r="AC79" s="575">
        <v>9.6189999999999998</v>
      </c>
      <c r="AD79" s="578">
        <v>0.74</v>
      </c>
      <c r="AE79" s="578">
        <v>0.14199999999999999</v>
      </c>
      <c r="AF79" s="578">
        <v>0.79</v>
      </c>
      <c r="AG79" s="578">
        <v>27.664999999999999</v>
      </c>
      <c r="AH79" s="578">
        <v>0.58899999999999997</v>
      </c>
    </row>
    <row r="80" spans="1:34" s="465" customFormat="1" ht="15" customHeight="1" thickBot="1">
      <c r="A80" s="497" t="s">
        <v>92</v>
      </c>
      <c r="B80" s="478" t="s">
        <v>115</v>
      </c>
      <c r="C80" s="579">
        <v>247.58799999999999</v>
      </c>
      <c r="D80" s="841">
        <f t="shared" si="12"/>
        <v>250</v>
      </c>
      <c r="E80" s="579">
        <v>0</v>
      </c>
      <c r="F80" s="841">
        <f t="shared" si="13"/>
        <v>0</v>
      </c>
      <c r="G80" s="579">
        <v>1.2729999999999999</v>
      </c>
      <c r="H80" s="835">
        <f t="shared" si="14"/>
        <v>1.5</v>
      </c>
      <c r="I80" s="579">
        <v>1.181</v>
      </c>
      <c r="J80" s="835">
        <f t="shared" si="15"/>
        <v>1</v>
      </c>
      <c r="K80" s="579">
        <v>0</v>
      </c>
      <c r="L80" s="835">
        <f t="shared" si="16"/>
        <v>0</v>
      </c>
      <c r="M80" s="579">
        <v>0</v>
      </c>
      <c r="N80" s="841">
        <f t="shared" si="17"/>
        <v>0</v>
      </c>
      <c r="O80" s="579">
        <v>49.19</v>
      </c>
      <c r="P80" s="841">
        <f t="shared" si="18"/>
        <v>50</v>
      </c>
      <c r="Q80" s="579">
        <v>45.606000000000002</v>
      </c>
      <c r="R80" s="841">
        <f t="shared" si="19"/>
        <v>46</v>
      </c>
      <c r="S80" s="579">
        <v>13.510999999999999</v>
      </c>
      <c r="T80" s="841">
        <f t="shared" si="20"/>
        <v>14</v>
      </c>
      <c r="U80" s="714">
        <v>43.543999999999997</v>
      </c>
      <c r="V80" s="841">
        <f t="shared" si="21"/>
        <v>44</v>
      </c>
      <c r="W80" s="714">
        <v>56.945999999999998</v>
      </c>
      <c r="X80" s="841">
        <f t="shared" si="22"/>
        <v>57</v>
      </c>
      <c r="Y80" s="575">
        <v>0.11600000000000001</v>
      </c>
      <c r="Z80" s="841">
        <f t="shared" si="23"/>
        <v>0</v>
      </c>
      <c r="AA80" s="575">
        <v>0</v>
      </c>
      <c r="AB80" s="575">
        <v>0</v>
      </c>
      <c r="AC80" s="575">
        <v>8.1120000000000001</v>
      </c>
      <c r="AD80" s="578">
        <v>0.624</v>
      </c>
      <c r="AE80" s="578">
        <v>7.5999999999999998E-2</v>
      </c>
      <c r="AF80" s="578">
        <v>0.42299999999999999</v>
      </c>
      <c r="AG80" s="578">
        <v>20.733000000000001</v>
      </c>
      <c r="AH80" s="578">
        <v>0.441</v>
      </c>
    </row>
    <row r="81" spans="1:34" s="465" customFormat="1" ht="15" customHeight="1" thickBot="1">
      <c r="A81" s="497" t="s">
        <v>92</v>
      </c>
      <c r="B81" s="478" t="s">
        <v>116</v>
      </c>
      <c r="C81" s="578">
        <v>329.98500000000001</v>
      </c>
      <c r="D81" s="841">
        <f t="shared" si="12"/>
        <v>330</v>
      </c>
      <c r="E81" s="578">
        <v>0</v>
      </c>
      <c r="F81" s="841">
        <f t="shared" si="13"/>
        <v>0</v>
      </c>
      <c r="G81" s="578">
        <v>4</v>
      </c>
      <c r="H81" s="835">
        <f t="shared" si="14"/>
        <v>4</v>
      </c>
      <c r="I81" s="578">
        <v>3.2629999999999999</v>
      </c>
      <c r="J81" s="835">
        <f t="shared" si="15"/>
        <v>3.5</v>
      </c>
      <c r="K81" s="578">
        <v>0</v>
      </c>
      <c r="L81" s="835">
        <f t="shared" si="16"/>
        <v>0</v>
      </c>
      <c r="M81" s="578">
        <v>0</v>
      </c>
      <c r="N81" s="841">
        <f t="shared" si="17"/>
        <v>0</v>
      </c>
      <c r="O81" s="578">
        <v>62.415999999999997</v>
      </c>
      <c r="P81" s="841">
        <f t="shared" si="18"/>
        <v>60</v>
      </c>
      <c r="Q81" s="578">
        <v>74.644999999999996</v>
      </c>
      <c r="R81" s="841">
        <f t="shared" si="19"/>
        <v>75</v>
      </c>
      <c r="S81" s="578">
        <v>0.45500000000000002</v>
      </c>
      <c r="T81" s="841">
        <f t="shared" si="20"/>
        <v>0</v>
      </c>
      <c r="U81" s="578">
        <v>71.137</v>
      </c>
      <c r="V81" s="841">
        <f t="shared" si="21"/>
        <v>71</v>
      </c>
      <c r="W81" s="578">
        <v>70.992999999999995</v>
      </c>
      <c r="X81" s="841">
        <f t="shared" si="22"/>
        <v>71</v>
      </c>
      <c r="Y81" s="578">
        <v>0.5</v>
      </c>
      <c r="Z81" s="841" t="str">
        <f t="shared" si="23"/>
        <v>less than 1 g</v>
      </c>
      <c r="AA81" s="578">
        <v>0</v>
      </c>
      <c r="AB81" s="578">
        <v>0</v>
      </c>
      <c r="AC81" s="578">
        <v>10.260999999999999</v>
      </c>
      <c r="AD81" s="578">
        <v>0.78900000000000003</v>
      </c>
      <c r="AE81" s="578">
        <v>0.75900000000000001</v>
      </c>
      <c r="AF81" s="578">
        <v>4.2190000000000003</v>
      </c>
      <c r="AG81" s="578">
        <v>42.05</v>
      </c>
      <c r="AH81" s="578">
        <v>0.89500000000000002</v>
      </c>
    </row>
    <row r="82" spans="1:34" s="465" customFormat="1" ht="15" customHeight="1" thickBot="1">
      <c r="A82" s="497" t="s">
        <v>92</v>
      </c>
      <c r="B82" s="478" t="s">
        <v>322</v>
      </c>
      <c r="C82" s="554">
        <v>290.41699999999997</v>
      </c>
      <c r="D82" s="841">
        <f t="shared" si="12"/>
        <v>290</v>
      </c>
      <c r="E82" s="554">
        <v>0</v>
      </c>
      <c r="F82" s="841">
        <f t="shared" si="13"/>
        <v>0</v>
      </c>
      <c r="G82" s="554">
        <v>2.6269999999999998</v>
      </c>
      <c r="H82" s="835">
        <f t="shared" si="14"/>
        <v>2.5</v>
      </c>
      <c r="I82" s="554">
        <v>2.4359999999999999</v>
      </c>
      <c r="J82" s="835">
        <f t="shared" si="15"/>
        <v>2.5</v>
      </c>
      <c r="K82" s="554">
        <v>0</v>
      </c>
      <c r="L82" s="835">
        <f t="shared" si="16"/>
        <v>0</v>
      </c>
      <c r="M82" s="554">
        <v>0</v>
      </c>
      <c r="N82" s="841">
        <f t="shared" si="17"/>
        <v>0</v>
      </c>
      <c r="O82" s="554">
        <v>51.619</v>
      </c>
      <c r="P82" s="841">
        <f t="shared" si="18"/>
        <v>50</v>
      </c>
      <c r="Q82" s="554">
        <v>67.230999999999995</v>
      </c>
      <c r="R82" s="841">
        <f t="shared" si="19"/>
        <v>67</v>
      </c>
      <c r="S82" s="554">
        <v>8.9999999999999993E-3</v>
      </c>
      <c r="T82" s="841">
        <f t="shared" si="20"/>
        <v>0</v>
      </c>
      <c r="U82" s="554">
        <v>64.228999999999999</v>
      </c>
      <c r="V82" s="841">
        <f t="shared" si="21"/>
        <v>64</v>
      </c>
      <c r="W82" s="554">
        <v>64.067999999999998</v>
      </c>
      <c r="X82" s="841">
        <f t="shared" si="22"/>
        <v>64</v>
      </c>
      <c r="Y82" s="554">
        <v>0.23899999999999999</v>
      </c>
      <c r="Z82" s="841">
        <f t="shared" si="23"/>
        <v>0</v>
      </c>
      <c r="AA82" s="554">
        <v>0</v>
      </c>
      <c r="AB82" s="554">
        <v>0</v>
      </c>
      <c r="AC82" s="554">
        <v>6.7880000000000003</v>
      </c>
      <c r="AD82" s="554">
        <v>0.52200000000000002</v>
      </c>
      <c r="AE82" s="554">
        <v>6.4000000000000001E-2</v>
      </c>
      <c r="AF82" s="554">
        <v>0.35499999999999998</v>
      </c>
      <c r="AG82" s="554">
        <v>6.8129999999999997</v>
      </c>
      <c r="AH82" s="554">
        <v>0.14499999999999999</v>
      </c>
    </row>
    <row r="83" spans="1:34" s="465" customFormat="1" ht="15" customHeight="1" thickBot="1">
      <c r="A83" s="497" t="s">
        <v>92</v>
      </c>
      <c r="B83" s="478" t="s">
        <v>118</v>
      </c>
      <c r="C83" s="714">
        <v>322.87900000000002</v>
      </c>
      <c r="D83" s="841">
        <f t="shared" si="12"/>
        <v>320</v>
      </c>
      <c r="E83" s="714">
        <v>18.728000000000002</v>
      </c>
      <c r="F83" s="841">
        <f t="shared" si="13"/>
        <v>20</v>
      </c>
      <c r="G83" s="714">
        <v>4.7439999999999998</v>
      </c>
      <c r="H83" s="835">
        <f t="shared" si="14"/>
        <v>4.5</v>
      </c>
      <c r="I83" s="714">
        <v>3.8069999999999999</v>
      </c>
      <c r="J83" s="835">
        <f t="shared" si="15"/>
        <v>4</v>
      </c>
      <c r="K83" s="714">
        <v>1E-3</v>
      </c>
      <c r="L83" s="835">
        <f t="shared" si="16"/>
        <v>0</v>
      </c>
      <c r="M83" s="714">
        <v>5.1520000000000001</v>
      </c>
      <c r="N83" s="841">
        <f t="shared" si="17"/>
        <v>5</v>
      </c>
      <c r="O83" s="714">
        <v>70.5</v>
      </c>
      <c r="P83" s="841">
        <f t="shared" si="18"/>
        <v>70</v>
      </c>
      <c r="Q83" s="714">
        <v>70.290000000000006</v>
      </c>
      <c r="R83" s="841">
        <f t="shared" si="19"/>
        <v>70</v>
      </c>
      <c r="S83" s="714">
        <v>0.154</v>
      </c>
      <c r="T83" s="841">
        <f t="shared" si="20"/>
        <v>0</v>
      </c>
      <c r="U83" s="714">
        <v>63.780999999999999</v>
      </c>
      <c r="V83" s="841">
        <f t="shared" si="21"/>
        <v>64</v>
      </c>
      <c r="W83" s="714">
        <v>62.09</v>
      </c>
      <c r="X83" s="841">
        <f t="shared" si="22"/>
        <v>62</v>
      </c>
      <c r="Y83" s="714">
        <v>0.627</v>
      </c>
      <c r="Z83" s="841" t="str">
        <f t="shared" si="23"/>
        <v>less than 1 g</v>
      </c>
      <c r="AA83" s="714">
        <v>0</v>
      </c>
      <c r="AB83" s="714">
        <v>0</v>
      </c>
      <c r="AC83" s="714">
        <v>18.466999999999999</v>
      </c>
      <c r="AD83" s="714">
        <v>1.421</v>
      </c>
      <c r="AE83" s="714">
        <v>0.13500000000000001</v>
      </c>
      <c r="AF83" s="714">
        <v>0.753</v>
      </c>
      <c r="AG83" s="714">
        <v>25.818999999999999</v>
      </c>
      <c r="AH83" s="714">
        <v>0.54900000000000004</v>
      </c>
    </row>
    <row r="84" spans="1:34" s="465" customFormat="1" ht="15" customHeight="1" thickBot="1">
      <c r="A84" s="497" t="s">
        <v>92</v>
      </c>
      <c r="B84" s="478" t="s">
        <v>183</v>
      </c>
      <c r="C84" s="579">
        <v>212.82300000000001</v>
      </c>
      <c r="D84" s="841">
        <f t="shared" si="12"/>
        <v>210</v>
      </c>
      <c r="E84" s="579">
        <v>0.41199999999999998</v>
      </c>
      <c r="F84" s="841">
        <f t="shared" si="13"/>
        <v>0</v>
      </c>
      <c r="G84" s="579">
        <v>3.04</v>
      </c>
      <c r="H84" s="835">
        <f t="shared" si="14"/>
        <v>3</v>
      </c>
      <c r="I84" s="579">
        <v>2.8109999999999999</v>
      </c>
      <c r="J84" s="835">
        <f t="shared" si="15"/>
        <v>3</v>
      </c>
      <c r="K84" s="579">
        <v>1E-3</v>
      </c>
      <c r="L84" s="835">
        <f t="shared" si="16"/>
        <v>0</v>
      </c>
      <c r="M84" s="579">
        <v>0</v>
      </c>
      <c r="N84" s="841">
        <f t="shared" si="17"/>
        <v>0</v>
      </c>
      <c r="O84" s="579">
        <v>66.025999999999996</v>
      </c>
      <c r="P84" s="841">
        <f t="shared" si="18"/>
        <v>65</v>
      </c>
      <c r="Q84" s="579">
        <v>45.938000000000002</v>
      </c>
      <c r="R84" s="841">
        <f t="shared" si="19"/>
        <v>46</v>
      </c>
      <c r="S84" s="579">
        <v>0.26100000000000001</v>
      </c>
      <c r="T84" s="841">
        <f t="shared" si="20"/>
        <v>0</v>
      </c>
      <c r="U84" s="579">
        <v>41.640999999999998</v>
      </c>
      <c r="V84" s="841">
        <f t="shared" si="21"/>
        <v>42</v>
      </c>
      <c r="W84" s="579">
        <v>39.923999999999999</v>
      </c>
      <c r="X84" s="841">
        <f t="shared" si="22"/>
        <v>40</v>
      </c>
      <c r="Y84" s="1160">
        <v>0.41599999999999998</v>
      </c>
      <c r="Z84" s="841">
        <f t="shared" si="23"/>
        <v>0</v>
      </c>
      <c r="AA84" s="575">
        <v>0</v>
      </c>
      <c r="AB84" s="575">
        <v>0</v>
      </c>
      <c r="AC84" s="575">
        <v>8.2859999999999996</v>
      </c>
      <c r="AD84" s="575">
        <v>0.63700000000000001</v>
      </c>
      <c r="AE84" s="578">
        <v>0.129</v>
      </c>
      <c r="AF84" s="578">
        <v>0.71799999999999997</v>
      </c>
      <c r="AG84" s="578">
        <v>41.651000000000003</v>
      </c>
      <c r="AH84" s="578">
        <v>0.88600000000000001</v>
      </c>
    </row>
    <row r="85" spans="1:34" s="465" customFormat="1" ht="15" customHeight="1" thickBot="1">
      <c r="A85" s="497" t="s">
        <v>92</v>
      </c>
      <c r="B85" s="478" t="s">
        <v>323</v>
      </c>
      <c r="C85" s="554">
        <v>282.90100000000001</v>
      </c>
      <c r="D85" s="841">
        <f t="shared" si="12"/>
        <v>280</v>
      </c>
      <c r="E85" s="554">
        <v>4.3999999999999997E-2</v>
      </c>
      <c r="F85" s="841">
        <f t="shared" si="13"/>
        <v>0</v>
      </c>
      <c r="G85" s="554">
        <v>2.71</v>
      </c>
      <c r="H85" s="835">
        <f t="shared" si="14"/>
        <v>2.5</v>
      </c>
      <c r="I85" s="554">
        <v>2.5089999999999999</v>
      </c>
      <c r="J85" s="835">
        <f t="shared" si="15"/>
        <v>2.5</v>
      </c>
      <c r="K85" s="554">
        <v>0</v>
      </c>
      <c r="L85" s="835">
        <f t="shared" si="16"/>
        <v>0</v>
      </c>
      <c r="M85" s="554">
        <v>0</v>
      </c>
      <c r="N85" s="841">
        <f t="shared" si="17"/>
        <v>0</v>
      </c>
      <c r="O85" s="554">
        <v>55.462000000000003</v>
      </c>
      <c r="P85" s="841">
        <f t="shared" si="18"/>
        <v>55</v>
      </c>
      <c r="Q85" s="554">
        <v>65.147999999999996</v>
      </c>
      <c r="R85" s="841">
        <f t="shared" si="19"/>
        <v>65</v>
      </c>
      <c r="S85" s="554">
        <v>0.10299999999999999</v>
      </c>
      <c r="T85" s="841">
        <f t="shared" si="20"/>
        <v>0</v>
      </c>
      <c r="U85" s="554">
        <v>61.668999999999997</v>
      </c>
      <c r="V85" s="841">
        <f t="shared" si="21"/>
        <v>62</v>
      </c>
      <c r="W85" s="554">
        <v>60.584000000000003</v>
      </c>
      <c r="X85" s="841">
        <f t="shared" si="22"/>
        <v>61</v>
      </c>
      <c r="Y85" s="554">
        <v>0.28799999999999998</v>
      </c>
      <c r="Z85" s="841">
        <f t="shared" si="23"/>
        <v>0</v>
      </c>
      <c r="AA85" s="554">
        <v>0</v>
      </c>
      <c r="AB85" s="554">
        <v>0</v>
      </c>
      <c r="AC85" s="554">
        <v>7.5190000000000001</v>
      </c>
      <c r="AD85" s="554">
        <v>0.57799999999999996</v>
      </c>
      <c r="AE85" s="554">
        <v>0.10100000000000001</v>
      </c>
      <c r="AF85" s="554">
        <v>0.56100000000000005</v>
      </c>
      <c r="AG85" s="554">
        <v>13.896000000000001</v>
      </c>
      <c r="AH85" s="554">
        <v>0.29599999999999999</v>
      </c>
    </row>
    <row r="86" spans="1:34" s="465" customFormat="1" ht="15" customHeight="1" thickBot="1">
      <c r="A86" s="497" t="s">
        <v>92</v>
      </c>
      <c r="B86" s="475" t="s">
        <v>120</v>
      </c>
      <c r="C86" s="578">
        <v>292.61399999999998</v>
      </c>
      <c r="D86" s="841">
        <f t="shared" si="12"/>
        <v>290</v>
      </c>
      <c r="E86" s="578">
        <v>19.352</v>
      </c>
      <c r="F86" s="841">
        <f t="shared" si="13"/>
        <v>20</v>
      </c>
      <c r="G86" s="578">
        <v>4.8330000000000002</v>
      </c>
      <c r="H86" s="835">
        <f t="shared" si="14"/>
        <v>5</v>
      </c>
      <c r="I86" s="578">
        <v>3.7690000000000001</v>
      </c>
      <c r="J86" s="835">
        <f t="shared" si="15"/>
        <v>4</v>
      </c>
      <c r="K86" s="578">
        <v>0</v>
      </c>
      <c r="L86" s="835">
        <f t="shared" si="16"/>
        <v>0</v>
      </c>
      <c r="M86" s="578">
        <v>0</v>
      </c>
      <c r="N86" s="841">
        <f t="shared" si="17"/>
        <v>0</v>
      </c>
      <c r="O86" s="578">
        <v>61.405000000000001</v>
      </c>
      <c r="P86" s="841">
        <f t="shared" si="18"/>
        <v>60</v>
      </c>
      <c r="Q86" s="578">
        <v>73.685000000000002</v>
      </c>
      <c r="R86" s="841">
        <f t="shared" si="19"/>
        <v>74</v>
      </c>
      <c r="S86" s="578">
        <v>0.629</v>
      </c>
      <c r="T86" s="841" t="str">
        <f t="shared" si="20"/>
        <v>less than 1 g</v>
      </c>
      <c r="U86" s="578">
        <v>68.766999999999996</v>
      </c>
      <c r="V86" s="841">
        <f t="shared" si="21"/>
        <v>69</v>
      </c>
      <c r="W86" s="578">
        <v>63.76</v>
      </c>
      <c r="X86" s="841">
        <f t="shared" si="22"/>
        <v>64</v>
      </c>
      <c r="Y86" s="578">
        <v>0.68200000000000005</v>
      </c>
      <c r="Z86" s="841" t="str">
        <f t="shared" si="23"/>
        <v>less than 1 g</v>
      </c>
      <c r="AA86" s="578">
        <v>1.7999999999999999E-2</v>
      </c>
      <c r="AB86" s="578">
        <v>0.09</v>
      </c>
      <c r="AC86" s="578">
        <v>10.733000000000001</v>
      </c>
      <c r="AD86" s="578">
        <v>0.82599999999999996</v>
      </c>
      <c r="AE86" s="578">
        <v>0.76200000000000001</v>
      </c>
      <c r="AF86" s="578">
        <v>4.2320000000000002</v>
      </c>
      <c r="AG86" s="578">
        <v>49.887999999999998</v>
      </c>
      <c r="AH86" s="578">
        <v>1.0609999999999999</v>
      </c>
    </row>
    <row r="87" spans="1:34" s="465" customFormat="1" ht="15" customHeight="1" thickBot="1">
      <c r="A87" s="497" t="s">
        <v>325</v>
      </c>
      <c r="B87" s="484" t="s">
        <v>122</v>
      </c>
      <c r="C87" s="579">
        <v>110.96599999999999</v>
      </c>
      <c r="D87" s="841">
        <f t="shared" si="12"/>
        <v>110</v>
      </c>
      <c r="E87" s="579">
        <v>6.6000000000000003E-2</v>
      </c>
      <c r="F87" s="841">
        <f t="shared" si="13"/>
        <v>0</v>
      </c>
      <c r="G87" s="579">
        <v>7.0000000000000001E-3</v>
      </c>
      <c r="H87" s="835">
        <f t="shared" si="14"/>
        <v>0</v>
      </c>
      <c r="I87" s="579">
        <v>7.0000000000000001E-3</v>
      </c>
      <c r="J87" s="835">
        <f t="shared" si="15"/>
        <v>0</v>
      </c>
      <c r="K87" s="579">
        <v>0</v>
      </c>
      <c r="L87" s="835">
        <f t="shared" si="16"/>
        <v>0</v>
      </c>
      <c r="M87" s="579">
        <v>0</v>
      </c>
      <c r="N87" s="841">
        <f t="shared" si="17"/>
        <v>0</v>
      </c>
      <c r="O87" s="579">
        <v>22.5</v>
      </c>
      <c r="P87" s="841">
        <f t="shared" si="18"/>
        <v>25</v>
      </c>
      <c r="Q87" s="579">
        <v>38.950000000000003</v>
      </c>
      <c r="R87" s="841">
        <f t="shared" si="19"/>
        <v>39</v>
      </c>
      <c r="S87" s="579">
        <v>2.8000000000000001E-2</v>
      </c>
      <c r="T87" s="841">
        <f t="shared" si="20"/>
        <v>0</v>
      </c>
      <c r="U87" s="579">
        <v>7.6999999999999999E-2</v>
      </c>
      <c r="V87" s="841">
        <f t="shared" si="21"/>
        <v>0</v>
      </c>
      <c r="W87" s="579">
        <v>0</v>
      </c>
      <c r="X87" s="841">
        <f t="shared" si="22"/>
        <v>0</v>
      </c>
      <c r="Y87" s="579">
        <v>0.314</v>
      </c>
      <c r="Z87" s="841">
        <f t="shared" si="23"/>
        <v>0</v>
      </c>
      <c r="AA87" s="579">
        <v>0</v>
      </c>
      <c r="AB87" s="579">
        <v>0</v>
      </c>
      <c r="AC87" s="579">
        <v>11.795999999999999</v>
      </c>
      <c r="AD87" s="578">
        <v>0.90700000000000003</v>
      </c>
      <c r="AE87" s="578">
        <v>4.9000000000000002E-2</v>
      </c>
      <c r="AF87" s="578">
        <v>0.27500000000000002</v>
      </c>
      <c r="AG87" s="578">
        <v>15.949</v>
      </c>
      <c r="AH87" s="578">
        <v>0.33900000000000002</v>
      </c>
    </row>
    <row r="88" spans="1:34" s="465" customFormat="1" ht="15" customHeight="1" thickBot="1">
      <c r="A88" s="497" t="s">
        <v>325</v>
      </c>
      <c r="B88" s="484" t="s">
        <v>123</v>
      </c>
      <c r="C88" s="714">
        <v>111.083</v>
      </c>
      <c r="D88" s="841">
        <f t="shared" si="12"/>
        <v>110</v>
      </c>
      <c r="E88" s="714">
        <v>6.5000000000000002E-2</v>
      </c>
      <c r="F88" s="841">
        <f t="shared" si="13"/>
        <v>0</v>
      </c>
      <c r="G88" s="714">
        <v>7.0000000000000001E-3</v>
      </c>
      <c r="H88" s="835">
        <f t="shared" si="14"/>
        <v>0</v>
      </c>
      <c r="I88" s="714">
        <v>7.0000000000000001E-3</v>
      </c>
      <c r="J88" s="835">
        <f t="shared" si="15"/>
        <v>0</v>
      </c>
      <c r="K88" s="714">
        <v>0</v>
      </c>
      <c r="L88" s="835">
        <f t="shared" si="16"/>
        <v>0</v>
      </c>
      <c r="M88" s="714">
        <v>0</v>
      </c>
      <c r="N88" s="841">
        <f t="shared" si="17"/>
        <v>0</v>
      </c>
      <c r="O88" s="714">
        <v>23.777999999999999</v>
      </c>
      <c r="P88" s="841">
        <f t="shared" si="18"/>
        <v>25</v>
      </c>
      <c r="Q88" s="714">
        <v>38.881</v>
      </c>
      <c r="R88" s="841">
        <f t="shared" si="19"/>
        <v>39</v>
      </c>
      <c r="S88" s="714">
        <v>7.0000000000000001E-3</v>
      </c>
      <c r="T88" s="841">
        <f t="shared" si="20"/>
        <v>0</v>
      </c>
      <c r="U88" s="714">
        <v>7.7999999999999996E-3</v>
      </c>
      <c r="V88" s="841">
        <f t="shared" si="21"/>
        <v>0</v>
      </c>
      <c r="W88" s="714">
        <v>0</v>
      </c>
      <c r="X88" s="841">
        <f t="shared" si="22"/>
        <v>0</v>
      </c>
      <c r="Y88" s="714">
        <v>2.3E-2</v>
      </c>
      <c r="Z88" s="841">
        <f t="shared" si="23"/>
        <v>0</v>
      </c>
      <c r="AA88" s="714">
        <v>0</v>
      </c>
      <c r="AB88" s="714">
        <v>0</v>
      </c>
      <c r="AC88" s="714">
        <v>11.8</v>
      </c>
      <c r="AD88" s="715">
        <v>0.90800000000000003</v>
      </c>
      <c r="AE88" s="715">
        <v>0.05</v>
      </c>
      <c r="AF88" s="715">
        <v>0.27600000000000002</v>
      </c>
      <c r="AG88" s="715">
        <v>22.123999999999999</v>
      </c>
      <c r="AH88" s="715">
        <v>0.47099999999999997</v>
      </c>
    </row>
    <row r="89" spans="1:34" s="465" customFormat="1" ht="15" customHeight="1" thickBot="1">
      <c r="A89" s="497" t="s">
        <v>325</v>
      </c>
      <c r="B89" s="484" t="s">
        <v>395</v>
      </c>
      <c r="C89" s="579">
        <v>110.215</v>
      </c>
      <c r="D89" s="841">
        <f t="shared" si="12"/>
        <v>110</v>
      </c>
      <c r="E89" s="579">
        <v>7.9000000000000001E-2</v>
      </c>
      <c r="F89" s="841">
        <f t="shared" si="13"/>
        <v>0</v>
      </c>
      <c r="G89" s="579">
        <v>8.9999999999999993E-3</v>
      </c>
      <c r="H89" s="835">
        <f t="shared" si="14"/>
        <v>0</v>
      </c>
      <c r="I89" s="579">
        <v>7.0000000000000001E-3</v>
      </c>
      <c r="J89" s="835">
        <f t="shared" si="15"/>
        <v>0</v>
      </c>
      <c r="K89" s="579">
        <v>0</v>
      </c>
      <c r="L89" s="835">
        <f t="shared" si="16"/>
        <v>0</v>
      </c>
      <c r="M89" s="579">
        <v>0</v>
      </c>
      <c r="N89" s="841">
        <f t="shared" si="17"/>
        <v>0</v>
      </c>
      <c r="O89" s="579">
        <v>23.039000000000001</v>
      </c>
      <c r="P89" s="841">
        <f t="shared" si="18"/>
        <v>25</v>
      </c>
      <c r="Q89" s="579">
        <v>38.426000000000002</v>
      </c>
      <c r="R89" s="841">
        <f t="shared" si="19"/>
        <v>38</v>
      </c>
      <c r="S89" s="579">
        <v>1.4999999999999999E-2</v>
      </c>
      <c r="T89" s="841">
        <f t="shared" si="20"/>
        <v>0</v>
      </c>
      <c r="U89" s="579">
        <v>0.13700000000000001</v>
      </c>
      <c r="V89" s="841">
        <f t="shared" si="21"/>
        <v>0</v>
      </c>
      <c r="W89" s="579">
        <v>0</v>
      </c>
      <c r="X89" s="841">
        <f t="shared" si="22"/>
        <v>0</v>
      </c>
      <c r="Y89" s="579">
        <v>1.2E-2</v>
      </c>
      <c r="Z89" s="841">
        <f t="shared" si="23"/>
        <v>0</v>
      </c>
      <c r="AA89" s="579">
        <v>0</v>
      </c>
      <c r="AB89" s="579">
        <v>0</v>
      </c>
      <c r="AC89" s="579">
        <v>11.779</v>
      </c>
      <c r="AD89" s="578">
        <v>0.90600000000000003</v>
      </c>
      <c r="AE89" s="578">
        <v>0.06</v>
      </c>
      <c r="AF89" s="578">
        <v>0.33400000000000002</v>
      </c>
      <c r="AG89" s="578">
        <v>20.995999999999999</v>
      </c>
      <c r="AH89" s="578">
        <v>0.44700000000000001</v>
      </c>
    </row>
    <row r="90" spans="1:34" s="465" customFormat="1" ht="29.6" thickBot="1">
      <c r="A90" s="497" t="s">
        <v>325</v>
      </c>
      <c r="B90" s="484" t="s">
        <v>124</v>
      </c>
      <c r="C90" s="579">
        <v>106.23099999999999</v>
      </c>
      <c r="D90" s="841">
        <f t="shared" si="12"/>
        <v>110</v>
      </c>
      <c r="E90" s="579">
        <v>0.09</v>
      </c>
      <c r="F90" s="841">
        <f t="shared" si="13"/>
        <v>0</v>
      </c>
      <c r="G90" s="579">
        <v>0.01</v>
      </c>
      <c r="H90" s="835">
        <f t="shared" si="14"/>
        <v>0</v>
      </c>
      <c r="I90" s="579">
        <v>7.0000000000000001E-3</v>
      </c>
      <c r="J90" s="835">
        <f t="shared" si="15"/>
        <v>0</v>
      </c>
      <c r="K90" s="579">
        <v>0</v>
      </c>
      <c r="L90" s="835">
        <f t="shared" si="16"/>
        <v>0</v>
      </c>
      <c r="M90" s="579">
        <v>0</v>
      </c>
      <c r="N90" s="841">
        <f t="shared" si="17"/>
        <v>0</v>
      </c>
      <c r="O90" s="579">
        <v>21.998000000000001</v>
      </c>
      <c r="P90" s="841">
        <f t="shared" si="18"/>
        <v>20</v>
      </c>
      <c r="Q90" s="579">
        <v>36.889000000000003</v>
      </c>
      <c r="R90" s="841">
        <f t="shared" si="19"/>
        <v>37</v>
      </c>
      <c r="S90" s="579">
        <v>2.1999999999999999E-2</v>
      </c>
      <c r="T90" s="841">
        <f t="shared" si="20"/>
        <v>0</v>
      </c>
      <c r="U90" s="579">
        <v>0.19</v>
      </c>
      <c r="V90" s="841">
        <f t="shared" si="21"/>
        <v>0</v>
      </c>
      <c r="W90" s="579">
        <v>0</v>
      </c>
      <c r="X90" s="841">
        <f t="shared" si="22"/>
        <v>0</v>
      </c>
      <c r="Y90" s="579">
        <v>0</v>
      </c>
      <c r="Z90" s="841">
        <f t="shared" si="23"/>
        <v>0</v>
      </c>
      <c r="AA90" s="579">
        <v>0</v>
      </c>
      <c r="AB90" s="579">
        <v>0</v>
      </c>
      <c r="AC90" s="579">
        <v>11.673</v>
      </c>
      <c r="AD90" s="578">
        <v>0.89800000000000002</v>
      </c>
      <c r="AE90" s="578">
        <v>6.9000000000000006E-2</v>
      </c>
      <c r="AF90" s="578">
        <v>0.38100000000000001</v>
      </c>
      <c r="AG90" s="578">
        <v>19.302</v>
      </c>
      <c r="AH90" s="578">
        <v>0.41099999999999998</v>
      </c>
    </row>
    <row r="91" spans="1:34" s="465" customFormat="1" ht="18.75" customHeight="1" thickBot="1">
      <c r="A91" s="497" t="s">
        <v>325</v>
      </c>
      <c r="B91" s="484" t="s">
        <v>335</v>
      </c>
      <c r="C91" s="579">
        <v>146.005</v>
      </c>
      <c r="D91" s="841">
        <f t="shared" si="12"/>
        <v>150</v>
      </c>
      <c r="E91" s="579">
        <v>0</v>
      </c>
      <c r="F91" s="841">
        <f t="shared" si="13"/>
        <v>0</v>
      </c>
      <c r="G91" s="579">
        <v>0</v>
      </c>
      <c r="H91" s="835">
        <f t="shared" si="14"/>
        <v>0</v>
      </c>
      <c r="I91" s="579">
        <v>0</v>
      </c>
      <c r="J91" s="835">
        <f t="shared" si="15"/>
        <v>0</v>
      </c>
      <c r="K91" s="579">
        <v>0</v>
      </c>
      <c r="L91" s="835">
        <f t="shared" si="16"/>
        <v>0</v>
      </c>
      <c r="M91" s="579">
        <v>0</v>
      </c>
      <c r="N91" s="841">
        <f t="shared" si="17"/>
        <v>0</v>
      </c>
      <c r="O91" s="579">
        <v>22.683</v>
      </c>
      <c r="P91" s="841">
        <f t="shared" si="18"/>
        <v>25</v>
      </c>
      <c r="Q91" s="579">
        <v>38.197000000000003</v>
      </c>
      <c r="R91" s="841">
        <f t="shared" si="19"/>
        <v>38</v>
      </c>
      <c r="S91" s="579">
        <v>0.25900000000000001</v>
      </c>
      <c r="T91" s="841">
        <f t="shared" si="20"/>
        <v>0</v>
      </c>
      <c r="U91" s="579">
        <v>0</v>
      </c>
      <c r="V91" s="841">
        <f t="shared" si="21"/>
        <v>0</v>
      </c>
      <c r="W91" s="579">
        <v>0</v>
      </c>
      <c r="X91" s="841">
        <f t="shared" si="22"/>
        <v>0</v>
      </c>
      <c r="Y91" s="579">
        <v>2.5000000000000001E-2</v>
      </c>
      <c r="Z91" s="841">
        <f t="shared" si="23"/>
        <v>0</v>
      </c>
      <c r="AA91" s="579">
        <v>0</v>
      </c>
      <c r="AB91" s="579">
        <v>0</v>
      </c>
      <c r="AC91" s="579">
        <v>8.0419999999999998</v>
      </c>
      <c r="AD91" s="578">
        <v>0.61899999999999999</v>
      </c>
      <c r="AE91" s="578">
        <v>3.3000000000000002E-2</v>
      </c>
      <c r="AF91" s="578">
        <v>0.186</v>
      </c>
      <c r="AG91" s="578">
        <v>4.8540000000000001</v>
      </c>
      <c r="AH91" s="578">
        <v>0.10299999999999999</v>
      </c>
    </row>
    <row r="92" spans="1:34" s="465" customFormat="1" ht="18.75" customHeight="1" thickBot="1">
      <c r="A92" s="497" t="s">
        <v>325</v>
      </c>
      <c r="B92" s="484" t="s">
        <v>127</v>
      </c>
      <c r="C92" s="579">
        <v>112.218</v>
      </c>
      <c r="D92" s="841">
        <f t="shared" si="12"/>
        <v>110</v>
      </c>
      <c r="E92" s="579">
        <v>6.6000000000000003E-2</v>
      </c>
      <c r="F92" s="841">
        <f t="shared" si="13"/>
        <v>0</v>
      </c>
      <c r="G92" s="579">
        <v>7.0000000000000001E-3</v>
      </c>
      <c r="H92" s="835">
        <f t="shared" si="14"/>
        <v>0</v>
      </c>
      <c r="I92" s="579">
        <v>0</v>
      </c>
      <c r="J92" s="835">
        <f t="shared" si="15"/>
        <v>0</v>
      </c>
      <c r="K92" s="579">
        <v>0</v>
      </c>
      <c r="L92" s="835">
        <f t="shared" si="16"/>
        <v>0</v>
      </c>
      <c r="M92" s="579">
        <v>0</v>
      </c>
      <c r="N92" s="841">
        <f t="shared" si="17"/>
        <v>0</v>
      </c>
      <c r="O92" s="579">
        <v>33.654000000000003</v>
      </c>
      <c r="P92" s="841">
        <f t="shared" si="18"/>
        <v>35</v>
      </c>
      <c r="Q92" s="579">
        <v>38.756</v>
      </c>
      <c r="R92" s="841">
        <f t="shared" si="19"/>
        <v>39</v>
      </c>
      <c r="S92" s="579">
        <v>0</v>
      </c>
      <c r="T92" s="841">
        <f t="shared" si="20"/>
        <v>0</v>
      </c>
      <c r="U92" s="579">
        <v>7.6999999999999999E-2</v>
      </c>
      <c r="V92" s="841">
        <f t="shared" si="21"/>
        <v>0</v>
      </c>
      <c r="W92" s="579">
        <v>0</v>
      </c>
      <c r="X92" s="841">
        <f t="shared" si="22"/>
        <v>0</v>
      </c>
      <c r="Y92" s="579">
        <v>1.2E-2</v>
      </c>
      <c r="Z92" s="841">
        <f t="shared" si="23"/>
        <v>0</v>
      </c>
      <c r="AA92" s="579">
        <v>0</v>
      </c>
      <c r="AB92" s="579">
        <v>0</v>
      </c>
      <c r="AC92" s="579">
        <v>7.52</v>
      </c>
      <c r="AD92" s="578">
        <v>0.57799999999999996</v>
      </c>
      <c r="AE92" s="578">
        <v>4.9000000000000002E-2</v>
      </c>
      <c r="AF92" s="578">
        <v>0.27500000000000002</v>
      </c>
      <c r="AG92" s="578">
        <v>21.591999999999999</v>
      </c>
      <c r="AH92" s="578">
        <v>0.45900000000000002</v>
      </c>
    </row>
    <row r="93" spans="1:34" s="465" customFormat="1" ht="18.75" customHeight="1" thickBot="1">
      <c r="A93" s="497" t="s">
        <v>396</v>
      </c>
      <c r="B93" s="526" t="s">
        <v>129</v>
      </c>
      <c r="C93" s="714">
        <v>146.86799999999999</v>
      </c>
      <c r="D93" s="841">
        <f t="shared" si="12"/>
        <v>150</v>
      </c>
      <c r="E93" s="714">
        <v>62.942999999999998</v>
      </c>
      <c r="F93" s="841">
        <f t="shared" si="13"/>
        <v>60</v>
      </c>
      <c r="G93" s="714">
        <v>6.9939999999999998</v>
      </c>
      <c r="H93" s="835">
        <f t="shared" si="14"/>
        <v>7</v>
      </c>
      <c r="I93" s="714">
        <v>4.1959999999999997</v>
      </c>
      <c r="J93" s="835">
        <f t="shared" si="15"/>
        <v>4</v>
      </c>
      <c r="K93" s="714">
        <v>0</v>
      </c>
      <c r="L93" s="835">
        <f t="shared" si="16"/>
        <v>0</v>
      </c>
      <c r="M93" s="714">
        <v>38.465000000000003</v>
      </c>
      <c r="N93" s="841">
        <f t="shared" si="17"/>
        <v>40</v>
      </c>
      <c r="O93" s="714">
        <v>80.427999999999997</v>
      </c>
      <c r="P93" s="841">
        <f t="shared" si="18"/>
        <v>80</v>
      </c>
      <c r="Q93" s="714">
        <v>18.882999999999999</v>
      </c>
      <c r="R93" s="841">
        <f t="shared" si="19"/>
        <v>19</v>
      </c>
      <c r="S93" s="714">
        <v>0</v>
      </c>
      <c r="T93" s="841">
        <f t="shared" si="20"/>
        <v>0</v>
      </c>
      <c r="U93" s="714">
        <v>14.686999999999999</v>
      </c>
      <c r="V93" s="841">
        <f t="shared" si="21"/>
        <v>15</v>
      </c>
      <c r="W93" s="714">
        <v>0</v>
      </c>
      <c r="X93" s="841">
        <f t="shared" si="22"/>
        <v>0</v>
      </c>
      <c r="Y93" s="714">
        <v>2.7970000000000002</v>
      </c>
      <c r="Z93" s="841">
        <f t="shared" si="23"/>
        <v>3</v>
      </c>
      <c r="AA93" s="714">
        <v>0</v>
      </c>
      <c r="AB93" s="714">
        <v>0</v>
      </c>
      <c r="AC93" s="714">
        <v>90.918000000000006</v>
      </c>
      <c r="AD93" s="714">
        <v>6.9939999999999998</v>
      </c>
      <c r="AE93" s="714">
        <v>0.755</v>
      </c>
      <c r="AF93" s="714">
        <v>4.1959999999999997</v>
      </c>
      <c r="AG93" s="714">
        <v>0</v>
      </c>
      <c r="AH93" s="714">
        <v>0</v>
      </c>
    </row>
    <row r="94" spans="1:34" s="465" customFormat="1" ht="18.45">
      <c r="A94" s="497" t="s">
        <v>396</v>
      </c>
      <c r="B94" s="527" t="s">
        <v>130</v>
      </c>
      <c r="C94" s="714">
        <v>139.874</v>
      </c>
      <c r="D94" s="841">
        <f t="shared" si="12"/>
        <v>140</v>
      </c>
      <c r="E94" s="714">
        <v>69.238</v>
      </c>
      <c r="F94" s="841">
        <f t="shared" si="13"/>
        <v>70</v>
      </c>
      <c r="G94" s="714">
        <v>7.6929999999999996</v>
      </c>
      <c r="H94" s="835">
        <f t="shared" si="14"/>
        <v>8</v>
      </c>
      <c r="I94" s="714">
        <v>4.8959999999999999</v>
      </c>
      <c r="J94" s="835">
        <f t="shared" si="15"/>
        <v>5</v>
      </c>
      <c r="K94" s="714">
        <v>0</v>
      </c>
      <c r="L94" s="835">
        <f t="shared" si="16"/>
        <v>0</v>
      </c>
      <c r="M94" s="714">
        <v>45.459000000000003</v>
      </c>
      <c r="N94" s="841">
        <f t="shared" si="17"/>
        <v>45</v>
      </c>
      <c r="O94" s="714">
        <v>97.912000000000006</v>
      </c>
      <c r="P94" s="841">
        <f t="shared" si="18"/>
        <v>100</v>
      </c>
      <c r="Q94" s="714">
        <v>16.085999999999999</v>
      </c>
      <c r="R94" s="841">
        <f t="shared" si="19"/>
        <v>16</v>
      </c>
      <c r="S94" s="714">
        <v>0</v>
      </c>
      <c r="T94" s="841">
        <f t="shared" si="20"/>
        <v>0</v>
      </c>
      <c r="U94" s="714">
        <v>12.589</v>
      </c>
      <c r="V94" s="841">
        <f t="shared" si="21"/>
        <v>13</v>
      </c>
      <c r="W94" s="714">
        <v>0</v>
      </c>
      <c r="X94" s="841">
        <f t="shared" si="22"/>
        <v>0</v>
      </c>
      <c r="Y94" s="714">
        <v>2.7970000000000002</v>
      </c>
      <c r="Z94" s="841">
        <f t="shared" si="23"/>
        <v>3</v>
      </c>
      <c r="AA94" s="714">
        <v>0</v>
      </c>
      <c r="AB94" s="714">
        <v>0</v>
      </c>
      <c r="AC94" s="714">
        <v>136.37700000000001</v>
      </c>
      <c r="AD94" s="714">
        <v>10.491</v>
      </c>
      <c r="AE94" s="714">
        <v>0</v>
      </c>
      <c r="AF94" s="714">
        <v>0</v>
      </c>
      <c r="AG94" s="714">
        <v>0</v>
      </c>
      <c r="AH94" s="714">
        <v>0</v>
      </c>
    </row>
    <row r="95" spans="1:34" s="465" customFormat="1" ht="18.45">
      <c r="A95" s="1000"/>
      <c r="B95" s="1001"/>
      <c r="C95" s="1002"/>
      <c r="D95" s="1003"/>
      <c r="E95" s="1002"/>
      <c r="F95" s="1002"/>
      <c r="G95" s="1002"/>
      <c r="H95" s="1002"/>
      <c r="I95" s="1002"/>
      <c r="J95" s="1002"/>
      <c r="K95" s="1002"/>
      <c r="L95" s="1002"/>
      <c r="M95" s="1002"/>
      <c r="N95" s="1002"/>
      <c r="O95" s="1002"/>
      <c r="P95" s="1002"/>
      <c r="Q95" s="1002"/>
      <c r="R95" s="1002"/>
      <c r="S95" s="1002"/>
      <c r="T95" s="1002"/>
      <c r="U95" s="1002"/>
      <c r="V95" s="1002"/>
      <c r="W95" s="1002"/>
      <c r="X95" s="1002"/>
      <c r="Y95" s="1002"/>
      <c r="Z95" s="1002"/>
      <c r="AA95" s="1002"/>
      <c r="AB95" s="1002"/>
      <c r="AC95" s="1002"/>
      <c r="AD95" s="1002"/>
      <c r="AE95" s="1002"/>
      <c r="AF95" s="1002"/>
      <c r="AG95" s="1002"/>
      <c r="AH95" s="1004"/>
    </row>
    <row r="96" spans="1:34" s="465" customFormat="1" ht="50.25" customHeight="1">
      <c r="A96" s="1263" t="s">
        <v>168</v>
      </c>
      <c r="B96" s="1263"/>
      <c r="C96" s="1263"/>
      <c r="D96" s="1263"/>
      <c r="E96" s="1263"/>
      <c r="F96" s="1263"/>
      <c r="G96" s="1263"/>
      <c r="H96" s="1263"/>
      <c r="I96" s="1263"/>
      <c r="J96" s="1263"/>
      <c r="K96" s="1263"/>
      <c r="L96" s="1263"/>
      <c r="M96" s="1263"/>
      <c r="N96" s="1263"/>
      <c r="O96" s="1263"/>
      <c r="P96" s="1263"/>
      <c r="Q96" s="1263"/>
      <c r="R96" s="1263"/>
      <c r="S96" s="1263"/>
      <c r="T96" s="1263"/>
      <c r="U96" s="1263"/>
      <c r="V96" s="1263"/>
      <c r="W96" s="1263"/>
      <c r="X96" s="1263"/>
      <c r="Y96" s="1263"/>
      <c r="Z96" s="1263"/>
      <c r="AA96" s="1263"/>
      <c r="AB96" s="1263"/>
      <c r="AC96" s="1263"/>
      <c r="AD96" s="1263"/>
      <c r="AE96" s="1263"/>
      <c r="AF96" s="1263"/>
      <c r="AG96" s="1263"/>
      <c r="AH96" s="1264"/>
    </row>
    <row r="97" spans="1:34" s="465" customFormat="1" ht="28.5" hidden="1" customHeight="1">
      <c r="A97" s="467"/>
      <c r="B97" s="491"/>
      <c r="C97" s="491"/>
      <c r="D97" s="491"/>
      <c r="E97" s="491"/>
      <c r="F97" s="491"/>
      <c r="G97" s="491"/>
      <c r="H97" s="491"/>
      <c r="I97" s="491"/>
      <c r="J97" s="491"/>
      <c r="K97" s="491"/>
      <c r="L97" s="491"/>
      <c r="M97" s="491"/>
      <c r="N97" s="491"/>
      <c r="O97" s="491"/>
      <c r="P97" s="491"/>
      <c r="Q97" s="491"/>
      <c r="R97" s="491"/>
      <c r="S97" s="491"/>
      <c r="T97" s="491"/>
      <c r="U97" s="491"/>
      <c r="V97" s="491"/>
      <c r="W97" s="491"/>
      <c r="X97" s="491"/>
      <c r="Y97" s="491"/>
      <c r="Z97" s="491"/>
      <c r="AA97" s="491"/>
      <c r="AB97" s="491"/>
      <c r="AC97" s="491"/>
      <c r="AD97" s="491"/>
      <c r="AE97" s="491"/>
      <c r="AF97" s="491"/>
      <c r="AG97" s="491"/>
      <c r="AH97" s="491"/>
    </row>
    <row r="98" spans="1:34" s="465" customFormat="1" ht="18.45" hidden="1">
      <c r="A98" s="467"/>
      <c r="B98" s="491"/>
      <c r="C98" s="491"/>
      <c r="D98" s="491"/>
      <c r="E98" s="491"/>
      <c r="F98" s="491"/>
      <c r="G98" s="491"/>
      <c r="H98" s="491"/>
      <c r="I98" s="491"/>
      <c r="J98" s="491"/>
      <c r="K98" s="491"/>
      <c r="L98" s="491"/>
      <c r="M98" s="491"/>
      <c r="N98" s="491"/>
      <c r="O98" s="491"/>
      <c r="P98" s="491"/>
      <c r="Q98" s="491"/>
      <c r="R98" s="491"/>
      <c r="S98" s="491"/>
      <c r="T98" s="491"/>
      <c r="U98" s="491"/>
      <c r="V98" s="491"/>
      <c r="W98" s="491"/>
      <c r="X98" s="491"/>
      <c r="Y98" s="491"/>
      <c r="Z98" s="491"/>
      <c r="AA98" s="491"/>
      <c r="AB98" s="491"/>
      <c r="AC98" s="491"/>
      <c r="AD98" s="491"/>
      <c r="AE98" s="491"/>
      <c r="AF98" s="491"/>
      <c r="AG98" s="491"/>
      <c r="AH98" s="491"/>
    </row>
    <row r="99" spans="1:34" s="465" customFormat="1" ht="18.45" hidden="1">
      <c r="A99" s="472"/>
      <c r="B99" s="472"/>
      <c r="C99" s="472"/>
      <c r="D99" s="472"/>
      <c r="E99" s="472"/>
      <c r="F99" s="472"/>
      <c r="G99" s="472"/>
      <c r="H99" s="472"/>
      <c r="I99" s="472"/>
      <c r="J99" s="472"/>
      <c r="K99" s="472"/>
      <c r="L99" s="472"/>
      <c r="M99" s="472"/>
      <c r="N99" s="472"/>
      <c r="O99" s="472"/>
      <c r="P99" s="472"/>
      <c r="Q99" s="472"/>
      <c r="R99" s="472"/>
      <c r="S99" s="472"/>
      <c r="T99" s="472"/>
      <c r="U99" s="472"/>
      <c r="V99" s="472"/>
      <c r="W99" s="472"/>
      <c r="X99" s="472"/>
      <c r="Y99" s="472"/>
      <c r="Z99" s="472"/>
      <c r="AA99" s="472"/>
      <c r="AB99" s="472"/>
      <c r="AC99" s="467"/>
    </row>
    <row r="100" spans="1:34" s="465" customFormat="1" ht="18.45" hidden="1">
      <c r="A100" s="467"/>
      <c r="B100" s="466" t="s">
        <v>439</v>
      </c>
      <c r="C100" s="468">
        <f>SUM(AVERAGE(C6:C56),AVERAGE(C$93:C$94))</f>
        <v>383.90899999999993</v>
      </c>
      <c r="D100" s="468"/>
      <c r="E100" s="468">
        <f>SUM(AVERAGE(E6:E56),AVERAGE(E$93:E$94))</f>
        <v>66.60057843137254</v>
      </c>
      <c r="F100" s="468"/>
      <c r="G100" s="468">
        <f>SUM(AVERAGE(G6:G56),AVERAGE(G$93:G$94))</f>
        <v>7.5709705882352933</v>
      </c>
      <c r="H100" s="468"/>
      <c r="I100" s="468">
        <f>SUM(AVERAGE(I6:I56),AVERAGE(I$93:I$94))</f>
        <v>4.629941176470588</v>
      </c>
      <c r="J100" s="468"/>
      <c r="K100" s="468">
        <f>SUM(AVERAGE(K6:K56),AVERAGE(K$93:K$94))</f>
        <v>3.3333333333333338E-4</v>
      </c>
      <c r="L100" s="468"/>
      <c r="M100" s="468">
        <f>SUM(AVERAGE(M6:M56),AVERAGE(M$93:M$94))</f>
        <v>41.962000000000003</v>
      </c>
      <c r="N100" s="468"/>
      <c r="O100" s="468">
        <f>SUM(AVERAGE(O6:O56),AVERAGE(O$93:O$94))</f>
        <v>126.39058823529412</v>
      </c>
      <c r="P100" s="468"/>
      <c r="Q100" s="468">
        <f>SUM(AVERAGE(Q6:Q56),AVERAGE(Q$93:Q$94))</f>
        <v>77.721284313725505</v>
      </c>
      <c r="R100" s="468"/>
      <c r="S100" s="468">
        <f>SUM(AVERAGE(S6:S56),AVERAGE(S$93:S$94))</f>
        <v>0.18535294117647058</v>
      </c>
      <c r="T100" s="468"/>
      <c r="U100" s="468">
        <f>SUM(AVERAGE(U6:U56),AVERAGE(U$93:U$94))</f>
        <v>71.24484313725489</v>
      </c>
      <c r="V100" s="468"/>
      <c r="W100" s="468">
        <f>SUM(AVERAGE(W6:W56),AVERAGE(W$93:W$94))</f>
        <v>56.619392156862752</v>
      </c>
      <c r="X100" s="468"/>
      <c r="Y100" s="468">
        <f>SUM(AVERAGE(Y6:Y56),AVERAGE(Y$93:Y$94))</f>
        <v>2.9586078431372549</v>
      </c>
      <c r="Z100" s="468"/>
      <c r="AA100" s="468">
        <f t="shared" ref="AA100:AG100" si="24">SUM(AVERAGE(AA6:AA56),AVERAGE(AA$93:AA$94))</f>
        <v>3.6549019607843132E-2</v>
      </c>
      <c r="AB100" s="468">
        <f t="shared" si="24"/>
        <v>0.18262745098039215</v>
      </c>
      <c r="AC100" s="468">
        <f t="shared" si="24"/>
        <v>122.18473529411766</v>
      </c>
      <c r="AD100" s="468">
        <f t="shared" si="24"/>
        <v>9.3992254901960788</v>
      </c>
      <c r="AE100" s="468">
        <f t="shared" si="24"/>
        <v>0.48334313725490197</v>
      </c>
      <c r="AF100" s="468">
        <f t="shared" si="24"/>
        <v>2.6862549019607842</v>
      </c>
      <c r="AG100" s="468">
        <f t="shared" si="24"/>
        <v>16.1258431372549</v>
      </c>
      <c r="AH100" s="468">
        <f>SUM(AVERAGE(AH5:AH55),AVERAGE(AH$93:AH$94))</f>
        <v>0.33552941176470563</v>
      </c>
    </row>
    <row r="101" spans="1:34" s="465" customFormat="1" ht="36.9" hidden="1">
      <c r="A101" s="467"/>
      <c r="B101" s="466" t="s">
        <v>440</v>
      </c>
      <c r="C101" s="468" t="str">
        <f>ROUND( MIN(C6:C56)+MIN(C$93:C$94),0) &amp; " - " &amp; ROUND(MAX(C6:C56)+MAX(C$93:C$94), 0)</f>
        <v>263 - 497</v>
      </c>
      <c r="D101" s="468"/>
      <c r="E101" s="468" t="str">
        <f>ROUND( MIN(E6:E56)+MIN(E$93:E$94),0) &amp; " - " &amp; ROUND(MAX(E6:E56)+MAX(E$93:E$94), 0)</f>
        <v>63 - 82</v>
      </c>
      <c r="F101" s="468"/>
      <c r="G101" s="468" t="str">
        <f>ROUND( MIN(G6:G56)+MIN(G$93:G$94),0) &amp; " - " &amp; ROUND(MAX(G6:G56)+MAX(G$93:G$94), 0)</f>
        <v>7 - 14</v>
      </c>
      <c r="H101" s="468"/>
      <c r="I101" s="468" t="str">
        <f>ROUND( MIN(I6:I56)+MIN(I$93:I$94),0) &amp; " - " &amp; ROUND(MAX(I6:I56)+MAX(I$93:I$94), 0)</f>
        <v>4 - 6</v>
      </c>
      <c r="J101" s="468"/>
      <c r="K101" s="468" t="str">
        <f>ROUND( MIN(K6:K56)+MIN(K$93:K$94),0) &amp; " - " &amp; ROUND(MAX(K6:K56)+MAX(K$93:K$94), 0)</f>
        <v>0 - 0</v>
      </c>
      <c r="L101" s="468"/>
      <c r="M101" s="468" t="str">
        <f>ROUND( MIN(M6:M56)+MIN(M$93:M$94),0) &amp; " - " &amp; ROUND(MAX(M6:M56)+MAX(M$93:M$94), 0)</f>
        <v>38 - 45</v>
      </c>
      <c r="N101" s="468"/>
      <c r="O101" s="468" t="str">
        <f>ROUND( MIN(O6:O56)+MIN(O$93:O$94),0) &amp; " - " &amp; ROUND(MAX(O6:O56)+MAX(O$93:O$94), 0)</f>
        <v>107 - 178</v>
      </c>
      <c r="P101" s="468"/>
      <c r="Q101" s="468" t="str">
        <f>ROUND( MIN(Q6:Q56)+MIN(Q$93:Q$94),0) &amp; " - " &amp; ROUND(MAX(Q6:Q56)+MAX(Q$93:Q$94), 0)</f>
        <v>48 - 98</v>
      </c>
      <c r="R101" s="468"/>
      <c r="S101" s="468" t="str">
        <f>ROUND( MIN(S6:S56)+MIN(S$93:S$94),0) &amp; " - " &amp; ROUND(MAX(S6:S56)+MAX(S$93:S$94), 0)</f>
        <v>0 - 2</v>
      </c>
      <c r="T101" s="468"/>
      <c r="U101" s="468" t="str">
        <f>ROUND( MIN(U6:U56)+MIN(U$93:U$94),0) &amp; " - " &amp; ROUND(MAX(U6:U56)+MAX(U$93:U$94), 0)</f>
        <v>44 - 90</v>
      </c>
      <c r="V101" s="468"/>
      <c r="W101" s="468" t="str">
        <f>ROUND( MIN(W6:W56)+MIN(W$93:W$94),0) &amp; " - " &amp; ROUND(MAX(W6:W56)+MAX(W$93:W$94), 0)</f>
        <v>24 - 75</v>
      </c>
      <c r="X101" s="468"/>
      <c r="Y101" s="468" t="str">
        <f>ROUND( MIN(Y6:Y56)+MIN(Y$93:Y$94),0) &amp; " - " &amp; ROUND(MAX(Y6:Y56)+MAX(Y$93:Y$94), 0)</f>
        <v>3 - 5</v>
      </c>
      <c r="Z101" s="468"/>
      <c r="AA101" s="468" t="str">
        <f t="shared" ref="AA101:AG101" si="25">ROUND( MIN(AA6:AA56)+MIN(AA$93:AA$94),0) &amp; " - " &amp; ROUND(MAX(AA6:AA56)+MAX(AA$93:AA$94), 0)</f>
        <v>0 - 1</v>
      </c>
      <c r="AB101" s="468" t="str">
        <f t="shared" si="25"/>
        <v>0 - 6</v>
      </c>
      <c r="AC101" s="468" t="str">
        <f t="shared" si="25"/>
        <v>97 - 156</v>
      </c>
      <c r="AD101" s="468" t="str">
        <f t="shared" si="25"/>
        <v>7 - 12</v>
      </c>
      <c r="AE101" s="468" t="str">
        <f t="shared" si="25"/>
        <v>0 - 2</v>
      </c>
      <c r="AF101" s="468" t="str">
        <f t="shared" si="25"/>
        <v>0 - 11</v>
      </c>
      <c r="AG101" s="468" t="str">
        <f t="shared" si="25"/>
        <v>0 - 127</v>
      </c>
      <c r="AH101" s="468" t="str">
        <f>ROUND( MIN(AH5:AH55)+MIN(AH$93:AH$94),0) &amp; " - " &amp; ROUND(MAX(AH5:AH55)+MAX(AH$93:AH$94), 0)</f>
        <v>0 - 3</v>
      </c>
    </row>
    <row r="102" spans="1:34" s="465" customFormat="1" ht="18.45" hidden="1">
      <c r="A102" s="467"/>
      <c r="B102" s="466" t="s">
        <v>441</v>
      </c>
      <c r="C102" s="468" t="e">
        <f>SUM(AVERAGE(#REF!),AVERAGE(C$93:C$94))</f>
        <v>#REF!</v>
      </c>
      <c r="D102" s="468"/>
      <c r="E102" s="468" t="e">
        <f>SUM(AVERAGE(#REF!),AVERAGE(E$93:E$94))</f>
        <v>#REF!</v>
      </c>
      <c r="F102" s="468"/>
      <c r="G102" s="468" t="e">
        <f>SUM(AVERAGE(#REF!),AVERAGE(G$93:G$94))</f>
        <v>#REF!</v>
      </c>
      <c r="H102" s="468"/>
      <c r="I102" s="468" t="e">
        <f>SUM(AVERAGE(#REF!),AVERAGE(I$93:I$94))</f>
        <v>#REF!</v>
      </c>
      <c r="J102" s="468"/>
      <c r="K102" s="468" t="e">
        <f>SUM(AVERAGE(#REF!),AVERAGE(K$93:K$94))</f>
        <v>#REF!</v>
      </c>
      <c r="L102" s="468"/>
      <c r="M102" s="468" t="e">
        <f>SUM(AVERAGE(#REF!),AVERAGE(M$93:M$94))</f>
        <v>#REF!</v>
      </c>
      <c r="N102" s="468"/>
      <c r="O102" s="468" t="e">
        <f>SUM(AVERAGE(#REF!),AVERAGE(O$93:O$94))</f>
        <v>#REF!</v>
      </c>
      <c r="P102" s="468"/>
      <c r="Q102" s="468" t="e">
        <f>SUM(AVERAGE(#REF!),AVERAGE(Q$93:Q$94))</f>
        <v>#REF!</v>
      </c>
      <c r="R102" s="468"/>
      <c r="S102" s="468" t="e">
        <f>SUM(AVERAGE(#REF!),AVERAGE(S$93:S$94))</f>
        <v>#REF!</v>
      </c>
      <c r="T102" s="468"/>
      <c r="U102" s="468" t="e">
        <f>SUM(AVERAGE(#REF!),AVERAGE(U$93:U$94))</f>
        <v>#REF!</v>
      </c>
      <c r="V102" s="468"/>
      <c r="W102" s="468" t="e">
        <f>SUM(AVERAGE(#REF!),AVERAGE(W$93:W$94))</f>
        <v>#REF!</v>
      </c>
      <c r="X102" s="468"/>
      <c r="Y102" s="468" t="e">
        <f>SUM(AVERAGE(#REF!),AVERAGE(Y$93:Y$94))</f>
        <v>#REF!</v>
      </c>
      <c r="Z102" s="468"/>
      <c r="AA102" s="468" t="e">
        <f>SUM(AVERAGE(#REF!),AVERAGE(AA$93:AA$94))</f>
        <v>#REF!</v>
      </c>
      <c r="AB102" s="468" t="e">
        <f>SUM(AVERAGE(#REF!),AVERAGE(AB$93:AB$94))</f>
        <v>#REF!</v>
      </c>
      <c r="AC102" s="468" t="e">
        <f>SUM(AVERAGE(#REF!),AVERAGE(AC$93:AC$94))</f>
        <v>#REF!</v>
      </c>
      <c r="AD102" s="468" t="e">
        <f>SUM(AVERAGE(#REF!),AVERAGE(AD$93:AD$94))</f>
        <v>#REF!</v>
      </c>
      <c r="AE102" s="468" t="e">
        <f>SUM(AVERAGE(#REF!),AVERAGE(AE$93:AE$94))</f>
        <v>#REF!</v>
      </c>
      <c r="AF102" s="468" t="e">
        <f>SUM(AVERAGE(#REF!),AVERAGE(AF$93:AF$94))</f>
        <v>#REF!</v>
      </c>
      <c r="AG102" s="468" t="e">
        <f>SUM(AVERAGE(#REF!),AVERAGE(AG$93:AG$94))</f>
        <v>#REF!</v>
      </c>
      <c r="AH102" s="468">
        <f>SUM(AVERAGE(AH56:AH59),AVERAGE(AH$93:AH$94))</f>
        <v>0.27625</v>
      </c>
    </row>
    <row r="103" spans="1:34" s="465" customFormat="1" ht="18.45" hidden="1">
      <c r="A103" s="467"/>
      <c r="B103" s="466" t="s">
        <v>442</v>
      </c>
      <c r="C103" s="468" t="e">
        <f>ROUND( MIN(#REF!)+MIN(C$93:C$94),0) &amp; " - " &amp; ROUND(MAX(#REF!)+MAX(C$93:C$94), 0)</f>
        <v>#REF!</v>
      </c>
      <c r="D103" s="468"/>
      <c r="E103" s="468" t="e">
        <f>ROUND( MIN(#REF!)+MIN(E$93:E$94),0) &amp; " - " &amp; ROUND(MAX(#REF!)+MAX(E$93:E$94), 0)</f>
        <v>#REF!</v>
      </c>
      <c r="F103" s="468"/>
      <c r="G103" s="468" t="e">
        <f>ROUND( MIN(#REF!)+MIN(G$93:G$94),0) &amp; " - " &amp; ROUND(MAX(#REF!)+MAX(G$93:G$94), 0)</f>
        <v>#REF!</v>
      </c>
      <c r="H103" s="468"/>
      <c r="I103" s="468" t="e">
        <f>ROUND( MIN(#REF!)+MIN(I$93:I$94),0) &amp; " - " &amp; ROUND(MAX(#REF!)+MAX(I$93:I$94), 0)</f>
        <v>#REF!</v>
      </c>
      <c r="J103" s="468"/>
      <c r="K103" s="468" t="e">
        <f>ROUND( MIN(#REF!)+MIN(K$93:K$94),0) &amp; " - " &amp; ROUND(MAX(#REF!)+MAX(K$93:K$94), 0)</f>
        <v>#REF!</v>
      </c>
      <c r="L103" s="468"/>
      <c r="M103" s="468" t="e">
        <f>ROUND( MIN(#REF!)+MIN(M$93:M$94),0) &amp; " - " &amp; ROUND(MAX(#REF!)+MAX(M$93:M$94), 0)</f>
        <v>#REF!</v>
      </c>
      <c r="N103" s="468"/>
      <c r="O103" s="468" t="e">
        <f>ROUND( MIN(#REF!)+MIN(O$93:O$94),0) &amp; " - " &amp; ROUND(MAX(#REF!)+MAX(O$93:O$94), 0)</f>
        <v>#REF!</v>
      </c>
      <c r="P103" s="468"/>
      <c r="Q103" s="468" t="e">
        <f>ROUND( MIN(#REF!)+MIN(Q$93:Q$94),0) &amp; " - " &amp; ROUND(MAX(#REF!)+MAX(Q$93:Q$94), 0)</f>
        <v>#REF!</v>
      </c>
      <c r="R103" s="468"/>
      <c r="S103" s="468" t="e">
        <f>ROUND( MIN(#REF!)+MIN(S$93:S$94),0) &amp; " - " &amp; ROUND(MAX(#REF!)+MAX(S$93:S$94), 0)</f>
        <v>#REF!</v>
      </c>
      <c r="T103" s="468"/>
      <c r="U103" s="468" t="e">
        <f>ROUND( MIN(#REF!)+MIN(U$93:U$94),0) &amp; " - " &amp; ROUND(MAX(#REF!)+MAX(U$93:U$94), 0)</f>
        <v>#REF!</v>
      </c>
      <c r="V103" s="468"/>
      <c r="W103" s="468" t="e">
        <f>ROUND( MIN(#REF!)+MIN(W$93:W$94),0) &amp; " - " &amp; ROUND(MAX(#REF!)+MAX(W$93:W$94), 0)</f>
        <v>#REF!</v>
      </c>
      <c r="X103" s="468"/>
      <c r="Y103" s="468" t="e">
        <f>ROUND( MIN(#REF!)+MIN(Y$93:Y$94),0) &amp; " - " &amp; ROUND(MAX(#REF!)+MAX(Y$93:Y$94), 0)</f>
        <v>#REF!</v>
      </c>
      <c r="Z103" s="468"/>
      <c r="AA103" s="468" t="e">
        <f>ROUND( MIN(#REF!)+MIN(AA$93:AA$94),0) &amp; " - " &amp; ROUND(MAX(#REF!)+MAX(AA$93:AA$94), 0)</f>
        <v>#REF!</v>
      </c>
      <c r="AB103" s="468" t="e">
        <f>ROUND( MIN(#REF!)+MIN(AB$93:AB$94),0) &amp; " - " &amp; ROUND(MAX(#REF!)+MAX(AB$93:AB$94), 0)</f>
        <v>#REF!</v>
      </c>
      <c r="AC103" s="468" t="e">
        <f>ROUND( MIN(#REF!)+MIN(AC$93:AC$94),0) &amp; " - " &amp; ROUND(MAX(#REF!)+MAX(AC$93:AC$94), 0)</f>
        <v>#REF!</v>
      </c>
      <c r="AD103" s="468" t="e">
        <f>ROUND( MIN(#REF!)+MIN(AD$93:AD$94),0) &amp; " - " &amp; ROUND(MAX(#REF!)+MAX(AD$93:AD$94), 0)</f>
        <v>#REF!</v>
      </c>
      <c r="AE103" s="468" t="e">
        <f>ROUND( MIN(#REF!)+MIN(AE$93:AE$94),0) &amp; " - " &amp; ROUND(MAX(#REF!)+MAX(AE$93:AE$94), 0)</f>
        <v>#REF!</v>
      </c>
      <c r="AF103" s="468" t="e">
        <f>ROUND( MIN(#REF!)+MIN(AF$93:AF$94),0) &amp; " - " &amp; ROUND(MAX(#REF!)+MAX(AF$93:AF$94), 0)</f>
        <v>#REF!</v>
      </c>
      <c r="AG103" s="468" t="e">
        <f>ROUND( MIN(#REF!)+MIN(AG$93:AG$94),0) &amp; " - " &amp; ROUND(MAX(#REF!)+MAX(AG$93:AG$94), 0)</f>
        <v>#REF!</v>
      </c>
      <c r="AH103" s="468" t="str">
        <f>ROUND( MIN(AH56:AH59)+MIN(AH$93:AH$94),0) &amp; " - " &amp; ROUND(MAX(AH56:AH59)+MAX(AH$93:AH$94), 0)</f>
        <v>0 - 0</v>
      </c>
    </row>
    <row r="104" spans="1:34" s="465" customFormat="1" ht="18.45" hidden="1">
      <c r="A104" s="467"/>
      <c r="B104" s="466" t="s">
        <v>443</v>
      </c>
      <c r="C104" s="468">
        <f>SUM(AVERAGE(C60:C86),AVERAGE(C$93:C$94))</f>
        <v>438.0902592592592</v>
      </c>
      <c r="D104" s="468"/>
      <c r="E104" s="468">
        <f>SUM(AVERAGE(E60:E86),AVERAGE(E$93:E$94))</f>
        <v>76.6826111111111</v>
      </c>
      <c r="F104" s="468"/>
      <c r="G104" s="468">
        <f>SUM(AVERAGE(G60:G86),AVERAGE(G$93:G$94))</f>
        <v>11.513944444444444</v>
      </c>
      <c r="H104" s="468"/>
      <c r="I104" s="468">
        <f>SUM(AVERAGE(I60:I86),AVERAGE(I$93:I$94))</f>
        <v>7.8109999999999999</v>
      </c>
      <c r="J104" s="468"/>
      <c r="K104" s="468">
        <f>SUM(AVERAGE(K60:K86),AVERAGE(K$93:K$94))</f>
        <v>1.5925925925925927E-2</v>
      </c>
      <c r="L104" s="468"/>
      <c r="M104" s="468">
        <f>SUM(AVERAGE(M60:M86),AVERAGE(M$93:M$94))</f>
        <v>43.060740740740741</v>
      </c>
      <c r="N104" s="468"/>
      <c r="O104" s="468">
        <f>SUM(AVERAGE(O60:O86),AVERAGE(O$93:O$94))</f>
        <v>161.48222222222222</v>
      </c>
      <c r="P104" s="468"/>
      <c r="Q104" s="468">
        <f>SUM(AVERAGE(Q60:Q86),AVERAGE(Q$93:Q$94))</f>
        <v>83.540944444444435</v>
      </c>
      <c r="R104" s="468"/>
      <c r="S104" s="468">
        <f>SUM(AVERAGE(S60:S86),AVERAGE(S$93:S$94))</f>
        <v>0.91896296296296298</v>
      </c>
      <c r="T104" s="468"/>
      <c r="U104" s="468">
        <f>SUM(AVERAGE(U60:U86),AVERAGE(U$93:U$94))</f>
        <v>74.754000000000005</v>
      </c>
      <c r="V104" s="468"/>
      <c r="W104" s="468">
        <f>SUM(AVERAGE(W60:W86),AVERAGE(W$93:W$94))</f>
        <v>59.476333333333329</v>
      </c>
      <c r="X104" s="468"/>
      <c r="Y104" s="468">
        <f>SUM(AVERAGE(Y60:Y86),AVERAGE(Y$93:Y$94))</f>
        <v>3.4381851851851852</v>
      </c>
      <c r="Z104" s="468"/>
      <c r="AA104" s="468">
        <f t="shared" ref="AA104:AG104" si="26">SUM(AVERAGE(AA60:AA86),AVERAGE(AA$93:AA$94))</f>
        <v>3.7407407407407411E-3</v>
      </c>
      <c r="AB104" s="468">
        <f t="shared" si="26"/>
        <v>1.8703703703703705E-2</v>
      </c>
      <c r="AC104" s="468">
        <f t="shared" si="26"/>
        <v>126.68394444444445</v>
      </c>
      <c r="AD104" s="468">
        <f t="shared" si="26"/>
        <v>9.7453148148148152</v>
      </c>
      <c r="AE104" s="468">
        <f t="shared" si="26"/>
        <v>0.76387037037037042</v>
      </c>
      <c r="AF104" s="468">
        <f t="shared" si="26"/>
        <v>4.2445555555555554</v>
      </c>
      <c r="AG104" s="468">
        <f t="shared" si="26"/>
        <v>40.431444444444431</v>
      </c>
      <c r="AH104" s="468">
        <f>SUM(AVERAGE(AH60:AH85),AVERAGE(AH$93:AH$94))</f>
        <v>0.85261538461538433</v>
      </c>
    </row>
    <row r="105" spans="1:34" s="465" customFormat="1" ht="36.9" hidden="1">
      <c r="A105" s="467"/>
      <c r="B105" s="466" t="s">
        <v>444</v>
      </c>
      <c r="C105" s="468" t="str">
        <f>ROUND( MIN(C60:C86)+MIN(C$93:C$94),0) &amp; " - " &amp; ROUND(MAX(C60:C86)+MAX(C$93:C$94), 0)</f>
        <v>353 - 519</v>
      </c>
      <c r="D105" s="468"/>
      <c r="E105" s="468" t="str">
        <f>ROUND( MIN(E60:E86)+MIN(E$93:E$94),0) &amp; " - " &amp; ROUND(MAX(E60:E86)+MAX(E$93:E$94), 0)</f>
        <v>63 - 107</v>
      </c>
      <c r="F105" s="468"/>
      <c r="G105" s="468" t="str">
        <f>ROUND( MIN(G60:G86)+MIN(G$93:G$94),0) &amp; " - " &amp; ROUND(MAX(G60:G86)+MAX(G$93:G$94), 0)</f>
        <v>8 - 16</v>
      </c>
      <c r="H105" s="468"/>
      <c r="I105" s="468" t="str">
        <f>ROUND( MIN(I60:I86)+MIN(I$93:I$94),0) &amp; " - " &amp; ROUND(MAX(I60:I86)+MAX(I$93:I$94), 0)</f>
        <v>5 - 10</v>
      </c>
      <c r="J105" s="468"/>
      <c r="K105" s="468" t="str">
        <f>ROUND( MIN(K60:K86)+MIN(K$93:K$94),0) &amp; " - " &amp; ROUND(MAX(K60:K86)+MAX(K$93:K$94), 0)</f>
        <v>0 - 0</v>
      </c>
      <c r="L105" s="468"/>
      <c r="M105" s="468" t="str">
        <f>ROUND( MIN(M60:M86)+MIN(M$93:M$94),0) &amp; " - " &amp; ROUND(MAX(M60:M86)+MAX(M$93:M$94), 0)</f>
        <v>38 - 51</v>
      </c>
      <c r="N105" s="468"/>
      <c r="O105" s="468" t="str">
        <f>ROUND( MIN(O60:O86)+MIN(O$93:O$94),0) &amp; " - " &amp; ROUND(MAX(O60:O86)+MAX(O$93:O$94), 0)</f>
        <v>130 - 254</v>
      </c>
      <c r="P105" s="468"/>
      <c r="Q105" s="468" t="str">
        <f>ROUND( MIN(Q60:Q86)+MIN(Q$93:Q$94),0) &amp; " - " &amp; ROUND(MAX(Q60:Q86)+MAX(Q$93:Q$94), 0)</f>
        <v>62 - 102</v>
      </c>
      <c r="R105" s="468"/>
      <c r="S105" s="468" t="str">
        <f>ROUND( MIN(S60:S86)+MIN(S$93:S$94),0) &amp; " - " &amp; ROUND(MAX(S60:S86)+MAX(S$93:S$94), 0)</f>
        <v>0 - 14</v>
      </c>
      <c r="T105" s="468"/>
      <c r="U105" s="468" t="str">
        <f>ROUND( MIN(U60:U86)+MIN(U$93:U$94),0) &amp; " - " &amp; ROUND(MAX(U60:U86)+MAX(U$93:U$94), 0)</f>
        <v>54 - 89</v>
      </c>
      <c r="V105" s="468"/>
      <c r="W105" s="468" t="str">
        <f>ROUND( MIN(W60:W86)+MIN(W$93:W$94),0) &amp; " - " &amp; ROUND(MAX(W60:W86)+MAX(W$93:W$94), 0)</f>
        <v>40 - 74</v>
      </c>
      <c r="X105" s="468"/>
      <c r="Y105" s="468" t="str">
        <f>ROUND( MIN(Y60:Y86)+MIN(Y$93:Y$94),0) &amp; " - " &amp; ROUND(MAX(Y60:Y86)+MAX(Y$93:Y$94), 0)</f>
        <v>3 - 5</v>
      </c>
      <c r="Z105" s="468"/>
      <c r="AA105" s="468" t="str">
        <f t="shared" ref="AA105:AG105" si="27">ROUND( MIN(AA60:AA86)+MIN(AA$93:AA$94),0) &amp; " - " &amp; ROUND(MAX(AA60:AA86)+MAX(AA$93:AA$94), 0)</f>
        <v>0 - 0</v>
      </c>
      <c r="AB105" s="468" t="str">
        <f t="shared" si="27"/>
        <v>0 - 0</v>
      </c>
      <c r="AC105" s="468" t="str">
        <f t="shared" si="27"/>
        <v>98 - 170</v>
      </c>
      <c r="AD105" s="468" t="str">
        <f t="shared" si="27"/>
        <v>8 - 13</v>
      </c>
      <c r="AE105" s="468" t="str">
        <f t="shared" si="27"/>
        <v>0 - 2</v>
      </c>
      <c r="AF105" s="468" t="str">
        <f t="shared" si="27"/>
        <v>0 - 10</v>
      </c>
      <c r="AG105" s="468" t="str">
        <f t="shared" si="27"/>
        <v>6 - 122</v>
      </c>
      <c r="AH105" s="468" t="str">
        <f>ROUND( MIN(AH56:AH85)+MIN(AH$93:AH$94),0) &amp; " - " &amp; ROUND(MAX(AH56:AH85)+MAX(AH$93:AH$94), 0)</f>
        <v>0 - 3</v>
      </c>
    </row>
    <row r="106" spans="1:34" s="465" customFormat="1" ht="18.45" hidden="1">
      <c r="A106" s="467"/>
      <c r="B106" s="466" t="s">
        <v>445</v>
      </c>
      <c r="C106" s="468">
        <f>SUM(AVERAGE(C87:C92),AVERAGE(C$93:C$94))</f>
        <v>259.49066666666664</v>
      </c>
      <c r="D106" s="468"/>
      <c r="E106" s="468">
        <f>SUM(AVERAGE(E87:E92),AVERAGE(E$93:E$94))</f>
        <v>66.151499999999999</v>
      </c>
      <c r="F106" s="468"/>
      <c r="G106" s="468">
        <f>SUM(AVERAGE(G87:G92),AVERAGE(G$93:G$94))</f>
        <v>7.3501666666666665</v>
      </c>
      <c r="H106" s="468"/>
      <c r="I106" s="468">
        <f>SUM(AVERAGE(I87:I92),AVERAGE(I$93:I$94))</f>
        <v>4.5506666666666664</v>
      </c>
      <c r="J106" s="468"/>
      <c r="K106" s="468">
        <f>SUM(AVERAGE(K87:K92),AVERAGE(K$93:K$94))</f>
        <v>0</v>
      </c>
      <c r="L106" s="468"/>
      <c r="M106" s="468">
        <f>SUM(AVERAGE(M87:M92),AVERAGE(M$93:M$94))</f>
        <v>41.962000000000003</v>
      </c>
      <c r="N106" s="468"/>
      <c r="O106" s="468">
        <f>SUM(AVERAGE(O87:O92),AVERAGE(O$93:O$94))</f>
        <v>113.77866666666667</v>
      </c>
      <c r="P106" s="468"/>
      <c r="Q106" s="468">
        <f>SUM(AVERAGE(Q87:Q92),AVERAGE(Q$93:Q$94))</f>
        <v>55.834333333333333</v>
      </c>
      <c r="R106" s="468"/>
      <c r="S106" s="468">
        <f>SUM(AVERAGE(S87:S92),AVERAGE(S$93:S$94))</f>
        <v>5.5166666666666669E-2</v>
      </c>
      <c r="T106" s="468"/>
      <c r="U106" s="468">
        <f>SUM(AVERAGE(U87:U92),AVERAGE(U$93:U$94))</f>
        <v>13.719466666666667</v>
      </c>
      <c r="V106" s="468"/>
      <c r="W106" s="468">
        <f>SUM(AVERAGE(W87:W92),AVERAGE(W$93:W$94))</f>
        <v>0</v>
      </c>
      <c r="X106" s="468"/>
      <c r="Y106" s="468">
        <f>SUM(AVERAGE(Y87:Y92),AVERAGE(Y$93:Y$94))</f>
        <v>2.8613333333333335</v>
      </c>
      <c r="Z106" s="468"/>
      <c r="AA106" s="468">
        <f t="shared" ref="AA106:AG106" si="28">SUM(AVERAGE(AA87:AA92),AVERAGE(AA$93:AA$94))</f>
        <v>0</v>
      </c>
      <c r="AB106" s="468">
        <f t="shared" si="28"/>
        <v>0</v>
      </c>
      <c r="AC106" s="468">
        <f t="shared" si="28"/>
        <v>124.08250000000001</v>
      </c>
      <c r="AD106" s="468">
        <f t="shared" si="28"/>
        <v>9.5451666666666668</v>
      </c>
      <c r="AE106" s="468">
        <f t="shared" si="28"/>
        <v>0.4291666666666667</v>
      </c>
      <c r="AF106" s="468">
        <f t="shared" si="28"/>
        <v>2.3858333333333333</v>
      </c>
      <c r="AG106" s="468">
        <f t="shared" si="28"/>
        <v>17.4695</v>
      </c>
      <c r="AH106" s="468">
        <f>SUM(AVERAGE(AH86:AH90),AVERAGE(AH$93:AH$94))</f>
        <v>0.54580000000000006</v>
      </c>
    </row>
    <row r="107" spans="1:34" s="465" customFormat="1" ht="36.9" hidden="1">
      <c r="A107" s="467"/>
      <c r="B107" s="466" t="s">
        <v>446</v>
      </c>
      <c r="C107" s="468" t="str">
        <f>ROUND( MIN(C87:C92)+MIN(C$93:C$94),0) &amp; " - " &amp; ROUND(MAX(C87:C92)+MAX(C$93:C$94), 0)</f>
        <v>246 - 293</v>
      </c>
      <c r="D107" s="468"/>
      <c r="E107" s="468" t="str">
        <f>ROUND( MIN(E87:E92)+MIN(E$93:E$94),0) &amp; " - " &amp; ROUND(MAX(E87:E92)+MAX(E$93:E$94), 0)</f>
        <v>63 - 69</v>
      </c>
      <c r="F107" s="468"/>
      <c r="G107" s="468" t="str">
        <f>ROUND( MIN(G87:G92)+MIN(G$93:G$94),0) &amp; " - " &amp; ROUND(MAX(G87:G92)+MAX(G$93:G$94), 0)</f>
        <v>7 - 8</v>
      </c>
      <c r="H107" s="468"/>
      <c r="I107" s="468" t="str">
        <f>ROUND( MIN(I87:I92)+MIN(I$93:I$94),0) &amp; " - " &amp; ROUND(MAX(I87:I92)+MAX(I$93:I$94), 0)</f>
        <v>4 - 5</v>
      </c>
      <c r="J107" s="468"/>
      <c r="K107" s="468" t="str">
        <f>ROUND( MIN(K87:K92)+MIN(K$93:K$94),0) &amp; " - " &amp; ROUND(MAX(K87:K92)+MAX(K$93:K$94), 0)</f>
        <v>0 - 0</v>
      </c>
      <c r="L107" s="468"/>
      <c r="M107" s="468" t="str">
        <f>ROUND( MIN(M87:M92)+MIN(M$93:M$94),0) &amp; " - " &amp; ROUND(MAX(M87:M92)+MAX(M$93:M$94), 0)</f>
        <v>38 - 45</v>
      </c>
      <c r="N107" s="468"/>
      <c r="O107" s="468" t="str">
        <f>ROUND( MIN(O87:O92)+MIN(O$93:O$94),0) &amp; " - " &amp; ROUND(MAX(O87:O92)+MAX(O$93:O$94), 0)</f>
        <v>102 - 132</v>
      </c>
      <c r="P107" s="468"/>
      <c r="Q107" s="468" t="str">
        <f>ROUND( MIN(Q87:Q92)+MIN(Q$93:Q$94),0) &amp; " - " &amp; ROUND(MAX(Q87:Q92)+MAX(Q$93:Q$94), 0)</f>
        <v>53 - 58</v>
      </c>
      <c r="R107" s="468"/>
      <c r="S107" s="468" t="str">
        <f>ROUND( MIN(S87:S92)+MIN(S$93:S$94),0) &amp; " - " &amp; ROUND(MAX(S87:S92)+MAX(S$93:S$94), 0)</f>
        <v>0 - 0</v>
      </c>
      <c r="T107" s="468"/>
      <c r="U107" s="468" t="str">
        <f>ROUND( MIN(U87:U92)+MIN(U$93:U$94),0) &amp; " - " &amp; ROUND(MAX(U87:U92)+MAX(U$93:U$94), 0)</f>
        <v>13 - 15</v>
      </c>
      <c r="V107" s="468"/>
      <c r="W107" s="468" t="str">
        <f>ROUND( MIN(W87:W92)+MIN(W$93:W$94),0) &amp; " - " &amp; ROUND(MAX(W87:W92)+MAX(W$93:W$94), 0)</f>
        <v>0 - 0</v>
      </c>
      <c r="X107" s="468"/>
      <c r="Y107" s="468" t="str">
        <f>ROUND( MIN(Y87:Y92)+MIN(Y$93:Y$94),0) &amp; " - " &amp; ROUND(MAX(Y87:Y92)+MAX(Y$93:Y$94), 0)</f>
        <v>3 - 3</v>
      </c>
      <c r="Z107" s="468"/>
      <c r="AA107" s="468" t="str">
        <f t="shared" ref="AA107:AG107" si="29">ROUND( MIN(AA87:AA92)+MIN(AA$93:AA$94),0) &amp; " - " &amp; ROUND(MAX(AA87:AA92)+MAX(AA$93:AA$94), 0)</f>
        <v>0 - 0</v>
      </c>
      <c r="AB107" s="468" t="str">
        <f t="shared" si="29"/>
        <v>0 - 0</v>
      </c>
      <c r="AC107" s="468" t="str">
        <f t="shared" si="29"/>
        <v>98 - 148</v>
      </c>
      <c r="AD107" s="468" t="str">
        <f t="shared" si="29"/>
        <v>8 - 11</v>
      </c>
      <c r="AE107" s="468" t="str">
        <f t="shared" si="29"/>
        <v>0 - 1</v>
      </c>
      <c r="AF107" s="468" t="str">
        <f t="shared" si="29"/>
        <v>0 - 5</v>
      </c>
      <c r="AG107" s="468" t="str">
        <f t="shared" si="29"/>
        <v>5 - 22</v>
      </c>
      <c r="AH107" s="468" t="str">
        <f>ROUND( MIN(AH86:AH90)+MIN(AH$93:AH$94),0) &amp; " - " &amp; ROUND(MAX(AH86:AH90)+MAX(AH$93:AH$94), 0)</f>
        <v>0 - 1</v>
      </c>
    </row>
    <row r="108" spans="1:34" s="465" customFormat="1" ht="18.45" hidden="1"/>
    <row r="109" spans="1:34" s="465" customFormat="1" ht="18.899999999999999" thickBot="1"/>
    <row r="110" spans="1:34" ht="36.9">
      <c r="B110" s="982" t="s">
        <v>437</v>
      </c>
      <c r="C110" s="460" t="s">
        <v>4</v>
      </c>
      <c r="D110" s="460" t="s">
        <v>4</v>
      </c>
      <c r="E110" s="460" t="s">
        <v>5</v>
      </c>
      <c r="F110" s="460" t="s">
        <v>5</v>
      </c>
      <c r="G110" s="460" t="s">
        <v>6</v>
      </c>
      <c r="H110" s="460" t="s">
        <v>6</v>
      </c>
      <c r="I110" s="460" t="s">
        <v>7</v>
      </c>
      <c r="J110" s="460" t="s">
        <v>7</v>
      </c>
      <c r="K110" s="460" t="s">
        <v>8</v>
      </c>
      <c r="L110" s="460" t="s">
        <v>8</v>
      </c>
      <c r="M110" s="460" t="s">
        <v>9</v>
      </c>
      <c r="N110" s="460" t="s">
        <v>9</v>
      </c>
      <c r="O110" s="460" t="s">
        <v>10</v>
      </c>
      <c r="P110" s="460" t="s">
        <v>10</v>
      </c>
      <c r="Q110" s="460" t="s">
        <v>11</v>
      </c>
      <c r="R110" s="460" t="s">
        <v>11</v>
      </c>
      <c r="S110" s="460" t="s">
        <v>12</v>
      </c>
      <c r="T110" s="460" t="s">
        <v>12</v>
      </c>
      <c r="U110" s="460" t="s">
        <v>13</v>
      </c>
      <c r="V110" s="460" t="s">
        <v>13</v>
      </c>
      <c r="W110" s="460" t="s">
        <v>14</v>
      </c>
      <c r="X110" s="460" t="s">
        <v>14</v>
      </c>
      <c r="Y110" s="460" t="s">
        <v>15</v>
      </c>
      <c r="Z110" s="460" t="s">
        <v>15</v>
      </c>
    </row>
    <row r="111" spans="1:34" ht="18.45">
      <c r="B111" s="983" t="s">
        <v>296</v>
      </c>
      <c r="C111" s="984">
        <f>MIN(D5:D59)</f>
        <v>120</v>
      </c>
      <c r="D111" s="984">
        <f>MAX(D5:D59)</f>
        <v>350</v>
      </c>
      <c r="E111" s="984">
        <f>MIN(F5:F59)</f>
        <v>0</v>
      </c>
      <c r="F111" s="984">
        <f>MAX(F5:F59)</f>
        <v>15</v>
      </c>
      <c r="G111" s="984">
        <f>MIN(H5:H59)</f>
        <v>0</v>
      </c>
      <c r="H111" s="984">
        <f>MAX(H5:H59)</f>
        <v>6</v>
      </c>
      <c r="I111" s="984">
        <f>MIN(J5:J59)</f>
        <v>0</v>
      </c>
      <c r="J111" s="984">
        <f>MAX(J5:J59)</f>
        <v>1.5</v>
      </c>
      <c r="K111" s="984">
        <f>MIN(L5:L59)</f>
        <v>0</v>
      </c>
      <c r="L111" s="984">
        <f>MAX(L5:L59)</f>
        <v>0</v>
      </c>
      <c r="M111" s="984">
        <f>MIN(N5:N59)</f>
        <v>0</v>
      </c>
      <c r="N111" s="984">
        <f>MAX(N5:N59)</f>
        <v>0</v>
      </c>
      <c r="O111" s="984">
        <f>MIN(P5:P59)</f>
        <v>25</v>
      </c>
      <c r="P111" s="984">
        <f>MAX(P5:P59)</f>
        <v>105</v>
      </c>
      <c r="Q111" s="984">
        <f>MIN(R5:R59)</f>
        <v>32</v>
      </c>
      <c r="R111" s="984">
        <f>MAX(R5:R59)</f>
        <v>80</v>
      </c>
      <c r="S111" s="984">
        <f>MIN(T5:T59)</f>
        <v>0</v>
      </c>
      <c r="T111" s="984">
        <f>MAX(T5:T59)</f>
        <v>2</v>
      </c>
      <c r="U111" s="984">
        <f>MIN(V5:V59)</f>
        <v>31</v>
      </c>
      <c r="V111" s="984">
        <f>MAX(V5:V59)</f>
        <v>75</v>
      </c>
      <c r="W111" s="984">
        <f>MIN(X5:X59)</f>
        <v>24</v>
      </c>
      <c r="X111" s="984">
        <f>MAX(X5:X59)</f>
        <v>75</v>
      </c>
      <c r="Y111" s="984">
        <f>MIN(Z5:Z59)</f>
        <v>0</v>
      </c>
      <c r="Z111" s="984">
        <f>MAX(Z5:Z59)</f>
        <v>3</v>
      </c>
    </row>
    <row r="112" spans="1:34" ht="18.45">
      <c r="B112" s="983" t="s">
        <v>92</v>
      </c>
      <c r="C112" s="984">
        <f>MIN(D72:D86)</f>
        <v>210</v>
      </c>
      <c r="D112" s="984">
        <f>MAX(D72:D86)</f>
        <v>370</v>
      </c>
      <c r="E112" s="984">
        <f>MIN(F72:F86)</f>
        <v>0</v>
      </c>
      <c r="F112" s="984">
        <f>MAX(F72:F86)</f>
        <v>20</v>
      </c>
      <c r="G112" s="984">
        <f>MIN(H72:H86)</f>
        <v>1.5</v>
      </c>
      <c r="H112" s="984">
        <f>MAX(H72:H86)</f>
        <v>8</v>
      </c>
      <c r="I112" s="984">
        <f>MIN(J72:J86)</f>
        <v>1</v>
      </c>
      <c r="J112" s="984">
        <f>MAX(J72:J86)</f>
        <v>4</v>
      </c>
      <c r="K112" s="984">
        <f>MIN(L72:L86)</f>
        <v>0</v>
      </c>
      <c r="L112" s="984">
        <f>MAX(L72:L86)</f>
        <v>0</v>
      </c>
      <c r="M112" s="984">
        <f>MIN(N72:N86)</f>
        <v>0</v>
      </c>
      <c r="N112" s="984">
        <f>MAX(N72:N86)</f>
        <v>5</v>
      </c>
      <c r="O112" s="984">
        <f>MIN(P72:P86)</f>
        <v>50</v>
      </c>
      <c r="P112" s="984">
        <f>MAX(P72:P86)</f>
        <v>105</v>
      </c>
      <c r="Q112" s="984">
        <f>MIN(R72:R86)</f>
        <v>46</v>
      </c>
      <c r="R112" s="984">
        <f>MAX(R72:R86)</f>
        <v>83</v>
      </c>
      <c r="S112" s="984">
        <f>MIN(T72:T86)</f>
        <v>0</v>
      </c>
      <c r="T112" s="984">
        <f>MAX(T72:T86)</f>
        <v>14</v>
      </c>
      <c r="U112" s="984">
        <f>MIN(V72:V86)</f>
        <v>42</v>
      </c>
      <c r="V112" s="984">
        <f>MAX(V72:V86)</f>
        <v>74</v>
      </c>
      <c r="W112" s="984">
        <f>MIN(X72:X86)</f>
        <v>40</v>
      </c>
      <c r="X112" s="984">
        <f>MAX(X72:X86)</f>
        <v>74</v>
      </c>
      <c r="Y112" s="984">
        <f>MIN(Z72:Z86)</f>
        <v>0</v>
      </c>
      <c r="Z112" s="984">
        <f>MAX(Z72:Z86)</f>
        <v>2</v>
      </c>
    </row>
    <row r="113" spans="2:26" ht="18.45">
      <c r="B113" s="983" t="s">
        <v>394</v>
      </c>
      <c r="C113" s="984">
        <f>MIN(D87:D92)</f>
        <v>110</v>
      </c>
      <c r="D113" s="984">
        <f>MAX(D87:D92)</f>
        <v>150</v>
      </c>
      <c r="E113" s="984">
        <f>MIN(F87:F92)</f>
        <v>0</v>
      </c>
      <c r="F113" s="984">
        <f>MAX(F87:F92)</f>
        <v>0</v>
      </c>
      <c r="G113" s="984">
        <f>MIN(H87:H92)</f>
        <v>0</v>
      </c>
      <c r="H113" s="984">
        <f>MAX(H87:H92)</f>
        <v>0</v>
      </c>
      <c r="I113" s="984">
        <f>MIN(J87:J92)</f>
        <v>0</v>
      </c>
      <c r="J113" s="984">
        <f>MAX(J87:J92)</f>
        <v>0</v>
      </c>
      <c r="K113" s="984">
        <f>MIN(L87:L92)</f>
        <v>0</v>
      </c>
      <c r="L113" s="984">
        <f>MAX(L87:L92)</f>
        <v>0</v>
      </c>
      <c r="M113" s="984">
        <f>MIN(N87:N92)</f>
        <v>0</v>
      </c>
      <c r="N113" s="984">
        <f>MAX(N87:N92)</f>
        <v>0</v>
      </c>
      <c r="O113" s="984">
        <f>MIN(P87:P92)</f>
        <v>20</v>
      </c>
      <c r="P113" s="984">
        <f>MAX(P87:P92)</f>
        <v>35</v>
      </c>
      <c r="Q113" s="984">
        <f>MIN(R87:R92)</f>
        <v>37</v>
      </c>
      <c r="R113" s="984">
        <f>MAX(R87:R92)</f>
        <v>39</v>
      </c>
      <c r="S113" s="984">
        <f>MIN(T87:T92)</f>
        <v>0</v>
      </c>
      <c r="T113" s="984">
        <f>MAX(T87:T92)</f>
        <v>0</v>
      </c>
      <c r="U113" s="984">
        <f>MIN(V87:V92)</f>
        <v>0</v>
      </c>
      <c r="V113" s="984">
        <f>MAX(V87:V92)</f>
        <v>0</v>
      </c>
      <c r="W113" s="984">
        <f>MIN(X87:X92)</f>
        <v>0</v>
      </c>
      <c r="X113" s="984">
        <f>MAX(X87:X92)</f>
        <v>0</v>
      </c>
      <c r="Y113" s="984">
        <f>MIN(Z87:Z92)</f>
        <v>0</v>
      </c>
      <c r="Z113" s="984">
        <f>MAX(Z87:Z92)</f>
        <v>0</v>
      </c>
    </row>
    <row r="114" spans="2:26" ht="18.45">
      <c r="B114" s="857" t="s">
        <v>396</v>
      </c>
      <c r="C114" s="990">
        <f>MIN(D93:D94)</f>
        <v>140</v>
      </c>
      <c r="D114" s="990">
        <f>MAX(D93:D94)</f>
        <v>150</v>
      </c>
      <c r="E114" s="990">
        <f>MIN(F93:F94)</f>
        <v>60</v>
      </c>
      <c r="F114" s="990">
        <f>MAX(F93:F94)</f>
        <v>70</v>
      </c>
      <c r="G114" s="990">
        <f>MIN(H93:H94)</f>
        <v>7</v>
      </c>
      <c r="H114" s="990">
        <f>MAX(H93:H94)</f>
        <v>8</v>
      </c>
      <c r="I114" s="990">
        <f>MIN(J93:J94)</f>
        <v>4</v>
      </c>
      <c r="J114" s="990">
        <f>MAX(J93:J94)</f>
        <v>5</v>
      </c>
      <c r="K114" s="990">
        <f>MIN(L93:L94)</f>
        <v>0</v>
      </c>
      <c r="L114" s="990">
        <f>MAX(L93:L94)</f>
        <v>0</v>
      </c>
      <c r="M114" s="990">
        <f>MIN(N93:N94)</f>
        <v>40</v>
      </c>
      <c r="N114" s="990">
        <f>MAX(N93:N94)</f>
        <v>45</v>
      </c>
      <c r="O114" s="990">
        <f>MIN(P93:P94)</f>
        <v>80</v>
      </c>
      <c r="P114" s="990">
        <f>MAX(P93:P94)</f>
        <v>100</v>
      </c>
      <c r="Q114" s="990">
        <f>MIN(R93:R94)</f>
        <v>16</v>
      </c>
      <c r="R114" s="990">
        <f>MAX(R93:R94)</f>
        <v>19</v>
      </c>
      <c r="S114" s="990">
        <f>MIN(T93:T94)</f>
        <v>0</v>
      </c>
      <c r="T114" s="990">
        <f>MAX(T93:T94)</f>
        <v>0</v>
      </c>
      <c r="U114" s="990">
        <f>MIN(V93:V94)</f>
        <v>13</v>
      </c>
      <c r="V114" s="990">
        <f>MAX(V93:V94)</f>
        <v>15</v>
      </c>
      <c r="W114" s="990">
        <f>MIN(X93:X94)</f>
        <v>0</v>
      </c>
      <c r="X114" s="990">
        <f>MAX(X93:X94)</f>
        <v>0</v>
      </c>
      <c r="Y114" s="990">
        <f>MIN(Z93:Z94)</f>
        <v>3</v>
      </c>
      <c r="Z114" s="990">
        <f>MAX(Z93:Z94)</f>
        <v>3</v>
      </c>
    </row>
    <row r="115" spans="2:26">
      <c r="C115" s="901"/>
      <c r="D115" s="901"/>
      <c r="E115" s="901"/>
      <c r="G115" s="901"/>
      <c r="I115" s="901"/>
      <c r="K115" s="901"/>
      <c r="M115" s="901"/>
      <c r="O115" s="901"/>
      <c r="Q115" s="901"/>
      <c r="R115" s="844"/>
      <c r="S115" s="901"/>
      <c r="U115" s="901"/>
      <c r="W115" s="901"/>
      <c r="X115" s="844"/>
      <c r="Y115" s="901"/>
    </row>
    <row r="116" spans="2:26" ht="18.899999999999999" thickBot="1">
      <c r="B116" s="983" t="s">
        <v>296</v>
      </c>
      <c r="C116" s="991">
        <f t="shared" ref="C116:Z116" si="30">C111+C114</f>
        <v>260</v>
      </c>
      <c r="D116" s="991">
        <f t="shared" si="30"/>
        <v>500</v>
      </c>
      <c r="E116" s="991">
        <f t="shared" si="30"/>
        <v>60</v>
      </c>
      <c r="F116" s="991">
        <f t="shared" si="30"/>
        <v>85</v>
      </c>
      <c r="G116" s="991">
        <f t="shared" si="30"/>
        <v>7</v>
      </c>
      <c r="H116" s="991">
        <f t="shared" si="30"/>
        <v>14</v>
      </c>
      <c r="I116" s="991">
        <f t="shared" si="30"/>
        <v>4</v>
      </c>
      <c r="J116" s="991">
        <f t="shared" si="30"/>
        <v>6.5</v>
      </c>
      <c r="K116" s="991">
        <f t="shared" si="30"/>
        <v>0</v>
      </c>
      <c r="L116" s="991">
        <f t="shared" si="30"/>
        <v>0</v>
      </c>
      <c r="M116" s="991">
        <f t="shared" si="30"/>
        <v>40</v>
      </c>
      <c r="N116" s="991">
        <f t="shared" si="30"/>
        <v>45</v>
      </c>
      <c r="O116" s="991">
        <f t="shared" si="30"/>
        <v>105</v>
      </c>
      <c r="P116" s="991">
        <f t="shared" si="30"/>
        <v>205</v>
      </c>
      <c r="Q116" s="991">
        <f t="shared" si="30"/>
        <v>48</v>
      </c>
      <c r="R116" s="991">
        <f t="shared" si="30"/>
        <v>99</v>
      </c>
      <c r="S116" s="991">
        <f t="shared" si="30"/>
        <v>0</v>
      </c>
      <c r="T116" s="991">
        <f t="shared" si="30"/>
        <v>2</v>
      </c>
      <c r="U116" s="991">
        <f t="shared" si="30"/>
        <v>44</v>
      </c>
      <c r="V116" s="991">
        <f t="shared" si="30"/>
        <v>90</v>
      </c>
      <c r="W116" s="991">
        <f t="shared" si="30"/>
        <v>24</v>
      </c>
      <c r="X116" s="991">
        <f t="shared" si="30"/>
        <v>75</v>
      </c>
      <c r="Y116" s="991">
        <f t="shared" si="30"/>
        <v>3</v>
      </c>
      <c r="Z116" s="991">
        <f t="shared" si="30"/>
        <v>6</v>
      </c>
    </row>
    <row r="117" spans="2:26" ht="18.45">
      <c r="B117" s="983" t="s">
        <v>92</v>
      </c>
      <c r="C117" s="844">
        <f t="shared" ref="C117:Z117" si="31">C112+C114</f>
        <v>350</v>
      </c>
      <c r="D117" s="844">
        <f t="shared" si="31"/>
        <v>520</v>
      </c>
      <c r="E117" s="844">
        <f t="shared" si="31"/>
        <v>60</v>
      </c>
      <c r="F117" s="844">
        <f t="shared" si="31"/>
        <v>90</v>
      </c>
      <c r="G117" s="844">
        <f t="shared" si="31"/>
        <v>8.5</v>
      </c>
      <c r="H117" s="844">
        <f t="shared" si="31"/>
        <v>16</v>
      </c>
      <c r="I117" s="844">
        <f t="shared" si="31"/>
        <v>5</v>
      </c>
      <c r="J117" s="844">
        <f t="shared" si="31"/>
        <v>9</v>
      </c>
      <c r="K117" s="844">
        <f t="shared" si="31"/>
        <v>0</v>
      </c>
      <c r="L117" s="844">
        <f t="shared" si="31"/>
        <v>0</v>
      </c>
      <c r="M117" s="844">
        <f t="shared" si="31"/>
        <v>40</v>
      </c>
      <c r="N117" s="844">
        <f t="shared" si="31"/>
        <v>50</v>
      </c>
      <c r="O117" s="844">
        <f t="shared" si="31"/>
        <v>130</v>
      </c>
      <c r="P117" s="844">
        <f t="shared" si="31"/>
        <v>205</v>
      </c>
      <c r="Q117" s="844">
        <f t="shared" si="31"/>
        <v>62</v>
      </c>
      <c r="R117" s="844">
        <f t="shared" si="31"/>
        <v>102</v>
      </c>
      <c r="S117" s="844">
        <f t="shared" si="31"/>
        <v>0</v>
      </c>
      <c r="T117" s="844">
        <f t="shared" si="31"/>
        <v>14</v>
      </c>
      <c r="U117" s="844">
        <f t="shared" si="31"/>
        <v>55</v>
      </c>
      <c r="V117" s="844">
        <f t="shared" si="31"/>
        <v>89</v>
      </c>
      <c r="W117" s="844">
        <f t="shared" si="31"/>
        <v>40</v>
      </c>
      <c r="X117" s="844">
        <f t="shared" si="31"/>
        <v>74</v>
      </c>
      <c r="Y117" s="844">
        <f t="shared" si="31"/>
        <v>3</v>
      </c>
      <c r="Z117" s="844">
        <f t="shared" si="31"/>
        <v>5</v>
      </c>
    </row>
    <row r="118" spans="2:26" ht="18.45">
      <c r="B118" s="983" t="s">
        <v>394</v>
      </c>
      <c r="C118" s="844">
        <f t="shared" ref="C118:Z118" si="32">C113+C114</f>
        <v>250</v>
      </c>
      <c r="D118" s="844">
        <f t="shared" si="32"/>
        <v>300</v>
      </c>
      <c r="E118" s="844">
        <f t="shared" si="32"/>
        <v>60</v>
      </c>
      <c r="F118" s="844">
        <f t="shared" si="32"/>
        <v>70</v>
      </c>
      <c r="G118" s="844">
        <f t="shared" si="32"/>
        <v>7</v>
      </c>
      <c r="H118" s="844">
        <f t="shared" si="32"/>
        <v>8</v>
      </c>
      <c r="I118" s="844">
        <f t="shared" si="32"/>
        <v>4</v>
      </c>
      <c r="J118" s="844">
        <f t="shared" si="32"/>
        <v>5</v>
      </c>
      <c r="K118" s="844">
        <f t="shared" si="32"/>
        <v>0</v>
      </c>
      <c r="L118" s="844">
        <f t="shared" si="32"/>
        <v>0</v>
      </c>
      <c r="M118" s="844">
        <f t="shared" si="32"/>
        <v>40</v>
      </c>
      <c r="N118" s="844">
        <f t="shared" si="32"/>
        <v>45</v>
      </c>
      <c r="O118" s="844">
        <f t="shared" si="32"/>
        <v>100</v>
      </c>
      <c r="P118" s="844">
        <f t="shared" si="32"/>
        <v>135</v>
      </c>
      <c r="Q118" s="844">
        <f t="shared" si="32"/>
        <v>53</v>
      </c>
      <c r="R118" s="844">
        <f t="shared" si="32"/>
        <v>58</v>
      </c>
      <c r="S118" s="844">
        <f t="shared" si="32"/>
        <v>0</v>
      </c>
      <c r="T118" s="844">
        <f t="shared" si="32"/>
        <v>0</v>
      </c>
      <c r="U118" s="844">
        <f t="shared" si="32"/>
        <v>13</v>
      </c>
      <c r="V118" s="844">
        <f t="shared" si="32"/>
        <v>15</v>
      </c>
      <c r="W118" s="844">
        <f t="shared" si="32"/>
        <v>0</v>
      </c>
      <c r="X118" s="844">
        <f t="shared" si="32"/>
        <v>0</v>
      </c>
      <c r="Y118" s="844">
        <f t="shared" si="32"/>
        <v>3</v>
      </c>
      <c r="Z118" s="844">
        <f t="shared" si="32"/>
        <v>3</v>
      </c>
    </row>
  </sheetData>
  <autoFilter ref="A4:AP94" xr:uid="{482D0139-D368-4C4A-855E-4D23399F5414}"/>
  <mergeCells count="4">
    <mergeCell ref="A96:AH96"/>
    <mergeCell ref="A1:AH1"/>
    <mergeCell ref="A2:AH2"/>
    <mergeCell ref="A3:AH3"/>
  </mergeCells>
  <pageMargins left="0.7" right="0.7" top="0.75" bottom="0.75" header="0.3" footer="0.3"/>
  <pageSetup scale="48" fitToHeight="0" orientation="landscape" r:id="rId1"/>
  <headerFooter>
    <oddHeader xml:space="preserve">&amp;R&amp;14 2024 Nutrition Information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1D9B0-9785-4CA0-87BE-D0860059C205}">
  <sheetPr>
    <pageSetUpPr fitToPage="1"/>
  </sheetPr>
  <dimension ref="A1:AH117"/>
  <sheetViews>
    <sheetView showWhiteSpace="0" zoomScale="80" zoomScaleNormal="80" zoomScalePageLayoutView="70" workbookViewId="0">
      <pane xSplit="2" ySplit="4" topLeftCell="C31" activePane="bottomRight" state="frozen"/>
      <selection pane="topRight" activeCell="C1" sqref="C1"/>
      <selection pane="bottomLeft" activeCell="A5" sqref="A5"/>
      <selection pane="bottomRight" activeCell="W46" sqref="W46"/>
    </sheetView>
    <sheetView zoomScale="80" zoomScaleNormal="80" workbookViewId="1">
      <pane xSplit="2" ySplit="4" topLeftCell="C82" activePane="bottomRight" state="frozen"/>
      <selection pane="topRight" activeCell="C1" sqref="C1"/>
      <selection pane="bottomLeft" activeCell="A5" sqref="A5"/>
      <selection pane="bottomRight" activeCell="G115" sqref="G115"/>
    </sheetView>
    <sheetView topLeftCell="I1" workbookViewId="2">
      <selection activeCell="H15" sqref="H15"/>
    </sheetView>
  </sheetViews>
  <sheetFormatPr defaultColWidth="9.15234375" defaultRowHeight="12.9"/>
  <cols>
    <col min="1" max="1" width="9.15234375" style="373"/>
    <col min="2" max="2" width="42.53515625" style="373" customWidth="1"/>
    <col min="3" max="3" width="10.3828125" style="373" customWidth="1"/>
    <col min="4" max="4" width="13.84375" style="373" customWidth="1"/>
    <col min="5" max="5" width="10.15234375" style="373" customWidth="1"/>
    <col min="6" max="6" width="10.15234375" style="844" customWidth="1"/>
    <col min="7" max="7" width="9.3828125" style="373" bestFit="1" customWidth="1"/>
    <col min="8" max="8" width="9.3828125" style="840" customWidth="1"/>
    <col min="9" max="9" width="15.15234375" style="373" customWidth="1"/>
    <col min="10" max="10" width="15.15234375" style="840" customWidth="1"/>
    <col min="11" max="11" width="9.3828125" style="373" bestFit="1" customWidth="1"/>
    <col min="12" max="12" width="9.3828125" style="840" customWidth="1"/>
    <col min="13" max="13" width="13.3828125" style="373" customWidth="1"/>
    <col min="14" max="14" width="13.3828125" style="844" customWidth="1"/>
    <col min="15" max="15" width="11.3828125" style="373" bestFit="1" customWidth="1"/>
    <col min="16" max="16" width="11.3828125" style="844" customWidth="1"/>
    <col min="17" max="17" width="17.3046875" style="373" customWidth="1"/>
    <col min="18" max="18" width="17.3046875" style="844" customWidth="1"/>
    <col min="19" max="19" width="9.3828125" style="373" bestFit="1" customWidth="1"/>
    <col min="20" max="20" width="9.3828125" style="373" customWidth="1"/>
    <col min="21" max="21" width="9.3828125" style="373" bestFit="1" customWidth="1"/>
    <col min="22" max="22" width="9.3828125" style="373" customWidth="1"/>
    <col min="23" max="23" width="9.3828125" style="373" bestFit="1" customWidth="1"/>
    <col min="24" max="24" width="9.3828125" style="373" customWidth="1"/>
    <col min="25" max="25" width="9.3828125" style="373" bestFit="1" customWidth="1"/>
    <col min="26" max="26" width="9.3828125" style="373" customWidth="1"/>
    <col min="27" max="27" width="9.3828125" style="373" bestFit="1" customWidth="1"/>
    <col min="28" max="28" width="11.53515625" style="373" customWidth="1"/>
    <col min="29" max="29" width="12" style="373" customWidth="1"/>
    <col min="30" max="32" width="10.84375" style="373" bestFit="1" customWidth="1"/>
    <col min="33" max="33" width="14.3046875" style="373" customWidth="1"/>
    <col min="34" max="34" width="13.53515625" style="373" customWidth="1"/>
    <col min="35" max="16384" width="9.15234375" style="373"/>
  </cols>
  <sheetData>
    <row r="1" spans="1:34" s="465" customFormat="1" ht="18.75" customHeight="1">
      <c r="A1" s="1250" t="s">
        <v>447</v>
      </c>
      <c r="B1" s="1251"/>
      <c r="C1" s="1251"/>
      <c r="D1" s="1251"/>
      <c r="E1" s="1251"/>
      <c r="F1" s="1251"/>
      <c r="G1" s="1251"/>
      <c r="H1" s="1251"/>
      <c r="I1" s="1251"/>
      <c r="J1" s="1251"/>
      <c r="K1" s="1251"/>
      <c r="L1" s="1251"/>
      <c r="M1" s="1251"/>
      <c r="N1" s="1251"/>
      <c r="O1" s="1251"/>
      <c r="P1" s="1251"/>
      <c r="Q1" s="1251"/>
      <c r="R1" s="1251"/>
      <c r="S1" s="1251"/>
      <c r="T1" s="1251"/>
      <c r="U1" s="1251"/>
      <c r="V1" s="1251"/>
      <c r="W1" s="1251"/>
      <c r="X1" s="1251"/>
      <c r="Y1" s="1251"/>
      <c r="Z1" s="1251"/>
      <c r="AA1" s="1251"/>
      <c r="AB1" s="1251"/>
      <c r="AC1" s="1251"/>
      <c r="AD1" s="1251"/>
      <c r="AE1" s="1251"/>
      <c r="AF1" s="1251"/>
      <c r="AG1" s="1251"/>
      <c r="AH1" s="1251"/>
    </row>
    <row r="2" spans="1:34" s="465" customFormat="1" ht="18.75" customHeight="1">
      <c r="A2" s="1250" t="s">
        <v>448</v>
      </c>
      <c r="B2" s="1251"/>
      <c r="C2" s="1251"/>
      <c r="D2" s="1251"/>
      <c r="E2" s="1251"/>
      <c r="F2" s="1251"/>
      <c r="G2" s="1251"/>
      <c r="H2" s="1251"/>
      <c r="I2" s="1251"/>
      <c r="J2" s="1251"/>
      <c r="K2" s="1251"/>
      <c r="L2" s="1251"/>
      <c r="M2" s="1251"/>
      <c r="N2" s="1251"/>
      <c r="O2" s="1251"/>
      <c r="P2" s="1251"/>
      <c r="Q2" s="1251"/>
      <c r="R2" s="1251"/>
      <c r="S2" s="1251"/>
      <c r="T2" s="1251"/>
      <c r="U2" s="1251"/>
      <c r="V2" s="1251"/>
      <c r="W2" s="1251"/>
      <c r="X2" s="1251"/>
      <c r="Y2" s="1251"/>
      <c r="Z2" s="1251"/>
      <c r="AA2" s="1251"/>
      <c r="AB2" s="1251"/>
      <c r="AC2" s="1251"/>
      <c r="AD2" s="1251"/>
      <c r="AE2" s="1251"/>
      <c r="AF2" s="1251"/>
      <c r="AG2" s="1251"/>
      <c r="AH2" s="1251"/>
    </row>
    <row r="3" spans="1:34" s="465" customFormat="1" ht="19.5" customHeight="1" thickBot="1">
      <c r="A3" s="1261" t="s">
        <v>355</v>
      </c>
      <c r="B3" s="1262"/>
      <c r="C3" s="1262"/>
      <c r="D3" s="1262"/>
      <c r="E3" s="1262"/>
      <c r="F3" s="1262"/>
      <c r="G3" s="1262"/>
      <c r="H3" s="1262"/>
      <c r="I3" s="1262"/>
      <c r="J3" s="1262"/>
      <c r="K3" s="1262"/>
      <c r="L3" s="1262"/>
      <c r="M3" s="1262"/>
      <c r="N3" s="1262"/>
      <c r="O3" s="1262"/>
      <c r="P3" s="1262"/>
      <c r="Q3" s="1262"/>
      <c r="R3" s="1262"/>
      <c r="S3" s="1262"/>
      <c r="T3" s="1262"/>
      <c r="U3" s="1262"/>
      <c r="V3" s="1262"/>
      <c r="W3" s="1262"/>
      <c r="X3" s="1262"/>
      <c r="Y3" s="1262"/>
      <c r="Z3" s="1262"/>
      <c r="AA3" s="1262"/>
      <c r="AB3" s="1262"/>
      <c r="AC3" s="1262"/>
      <c r="AD3" s="1262"/>
      <c r="AE3" s="1262"/>
      <c r="AF3" s="1262"/>
      <c r="AG3" s="1262"/>
      <c r="AH3" s="1262"/>
    </row>
    <row r="4" spans="1:34" s="465" customFormat="1" ht="36.9">
      <c r="A4" s="250" t="s">
        <v>179</v>
      </c>
      <c r="B4" s="214" t="s">
        <v>3</v>
      </c>
      <c r="C4" s="460" t="s">
        <v>4</v>
      </c>
      <c r="D4" s="460" t="s">
        <v>4</v>
      </c>
      <c r="E4" s="460" t="s">
        <v>5</v>
      </c>
      <c r="F4" s="460" t="s">
        <v>5</v>
      </c>
      <c r="G4" s="460" t="s">
        <v>6</v>
      </c>
      <c r="H4" s="986" t="s">
        <v>6</v>
      </c>
      <c r="I4" s="460" t="s">
        <v>7</v>
      </c>
      <c r="J4" s="986" t="s">
        <v>7</v>
      </c>
      <c r="K4" s="460" t="s">
        <v>8</v>
      </c>
      <c r="L4" s="986" t="s">
        <v>8</v>
      </c>
      <c r="M4" s="460" t="s">
        <v>9</v>
      </c>
      <c r="N4" s="460" t="s">
        <v>9</v>
      </c>
      <c r="O4" s="460" t="s">
        <v>10</v>
      </c>
      <c r="P4" s="460" t="s">
        <v>10</v>
      </c>
      <c r="Q4" s="460" t="s">
        <v>11</v>
      </c>
      <c r="R4" s="460" t="s">
        <v>11</v>
      </c>
      <c r="S4" s="460" t="s">
        <v>12</v>
      </c>
      <c r="T4" s="460" t="s">
        <v>12</v>
      </c>
      <c r="U4" s="460" t="s">
        <v>13</v>
      </c>
      <c r="V4" s="460" t="s">
        <v>13</v>
      </c>
      <c r="W4" s="460" t="s">
        <v>14</v>
      </c>
      <c r="X4" s="460" t="s">
        <v>14</v>
      </c>
      <c r="Y4" s="460" t="s">
        <v>15</v>
      </c>
      <c r="Z4" s="460" t="s">
        <v>15</v>
      </c>
      <c r="AA4" s="215" t="s">
        <v>16</v>
      </c>
      <c r="AB4" s="215" t="s">
        <v>17</v>
      </c>
      <c r="AC4" s="215" t="s">
        <v>18</v>
      </c>
      <c r="AD4" s="215" t="s">
        <v>19</v>
      </c>
      <c r="AE4" s="267" t="s">
        <v>20</v>
      </c>
      <c r="AF4" s="267" t="s">
        <v>21</v>
      </c>
      <c r="AG4" s="215" t="s">
        <v>22</v>
      </c>
      <c r="AH4" s="215" t="s">
        <v>23</v>
      </c>
    </row>
    <row r="5" spans="1:34" s="465" customFormat="1" ht="18.45">
      <c r="A5" s="484" t="s">
        <v>296</v>
      </c>
      <c r="B5" s="778" t="s">
        <v>299</v>
      </c>
      <c r="C5" s="816">
        <v>360</v>
      </c>
      <c r="D5" s="812">
        <f>MROUND(C5,10)</f>
        <v>360</v>
      </c>
      <c r="E5" s="816">
        <v>0</v>
      </c>
      <c r="F5" s="812">
        <f>IF(E5&lt;5,0,(IF(E5&gt;50,MROUND(E5,10),MROUND(E5,5))))</f>
        <v>0</v>
      </c>
      <c r="G5" s="816">
        <v>0</v>
      </c>
      <c r="H5" s="815">
        <f>IF(G5&lt;0.5,0,IF(G5&gt;5,MROUND(G5,1),MROUND(G5,0.5)))</f>
        <v>0</v>
      </c>
      <c r="I5" s="816">
        <v>0</v>
      </c>
      <c r="J5" s="815">
        <f>IF(I5&lt;0.5,0,IF(I5&gt;5,MROUND(I5,1),MROUND(I5,0.5)))</f>
        <v>0</v>
      </c>
      <c r="K5" s="816">
        <v>0</v>
      </c>
      <c r="L5" s="815">
        <f>IF(K5&lt;0.5,0,IF(K5&gt;5,MROUND(K5,1),MROUND(K5,0.5)))</f>
        <v>0</v>
      </c>
      <c r="M5" s="816">
        <v>0</v>
      </c>
      <c r="N5" s="812">
        <f>IF(M5&lt;2,0,IF(M5&gt;5,MROUND(M5,5),"less than 5 mg"))</f>
        <v>0</v>
      </c>
      <c r="O5" s="816">
        <v>60</v>
      </c>
      <c r="P5" s="812">
        <f>IF(O5&lt;5,0,IF(O5&gt;140,MROUND(O5,10),MROUND(O5,5)))</f>
        <v>60</v>
      </c>
      <c r="Q5" s="816">
        <v>90</v>
      </c>
      <c r="R5" s="812">
        <f>IF(Q5&lt;0.5,0,IF(Q5&gt;1,MROUND(Q5,1),"less than 1 g"))</f>
        <v>90</v>
      </c>
      <c r="S5" s="816">
        <v>0</v>
      </c>
      <c r="T5" s="812">
        <f>IF(S5&lt;0.5,0,IF(S5&gt;1,MROUND(S5,1),"less than 1 g"))</f>
        <v>0</v>
      </c>
      <c r="U5" s="816">
        <v>90</v>
      </c>
      <c r="V5" s="812">
        <f>IF(U5&lt;0.5,0,IF(U5&gt;1,MROUND(U5,1),"less than 1 g"))</f>
        <v>90</v>
      </c>
      <c r="W5" s="816">
        <v>90</v>
      </c>
      <c r="X5" s="812">
        <f>IF(W5&lt;0.5,0,IF(W5&gt;1,MROUND(W5,1),"less than 1 g"))</f>
        <v>90</v>
      </c>
      <c r="Y5" s="816">
        <v>0</v>
      </c>
      <c r="Z5" s="812">
        <f>IF(Y5&lt;0.5,0,IF(Y5&gt;1,MROUND(Y5,1),"less than 1 g"))</f>
        <v>0</v>
      </c>
      <c r="AA5" s="817">
        <v>0</v>
      </c>
      <c r="AB5" s="817">
        <v>0</v>
      </c>
      <c r="AC5" s="817">
        <v>10</v>
      </c>
      <c r="AD5" s="817">
        <v>0</v>
      </c>
      <c r="AE5" s="818">
        <v>4.9000000000000002E-2</v>
      </c>
      <c r="AF5" s="818">
        <v>0</v>
      </c>
      <c r="AG5" s="817">
        <v>1.014</v>
      </c>
      <c r="AH5" s="818">
        <v>2.1999999999999999E-2</v>
      </c>
    </row>
    <row r="6" spans="1:34" s="465" customFormat="1" ht="15" customHeight="1">
      <c r="A6" s="484" t="s">
        <v>296</v>
      </c>
      <c r="B6" s="484" t="s">
        <v>26</v>
      </c>
      <c r="C6" s="736">
        <v>430</v>
      </c>
      <c r="D6" s="812">
        <f t="shared" ref="D6:D60" si="0">MROUND(C6,10)</f>
        <v>430</v>
      </c>
      <c r="E6" s="736">
        <v>0</v>
      </c>
      <c r="F6" s="812">
        <f t="shared" ref="F6:F60" si="1">IF(E6&lt;5,0,(IF(E6&gt;50,MROUND(E6,10),MROUND(E6,5))))</f>
        <v>0</v>
      </c>
      <c r="G6" s="736">
        <v>0</v>
      </c>
      <c r="H6" s="815">
        <f t="shared" ref="H6:H60" si="2">IF(G6&lt;0.5,0,IF(G6&gt;5,MROUND(G6,1),MROUND(G6,0.5)))</f>
        <v>0</v>
      </c>
      <c r="I6" s="736">
        <v>0</v>
      </c>
      <c r="J6" s="815">
        <f t="shared" ref="J6:J60" si="3">IF(I6&lt;0.5,0,IF(I6&gt;5,MROUND(I6,1),MROUND(I6,0.5)))</f>
        <v>0</v>
      </c>
      <c r="K6" s="736">
        <v>0</v>
      </c>
      <c r="L6" s="815">
        <f t="shared" ref="L6:L60" si="4">IF(K6&lt;0.5,0,IF(K6&gt;5,MROUND(K6,1),MROUND(K6,0.5)))</f>
        <v>0</v>
      </c>
      <c r="M6" s="736">
        <v>0</v>
      </c>
      <c r="N6" s="812">
        <f t="shared" ref="N6:N60" si="5">IF(M6&lt;2,0,IF(M6&gt;5,MROUND(M6,5),"less than 5 mg"))</f>
        <v>0</v>
      </c>
      <c r="O6" s="736">
        <v>50</v>
      </c>
      <c r="P6" s="812">
        <f t="shared" ref="P6:P60" si="6">IF(O6&lt;5,0,IF(O6&gt;140,MROUND(O6,10),MROUND(O6,5)))</f>
        <v>50</v>
      </c>
      <c r="Q6" s="736">
        <v>110</v>
      </c>
      <c r="R6" s="812">
        <f t="shared" ref="R6:R60" si="7">IF(Q6&lt;0.5,0,IF(Q6&gt;1,MROUND(Q6,1),"less than 1 g"))</f>
        <v>110</v>
      </c>
      <c r="S6" s="736">
        <v>0</v>
      </c>
      <c r="T6" s="812">
        <f t="shared" ref="T6:T60" si="8">IF(S6&lt;0.5,0,IF(S6&gt;1,MROUND(S6,1),"less than 1 g"))</f>
        <v>0</v>
      </c>
      <c r="U6" s="736">
        <v>100</v>
      </c>
      <c r="V6" s="812">
        <f t="shared" ref="V6:V60" si="9">IF(U6&lt;0.5,0,IF(U6&gt;1,MROUND(U6,1),"less than 1 g"))</f>
        <v>100</v>
      </c>
      <c r="W6" s="736">
        <v>100</v>
      </c>
      <c r="X6" s="812">
        <f t="shared" ref="X6:X60" si="10">IF(W6&lt;0.5,0,IF(W6&gt;1,MROUND(W6,1),"less than 1 g"))</f>
        <v>100</v>
      </c>
      <c r="Y6" s="735">
        <v>0</v>
      </c>
      <c r="Z6" s="812">
        <f t="shared" ref="Z6:Z60" si="11">IF(Y6&lt;0.5,0,IF(Y6&gt;1,MROUND(Y6,1),"less than 1 g"))</f>
        <v>0</v>
      </c>
      <c r="AA6" s="735">
        <v>0</v>
      </c>
      <c r="AB6" s="735">
        <v>0</v>
      </c>
      <c r="AC6" s="735">
        <v>10</v>
      </c>
      <c r="AD6" s="1163">
        <v>0</v>
      </c>
      <c r="AE6" s="1163">
        <v>0</v>
      </c>
      <c r="AF6" s="1163">
        <v>0</v>
      </c>
      <c r="AG6" s="1163">
        <v>80</v>
      </c>
      <c r="AH6" s="1164">
        <v>0</v>
      </c>
    </row>
    <row r="7" spans="1:34" s="465" customFormat="1" ht="15" customHeight="1">
      <c r="A7" s="484" t="s">
        <v>296</v>
      </c>
      <c r="B7" s="484" t="s">
        <v>29</v>
      </c>
      <c r="C7" s="672">
        <v>410.41199999999998</v>
      </c>
      <c r="D7" s="812">
        <f t="shared" si="0"/>
        <v>410</v>
      </c>
      <c r="E7" s="672">
        <v>0</v>
      </c>
      <c r="F7" s="812">
        <f t="shared" si="1"/>
        <v>0</v>
      </c>
      <c r="G7" s="672">
        <v>0</v>
      </c>
      <c r="H7" s="815">
        <f t="shared" si="2"/>
        <v>0</v>
      </c>
      <c r="I7" s="672">
        <v>0</v>
      </c>
      <c r="J7" s="815">
        <f t="shared" si="3"/>
        <v>0</v>
      </c>
      <c r="K7" s="672">
        <v>0</v>
      </c>
      <c r="L7" s="815">
        <f t="shared" si="4"/>
        <v>0</v>
      </c>
      <c r="M7" s="672">
        <v>0</v>
      </c>
      <c r="N7" s="812">
        <f t="shared" si="5"/>
        <v>0</v>
      </c>
      <c r="O7" s="672">
        <v>56.603999999999999</v>
      </c>
      <c r="P7" s="812">
        <f t="shared" si="6"/>
        <v>55</v>
      </c>
      <c r="Q7" s="672">
        <v>104.089</v>
      </c>
      <c r="R7" s="812">
        <f t="shared" si="7"/>
        <v>104</v>
      </c>
      <c r="S7" s="672">
        <v>4.1000000000000002E-2</v>
      </c>
      <c r="T7" s="812">
        <f t="shared" si="8"/>
        <v>0</v>
      </c>
      <c r="U7" s="672">
        <v>101.44</v>
      </c>
      <c r="V7" s="812">
        <f t="shared" si="9"/>
        <v>101</v>
      </c>
      <c r="W7" s="672">
        <v>101.44</v>
      </c>
      <c r="X7" s="812">
        <f t="shared" si="10"/>
        <v>101</v>
      </c>
      <c r="Y7" s="672">
        <v>0</v>
      </c>
      <c r="Z7" s="812">
        <f t="shared" si="11"/>
        <v>0</v>
      </c>
      <c r="AA7" s="672">
        <v>0</v>
      </c>
      <c r="AB7" s="672">
        <v>0</v>
      </c>
      <c r="AC7" s="672">
        <v>13.263</v>
      </c>
      <c r="AD7" s="672">
        <v>1.02</v>
      </c>
      <c r="AE7" s="672">
        <v>8.6999999999999994E-2</v>
      </c>
      <c r="AF7" s="672">
        <v>0.48299999999999998</v>
      </c>
      <c r="AG7" s="672">
        <v>1.405</v>
      </c>
      <c r="AH7" s="672">
        <v>0.03</v>
      </c>
    </row>
    <row r="8" spans="1:34" s="465" customFormat="1" ht="15" customHeight="1">
      <c r="A8" s="484" t="s">
        <v>296</v>
      </c>
      <c r="B8" s="484" t="s">
        <v>30</v>
      </c>
      <c r="C8" s="672">
        <v>411.95400000000001</v>
      </c>
      <c r="D8" s="812">
        <f t="shared" si="0"/>
        <v>410</v>
      </c>
      <c r="E8" s="672">
        <v>0.48599999999999999</v>
      </c>
      <c r="F8" s="812">
        <f t="shared" si="1"/>
        <v>0</v>
      </c>
      <c r="G8" s="672">
        <v>5.3999999999999999E-2</v>
      </c>
      <c r="H8" s="815">
        <f t="shared" si="2"/>
        <v>0</v>
      </c>
      <c r="I8" s="672">
        <v>4.0000000000000001E-3</v>
      </c>
      <c r="J8" s="815">
        <f t="shared" si="3"/>
        <v>0</v>
      </c>
      <c r="K8" s="672">
        <v>0</v>
      </c>
      <c r="L8" s="815">
        <f t="shared" si="4"/>
        <v>0</v>
      </c>
      <c r="M8" s="672">
        <v>0</v>
      </c>
      <c r="N8" s="812">
        <f t="shared" si="5"/>
        <v>0</v>
      </c>
      <c r="O8" s="672">
        <v>57.161999999999999</v>
      </c>
      <c r="P8" s="812">
        <f t="shared" si="6"/>
        <v>55</v>
      </c>
      <c r="Q8" s="672">
        <v>104.36499999999999</v>
      </c>
      <c r="R8" s="812">
        <f t="shared" si="7"/>
        <v>104</v>
      </c>
      <c r="S8" s="672">
        <v>0.27</v>
      </c>
      <c r="T8" s="812">
        <f t="shared" si="8"/>
        <v>0</v>
      </c>
      <c r="U8" s="672">
        <v>104.36499999999999</v>
      </c>
      <c r="V8" s="812">
        <f t="shared" si="9"/>
        <v>104</v>
      </c>
      <c r="W8" s="672">
        <v>100.643</v>
      </c>
      <c r="X8" s="812">
        <f t="shared" si="10"/>
        <v>101</v>
      </c>
      <c r="Y8" s="672">
        <v>3.5000000000000003E-2</v>
      </c>
      <c r="Z8" s="812">
        <f t="shared" si="11"/>
        <v>0</v>
      </c>
      <c r="AA8" s="672">
        <v>0</v>
      </c>
      <c r="AB8" s="672">
        <v>0</v>
      </c>
      <c r="AC8" s="672">
        <v>13.725</v>
      </c>
      <c r="AD8" s="672">
        <v>1.056</v>
      </c>
      <c r="AE8" s="672">
        <v>0.10199999999999999</v>
      </c>
      <c r="AF8" s="672">
        <v>0.56899999999999995</v>
      </c>
      <c r="AG8" s="672">
        <v>5.9359999999999999</v>
      </c>
      <c r="AH8" s="672">
        <v>0.126</v>
      </c>
    </row>
    <row r="9" spans="1:34" s="465" customFormat="1" ht="15" customHeight="1">
      <c r="A9" s="484" t="s">
        <v>296</v>
      </c>
      <c r="B9" s="484" t="s">
        <v>300</v>
      </c>
      <c r="C9" s="672">
        <v>293.995</v>
      </c>
      <c r="D9" s="812">
        <f t="shared" si="0"/>
        <v>290</v>
      </c>
      <c r="E9" s="672">
        <v>0.98799999999999999</v>
      </c>
      <c r="F9" s="812">
        <f t="shared" si="1"/>
        <v>0</v>
      </c>
      <c r="G9" s="672">
        <v>0.11</v>
      </c>
      <c r="H9" s="815">
        <f t="shared" si="2"/>
        <v>0</v>
      </c>
      <c r="I9" s="672">
        <v>4.0000000000000001E-3</v>
      </c>
      <c r="J9" s="815">
        <f t="shared" si="3"/>
        <v>0</v>
      </c>
      <c r="K9" s="672">
        <v>0</v>
      </c>
      <c r="L9" s="815">
        <f t="shared" si="4"/>
        <v>0</v>
      </c>
      <c r="M9" s="672">
        <v>0</v>
      </c>
      <c r="N9" s="812">
        <f t="shared" si="5"/>
        <v>0</v>
      </c>
      <c r="O9" s="672">
        <v>48.093000000000004</v>
      </c>
      <c r="P9" s="812">
        <f t="shared" si="6"/>
        <v>50</v>
      </c>
      <c r="Q9" s="672">
        <v>76.412999999999997</v>
      </c>
      <c r="R9" s="812">
        <f t="shared" si="7"/>
        <v>76</v>
      </c>
      <c r="S9" s="672">
        <v>0.38</v>
      </c>
      <c r="T9" s="812">
        <f t="shared" si="8"/>
        <v>0</v>
      </c>
      <c r="U9" s="672">
        <v>70.596000000000004</v>
      </c>
      <c r="V9" s="812">
        <f t="shared" si="9"/>
        <v>71</v>
      </c>
      <c r="W9" s="672">
        <v>69.385000000000005</v>
      </c>
      <c r="X9" s="812">
        <f t="shared" si="10"/>
        <v>69</v>
      </c>
      <c r="Y9" s="672">
        <v>0.221</v>
      </c>
      <c r="Z9" s="812">
        <f t="shared" si="11"/>
        <v>0</v>
      </c>
      <c r="AA9" s="672">
        <v>0</v>
      </c>
      <c r="AB9" s="672">
        <v>0</v>
      </c>
      <c r="AC9" s="672">
        <v>16.992999999999999</v>
      </c>
      <c r="AD9" s="672">
        <v>1.3069999999999999</v>
      </c>
      <c r="AE9" s="672">
        <v>6.8000000000000005E-2</v>
      </c>
      <c r="AF9" s="672">
        <v>0.377</v>
      </c>
      <c r="AG9" s="672">
        <v>53.372999999999998</v>
      </c>
      <c r="AH9" s="672">
        <v>1.1359999999999999</v>
      </c>
    </row>
    <row r="10" spans="1:34" s="465" customFormat="1" ht="15" customHeight="1">
      <c r="A10" s="484" t="s">
        <v>296</v>
      </c>
      <c r="B10" s="484" t="s">
        <v>301</v>
      </c>
      <c r="C10" s="672">
        <v>350.51299999999998</v>
      </c>
      <c r="D10" s="812">
        <f t="shared" si="0"/>
        <v>350</v>
      </c>
      <c r="E10" s="672">
        <v>0.151</v>
      </c>
      <c r="F10" s="812">
        <f t="shared" si="1"/>
        <v>0</v>
      </c>
      <c r="G10" s="672">
        <v>1.7000000000000001E-2</v>
      </c>
      <c r="H10" s="815">
        <f t="shared" si="2"/>
        <v>0</v>
      </c>
      <c r="I10" s="672">
        <v>4.0000000000000001E-3</v>
      </c>
      <c r="J10" s="815">
        <f t="shared" si="3"/>
        <v>0</v>
      </c>
      <c r="K10" s="672">
        <v>0</v>
      </c>
      <c r="L10" s="815">
        <f t="shared" si="4"/>
        <v>0</v>
      </c>
      <c r="M10" s="672">
        <v>0</v>
      </c>
      <c r="N10" s="812">
        <f t="shared" si="5"/>
        <v>0</v>
      </c>
      <c r="O10" s="672">
        <v>57.771000000000001</v>
      </c>
      <c r="P10" s="812">
        <f t="shared" si="6"/>
        <v>60</v>
      </c>
      <c r="Q10" s="672">
        <v>89.034000000000006</v>
      </c>
      <c r="R10" s="812">
        <f t="shared" si="7"/>
        <v>89</v>
      </c>
      <c r="S10" s="672">
        <v>0.08</v>
      </c>
      <c r="T10" s="812">
        <f t="shared" si="8"/>
        <v>0</v>
      </c>
      <c r="U10" s="672">
        <v>85.046999999999997</v>
      </c>
      <c r="V10" s="812">
        <f t="shared" si="9"/>
        <v>85</v>
      </c>
      <c r="W10" s="672">
        <v>84.35</v>
      </c>
      <c r="X10" s="812">
        <f t="shared" si="10"/>
        <v>84</v>
      </c>
      <c r="Y10" s="672">
        <v>8.5000000000000006E-2</v>
      </c>
      <c r="Z10" s="812">
        <f t="shared" si="11"/>
        <v>0</v>
      </c>
      <c r="AA10" s="672">
        <v>0</v>
      </c>
      <c r="AB10" s="672">
        <v>0</v>
      </c>
      <c r="AC10" s="672">
        <v>12.195</v>
      </c>
      <c r="AD10" s="672">
        <v>0.93799999999999994</v>
      </c>
      <c r="AE10" s="672">
        <v>4.8000000000000001E-2</v>
      </c>
      <c r="AF10" s="672">
        <v>0.26900000000000002</v>
      </c>
      <c r="AG10" s="672">
        <v>25.24</v>
      </c>
      <c r="AH10" s="672">
        <v>0.53700000000000003</v>
      </c>
    </row>
    <row r="11" spans="1:34" s="465" customFormat="1" ht="15" customHeight="1">
      <c r="A11" s="484" t="s">
        <v>296</v>
      </c>
      <c r="B11" s="484" t="s">
        <v>302</v>
      </c>
      <c r="C11" s="672">
        <v>376.50599999999997</v>
      </c>
      <c r="D11" s="812">
        <f t="shared" si="0"/>
        <v>380</v>
      </c>
      <c r="E11" s="672">
        <v>0</v>
      </c>
      <c r="F11" s="812">
        <f t="shared" si="1"/>
        <v>0</v>
      </c>
      <c r="G11" s="672">
        <v>0</v>
      </c>
      <c r="H11" s="815">
        <f t="shared" si="2"/>
        <v>0</v>
      </c>
      <c r="I11" s="672">
        <v>0</v>
      </c>
      <c r="J11" s="815">
        <f t="shared" si="3"/>
        <v>0</v>
      </c>
      <c r="K11" s="672">
        <v>0</v>
      </c>
      <c r="L11" s="815">
        <f t="shared" si="4"/>
        <v>0</v>
      </c>
      <c r="M11" s="672">
        <v>0</v>
      </c>
      <c r="N11" s="812">
        <f t="shared" si="5"/>
        <v>0</v>
      </c>
      <c r="O11" s="672">
        <v>42.728000000000002</v>
      </c>
      <c r="P11" s="812">
        <f t="shared" si="6"/>
        <v>45</v>
      </c>
      <c r="Q11" s="672">
        <v>95.176000000000002</v>
      </c>
      <c r="R11" s="812">
        <f t="shared" si="7"/>
        <v>95</v>
      </c>
      <c r="S11" s="672">
        <v>0</v>
      </c>
      <c r="T11" s="812">
        <f t="shared" si="8"/>
        <v>0</v>
      </c>
      <c r="U11" s="672">
        <v>92.132000000000005</v>
      </c>
      <c r="V11" s="812">
        <f t="shared" si="9"/>
        <v>92</v>
      </c>
      <c r="W11" s="672">
        <v>92.132000000000005</v>
      </c>
      <c r="X11" s="812">
        <f t="shared" si="10"/>
        <v>92</v>
      </c>
      <c r="Y11" s="672">
        <v>0</v>
      </c>
      <c r="Z11" s="812">
        <f t="shared" si="11"/>
        <v>0</v>
      </c>
      <c r="AA11" s="672">
        <v>0</v>
      </c>
      <c r="AB11" s="672">
        <v>0</v>
      </c>
      <c r="AC11" s="672">
        <v>10.824999999999999</v>
      </c>
      <c r="AD11" s="672">
        <v>0.83299999999999996</v>
      </c>
      <c r="AE11" s="672">
        <v>1.7999999999999999E-2</v>
      </c>
      <c r="AF11" s="672">
        <v>0.1</v>
      </c>
      <c r="AG11" s="672">
        <v>1.5249999999999999</v>
      </c>
      <c r="AH11" s="672">
        <v>3.2000000000000001E-2</v>
      </c>
    </row>
    <row r="12" spans="1:34" s="465" customFormat="1" ht="15" customHeight="1">
      <c r="A12" s="484" t="s">
        <v>296</v>
      </c>
      <c r="B12" s="484" t="s">
        <v>31</v>
      </c>
      <c r="C12" s="703">
        <v>317.07299999999998</v>
      </c>
      <c r="D12" s="812">
        <f t="shared" si="0"/>
        <v>320</v>
      </c>
      <c r="E12" s="703">
        <v>0</v>
      </c>
      <c r="F12" s="812">
        <f t="shared" si="1"/>
        <v>0</v>
      </c>
      <c r="G12" s="703">
        <v>2.8000000000000001E-2</v>
      </c>
      <c r="H12" s="815">
        <f t="shared" si="2"/>
        <v>0</v>
      </c>
      <c r="I12" s="703">
        <v>0</v>
      </c>
      <c r="J12" s="815">
        <f t="shared" si="3"/>
        <v>0</v>
      </c>
      <c r="K12" s="703">
        <v>0</v>
      </c>
      <c r="L12" s="815">
        <f t="shared" si="4"/>
        <v>0</v>
      </c>
      <c r="M12" s="703">
        <v>0</v>
      </c>
      <c r="N12" s="812">
        <f t="shared" si="5"/>
        <v>0</v>
      </c>
      <c r="O12" s="703">
        <v>54.341000000000001</v>
      </c>
      <c r="P12" s="812">
        <f t="shared" si="6"/>
        <v>55</v>
      </c>
      <c r="Q12" s="703">
        <v>81.56</v>
      </c>
      <c r="R12" s="812">
        <f t="shared" si="7"/>
        <v>82</v>
      </c>
      <c r="S12" s="703">
        <v>0.16300000000000001</v>
      </c>
      <c r="T12" s="812">
        <f t="shared" si="8"/>
        <v>0</v>
      </c>
      <c r="U12" s="703">
        <v>76.688999999999993</v>
      </c>
      <c r="V12" s="812">
        <f t="shared" si="9"/>
        <v>77</v>
      </c>
      <c r="W12" s="703">
        <v>74.132000000000005</v>
      </c>
      <c r="X12" s="812">
        <f t="shared" si="10"/>
        <v>74</v>
      </c>
      <c r="Y12" s="703">
        <v>4.1000000000000002E-2</v>
      </c>
      <c r="Z12" s="812">
        <f t="shared" si="11"/>
        <v>0</v>
      </c>
      <c r="AA12" s="703">
        <v>0</v>
      </c>
      <c r="AB12" s="703">
        <v>0</v>
      </c>
      <c r="AC12" s="703">
        <v>19.225999999999999</v>
      </c>
      <c r="AD12" s="1165">
        <v>1.4790000000000001</v>
      </c>
      <c r="AE12" s="1165">
        <v>4.2000000000000003E-2</v>
      </c>
      <c r="AF12" s="1165">
        <v>0.23400000000000001</v>
      </c>
      <c r="AG12" s="1165">
        <v>1.671</v>
      </c>
      <c r="AH12" s="1165">
        <v>3.5999999999999997E-2</v>
      </c>
    </row>
    <row r="13" spans="1:34" s="465" customFormat="1" ht="15" customHeight="1">
      <c r="A13" s="484" t="s">
        <v>296</v>
      </c>
      <c r="B13" s="484" t="s">
        <v>32</v>
      </c>
      <c r="C13" s="703">
        <v>342.47899999999998</v>
      </c>
      <c r="D13" s="812">
        <f t="shared" si="0"/>
        <v>340</v>
      </c>
      <c r="E13" s="703">
        <v>0.48799999999999999</v>
      </c>
      <c r="F13" s="812">
        <f t="shared" si="1"/>
        <v>0</v>
      </c>
      <c r="G13" s="703">
        <v>5.3999999999999999E-2</v>
      </c>
      <c r="H13" s="815">
        <f t="shared" si="2"/>
        <v>0</v>
      </c>
      <c r="I13" s="703">
        <v>0</v>
      </c>
      <c r="J13" s="815">
        <f t="shared" si="3"/>
        <v>0</v>
      </c>
      <c r="K13" s="703">
        <v>0</v>
      </c>
      <c r="L13" s="815">
        <f t="shared" si="4"/>
        <v>0</v>
      </c>
      <c r="M13" s="703">
        <v>0</v>
      </c>
      <c r="N13" s="812">
        <f t="shared" si="5"/>
        <v>0</v>
      </c>
      <c r="O13" s="703">
        <v>46.192</v>
      </c>
      <c r="P13" s="812">
        <f t="shared" si="6"/>
        <v>45</v>
      </c>
      <c r="Q13" s="703">
        <v>88.89</v>
      </c>
      <c r="R13" s="812">
        <f t="shared" si="7"/>
        <v>89</v>
      </c>
      <c r="S13" s="703">
        <v>8.4000000000000005E-2</v>
      </c>
      <c r="T13" s="812">
        <f t="shared" si="8"/>
        <v>0</v>
      </c>
      <c r="U13" s="703">
        <v>82.706999999999994</v>
      </c>
      <c r="V13" s="812">
        <f t="shared" si="9"/>
        <v>83</v>
      </c>
      <c r="W13" s="703">
        <v>82.144999999999996</v>
      </c>
      <c r="X13" s="812">
        <f t="shared" si="10"/>
        <v>82</v>
      </c>
      <c r="Y13" s="703">
        <v>0.15</v>
      </c>
      <c r="Z13" s="812">
        <f t="shared" si="11"/>
        <v>0</v>
      </c>
      <c r="AA13" s="703">
        <v>0</v>
      </c>
      <c r="AB13" s="703">
        <v>0</v>
      </c>
      <c r="AC13" s="703">
        <v>14.302</v>
      </c>
      <c r="AD13" s="1165">
        <v>1.1000000000000001</v>
      </c>
      <c r="AE13" s="1165">
        <v>3.9E-2</v>
      </c>
      <c r="AF13" s="1165">
        <v>0.217</v>
      </c>
      <c r="AG13" s="1165">
        <v>38.927999999999997</v>
      </c>
      <c r="AH13" s="1165">
        <v>0.82799999999999996</v>
      </c>
    </row>
    <row r="14" spans="1:34" s="465" customFormat="1" ht="15" customHeight="1">
      <c r="A14" s="484" t="s">
        <v>296</v>
      </c>
      <c r="B14" s="484" t="s">
        <v>33</v>
      </c>
      <c r="C14" s="703">
        <v>384.46</v>
      </c>
      <c r="D14" s="812">
        <f t="shared" si="0"/>
        <v>380</v>
      </c>
      <c r="E14" s="703">
        <v>7.0999999999999994E-2</v>
      </c>
      <c r="F14" s="812">
        <f t="shared" si="1"/>
        <v>0</v>
      </c>
      <c r="G14" s="703">
        <v>8.0000000000000002E-3</v>
      </c>
      <c r="H14" s="815">
        <f t="shared" si="2"/>
        <v>0</v>
      </c>
      <c r="I14" s="703">
        <v>1E-3</v>
      </c>
      <c r="J14" s="815">
        <f t="shared" si="3"/>
        <v>0</v>
      </c>
      <c r="K14" s="703">
        <v>0</v>
      </c>
      <c r="L14" s="815">
        <f t="shared" si="4"/>
        <v>0</v>
      </c>
      <c r="M14" s="703">
        <v>0</v>
      </c>
      <c r="N14" s="812">
        <f t="shared" si="5"/>
        <v>0</v>
      </c>
      <c r="O14" s="703">
        <v>78.572000000000003</v>
      </c>
      <c r="P14" s="812">
        <f t="shared" si="6"/>
        <v>80</v>
      </c>
      <c r="Q14" s="703">
        <v>98.247</v>
      </c>
      <c r="R14" s="812">
        <f t="shared" si="7"/>
        <v>98</v>
      </c>
      <c r="S14" s="703">
        <v>0.17599999999999999</v>
      </c>
      <c r="T14" s="812">
        <f t="shared" si="8"/>
        <v>0</v>
      </c>
      <c r="U14" s="703">
        <v>93.44</v>
      </c>
      <c r="V14" s="812">
        <f t="shared" si="9"/>
        <v>93</v>
      </c>
      <c r="W14" s="703">
        <v>93.373000000000005</v>
      </c>
      <c r="X14" s="812">
        <f t="shared" si="10"/>
        <v>93</v>
      </c>
      <c r="Y14" s="703">
        <v>4.7E-2</v>
      </c>
      <c r="Z14" s="812">
        <f t="shared" si="11"/>
        <v>0</v>
      </c>
      <c r="AA14" s="703">
        <v>0</v>
      </c>
      <c r="AB14" s="703">
        <v>0</v>
      </c>
      <c r="AC14" s="703">
        <v>12.474</v>
      </c>
      <c r="AD14" s="1165">
        <v>0.96</v>
      </c>
      <c r="AE14" s="1165">
        <v>5.3999999999999999E-2</v>
      </c>
      <c r="AF14" s="1165">
        <v>0.29699999999999999</v>
      </c>
      <c r="AG14" s="1165">
        <v>5.2370000000000001</v>
      </c>
      <c r="AH14" s="1165">
        <v>0.111</v>
      </c>
    </row>
    <row r="15" spans="1:34" s="465" customFormat="1" ht="15" customHeight="1">
      <c r="A15" s="484" t="s">
        <v>296</v>
      </c>
      <c r="B15" s="484" t="s">
        <v>34</v>
      </c>
      <c r="C15" s="703">
        <v>464.11399999999998</v>
      </c>
      <c r="D15" s="812">
        <f t="shared" si="0"/>
        <v>460</v>
      </c>
      <c r="E15" s="703">
        <v>5.0810000000000004</v>
      </c>
      <c r="F15" s="812">
        <f t="shared" si="1"/>
        <v>5</v>
      </c>
      <c r="G15" s="703">
        <v>0.56499999999999995</v>
      </c>
      <c r="H15" s="815">
        <f t="shared" si="2"/>
        <v>0.5</v>
      </c>
      <c r="I15" s="703">
        <v>0.33400000000000002</v>
      </c>
      <c r="J15" s="815">
        <f t="shared" si="3"/>
        <v>0</v>
      </c>
      <c r="K15" s="703">
        <v>0</v>
      </c>
      <c r="L15" s="815">
        <f t="shared" si="4"/>
        <v>0</v>
      </c>
      <c r="M15" s="703">
        <v>0</v>
      </c>
      <c r="N15" s="812">
        <f t="shared" si="5"/>
        <v>0</v>
      </c>
      <c r="O15" s="703">
        <v>87.617999999999995</v>
      </c>
      <c r="P15" s="812">
        <f t="shared" si="6"/>
        <v>90</v>
      </c>
      <c r="Q15" s="703">
        <v>118.316</v>
      </c>
      <c r="R15" s="812">
        <f t="shared" si="7"/>
        <v>118</v>
      </c>
      <c r="S15" s="703">
        <v>1.6519999999999999</v>
      </c>
      <c r="T15" s="812">
        <f t="shared" si="8"/>
        <v>2</v>
      </c>
      <c r="U15" s="703">
        <v>112.396</v>
      </c>
      <c r="V15" s="812">
        <f t="shared" si="9"/>
        <v>112</v>
      </c>
      <c r="W15" s="703">
        <v>111.932</v>
      </c>
      <c r="X15" s="812">
        <f t="shared" si="10"/>
        <v>112</v>
      </c>
      <c r="Y15" s="704">
        <v>1.0069999999999999</v>
      </c>
      <c r="Z15" s="812">
        <f t="shared" si="11"/>
        <v>1</v>
      </c>
      <c r="AA15" s="704">
        <v>7.0000000000000001E-3</v>
      </c>
      <c r="AB15" s="704">
        <v>3.6999999999999998E-2</v>
      </c>
      <c r="AC15" s="704">
        <v>20.696000000000002</v>
      </c>
      <c r="AD15" s="1165">
        <v>1.5920000000000001</v>
      </c>
      <c r="AE15" s="1165">
        <v>0.876</v>
      </c>
      <c r="AF15" s="1165">
        <v>4.8680000000000003</v>
      </c>
      <c r="AG15" s="1165">
        <v>118.80200000000001</v>
      </c>
      <c r="AH15" s="1165">
        <v>2.528</v>
      </c>
    </row>
    <row r="16" spans="1:34" s="465" customFormat="1" ht="15" customHeight="1">
      <c r="A16" s="484" t="s">
        <v>296</v>
      </c>
      <c r="B16" s="484" t="s">
        <v>35</v>
      </c>
      <c r="C16" s="1165">
        <v>525.86900000000003</v>
      </c>
      <c r="D16" s="812">
        <f t="shared" si="0"/>
        <v>530</v>
      </c>
      <c r="E16" s="1165">
        <v>5.0949999999999998</v>
      </c>
      <c r="F16" s="812">
        <f t="shared" si="1"/>
        <v>5</v>
      </c>
      <c r="G16" s="1165">
        <v>4.0149999999999997</v>
      </c>
      <c r="H16" s="815">
        <f t="shared" si="2"/>
        <v>4</v>
      </c>
      <c r="I16" s="1165">
        <v>2.391</v>
      </c>
      <c r="J16" s="815">
        <f t="shared" si="3"/>
        <v>2.5</v>
      </c>
      <c r="K16" s="1165">
        <v>0</v>
      </c>
      <c r="L16" s="815">
        <f t="shared" si="4"/>
        <v>0</v>
      </c>
      <c r="M16" s="1165">
        <v>0</v>
      </c>
      <c r="N16" s="812">
        <f t="shared" si="5"/>
        <v>0</v>
      </c>
      <c r="O16" s="1165">
        <v>87.302000000000007</v>
      </c>
      <c r="P16" s="812">
        <f t="shared" si="6"/>
        <v>85</v>
      </c>
      <c r="Q16" s="1165">
        <v>127.54</v>
      </c>
      <c r="R16" s="812">
        <f t="shared" si="7"/>
        <v>128</v>
      </c>
      <c r="S16" s="1165">
        <v>2.7040000000000002</v>
      </c>
      <c r="T16" s="812">
        <f t="shared" si="8"/>
        <v>3</v>
      </c>
      <c r="U16" s="1165">
        <v>119.892</v>
      </c>
      <c r="V16" s="812">
        <f t="shared" si="9"/>
        <v>120</v>
      </c>
      <c r="W16" s="1165">
        <v>119.42700000000001</v>
      </c>
      <c r="X16" s="812">
        <f t="shared" si="10"/>
        <v>119</v>
      </c>
      <c r="Y16" s="1165">
        <v>1.673</v>
      </c>
      <c r="Z16" s="812">
        <f t="shared" si="11"/>
        <v>2</v>
      </c>
      <c r="AA16" s="1165">
        <v>7.0000000000000001E-3</v>
      </c>
      <c r="AB16" s="1165">
        <v>3.6999999999999998E-2</v>
      </c>
      <c r="AC16" s="1165">
        <v>25.37</v>
      </c>
      <c r="AD16" s="1165">
        <v>1.952</v>
      </c>
      <c r="AE16" s="1165">
        <v>2.012</v>
      </c>
      <c r="AF16" s="1165">
        <v>11.176</v>
      </c>
      <c r="AG16" s="1165">
        <v>177.124</v>
      </c>
      <c r="AH16" s="1165">
        <v>3.7690000000000001</v>
      </c>
    </row>
    <row r="17" spans="1:34" s="465" customFormat="1" ht="15" customHeight="1">
      <c r="A17" s="484" t="s">
        <v>296</v>
      </c>
      <c r="B17" s="484" t="s">
        <v>317</v>
      </c>
      <c r="C17" s="703">
        <v>560.55499999999995</v>
      </c>
      <c r="D17" s="812">
        <f t="shared" si="0"/>
        <v>560</v>
      </c>
      <c r="E17" s="703">
        <v>5.0869999999999997</v>
      </c>
      <c r="F17" s="812">
        <f t="shared" si="1"/>
        <v>5</v>
      </c>
      <c r="G17" s="703">
        <v>9.8759999999999994</v>
      </c>
      <c r="H17" s="815">
        <f t="shared" si="2"/>
        <v>10</v>
      </c>
      <c r="I17" s="703">
        <v>1.88</v>
      </c>
      <c r="J17" s="815">
        <f t="shared" si="3"/>
        <v>2</v>
      </c>
      <c r="K17" s="703">
        <v>0</v>
      </c>
      <c r="L17" s="815">
        <f t="shared" si="4"/>
        <v>0</v>
      </c>
      <c r="M17" s="703">
        <v>0</v>
      </c>
      <c r="N17" s="812">
        <f t="shared" si="5"/>
        <v>0</v>
      </c>
      <c r="O17" s="703">
        <v>128.40799999999999</v>
      </c>
      <c r="P17" s="812">
        <f t="shared" si="6"/>
        <v>130</v>
      </c>
      <c r="Q17" s="703">
        <v>119.907</v>
      </c>
      <c r="R17" s="812">
        <f t="shared" si="7"/>
        <v>120</v>
      </c>
      <c r="S17" s="703">
        <v>2.6640000000000001</v>
      </c>
      <c r="T17" s="812">
        <f t="shared" si="8"/>
        <v>3</v>
      </c>
      <c r="U17" s="703">
        <v>113.988</v>
      </c>
      <c r="V17" s="812">
        <f t="shared" si="9"/>
        <v>114</v>
      </c>
      <c r="W17" s="703">
        <v>113.05200000000001</v>
      </c>
      <c r="X17" s="812">
        <f t="shared" si="10"/>
        <v>113</v>
      </c>
      <c r="Y17" s="735">
        <v>4.0750000000000002</v>
      </c>
      <c r="Z17" s="812">
        <f t="shared" si="11"/>
        <v>4</v>
      </c>
      <c r="AA17" s="704">
        <v>7.0000000000000001E-3</v>
      </c>
      <c r="AB17" s="704">
        <v>3.6999999999999998E-2</v>
      </c>
      <c r="AC17" s="704">
        <v>31.323</v>
      </c>
      <c r="AD17" s="1165">
        <v>2.4089999999999998</v>
      </c>
      <c r="AE17" s="1165">
        <v>1.4219999999999999</v>
      </c>
      <c r="AF17" s="1165">
        <v>7.899</v>
      </c>
      <c r="AG17" s="1165">
        <v>202.75899999999999</v>
      </c>
      <c r="AH17" s="1166">
        <v>4.3140000000000001</v>
      </c>
    </row>
    <row r="18" spans="1:34" s="465" customFormat="1" ht="15" customHeight="1">
      <c r="A18" s="484" t="s">
        <v>296</v>
      </c>
      <c r="B18" s="484" t="s">
        <v>304</v>
      </c>
      <c r="C18" s="703">
        <v>323.85199999999998</v>
      </c>
      <c r="D18" s="812">
        <f t="shared" si="0"/>
        <v>320</v>
      </c>
      <c r="E18" s="703">
        <v>5.7000000000000002E-2</v>
      </c>
      <c r="F18" s="812">
        <f t="shared" si="1"/>
        <v>0</v>
      </c>
      <c r="G18" s="703">
        <v>6.0000000000000001E-3</v>
      </c>
      <c r="H18" s="815">
        <f t="shared" si="2"/>
        <v>0</v>
      </c>
      <c r="I18" s="703">
        <v>1E-3</v>
      </c>
      <c r="J18" s="815">
        <f t="shared" si="3"/>
        <v>0</v>
      </c>
      <c r="K18" s="703">
        <v>0</v>
      </c>
      <c r="L18" s="815">
        <f t="shared" si="4"/>
        <v>0</v>
      </c>
      <c r="M18" s="703">
        <v>0</v>
      </c>
      <c r="N18" s="812">
        <f t="shared" si="5"/>
        <v>0</v>
      </c>
      <c r="O18" s="703">
        <v>45.334000000000003</v>
      </c>
      <c r="P18" s="812">
        <f t="shared" si="6"/>
        <v>45</v>
      </c>
      <c r="Q18" s="703">
        <v>81.872</v>
      </c>
      <c r="R18" s="812">
        <f t="shared" si="7"/>
        <v>82</v>
      </c>
      <c r="S18" s="703">
        <v>9.5000000000000001E-2</v>
      </c>
      <c r="T18" s="812">
        <f t="shared" si="8"/>
        <v>0</v>
      </c>
      <c r="U18" s="703">
        <v>77.927000000000007</v>
      </c>
      <c r="V18" s="812">
        <f t="shared" si="9"/>
        <v>78</v>
      </c>
      <c r="W18" s="703">
        <v>77.730999999999995</v>
      </c>
      <c r="X18" s="812">
        <f t="shared" si="10"/>
        <v>78</v>
      </c>
      <c r="Y18" s="704">
        <v>2.8000000000000001E-2</v>
      </c>
      <c r="Z18" s="812">
        <f t="shared" si="11"/>
        <v>0</v>
      </c>
      <c r="AA18" s="704">
        <v>0</v>
      </c>
      <c r="AB18" s="704">
        <v>0</v>
      </c>
      <c r="AC18" s="704">
        <v>12.393000000000001</v>
      </c>
      <c r="AD18" s="1165">
        <v>0.95299999999999996</v>
      </c>
      <c r="AE18" s="1165">
        <v>3.3000000000000002E-2</v>
      </c>
      <c r="AF18" s="1165">
        <v>0.182</v>
      </c>
      <c r="AG18" s="1165">
        <v>4.8179999999999996</v>
      </c>
      <c r="AH18" s="1167">
        <v>0.10299999999999999</v>
      </c>
    </row>
    <row r="19" spans="1:34" s="465" customFormat="1" ht="15" customHeight="1">
      <c r="A19" s="484" t="s">
        <v>296</v>
      </c>
      <c r="B19" s="484" t="s">
        <v>36</v>
      </c>
      <c r="C19" s="703">
        <v>393.72500000000002</v>
      </c>
      <c r="D19" s="812">
        <f t="shared" si="0"/>
        <v>390</v>
      </c>
      <c r="E19" s="703">
        <v>0</v>
      </c>
      <c r="F19" s="812">
        <f t="shared" si="1"/>
        <v>0</v>
      </c>
      <c r="G19" s="703">
        <v>0</v>
      </c>
      <c r="H19" s="815">
        <f t="shared" si="2"/>
        <v>0</v>
      </c>
      <c r="I19" s="703">
        <v>0</v>
      </c>
      <c r="J19" s="815">
        <f t="shared" si="3"/>
        <v>0</v>
      </c>
      <c r="K19" s="703">
        <v>0</v>
      </c>
      <c r="L19" s="815">
        <f t="shared" si="4"/>
        <v>0</v>
      </c>
      <c r="M19" s="703">
        <v>0</v>
      </c>
      <c r="N19" s="812">
        <f t="shared" si="5"/>
        <v>0</v>
      </c>
      <c r="O19" s="703">
        <v>42.646000000000001</v>
      </c>
      <c r="P19" s="812">
        <f t="shared" si="6"/>
        <v>45</v>
      </c>
      <c r="Q19" s="703">
        <v>99.494</v>
      </c>
      <c r="R19" s="812">
        <f t="shared" si="7"/>
        <v>99</v>
      </c>
      <c r="S19" s="703">
        <v>0</v>
      </c>
      <c r="T19" s="812">
        <f t="shared" si="8"/>
        <v>0</v>
      </c>
      <c r="U19" s="703">
        <v>96.379000000000005</v>
      </c>
      <c r="V19" s="812">
        <f t="shared" si="9"/>
        <v>96</v>
      </c>
      <c r="W19" s="703">
        <v>96.379000000000005</v>
      </c>
      <c r="X19" s="812">
        <f t="shared" si="10"/>
        <v>96</v>
      </c>
      <c r="Y19" s="704">
        <v>0</v>
      </c>
      <c r="Z19" s="812">
        <f t="shared" si="11"/>
        <v>0</v>
      </c>
      <c r="AA19" s="704">
        <v>0</v>
      </c>
      <c r="AB19" s="704">
        <v>0</v>
      </c>
      <c r="AC19" s="704">
        <v>10.898999999999999</v>
      </c>
      <c r="AD19" s="1165">
        <v>0.83799999999999997</v>
      </c>
      <c r="AE19" s="1165">
        <v>1.7999999999999999E-2</v>
      </c>
      <c r="AF19" s="1165">
        <v>0.10100000000000001</v>
      </c>
      <c r="AG19" s="1165">
        <v>2.1110000000000002</v>
      </c>
      <c r="AH19" s="1165">
        <v>4.4999999999999998E-2</v>
      </c>
    </row>
    <row r="20" spans="1:34" s="465" customFormat="1" ht="15" customHeight="1">
      <c r="A20" s="484" t="s">
        <v>296</v>
      </c>
      <c r="B20" s="484" t="s">
        <v>37</v>
      </c>
      <c r="C20" s="1165">
        <v>197.745</v>
      </c>
      <c r="D20" s="812">
        <f t="shared" si="0"/>
        <v>200</v>
      </c>
      <c r="E20" s="1165">
        <v>0</v>
      </c>
      <c r="F20" s="812">
        <f t="shared" si="1"/>
        <v>0</v>
      </c>
      <c r="G20" s="1165">
        <v>0</v>
      </c>
      <c r="H20" s="815">
        <f t="shared" si="2"/>
        <v>0</v>
      </c>
      <c r="I20" s="1165">
        <v>0</v>
      </c>
      <c r="J20" s="815">
        <f t="shared" si="3"/>
        <v>0</v>
      </c>
      <c r="K20" s="1165">
        <v>0</v>
      </c>
      <c r="L20" s="815">
        <f t="shared" si="4"/>
        <v>0</v>
      </c>
      <c r="M20" s="1165">
        <v>0</v>
      </c>
      <c r="N20" s="812">
        <f t="shared" si="5"/>
        <v>0</v>
      </c>
      <c r="O20" s="1165">
        <v>52.064</v>
      </c>
      <c r="P20" s="812">
        <f t="shared" si="6"/>
        <v>50</v>
      </c>
      <c r="Q20" s="1165">
        <v>51.600999999999999</v>
      </c>
      <c r="R20" s="812">
        <f t="shared" si="7"/>
        <v>52</v>
      </c>
      <c r="S20" s="1165">
        <v>0</v>
      </c>
      <c r="T20" s="812">
        <f t="shared" si="8"/>
        <v>0</v>
      </c>
      <c r="U20" s="1165">
        <v>50.070999999999998</v>
      </c>
      <c r="V20" s="812">
        <f t="shared" si="9"/>
        <v>50</v>
      </c>
      <c r="W20" s="1165">
        <v>37.899000000000001</v>
      </c>
      <c r="X20" s="812">
        <f t="shared" si="10"/>
        <v>38</v>
      </c>
      <c r="Y20" s="1165">
        <v>0</v>
      </c>
      <c r="Z20" s="812">
        <f t="shared" si="11"/>
        <v>0</v>
      </c>
      <c r="AA20" s="1165">
        <v>0</v>
      </c>
      <c r="AB20" s="1165">
        <v>0</v>
      </c>
      <c r="AC20" s="1165">
        <v>9.8989999999999991</v>
      </c>
      <c r="AD20" s="1165">
        <v>0.76100000000000001</v>
      </c>
      <c r="AE20" s="1165">
        <v>1.7999999999999999E-2</v>
      </c>
      <c r="AF20" s="1165">
        <v>0.10100000000000001</v>
      </c>
      <c r="AG20" s="1165">
        <v>0.75900000000000001</v>
      </c>
      <c r="AH20" s="1165">
        <v>1.6E-2</v>
      </c>
    </row>
    <row r="21" spans="1:34" s="465" customFormat="1" ht="15" customHeight="1">
      <c r="A21" s="484" t="s">
        <v>296</v>
      </c>
      <c r="B21" s="484" t="s">
        <v>39</v>
      </c>
      <c r="C21" s="703">
        <v>367.01100000000002</v>
      </c>
      <c r="D21" s="812">
        <f t="shared" si="0"/>
        <v>370</v>
      </c>
      <c r="E21" s="703">
        <v>0</v>
      </c>
      <c r="F21" s="812">
        <f t="shared" si="1"/>
        <v>0</v>
      </c>
      <c r="G21" s="703">
        <v>0</v>
      </c>
      <c r="H21" s="815">
        <f t="shared" si="2"/>
        <v>0</v>
      </c>
      <c r="I21" s="703">
        <v>0</v>
      </c>
      <c r="J21" s="815">
        <f t="shared" si="3"/>
        <v>0</v>
      </c>
      <c r="K21" s="703">
        <v>0</v>
      </c>
      <c r="L21" s="815">
        <f t="shared" si="4"/>
        <v>0</v>
      </c>
      <c r="M21" s="703">
        <v>0</v>
      </c>
      <c r="N21" s="812">
        <f t="shared" si="5"/>
        <v>0</v>
      </c>
      <c r="O21" s="703">
        <v>43.085000000000001</v>
      </c>
      <c r="P21" s="812">
        <f t="shared" si="6"/>
        <v>45</v>
      </c>
      <c r="Q21" s="703">
        <v>92.447000000000003</v>
      </c>
      <c r="R21" s="812">
        <f t="shared" si="7"/>
        <v>92</v>
      </c>
      <c r="S21" s="703">
        <v>0.36099999999999999</v>
      </c>
      <c r="T21" s="812">
        <f t="shared" si="8"/>
        <v>0</v>
      </c>
      <c r="U21" s="703">
        <v>89.578000000000003</v>
      </c>
      <c r="V21" s="812">
        <f t="shared" si="9"/>
        <v>90</v>
      </c>
      <c r="W21" s="703">
        <v>87.566000000000003</v>
      </c>
      <c r="X21" s="812">
        <f t="shared" si="10"/>
        <v>88</v>
      </c>
      <c r="Y21" s="704">
        <v>0.224</v>
      </c>
      <c r="Z21" s="812">
        <f t="shared" si="11"/>
        <v>0</v>
      </c>
      <c r="AA21" s="704">
        <v>0</v>
      </c>
      <c r="AB21" s="704">
        <v>0</v>
      </c>
      <c r="AC21" s="704">
        <v>12.48</v>
      </c>
      <c r="AD21" s="1165">
        <v>0.96</v>
      </c>
      <c r="AE21" s="1165">
        <v>7.8E-2</v>
      </c>
      <c r="AF21" s="1165">
        <v>0.436</v>
      </c>
      <c r="AG21" s="1165">
        <v>1.506</v>
      </c>
      <c r="AH21" s="1165">
        <v>3.2000000000000001E-2</v>
      </c>
    </row>
    <row r="22" spans="1:34" s="465" customFormat="1" ht="15" customHeight="1">
      <c r="A22" s="484" t="s">
        <v>296</v>
      </c>
      <c r="B22" s="484" t="s">
        <v>40</v>
      </c>
      <c r="C22" s="672">
        <v>387.21600000000001</v>
      </c>
      <c r="D22" s="812">
        <f t="shared" si="0"/>
        <v>390</v>
      </c>
      <c r="E22" s="672">
        <v>0</v>
      </c>
      <c r="F22" s="812">
        <f t="shared" si="1"/>
        <v>0</v>
      </c>
      <c r="G22" s="672">
        <v>0</v>
      </c>
      <c r="H22" s="815">
        <f t="shared" si="2"/>
        <v>0</v>
      </c>
      <c r="I22" s="672">
        <v>0</v>
      </c>
      <c r="J22" s="815">
        <f t="shared" si="3"/>
        <v>0</v>
      </c>
      <c r="K22" s="672">
        <v>0</v>
      </c>
      <c r="L22" s="815">
        <f t="shared" si="4"/>
        <v>0</v>
      </c>
      <c r="M22" s="672">
        <v>0</v>
      </c>
      <c r="N22" s="812">
        <f t="shared" si="5"/>
        <v>0</v>
      </c>
      <c r="O22" s="672">
        <v>62.829000000000001</v>
      </c>
      <c r="P22" s="812">
        <f t="shared" si="6"/>
        <v>65</v>
      </c>
      <c r="Q22" s="672">
        <v>98.891000000000005</v>
      </c>
      <c r="R22" s="812">
        <f t="shared" si="7"/>
        <v>99</v>
      </c>
      <c r="S22" s="672">
        <v>0</v>
      </c>
      <c r="T22" s="812">
        <f t="shared" si="8"/>
        <v>0</v>
      </c>
      <c r="U22" s="672">
        <v>94.251000000000005</v>
      </c>
      <c r="V22" s="812">
        <f t="shared" si="9"/>
        <v>94</v>
      </c>
      <c r="W22" s="672">
        <v>88.674999999999997</v>
      </c>
      <c r="X22" s="812">
        <f t="shared" si="10"/>
        <v>89</v>
      </c>
      <c r="Y22" s="672">
        <v>4.2999999999999997E-2</v>
      </c>
      <c r="Z22" s="812">
        <f t="shared" si="11"/>
        <v>0</v>
      </c>
      <c r="AA22" s="672">
        <v>1.7769999999999999</v>
      </c>
      <c r="AB22" s="672">
        <v>8.8870000000000005</v>
      </c>
      <c r="AC22" s="672">
        <v>12.984</v>
      </c>
      <c r="AD22" s="672">
        <v>0.999</v>
      </c>
      <c r="AE22" s="672">
        <v>0.158</v>
      </c>
      <c r="AF22" s="672">
        <v>0.876</v>
      </c>
      <c r="AG22" s="672">
        <v>61.167999999999999</v>
      </c>
      <c r="AH22" s="672">
        <v>1.3009999999999999</v>
      </c>
    </row>
    <row r="23" spans="1:34" s="465" customFormat="1" ht="29.15">
      <c r="A23" s="484" t="s">
        <v>296</v>
      </c>
      <c r="B23" s="484" t="s">
        <v>306</v>
      </c>
      <c r="C23" s="1165">
        <v>472.24599999999998</v>
      </c>
      <c r="D23" s="812">
        <f t="shared" si="0"/>
        <v>470</v>
      </c>
      <c r="E23" s="1165">
        <v>0.95199999999999996</v>
      </c>
      <c r="F23" s="812">
        <f t="shared" si="1"/>
        <v>0</v>
      </c>
      <c r="G23" s="1165">
        <v>0.106</v>
      </c>
      <c r="H23" s="815">
        <f t="shared" si="2"/>
        <v>0</v>
      </c>
      <c r="I23" s="1165">
        <v>0</v>
      </c>
      <c r="J23" s="815">
        <f t="shared" si="3"/>
        <v>0</v>
      </c>
      <c r="K23" s="1165">
        <v>0</v>
      </c>
      <c r="L23" s="815">
        <f t="shared" si="4"/>
        <v>0</v>
      </c>
      <c r="M23" s="1165">
        <v>0</v>
      </c>
      <c r="N23" s="812">
        <f t="shared" si="5"/>
        <v>0</v>
      </c>
      <c r="O23" s="1165">
        <v>48.192999999999998</v>
      </c>
      <c r="P23" s="812">
        <f t="shared" si="6"/>
        <v>50</v>
      </c>
      <c r="Q23" s="1165">
        <v>117.968</v>
      </c>
      <c r="R23" s="812">
        <f t="shared" si="7"/>
        <v>118</v>
      </c>
      <c r="S23" s="1165">
        <v>0</v>
      </c>
      <c r="T23" s="812">
        <f t="shared" si="8"/>
        <v>0</v>
      </c>
      <c r="U23" s="1165">
        <v>108.629</v>
      </c>
      <c r="V23" s="812">
        <f t="shared" si="9"/>
        <v>109</v>
      </c>
      <c r="W23" s="1165">
        <v>108.629</v>
      </c>
      <c r="X23" s="812">
        <f t="shared" si="10"/>
        <v>109</v>
      </c>
      <c r="Y23" s="1165">
        <v>0.84599999999999997</v>
      </c>
      <c r="Z23" s="812" t="str">
        <f t="shared" si="11"/>
        <v>less than 1 g</v>
      </c>
      <c r="AA23" s="1165">
        <v>0</v>
      </c>
      <c r="AB23" s="1165">
        <v>0</v>
      </c>
      <c r="AC23" s="1165">
        <v>10.218</v>
      </c>
      <c r="AD23" s="1165">
        <v>0.78600000000000003</v>
      </c>
      <c r="AE23" s="1165">
        <v>2.1000000000000001E-2</v>
      </c>
      <c r="AF23" s="1165">
        <v>0.11799999999999999</v>
      </c>
      <c r="AG23" s="1165">
        <v>1.891</v>
      </c>
      <c r="AH23" s="1165">
        <v>0.04</v>
      </c>
    </row>
    <row r="24" spans="1:34" s="465" customFormat="1" ht="15" customHeight="1">
      <c r="A24" s="484" t="s">
        <v>296</v>
      </c>
      <c r="B24" s="484" t="s">
        <v>42</v>
      </c>
      <c r="C24" s="703">
        <v>421.27699999999999</v>
      </c>
      <c r="D24" s="812">
        <f t="shared" si="0"/>
        <v>420</v>
      </c>
      <c r="E24" s="703">
        <v>0.16300000000000001</v>
      </c>
      <c r="F24" s="812">
        <f t="shared" si="1"/>
        <v>0</v>
      </c>
      <c r="G24" s="703">
        <v>1.7999999999999999E-2</v>
      </c>
      <c r="H24" s="815">
        <f t="shared" si="2"/>
        <v>0</v>
      </c>
      <c r="I24" s="703">
        <v>8.9999999999999993E-3</v>
      </c>
      <c r="J24" s="815">
        <f t="shared" si="3"/>
        <v>0</v>
      </c>
      <c r="K24" s="703">
        <v>8.9999999999999993E-3</v>
      </c>
      <c r="L24" s="815">
        <f t="shared" si="4"/>
        <v>0</v>
      </c>
      <c r="M24" s="703">
        <v>0</v>
      </c>
      <c r="N24" s="812">
        <f t="shared" si="5"/>
        <v>0</v>
      </c>
      <c r="O24" s="703">
        <v>44.154000000000003</v>
      </c>
      <c r="P24" s="812">
        <f t="shared" si="6"/>
        <v>45</v>
      </c>
      <c r="Q24" s="703">
        <v>106.428</v>
      </c>
      <c r="R24" s="812">
        <f t="shared" si="7"/>
        <v>106</v>
      </c>
      <c r="S24" s="703">
        <v>0.28100000000000003</v>
      </c>
      <c r="T24" s="812">
        <f t="shared" si="8"/>
        <v>0</v>
      </c>
      <c r="U24" s="703">
        <v>102.01</v>
      </c>
      <c r="V24" s="812">
        <f t="shared" si="9"/>
        <v>102</v>
      </c>
      <c r="W24" s="703">
        <v>100.143</v>
      </c>
      <c r="X24" s="812">
        <f t="shared" si="10"/>
        <v>100</v>
      </c>
      <c r="Y24" s="704">
        <v>0.245</v>
      </c>
      <c r="Z24" s="812">
        <f t="shared" si="11"/>
        <v>0</v>
      </c>
      <c r="AA24" s="704">
        <v>1.105</v>
      </c>
      <c r="AB24" s="704">
        <v>5.5259999999999998</v>
      </c>
      <c r="AC24" s="704">
        <v>12.427</v>
      </c>
      <c r="AD24" s="1165">
        <v>0.95599999999999996</v>
      </c>
      <c r="AE24" s="1165">
        <v>8.6999999999999994E-2</v>
      </c>
      <c r="AF24" s="1165">
        <v>0.48199999999999998</v>
      </c>
      <c r="AG24" s="1165">
        <v>62.604999999999997</v>
      </c>
      <c r="AH24" s="1165">
        <v>1.3320000000000001</v>
      </c>
    </row>
    <row r="25" spans="1:34" s="465" customFormat="1" ht="15" customHeight="1">
      <c r="A25" s="484" t="s">
        <v>296</v>
      </c>
      <c r="B25" s="484" t="s">
        <v>45</v>
      </c>
      <c r="C25" s="703">
        <v>360.34399999999999</v>
      </c>
      <c r="D25" s="812">
        <f t="shared" si="0"/>
        <v>360</v>
      </c>
      <c r="E25" s="703">
        <v>0</v>
      </c>
      <c r="F25" s="812">
        <f t="shared" si="1"/>
        <v>0</v>
      </c>
      <c r="G25" s="703">
        <v>0</v>
      </c>
      <c r="H25" s="815">
        <f t="shared" si="2"/>
        <v>0</v>
      </c>
      <c r="I25" s="703">
        <v>0</v>
      </c>
      <c r="J25" s="815">
        <f t="shared" si="3"/>
        <v>0</v>
      </c>
      <c r="K25" s="703">
        <v>0</v>
      </c>
      <c r="L25" s="815">
        <f t="shared" si="4"/>
        <v>0</v>
      </c>
      <c r="M25" s="703">
        <v>0</v>
      </c>
      <c r="N25" s="812">
        <f t="shared" si="5"/>
        <v>0</v>
      </c>
      <c r="O25" s="703">
        <v>43.78</v>
      </c>
      <c r="P25" s="812">
        <f t="shared" si="6"/>
        <v>45</v>
      </c>
      <c r="Q25" s="703">
        <v>90.819000000000003</v>
      </c>
      <c r="R25" s="812">
        <f t="shared" si="7"/>
        <v>91</v>
      </c>
      <c r="S25" s="703">
        <v>0</v>
      </c>
      <c r="T25" s="812">
        <f t="shared" si="8"/>
        <v>0</v>
      </c>
      <c r="U25" s="703">
        <v>87.153000000000006</v>
      </c>
      <c r="V25" s="812">
        <f t="shared" si="9"/>
        <v>87</v>
      </c>
      <c r="W25" s="703">
        <v>86.81</v>
      </c>
      <c r="X25" s="812">
        <f t="shared" si="10"/>
        <v>87</v>
      </c>
      <c r="Y25" s="704">
        <v>8.9999999999999993E-3</v>
      </c>
      <c r="Z25" s="812">
        <f t="shared" si="11"/>
        <v>0</v>
      </c>
      <c r="AA25" s="704">
        <v>0</v>
      </c>
      <c r="AB25" s="704">
        <v>0</v>
      </c>
      <c r="AC25" s="704">
        <v>11.148</v>
      </c>
      <c r="AD25" s="1165">
        <v>0.85799999999999998</v>
      </c>
      <c r="AE25" s="1165">
        <v>3.5999999999999997E-2</v>
      </c>
      <c r="AF25" s="1165">
        <v>0.19900000000000001</v>
      </c>
      <c r="AG25" s="1165">
        <v>12.914</v>
      </c>
      <c r="AH25" s="1165">
        <v>0.27500000000000002</v>
      </c>
    </row>
    <row r="26" spans="1:34" s="465" customFormat="1" ht="15" customHeight="1">
      <c r="A26" s="484" t="s">
        <v>296</v>
      </c>
      <c r="B26" s="484" t="s">
        <v>46</v>
      </c>
      <c r="C26" s="703">
        <v>350.34</v>
      </c>
      <c r="D26" s="812">
        <f t="shared" si="0"/>
        <v>350</v>
      </c>
      <c r="E26" s="703">
        <v>0</v>
      </c>
      <c r="F26" s="812">
        <f t="shared" si="1"/>
        <v>0</v>
      </c>
      <c r="G26" s="703">
        <v>0</v>
      </c>
      <c r="H26" s="815">
        <f t="shared" si="2"/>
        <v>0</v>
      </c>
      <c r="I26" s="703">
        <v>0</v>
      </c>
      <c r="J26" s="815">
        <f t="shared" si="3"/>
        <v>0</v>
      </c>
      <c r="K26" s="703">
        <v>0</v>
      </c>
      <c r="L26" s="815">
        <f t="shared" si="4"/>
        <v>0</v>
      </c>
      <c r="M26" s="703">
        <v>0</v>
      </c>
      <c r="N26" s="812">
        <f t="shared" si="5"/>
        <v>0</v>
      </c>
      <c r="O26" s="703">
        <v>88.887</v>
      </c>
      <c r="P26" s="812">
        <f t="shared" si="6"/>
        <v>90</v>
      </c>
      <c r="Q26" s="703">
        <v>88.837000000000003</v>
      </c>
      <c r="R26" s="812">
        <f t="shared" si="7"/>
        <v>89</v>
      </c>
      <c r="S26" s="703">
        <v>4.9000000000000002E-2</v>
      </c>
      <c r="T26" s="812">
        <f t="shared" si="8"/>
        <v>0</v>
      </c>
      <c r="U26" s="703">
        <v>84.703000000000003</v>
      </c>
      <c r="V26" s="812">
        <f t="shared" si="9"/>
        <v>85</v>
      </c>
      <c r="W26" s="703">
        <v>84.703000000000003</v>
      </c>
      <c r="X26" s="812">
        <f t="shared" si="10"/>
        <v>85</v>
      </c>
      <c r="Y26" s="704">
        <v>8.0000000000000002E-3</v>
      </c>
      <c r="Z26" s="812">
        <f t="shared" si="11"/>
        <v>0</v>
      </c>
      <c r="AA26" s="704">
        <v>0</v>
      </c>
      <c r="AB26" s="704">
        <v>0</v>
      </c>
      <c r="AC26" s="704">
        <v>12.333</v>
      </c>
      <c r="AD26" s="1165">
        <v>0.94899999999999995</v>
      </c>
      <c r="AE26" s="1165">
        <v>0.08</v>
      </c>
      <c r="AF26" s="1165">
        <v>0.44500000000000001</v>
      </c>
      <c r="AG26" s="1165">
        <v>4.1050000000000004</v>
      </c>
      <c r="AH26" s="1165">
        <v>8.6999999999999994E-2</v>
      </c>
    </row>
    <row r="27" spans="1:34" s="465" customFormat="1" ht="15" customHeight="1">
      <c r="A27" s="484" t="s">
        <v>296</v>
      </c>
      <c r="B27" s="484" t="s">
        <v>307</v>
      </c>
      <c r="C27" s="703">
        <v>395.29500000000002</v>
      </c>
      <c r="D27" s="812">
        <f t="shared" si="0"/>
        <v>400</v>
      </c>
      <c r="E27" s="703">
        <v>0</v>
      </c>
      <c r="F27" s="812">
        <f t="shared" si="1"/>
        <v>0</v>
      </c>
      <c r="G27" s="703">
        <v>0</v>
      </c>
      <c r="H27" s="815">
        <f t="shared" si="2"/>
        <v>0</v>
      </c>
      <c r="I27" s="703">
        <v>0</v>
      </c>
      <c r="J27" s="815">
        <f t="shared" si="3"/>
        <v>0</v>
      </c>
      <c r="K27" s="703">
        <v>0</v>
      </c>
      <c r="L27" s="815">
        <f t="shared" si="4"/>
        <v>0</v>
      </c>
      <c r="M27" s="703">
        <v>0</v>
      </c>
      <c r="N27" s="812">
        <f t="shared" si="5"/>
        <v>0</v>
      </c>
      <c r="O27" s="703">
        <v>44.645000000000003</v>
      </c>
      <c r="P27" s="812">
        <f t="shared" si="6"/>
        <v>45</v>
      </c>
      <c r="Q27" s="703">
        <v>100.202</v>
      </c>
      <c r="R27" s="812">
        <f t="shared" si="7"/>
        <v>100</v>
      </c>
      <c r="S27" s="703">
        <v>0</v>
      </c>
      <c r="T27" s="812">
        <f t="shared" si="8"/>
        <v>0</v>
      </c>
      <c r="U27" s="703">
        <v>96.168000000000006</v>
      </c>
      <c r="V27" s="812">
        <f t="shared" si="9"/>
        <v>96</v>
      </c>
      <c r="W27" s="703">
        <v>96.168000000000006</v>
      </c>
      <c r="X27" s="812">
        <f t="shared" si="10"/>
        <v>96</v>
      </c>
      <c r="Y27" s="704">
        <v>0</v>
      </c>
      <c r="Z27" s="812">
        <f t="shared" si="11"/>
        <v>0</v>
      </c>
      <c r="AA27" s="704">
        <v>0</v>
      </c>
      <c r="AB27" s="704">
        <v>0</v>
      </c>
      <c r="AC27" s="704">
        <v>10.468999999999999</v>
      </c>
      <c r="AD27" s="1165">
        <v>0.80500000000000005</v>
      </c>
      <c r="AE27" s="1165">
        <v>2.3E-2</v>
      </c>
      <c r="AF27" s="1165">
        <v>0.126</v>
      </c>
      <c r="AG27" s="1165">
        <v>9.4819999999999993</v>
      </c>
      <c r="AH27" s="1165">
        <v>0.20200000000000001</v>
      </c>
    </row>
    <row r="28" spans="1:34" s="465" customFormat="1" ht="15" customHeight="1">
      <c r="A28" s="484" t="s">
        <v>296</v>
      </c>
      <c r="B28" s="484" t="s">
        <v>308</v>
      </c>
      <c r="C28" s="672">
        <v>371.47199999999998</v>
      </c>
      <c r="D28" s="812">
        <f t="shared" si="0"/>
        <v>370</v>
      </c>
      <c r="E28" s="672">
        <v>0</v>
      </c>
      <c r="F28" s="812">
        <f t="shared" si="1"/>
        <v>0</v>
      </c>
      <c r="G28" s="672">
        <v>0</v>
      </c>
      <c r="H28" s="815">
        <f t="shared" si="2"/>
        <v>0</v>
      </c>
      <c r="I28" s="672">
        <v>0</v>
      </c>
      <c r="J28" s="815">
        <f t="shared" si="3"/>
        <v>0</v>
      </c>
      <c r="K28" s="672">
        <v>0</v>
      </c>
      <c r="L28" s="815">
        <f t="shared" si="4"/>
        <v>0</v>
      </c>
      <c r="M28" s="672">
        <v>0</v>
      </c>
      <c r="N28" s="812">
        <f t="shared" si="5"/>
        <v>0</v>
      </c>
      <c r="O28" s="672">
        <v>45.654000000000003</v>
      </c>
      <c r="P28" s="812">
        <f t="shared" si="6"/>
        <v>45</v>
      </c>
      <c r="Q28" s="672">
        <v>92.281000000000006</v>
      </c>
      <c r="R28" s="812">
        <f t="shared" si="7"/>
        <v>92</v>
      </c>
      <c r="S28" s="672">
        <v>0</v>
      </c>
      <c r="T28" s="812">
        <f t="shared" si="8"/>
        <v>0</v>
      </c>
      <c r="U28" s="672">
        <v>91.643000000000001</v>
      </c>
      <c r="V28" s="812">
        <f t="shared" si="9"/>
        <v>92</v>
      </c>
      <c r="W28" s="672">
        <v>91.643000000000001</v>
      </c>
      <c r="X28" s="812">
        <f t="shared" si="10"/>
        <v>92</v>
      </c>
      <c r="Y28" s="672">
        <v>0</v>
      </c>
      <c r="Z28" s="812">
        <f t="shared" si="11"/>
        <v>0</v>
      </c>
      <c r="AA28" s="672">
        <v>0</v>
      </c>
      <c r="AB28" s="672">
        <v>0</v>
      </c>
      <c r="AC28" s="672">
        <v>10.568</v>
      </c>
      <c r="AD28" s="672">
        <v>0.81299999999999994</v>
      </c>
      <c r="AE28" s="672">
        <v>1.9E-2</v>
      </c>
      <c r="AF28" s="672">
        <v>0.107</v>
      </c>
      <c r="AG28" s="672">
        <v>6.8780000000000001</v>
      </c>
      <c r="AH28" s="672">
        <v>0.14599999999999999</v>
      </c>
    </row>
    <row r="29" spans="1:34" s="465" customFormat="1" ht="15" customHeight="1">
      <c r="A29" s="484" t="s">
        <v>296</v>
      </c>
      <c r="B29" s="484" t="s">
        <v>48</v>
      </c>
      <c r="C29" s="703">
        <v>305.33100000000002</v>
      </c>
      <c r="D29" s="812">
        <f t="shared" si="0"/>
        <v>310</v>
      </c>
      <c r="E29" s="703">
        <v>9.6000000000000002E-2</v>
      </c>
      <c r="F29" s="812">
        <f t="shared" si="1"/>
        <v>0</v>
      </c>
      <c r="G29" s="703">
        <v>2.1999999999999999E-2</v>
      </c>
      <c r="H29" s="815">
        <f t="shared" si="2"/>
        <v>0</v>
      </c>
      <c r="I29" s="703">
        <v>2E-3</v>
      </c>
      <c r="J29" s="815">
        <f t="shared" si="3"/>
        <v>0</v>
      </c>
      <c r="K29" s="703">
        <v>0</v>
      </c>
      <c r="L29" s="815">
        <f t="shared" si="4"/>
        <v>0</v>
      </c>
      <c r="M29" s="703">
        <v>0</v>
      </c>
      <c r="N29" s="812">
        <f t="shared" si="5"/>
        <v>0</v>
      </c>
      <c r="O29" s="703">
        <v>47.713999999999999</v>
      </c>
      <c r="P29" s="812">
        <f t="shared" si="6"/>
        <v>50</v>
      </c>
      <c r="Q29" s="703">
        <v>79.052999999999997</v>
      </c>
      <c r="R29" s="812">
        <f t="shared" si="7"/>
        <v>79</v>
      </c>
      <c r="S29" s="703">
        <v>0.19400000000000001</v>
      </c>
      <c r="T29" s="812">
        <f t="shared" si="8"/>
        <v>0</v>
      </c>
      <c r="U29" s="703">
        <v>75.322000000000003</v>
      </c>
      <c r="V29" s="812">
        <f t="shared" si="9"/>
        <v>75</v>
      </c>
      <c r="W29" s="703">
        <v>75.116</v>
      </c>
      <c r="X29" s="812">
        <f t="shared" si="10"/>
        <v>75</v>
      </c>
      <c r="Y29" s="704">
        <v>6.9000000000000006E-2</v>
      </c>
      <c r="Z29" s="812">
        <f t="shared" si="11"/>
        <v>0</v>
      </c>
      <c r="AA29" s="704">
        <v>3.5000000000000003E-2</v>
      </c>
      <c r="AB29" s="704">
        <v>0.17599999999999999</v>
      </c>
      <c r="AC29" s="704">
        <v>15.345000000000001</v>
      </c>
      <c r="AD29" s="1165">
        <v>1.18</v>
      </c>
      <c r="AE29" s="1165">
        <v>8.2000000000000003E-2</v>
      </c>
      <c r="AF29" s="1165">
        <v>0.45400000000000001</v>
      </c>
      <c r="AG29" s="1165">
        <v>14.526999999999999</v>
      </c>
      <c r="AH29" s="1165">
        <v>0.309</v>
      </c>
    </row>
    <row r="30" spans="1:34" s="465" customFormat="1" ht="15" customHeight="1">
      <c r="A30" s="484" t="s">
        <v>296</v>
      </c>
      <c r="B30" s="484" t="s">
        <v>50</v>
      </c>
      <c r="C30" s="703">
        <v>398.21300000000002</v>
      </c>
      <c r="D30" s="812">
        <f t="shared" si="0"/>
        <v>400</v>
      </c>
      <c r="E30" s="703">
        <v>0</v>
      </c>
      <c r="F30" s="812">
        <f t="shared" si="1"/>
        <v>0</v>
      </c>
      <c r="G30" s="703">
        <v>2.7E-2</v>
      </c>
      <c r="H30" s="815">
        <f t="shared" si="2"/>
        <v>0</v>
      </c>
      <c r="I30" s="703">
        <v>7.0000000000000001E-3</v>
      </c>
      <c r="J30" s="815">
        <f t="shared" si="3"/>
        <v>0</v>
      </c>
      <c r="K30" s="703">
        <v>0</v>
      </c>
      <c r="L30" s="815">
        <f t="shared" si="4"/>
        <v>0</v>
      </c>
      <c r="M30" s="703">
        <v>0</v>
      </c>
      <c r="N30" s="812">
        <f t="shared" si="5"/>
        <v>0</v>
      </c>
      <c r="O30" s="703">
        <v>59.765999999999998</v>
      </c>
      <c r="P30" s="812">
        <f t="shared" si="6"/>
        <v>60</v>
      </c>
      <c r="Q30" s="703">
        <v>101.26900000000001</v>
      </c>
      <c r="R30" s="812">
        <f t="shared" si="7"/>
        <v>101</v>
      </c>
      <c r="S30" s="703">
        <v>0.184</v>
      </c>
      <c r="T30" s="812">
        <f t="shared" si="8"/>
        <v>0</v>
      </c>
      <c r="U30" s="703">
        <v>96.652000000000001</v>
      </c>
      <c r="V30" s="812">
        <f t="shared" si="9"/>
        <v>97</v>
      </c>
      <c r="W30" s="703">
        <v>95.173000000000002</v>
      </c>
      <c r="X30" s="812">
        <f t="shared" si="10"/>
        <v>95</v>
      </c>
      <c r="Y30" s="704">
        <v>5.6000000000000001E-2</v>
      </c>
      <c r="Z30" s="812">
        <f t="shared" si="11"/>
        <v>0</v>
      </c>
      <c r="AA30" s="704">
        <v>0</v>
      </c>
      <c r="AB30" s="704">
        <v>0</v>
      </c>
      <c r="AC30" s="704">
        <v>13.297000000000001</v>
      </c>
      <c r="AD30" s="1165">
        <v>1.0229999999999999</v>
      </c>
      <c r="AE30" s="1165">
        <v>0.124</v>
      </c>
      <c r="AF30" s="1165">
        <v>0.69</v>
      </c>
      <c r="AG30" s="1165">
        <v>28.937000000000001</v>
      </c>
      <c r="AH30" s="1166">
        <v>0.61599999999999999</v>
      </c>
    </row>
    <row r="31" spans="1:34" s="465" customFormat="1" ht="15" customHeight="1">
      <c r="A31" s="484" t="s">
        <v>296</v>
      </c>
      <c r="B31" s="484" t="s">
        <v>51</v>
      </c>
      <c r="C31" s="703">
        <v>394.09</v>
      </c>
      <c r="D31" s="812">
        <f t="shared" si="0"/>
        <v>390</v>
      </c>
      <c r="E31" s="703">
        <v>0</v>
      </c>
      <c r="F31" s="812">
        <f t="shared" si="1"/>
        <v>0</v>
      </c>
      <c r="G31" s="703">
        <v>3.5000000000000003E-2</v>
      </c>
      <c r="H31" s="815">
        <f t="shared" si="2"/>
        <v>0</v>
      </c>
      <c r="I31" s="703">
        <v>3.0000000000000001E-3</v>
      </c>
      <c r="J31" s="815">
        <f t="shared" si="3"/>
        <v>0</v>
      </c>
      <c r="K31" s="703">
        <v>0</v>
      </c>
      <c r="L31" s="815">
        <f t="shared" si="4"/>
        <v>0</v>
      </c>
      <c r="M31" s="703">
        <v>0</v>
      </c>
      <c r="N31" s="812">
        <f t="shared" si="5"/>
        <v>0</v>
      </c>
      <c r="O31" s="703">
        <v>53.173999999999999</v>
      </c>
      <c r="P31" s="812">
        <f t="shared" si="6"/>
        <v>55</v>
      </c>
      <c r="Q31" s="703">
        <v>98.915000000000006</v>
      </c>
      <c r="R31" s="812">
        <f t="shared" si="7"/>
        <v>99</v>
      </c>
      <c r="S31" s="703">
        <v>0.375</v>
      </c>
      <c r="T31" s="812">
        <f t="shared" si="8"/>
        <v>0</v>
      </c>
      <c r="U31" s="703">
        <v>91.682000000000002</v>
      </c>
      <c r="V31" s="812">
        <f t="shared" si="9"/>
        <v>92</v>
      </c>
      <c r="W31" s="703">
        <v>72.546000000000006</v>
      </c>
      <c r="X31" s="812">
        <f t="shared" si="10"/>
        <v>73</v>
      </c>
      <c r="Y31" s="704">
        <v>0.17199999999999999</v>
      </c>
      <c r="Z31" s="812">
        <f t="shared" si="11"/>
        <v>0</v>
      </c>
      <c r="AA31" s="704">
        <v>0</v>
      </c>
      <c r="AB31" s="704">
        <v>0</v>
      </c>
      <c r="AC31" s="704">
        <v>12.377000000000001</v>
      </c>
      <c r="AD31" s="1165">
        <v>0.95199999999999996</v>
      </c>
      <c r="AE31" s="1165">
        <v>0.1</v>
      </c>
      <c r="AF31" s="1165">
        <v>0.55400000000000005</v>
      </c>
      <c r="AG31" s="1165">
        <v>15.026</v>
      </c>
      <c r="AH31" s="1166">
        <v>0.32</v>
      </c>
    </row>
    <row r="32" spans="1:34" s="465" customFormat="1" ht="15" customHeight="1">
      <c r="A32" s="484" t="s">
        <v>296</v>
      </c>
      <c r="B32" s="484" t="s">
        <v>52</v>
      </c>
      <c r="C32" s="703">
        <v>362.43</v>
      </c>
      <c r="D32" s="812">
        <f t="shared" si="0"/>
        <v>360</v>
      </c>
      <c r="E32" s="703">
        <v>0.114</v>
      </c>
      <c r="F32" s="812">
        <f t="shared" si="1"/>
        <v>0</v>
      </c>
      <c r="G32" s="703">
        <v>1.2999999999999999E-2</v>
      </c>
      <c r="H32" s="815">
        <f t="shared" si="2"/>
        <v>0</v>
      </c>
      <c r="I32" s="703">
        <v>3.0000000000000001E-3</v>
      </c>
      <c r="J32" s="815">
        <f t="shared" si="3"/>
        <v>0</v>
      </c>
      <c r="K32" s="703">
        <v>1.2999999999999999E-2</v>
      </c>
      <c r="L32" s="815">
        <f t="shared" si="4"/>
        <v>0</v>
      </c>
      <c r="M32" s="703">
        <v>0</v>
      </c>
      <c r="N32" s="812">
        <f t="shared" si="5"/>
        <v>0</v>
      </c>
      <c r="O32" s="703">
        <v>51.179000000000002</v>
      </c>
      <c r="P32" s="812">
        <f t="shared" si="6"/>
        <v>50</v>
      </c>
      <c r="Q32" s="703">
        <v>91.602999999999994</v>
      </c>
      <c r="R32" s="812">
        <f t="shared" si="7"/>
        <v>92</v>
      </c>
      <c r="S32" s="703">
        <v>0.28100000000000003</v>
      </c>
      <c r="T32" s="812">
        <f t="shared" si="8"/>
        <v>0</v>
      </c>
      <c r="U32" s="703">
        <v>87.91</v>
      </c>
      <c r="V32" s="812">
        <f t="shared" si="9"/>
        <v>88</v>
      </c>
      <c r="W32" s="703">
        <v>86.134</v>
      </c>
      <c r="X32" s="812">
        <f t="shared" si="10"/>
        <v>86</v>
      </c>
      <c r="Y32" s="704">
        <v>0.14699999999999999</v>
      </c>
      <c r="Z32" s="812">
        <f t="shared" si="11"/>
        <v>0</v>
      </c>
      <c r="AA32" s="704">
        <v>0</v>
      </c>
      <c r="AB32" s="704">
        <v>0</v>
      </c>
      <c r="AC32" s="704">
        <v>12.962</v>
      </c>
      <c r="AD32" s="1165">
        <v>0.997</v>
      </c>
      <c r="AE32" s="1165">
        <v>9.7000000000000003E-2</v>
      </c>
      <c r="AF32" s="1165">
        <v>0.54200000000000004</v>
      </c>
      <c r="AG32" s="1165">
        <v>14.182</v>
      </c>
      <c r="AH32" s="1166">
        <v>0.30199999999999999</v>
      </c>
    </row>
    <row r="33" spans="1:34" s="465" customFormat="1" ht="15" customHeight="1">
      <c r="A33" s="484" t="s">
        <v>296</v>
      </c>
      <c r="B33" s="484" t="s">
        <v>53</v>
      </c>
      <c r="C33" s="703">
        <v>399.23099999999999</v>
      </c>
      <c r="D33" s="812">
        <f t="shared" si="0"/>
        <v>400</v>
      </c>
      <c r="E33" s="703">
        <v>0</v>
      </c>
      <c r="F33" s="812">
        <f t="shared" si="1"/>
        <v>0</v>
      </c>
      <c r="G33" s="703">
        <v>1.0999999999999999E-2</v>
      </c>
      <c r="H33" s="815">
        <f t="shared" si="2"/>
        <v>0</v>
      </c>
      <c r="I33" s="703">
        <v>3.0000000000000001E-3</v>
      </c>
      <c r="J33" s="815">
        <f t="shared" si="3"/>
        <v>0</v>
      </c>
      <c r="K33" s="703">
        <v>0</v>
      </c>
      <c r="L33" s="815">
        <f t="shared" si="4"/>
        <v>0</v>
      </c>
      <c r="M33" s="703">
        <v>0</v>
      </c>
      <c r="N33" s="812">
        <f t="shared" si="5"/>
        <v>0</v>
      </c>
      <c r="O33" s="703">
        <v>57.195</v>
      </c>
      <c r="P33" s="812">
        <f t="shared" si="6"/>
        <v>55</v>
      </c>
      <c r="Q33" s="703">
        <v>100.694</v>
      </c>
      <c r="R33" s="812">
        <f t="shared" si="7"/>
        <v>101</v>
      </c>
      <c r="S33" s="703">
        <v>0.128</v>
      </c>
      <c r="T33" s="812">
        <f t="shared" si="8"/>
        <v>0</v>
      </c>
      <c r="U33" s="703">
        <v>96.977000000000004</v>
      </c>
      <c r="V33" s="812">
        <f t="shared" si="9"/>
        <v>97</v>
      </c>
      <c r="W33" s="703">
        <v>95.506</v>
      </c>
      <c r="X33" s="812">
        <f t="shared" si="10"/>
        <v>96</v>
      </c>
      <c r="Y33" s="704">
        <v>5.8999999999999997E-2</v>
      </c>
      <c r="Z33" s="812">
        <f t="shared" si="11"/>
        <v>0</v>
      </c>
      <c r="AA33" s="704">
        <v>0</v>
      </c>
      <c r="AB33" s="704">
        <v>0</v>
      </c>
      <c r="AC33" s="704">
        <v>13.03</v>
      </c>
      <c r="AD33" s="1165">
        <v>1.002</v>
      </c>
      <c r="AE33" s="1165">
        <v>0.308</v>
      </c>
      <c r="AF33" s="1165">
        <v>1.7110000000000001</v>
      </c>
      <c r="AG33" s="1165">
        <v>23.696000000000002</v>
      </c>
      <c r="AH33" s="1166">
        <v>0.504</v>
      </c>
    </row>
    <row r="34" spans="1:34" s="465" customFormat="1" ht="15" customHeight="1">
      <c r="A34" s="484" t="s">
        <v>296</v>
      </c>
      <c r="B34" s="484" t="s">
        <v>54</v>
      </c>
      <c r="C34" s="703">
        <v>405.89299999999997</v>
      </c>
      <c r="D34" s="812">
        <f t="shared" si="0"/>
        <v>410</v>
      </c>
      <c r="E34" s="703">
        <v>0</v>
      </c>
      <c r="F34" s="812">
        <f t="shared" si="1"/>
        <v>0</v>
      </c>
      <c r="G34" s="703">
        <v>1.6E-2</v>
      </c>
      <c r="H34" s="815">
        <f t="shared" si="2"/>
        <v>0</v>
      </c>
      <c r="I34" s="703">
        <v>3.0000000000000001E-3</v>
      </c>
      <c r="J34" s="815">
        <f t="shared" si="3"/>
        <v>0</v>
      </c>
      <c r="K34" s="703">
        <v>0</v>
      </c>
      <c r="L34" s="815">
        <f t="shared" si="4"/>
        <v>0</v>
      </c>
      <c r="M34" s="703">
        <v>0</v>
      </c>
      <c r="N34" s="812">
        <f t="shared" si="5"/>
        <v>0</v>
      </c>
      <c r="O34" s="703">
        <v>59.451000000000001</v>
      </c>
      <c r="P34" s="812">
        <f t="shared" si="6"/>
        <v>60</v>
      </c>
      <c r="Q34" s="703">
        <v>102.754</v>
      </c>
      <c r="R34" s="812">
        <f t="shared" si="7"/>
        <v>103</v>
      </c>
      <c r="S34" s="703">
        <v>0.23400000000000001</v>
      </c>
      <c r="T34" s="812">
        <f t="shared" si="8"/>
        <v>0</v>
      </c>
      <c r="U34" s="703">
        <v>98.908000000000001</v>
      </c>
      <c r="V34" s="812">
        <f t="shared" si="9"/>
        <v>99</v>
      </c>
      <c r="W34" s="703">
        <v>97.489000000000004</v>
      </c>
      <c r="X34" s="812">
        <f t="shared" si="10"/>
        <v>97</v>
      </c>
      <c r="Y34" s="704">
        <v>0.16600000000000001</v>
      </c>
      <c r="Z34" s="812">
        <f t="shared" si="11"/>
        <v>0</v>
      </c>
      <c r="AA34" s="704">
        <v>0</v>
      </c>
      <c r="AB34" s="704">
        <v>0</v>
      </c>
      <c r="AC34" s="704">
        <v>13.266999999999999</v>
      </c>
      <c r="AD34" s="1165">
        <v>1.0209999999999999</v>
      </c>
      <c r="AE34" s="1165">
        <v>0.14799999999999999</v>
      </c>
      <c r="AF34" s="1165">
        <v>0.82099999999999995</v>
      </c>
      <c r="AG34" s="1165">
        <v>17.260999999999999</v>
      </c>
      <c r="AH34" s="1166">
        <v>0.36699999999999999</v>
      </c>
    </row>
    <row r="35" spans="1:34" s="465" customFormat="1" ht="15" customHeight="1">
      <c r="A35" s="484" t="s">
        <v>296</v>
      </c>
      <c r="B35" s="484" t="s">
        <v>55</v>
      </c>
      <c r="C35" s="703">
        <v>344.16</v>
      </c>
      <c r="D35" s="812">
        <f t="shared" si="0"/>
        <v>340</v>
      </c>
      <c r="E35" s="703">
        <v>2.5999999999999999E-2</v>
      </c>
      <c r="F35" s="812">
        <f t="shared" si="1"/>
        <v>0</v>
      </c>
      <c r="G35" s="703">
        <v>4.5999999999999999E-2</v>
      </c>
      <c r="H35" s="815">
        <f t="shared" si="2"/>
        <v>0</v>
      </c>
      <c r="I35" s="703">
        <v>0</v>
      </c>
      <c r="J35" s="815">
        <f t="shared" si="3"/>
        <v>0</v>
      </c>
      <c r="K35" s="703">
        <v>0</v>
      </c>
      <c r="L35" s="815">
        <f t="shared" si="4"/>
        <v>0</v>
      </c>
      <c r="M35" s="703">
        <v>0</v>
      </c>
      <c r="N35" s="812">
        <f t="shared" si="5"/>
        <v>0</v>
      </c>
      <c r="O35" s="703">
        <v>75.962999999999994</v>
      </c>
      <c r="P35" s="812">
        <f t="shared" si="6"/>
        <v>75</v>
      </c>
      <c r="Q35" s="703">
        <v>87.945999999999998</v>
      </c>
      <c r="R35" s="812">
        <f t="shared" si="7"/>
        <v>88</v>
      </c>
      <c r="S35" s="703">
        <v>0.151</v>
      </c>
      <c r="T35" s="812">
        <f t="shared" si="8"/>
        <v>0</v>
      </c>
      <c r="U35" s="703">
        <v>81.78</v>
      </c>
      <c r="V35" s="812">
        <f t="shared" si="9"/>
        <v>82</v>
      </c>
      <c r="W35" s="703">
        <v>81.2</v>
      </c>
      <c r="X35" s="812">
        <f t="shared" si="10"/>
        <v>81</v>
      </c>
      <c r="Y35" s="704">
        <v>0.156</v>
      </c>
      <c r="Z35" s="812">
        <f t="shared" si="11"/>
        <v>0</v>
      </c>
      <c r="AA35" s="704">
        <v>2.3E-2</v>
      </c>
      <c r="AB35" s="704">
        <v>0.114</v>
      </c>
      <c r="AC35" s="704">
        <v>14.528</v>
      </c>
      <c r="AD35" s="1165">
        <v>1.1180000000000001</v>
      </c>
      <c r="AE35" s="1165">
        <v>9.9000000000000005E-2</v>
      </c>
      <c r="AF35" s="1165">
        <v>0.54900000000000004</v>
      </c>
      <c r="AG35" s="1165">
        <v>28.56</v>
      </c>
      <c r="AH35" s="1166">
        <v>0.60799999999999998</v>
      </c>
    </row>
    <row r="36" spans="1:34" s="465" customFormat="1" ht="15" customHeight="1">
      <c r="A36" s="484" t="s">
        <v>296</v>
      </c>
      <c r="B36" s="484" t="s">
        <v>336</v>
      </c>
      <c r="C36" s="736">
        <v>380</v>
      </c>
      <c r="D36" s="812">
        <f t="shared" si="0"/>
        <v>380</v>
      </c>
      <c r="E36" s="736">
        <v>0</v>
      </c>
      <c r="F36" s="812">
        <f t="shared" si="1"/>
        <v>0</v>
      </c>
      <c r="G36" s="736">
        <v>0</v>
      </c>
      <c r="H36" s="815">
        <f t="shared" si="2"/>
        <v>0</v>
      </c>
      <c r="I36" s="736">
        <v>0</v>
      </c>
      <c r="J36" s="815">
        <f t="shared" si="3"/>
        <v>0</v>
      </c>
      <c r="K36" s="736">
        <v>0</v>
      </c>
      <c r="L36" s="815">
        <f t="shared" si="4"/>
        <v>0</v>
      </c>
      <c r="M36" s="736">
        <v>0</v>
      </c>
      <c r="N36" s="812">
        <f t="shared" si="5"/>
        <v>0</v>
      </c>
      <c r="O36" s="736">
        <v>45</v>
      </c>
      <c r="P36" s="812">
        <f t="shared" si="6"/>
        <v>45</v>
      </c>
      <c r="Q36" s="736">
        <v>90</v>
      </c>
      <c r="R36" s="812">
        <f t="shared" si="7"/>
        <v>90</v>
      </c>
      <c r="S36" s="736">
        <v>0</v>
      </c>
      <c r="T36" s="812">
        <f t="shared" si="8"/>
        <v>0</v>
      </c>
      <c r="U36" s="736">
        <v>90</v>
      </c>
      <c r="V36" s="812">
        <f t="shared" si="9"/>
        <v>90</v>
      </c>
      <c r="W36" s="736">
        <v>90</v>
      </c>
      <c r="X36" s="812">
        <f t="shared" si="10"/>
        <v>90</v>
      </c>
      <c r="Y36" s="735">
        <v>0</v>
      </c>
      <c r="Z36" s="812">
        <f t="shared" si="11"/>
        <v>0</v>
      </c>
      <c r="AA36" s="735">
        <v>0</v>
      </c>
      <c r="AB36" s="735">
        <v>0</v>
      </c>
      <c r="AC36" s="735">
        <v>10</v>
      </c>
      <c r="AD36" s="1163">
        <v>0</v>
      </c>
      <c r="AE36" s="1163">
        <v>0</v>
      </c>
      <c r="AF36" s="1163">
        <v>0</v>
      </c>
      <c r="AG36" s="1163">
        <v>0</v>
      </c>
      <c r="AH36" s="1164">
        <v>0</v>
      </c>
    </row>
    <row r="37" spans="1:34" s="465" customFormat="1" ht="18.45">
      <c r="A37" s="484" t="s">
        <v>296</v>
      </c>
      <c r="B37" s="484" t="s">
        <v>310</v>
      </c>
      <c r="C37" s="703">
        <v>408.94400000000002</v>
      </c>
      <c r="D37" s="812">
        <f t="shared" si="0"/>
        <v>410</v>
      </c>
      <c r="E37" s="703">
        <v>0</v>
      </c>
      <c r="F37" s="812">
        <f t="shared" si="1"/>
        <v>0</v>
      </c>
      <c r="G37" s="703">
        <v>0</v>
      </c>
      <c r="H37" s="815">
        <f t="shared" si="2"/>
        <v>0</v>
      </c>
      <c r="I37" s="703">
        <v>0</v>
      </c>
      <c r="J37" s="815">
        <f t="shared" si="3"/>
        <v>0</v>
      </c>
      <c r="K37" s="703">
        <v>0</v>
      </c>
      <c r="L37" s="815">
        <f t="shared" si="4"/>
        <v>0</v>
      </c>
      <c r="M37" s="703">
        <v>0</v>
      </c>
      <c r="N37" s="812">
        <f t="shared" si="5"/>
        <v>0</v>
      </c>
      <c r="O37" s="703">
        <v>45.598999999999997</v>
      </c>
      <c r="P37" s="812">
        <f t="shared" si="6"/>
        <v>45</v>
      </c>
      <c r="Q37" s="703">
        <v>103.66500000000001</v>
      </c>
      <c r="R37" s="812">
        <f t="shared" si="7"/>
        <v>104</v>
      </c>
      <c r="S37" s="703">
        <v>0</v>
      </c>
      <c r="T37" s="812">
        <f t="shared" si="8"/>
        <v>0</v>
      </c>
      <c r="U37" s="703">
        <v>99.494</v>
      </c>
      <c r="V37" s="812">
        <f t="shared" si="9"/>
        <v>99</v>
      </c>
      <c r="W37" s="703">
        <v>99.494</v>
      </c>
      <c r="X37" s="812">
        <f t="shared" si="10"/>
        <v>99</v>
      </c>
      <c r="Y37" s="704">
        <v>0</v>
      </c>
      <c r="Z37" s="812">
        <f t="shared" si="11"/>
        <v>0</v>
      </c>
      <c r="AA37" s="704">
        <v>0</v>
      </c>
      <c r="AB37" s="704">
        <v>0</v>
      </c>
      <c r="AC37" s="704">
        <v>10.35</v>
      </c>
      <c r="AD37" s="1165">
        <v>0.79600000000000004</v>
      </c>
      <c r="AE37" s="1165">
        <v>2.4E-2</v>
      </c>
      <c r="AF37" s="1165">
        <v>0.13100000000000001</v>
      </c>
      <c r="AG37" s="1165">
        <v>0.98799999999999999</v>
      </c>
      <c r="AH37" s="1166">
        <v>2.1000000000000001E-2</v>
      </c>
    </row>
    <row r="38" spans="1:34" s="465" customFormat="1" ht="15" customHeight="1">
      <c r="A38" s="484" t="s">
        <v>296</v>
      </c>
      <c r="B38" s="484" t="s">
        <v>311</v>
      </c>
      <c r="C38" s="703">
        <v>340.077</v>
      </c>
      <c r="D38" s="812">
        <f t="shared" si="0"/>
        <v>340</v>
      </c>
      <c r="E38" s="703">
        <v>0</v>
      </c>
      <c r="F38" s="812">
        <f t="shared" si="1"/>
        <v>0</v>
      </c>
      <c r="G38" s="703">
        <v>1E-3</v>
      </c>
      <c r="H38" s="815">
        <f t="shared" si="2"/>
        <v>0</v>
      </c>
      <c r="I38" s="703">
        <v>1E-3</v>
      </c>
      <c r="J38" s="815">
        <f t="shared" si="3"/>
        <v>0</v>
      </c>
      <c r="K38" s="703">
        <v>0</v>
      </c>
      <c r="L38" s="815">
        <f t="shared" si="4"/>
        <v>0</v>
      </c>
      <c r="M38" s="703">
        <v>0</v>
      </c>
      <c r="N38" s="812">
        <f t="shared" si="5"/>
        <v>0</v>
      </c>
      <c r="O38" s="703">
        <v>52.801000000000002</v>
      </c>
      <c r="P38" s="812">
        <f t="shared" si="6"/>
        <v>55</v>
      </c>
      <c r="Q38" s="703">
        <v>86.867999999999995</v>
      </c>
      <c r="R38" s="812">
        <f t="shared" si="7"/>
        <v>87</v>
      </c>
      <c r="S38" s="703">
        <v>0.223</v>
      </c>
      <c r="T38" s="812">
        <f t="shared" si="8"/>
        <v>0</v>
      </c>
      <c r="U38" s="703">
        <v>84.391000000000005</v>
      </c>
      <c r="V38" s="812">
        <f t="shared" si="9"/>
        <v>84</v>
      </c>
      <c r="W38" s="703">
        <v>83.600999999999999</v>
      </c>
      <c r="X38" s="812">
        <f t="shared" si="10"/>
        <v>84</v>
      </c>
      <c r="Y38" s="704">
        <v>0.157</v>
      </c>
      <c r="Z38" s="812">
        <f t="shared" si="11"/>
        <v>0</v>
      </c>
      <c r="AA38" s="704">
        <v>0</v>
      </c>
      <c r="AB38" s="704">
        <v>0</v>
      </c>
      <c r="AC38" s="704">
        <v>11.281000000000001</v>
      </c>
      <c r="AD38" s="1165">
        <v>0.86799999999999999</v>
      </c>
      <c r="AE38" s="1165">
        <v>8.5000000000000006E-2</v>
      </c>
      <c r="AF38" s="1165">
        <v>0.47299999999999998</v>
      </c>
      <c r="AG38" s="1165">
        <v>1.419</v>
      </c>
      <c r="AH38" s="1166">
        <v>0.03</v>
      </c>
    </row>
    <row r="39" spans="1:34" s="465" customFormat="1" ht="15" customHeight="1">
      <c r="A39" s="484" t="s">
        <v>296</v>
      </c>
      <c r="B39" s="484" t="s">
        <v>58</v>
      </c>
      <c r="C39" s="703">
        <v>390.09199999999998</v>
      </c>
      <c r="D39" s="812">
        <f t="shared" si="0"/>
        <v>390</v>
      </c>
      <c r="E39" s="703">
        <v>0</v>
      </c>
      <c r="F39" s="812">
        <f t="shared" si="1"/>
        <v>0</v>
      </c>
      <c r="G39" s="703">
        <v>0.95199999999999996</v>
      </c>
      <c r="H39" s="815">
        <f t="shared" si="2"/>
        <v>1</v>
      </c>
      <c r="I39" s="703">
        <v>0</v>
      </c>
      <c r="J39" s="815">
        <f t="shared" si="3"/>
        <v>0</v>
      </c>
      <c r="K39" s="703">
        <v>0</v>
      </c>
      <c r="L39" s="815">
        <f t="shared" si="4"/>
        <v>0</v>
      </c>
      <c r="M39" s="703">
        <v>0</v>
      </c>
      <c r="N39" s="812">
        <f t="shared" si="5"/>
        <v>0</v>
      </c>
      <c r="O39" s="703">
        <v>58.161000000000001</v>
      </c>
      <c r="P39" s="812">
        <f t="shared" si="6"/>
        <v>60</v>
      </c>
      <c r="Q39" s="703">
        <v>98.879000000000005</v>
      </c>
      <c r="R39" s="812">
        <f t="shared" si="7"/>
        <v>99</v>
      </c>
      <c r="S39" s="703">
        <v>0.185</v>
      </c>
      <c r="T39" s="812">
        <f t="shared" si="8"/>
        <v>0</v>
      </c>
      <c r="U39" s="703">
        <v>95.01</v>
      </c>
      <c r="V39" s="812">
        <f t="shared" si="9"/>
        <v>95</v>
      </c>
      <c r="W39" s="703">
        <v>94.072000000000003</v>
      </c>
      <c r="X39" s="812">
        <f t="shared" si="10"/>
        <v>94</v>
      </c>
      <c r="Y39" s="704">
        <v>6.2E-2</v>
      </c>
      <c r="Z39" s="812">
        <f t="shared" si="11"/>
        <v>0</v>
      </c>
      <c r="AA39" s="704">
        <v>0</v>
      </c>
      <c r="AB39" s="704">
        <v>0</v>
      </c>
      <c r="AC39" s="704">
        <v>15.347</v>
      </c>
      <c r="AD39" s="1165">
        <v>1.181</v>
      </c>
      <c r="AE39" s="1165">
        <v>0.11799999999999999</v>
      </c>
      <c r="AF39" s="1165">
        <v>0.65300000000000002</v>
      </c>
      <c r="AG39" s="1165">
        <v>2.2679999999999998</v>
      </c>
      <c r="AH39" s="1166">
        <v>4.8000000000000001E-2</v>
      </c>
    </row>
    <row r="40" spans="1:34" s="465" customFormat="1" ht="15" customHeight="1">
      <c r="A40" s="484" t="s">
        <v>296</v>
      </c>
      <c r="B40" s="484" t="s">
        <v>59</v>
      </c>
      <c r="C40" s="703">
        <v>358.44900000000001</v>
      </c>
      <c r="D40" s="812">
        <f t="shared" si="0"/>
        <v>360</v>
      </c>
      <c r="E40" s="703">
        <v>0</v>
      </c>
      <c r="F40" s="812">
        <f t="shared" si="1"/>
        <v>0</v>
      </c>
      <c r="G40" s="703">
        <v>0</v>
      </c>
      <c r="H40" s="815">
        <f t="shared" si="2"/>
        <v>0</v>
      </c>
      <c r="I40" s="703">
        <v>0</v>
      </c>
      <c r="J40" s="815">
        <f t="shared" si="3"/>
        <v>0</v>
      </c>
      <c r="K40" s="703">
        <v>0</v>
      </c>
      <c r="L40" s="815">
        <f t="shared" si="4"/>
        <v>0</v>
      </c>
      <c r="M40" s="703">
        <v>0</v>
      </c>
      <c r="N40" s="812">
        <f t="shared" si="5"/>
        <v>0</v>
      </c>
      <c r="O40" s="703">
        <v>56.136000000000003</v>
      </c>
      <c r="P40" s="812">
        <f t="shared" si="6"/>
        <v>55</v>
      </c>
      <c r="Q40" s="703">
        <v>89.48</v>
      </c>
      <c r="R40" s="812">
        <f t="shared" si="7"/>
        <v>89</v>
      </c>
      <c r="S40" s="703">
        <v>8.7999999999999995E-2</v>
      </c>
      <c r="T40" s="812">
        <f t="shared" si="8"/>
        <v>0</v>
      </c>
      <c r="U40" s="703">
        <v>86.421999999999997</v>
      </c>
      <c r="V40" s="812">
        <f t="shared" si="9"/>
        <v>86</v>
      </c>
      <c r="W40" s="703">
        <v>84.935000000000002</v>
      </c>
      <c r="X40" s="812">
        <f t="shared" si="10"/>
        <v>85</v>
      </c>
      <c r="Y40" s="704">
        <v>6.2E-2</v>
      </c>
      <c r="Z40" s="812">
        <f t="shared" si="11"/>
        <v>0</v>
      </c>
      <c r="AA40" s="704">
        <v>0</v>
      </c>
      <c r="AB40" s="704">
        <v>0</v>
      </c>
      <c r="AC40" s="704">
        <v>13.055</v>
      </c>
      <c r="AD40" s="1165">
        <v>1.004</v>
      </c>
      <c r="AE40" s="1165">
        <v>0.44800000000000001</v>
      </c>
      <c r="AF40" s="1165">
        <v>2.4870000000000001</v>
      </c>
      <c r="AG40" s="1165">
        <v>19.768000000000001</v>
      </c>
      <c r="AH40" s="1166">
        <v>0.42099999999999999</v>
      </c>
    </row>
    <row r="41" spans="1:34" s="465" customFormat="1" ht="15" customHeight="1">
      <c r="A41" s="484" t="s">
        <v>296</v>
      </c>
      <c r="B41" s="484" t="s">
        <v>60</v>
      </c>
      <c r="C41" s="703">
        <v>383.82499999999999</v>
      </c>
      <c r="D41" s="812">
        <f t="shared" si="0"/>
        <v>380</v>
      </c>
      <c r="E41" s="703">
        <v>3.7999999999999999E-2</v>
      </c>
      <c r="F41" s="812">
        <f t="shared" si="1"/>
        <v>0</v>
      </c>
      <c r="G41" s="703">
        <v>4.0000000000000001E-3</v>
      </c>
      <c r="H41" s="815">
        <f t="shared" si="2"/>
        <v>0</v>
      </c>
      <c r="I41" s="703">
        <v>4.0000000000000001E-3</v>
      </c>
      <c r="J41" s="815">
        <f t="shared" si="3"/>
        <v>0</v>
      </c>
      <c r="K41" s="703">
        <v>0</v>
      </c>
      <c r="L41" s="815">
        <f t="shared" si="4"/>
        <v>0</v>
      </c>
      <c r="M41" s="703">
        <v>0</v>
      </c>
      <c r="N41" s="812">
        <f t="shared" si="5"/>
        <v>0</v>
      </c>
      <c r="O41" s="703">
        <v>56.603999999999999</v>
      </c>
      <c r="P41" s="812">
        <f t="shared" si="6"/>
        <v>55</v>
      </c>
      <c r="Q41" s="703">
        <v>97.450999999999993</v>
      </c>
      <c r="R41" s="812">
        <f t="shared" si="7"/>
        <v>97</v>
      </c>
      <c r="S41" s="703">
        <v>1.345</v>
      </c>
      <c r="T41" s="812">
        <f t="shared" si="8"/>
        <v>1</v>
      </c>
      <c r="U41" s="703">
        <v>92.391000000000005</v>
      </c>
      <c r="V41" s="812">
        <f t="shared" si="9"/>
        <v>92</v>
      </c>
      <c r="W41" s="703">
        <v>91.475999999999999</v>
      </c>
      <c r="X41" s="812">
        <f t="shared" si="10"/>
        <v>91</v>
      </c>
      <c r="Y41" s="704">
        <v>0.47</v>
      </c>
      <c r="Z41" s="812">
        <f t="shared" si="11"/>
        <v>0</v>
      </c>
      <c r="AA41" s="704">
        <v>0</v>
      </c>
      <c r="AB41" s="704">
        <v>0</v>
      </c>
      <c r="AC41" s="704">
        <v>15.893000000000001</v>
      </c>
      <c r="AD41" s="1165">
        <v>1.2230000000000001</v>
      </c>
      <c r="AE41" s="1165">
        <v>0.16900000000000001</v>
      </c>
      <c r="AF41" s="1165">
        <v>0.93600000000000005</v>
      </c>
      <c r="AG41" s="1165">
        <v>38.838999999999999</v>
      </c>
      <c r="AH41" s="1166">
        <v>0.82599999999999996</v>
      </c>
    </row>
    <row r="42" spans="1:34" s="465" customFormat="1" ht="15" customHeight="1">
      <c r="A42" s="484" t="s">
        <v>296</v>
      </c>
      <c r="B42" s="484" t="s">
        <v>61</v>
      </c>
      <c r="C42" s="703">
        <v>264.32400000000001</v>
      </c>
      <c r="D42" s="812">
        <f t="shared" si="0"/>
        <v>260</v>
      </c>
      <c r="E42" s="703">
        <v>0.753</v>
      </c>
      <c r="F42" s="812">
        <f t="shared" si="1"/>
        <v>0</v>
      </c>
      <c r="G42" s="703">
        <v>8.4000000000000005E-2</v>
      </c>
      <c r="H42" s="815">
        <f t="shared" si="2"/>
        <v>0</v>
      </c>
      <c r="I42" s="703">
        <v>3.0000000000000001E-3</v>
      </c>
      <c r="J42" s="815">
        <f t="shared" si="3"/>
        <v>0</v>
      </c>
      <c r="K42" s="703">
        <v>0</v>
      </c>
      <c r="L42" s="815">
        <f t="shared" si="4"/>
        <v>0</v>
      </c>
      <c r="M42" s="703">
        <v>0</v>
      </c>
      <c r="N42" s="812">
        <f t="shared" si="5"/>
        <v>0</v>
      </c>
      <c r="O42" s="703">
        <v>47.557000000000002</v>
      </c>
      <c r="P42" s="812">
        <f t="shared" si="6"/>
        <v>50</v>
      </c>
      <c r="Q42" s="703">
        <v>68.180999999999997</v>
      </c>
      <c r="R42" s="812">
        <f t="shared" si="7"/>
        <v>68</v>
      </c>
      <c r="S42" s="703">
        <v>0.32200000000000001</v>
      </c>
      <c r="T42" s="812">
        <f t="shared" si="8"/>
        <v>0</v>
      </c>
      <c r="U42" s="703">
        <v>64.602999999999994</v>
      </c>
      <c r="V42" s="812">
        <f t="shared" si="9"/>
        <v>65</v>
      </c>
      <c r="W42" s="703">
        <v>63.753999999999998</v>
      </c>
      <c r="X42" s="812">
        <f t="shared" si="10"/>
        <v>64</v>
      </c>
      <c r="Y42" s="704">
        <v>0.19900000000000001</v>
      </c>
      <c r="Z42" s="812">
        <f t="shared" si="11"/>
        <v>0</v>
      </c>
      <c r="AA42" s="704">
        <v>0</v>
      </c>
      <c r="AB42" s="704">
        <v>0</v>
      </c>
      <c r="AC42" s="704">
        <v>15.523</v>
      </c>
      <c r="AD42" s="1165">
        <v>1.194</v>
      </c>
      <c r="AE42" s="1165">
        <v>7.5999999999999998E-2</v>
      </c>
      <c r="AF42" s="1165">
        <v>0.42499999999999999</v>
      </c>
      <c r="AG42" s="1165">
        <v>44.13</v>
      </c>
      <c r="AH42" s="1166">
        <v>0.93899999999999995</v>
      </c>
    </row>
    <row r="43" spans="1:34" s="465" customFormat="1" ht="15" customHeight="1">
      <c r="A43" s="484" t="s">
        <v>296</v>
      </c>
      <c r="B43" s="484" t="s">
        <v>312</v>
      </c>
      <c r="C43" s="703">
        <v>334.05</v>
      </c>
      <c r="D43" s="812">
        <f t="shared" si="0"/>
        <v>330</v>
      </c>
      <c r="E43" s="703">
        <v>0.19900000000000001</v>
      </c>
      <c r="F43" s="812">
        <f t="shared" si="1"/>
        <v>0</v>
      </c>
      <c r="G43" s="703">
        <v>2.1999999999999999E-2</v>
      </c>
      <c r="H43" s="815">
        <f t="shared" si="2"/>
        <v>0</v>
      </c>
      <c r="I43" s="703">
        <v>0</v>
      </c>
      <c r="J43" s="815">
        <f t="shared" si="3"/>
        <v>0</v>
      </c>
      <c r="K43" s="703">
        <v>0</v>
      </c>
      <c r="L43" s="815">
        <f t="shared" si="4"/>
        <v>0</v>
      </c>
      <c r="M43" s="703">
        <v>0</v>
      </c>
      <c r="N43" s="812">
        <f t="shared" si="5"/>
        <v>0</v>
      </c>
      <c r="O43" s="703">
        <v>52.371000000000002</v>
      </c>
      <c r="P43" s="812">
        <f t="shared" si="6"/>
        <v>50</v>
      </c>
      <c r="Q43" s="703">
        <v>85.316000000000003</v>
      </c>
      <c r="R43" s="812">
        <f t="shared" si="7"/>
        <v>85</v>
      </c>
      <c r="S43" s="703">
        <v>4.2999999999999997E-2</v>
      </c>
      <c r="T43" s="812">
        <f t="shared" si="8"/>
        <v>0</v>
      </c>
      <c r="U43" s="703">
        <v>81.894999999999996</v>
      </c>
      <c r="V43" s="812">
        <f t="shared" si="9"/>
        <v>82</v>
      </c>
      <c r="W43" s="703">
        <v>81.665999999999997</v>
      </c>
      <c r="X43" s="812">
        <f t="shared" si="10"/>
        <v>82</v>
      </c>
      <c r="Y43" s="704">
        <v>5.7000000000000002E-2</v>
      </c>
      <c r="Z43" s="812">
        <f t="shared" si="11"/>
        <v>0</v>
      </c>
      <c r="AA43" s="704">
        <v>0</v>
      </c>
      <c r="AB43" s="704">
        <v>0</v>
      </c>
      <c r="AC43" s="704">
        <v>13.885</v>
      </c>
      <c r="AD43" s="1165">
        <v>1.0680000000000001</v>
      </c>
      <c r="AE43" s="1165">
        <v>6.0999999999999999E-2</v>
      </c>
      <c r="AF43" s="1165">
        <v>0.33900000000000002</v>
      </c>
      <c r="AG43" s="1165">
        <v>16.516999999999999</v>
      </c>
      <c r="AH43" s="1166">
        <v>0.35099999999999998</v>
      </c>
    </row>
    <row r="44" spans="1:34" s="465" customFormat="1" ht="15" customHeight="1">
      <c r="A44" s="484" t="s">
        <v>296</v>
      </c>
      <c r="B44" s="484" t="s">
        <v>64</v>
      </c>
      <c r="C44" s="703">
        <v>372.29300000000001</v>
      </c>
      <c r="D44" s="812">
        <f t="shared" si="0"/>
        <v>370</v>
      </c>
      <c r="E44" s="703">
        <v>0</v>
      </c>
      <c r="F44" s="812">
        <f t="shared" si="1"/>
        <v>0</v>
      </c>
      <c r="G44" s="703">
        <v>0</v>
      </c>
      <c r="H44" s="815">
        <f t="shared" si="2"/>
        <v>0</v>
      </c>
      <c r="I44" s="703">
        <v>0</v>
      </c>
      <c r="J44" s="815">
        <f t="shared" si="3"/>
        <v>0</v>
      </c>
      <c r="K44" s="703">
        <v>0</v>
      </c>
      <c r="L44" s="815">
        <f t="shared" si="4"/>
        <v>0</v>
      </c>
      <c r="M44" s="703">
        <v>0</v>
      </c>
      <c r="N44" s="812">
        <f t="shared" si="5"/>
        <v>0</v>
      </c>
      <c r="O44" s="703">
        <v>57.912999999999997</v>
      </c>
      <c r="P44" s="812">
        <f t="shared" si="6"/>
        <v>60</v>
      </c>
      <c r="Q44" s="703">
        <v>94.063999999999993</v>
      </c>
      <c r="R44" s="812">
        <f t="shared" si="7"/>
        <v>94</v>
      </c>
      <c r="S44" s="703">
        <v>0.03</v>
      </c>
      <c r="T44" s="812">
        <f t="shared" si="8"/>
        <v>0</v>
      </c>
      <c r="U44" s="703">
        <v>91.373000000000005</v>
      </c>
      <c r="V44" s="812">
        <f t="shared" si="9"/>
        <v>91</v>
      </c>
      <c r="W44" s="703">
        <v>91.373000000000005</v>
      </c>
      <c r="X44" s="812">
        <f t="shared" si="10"/>
        <v>91</v>
      </c>
      <c r="Y44" s="704">
        <v>0</v>
      </c>
      <c r="Z44" s="812">
        <f t="shared" si="11"/>
        <v>0</v>
      </c>
      <c r="AA44" s="704">
        <v>0</v>
      </c>
      <c r="AB44" s="704">
        <v>0</v>
      </c>
      <c r="AC44" s="704">
        <v>13.340999999999999</v>
      </c>
      <c r="AD44" s="1165">
        <v>1.0329999999999999</v>
      </c>
      <c r="AE44" s="1165">
        <v>8.5000000000000006E-2</v>
      </c>
      <c r="AF44" s="1165">
        <v>0.47299999999999998</v>
      </c>
      <c r="AG44" s="1165">
        <v>29.175999999999998</v>
      </c>
      <c r="AH44" s="1166">
        <v>0.621</v>
      </c>
    </row>
    <row r="45" spans="1:34" s="465" customFormat="1" ht="15" customHeight="1">
      <c r="A45" s="484" t="s">
        <v>296</v>
      </c>
      <c r="B45" s="484" t="s">
        <v>313</v>
      </c>
      <c r="C45" s="703">
        <v>316.98200000000003</v>
      </c>
      <c r="D45" s="812">
        <f t="shared" si="0"/>
        <v>320</v>
      </c>
      <c r="E45" s="703">
        <v>0</v>
      </c>
      <c r="F45" s="812">
        <f t="shared" si="1"/>
        <v>0</v>
      </c>
      <c r="G45" s="703">
        <v>0</v>
      </c>
      <c r="H45" s="815">
        <f t="shared" si="2"/>
        <v>0</v>
      </c>
      <c r="I45" s="703">
        <v>0</v>
      </c>
      <c r="J45" s="815">
        <f t="shared" si="3"/>
        <v>0</v>
      </c>
      <c r="K45" s="703">
        <v>0</v>
      </c>
      <c r="L45" s="815">
        <f t="shared" si="4"/>
        <v>0</v>
      </c>
      <c r="M45" s="703">
        <v>0</v>
      </c>
      <c r="N45" s="812">
        <f t="shared" si="5"/>
        <v>0</v>
      </c>
      <c r="O45" s="703">
        <v>46.27</v>
      </c>
      <c r="P45" s="812">
        <f t="shared" si="6"/>
        <v>45</v>
      </c>
      <c r="Q45" s="703">
        <v>80.018000000000001</v>
      </c>
      <c r="R45" s="812">
        <f t="shared" si="7"/>
        <v>80</v>
      </c>
      <c r="S45" s="703">
        <v>0</v>
      </c>
      <c r="T45" s="812">
        <f t="shared" si="8"/>
        <v>0</v>
      </c>
      <c r="U45" s="703">
        <v>76.867000000000004</v>
      </c>
      <c r="V45" s="812">
        <f t="shared" si="9"/>
        <v>77</v>
      </c>
      <c r="W45" s="703">
        <v>76.867000000000004</v>
      </c>
      <c r="X45" s="812">
        <f t="shared" si="10"/>
        <v>77</v>
      </c>
      <c r="Y45" s="704">
        <v>0</v>
      </c>
      <c r="Z45" s="812">
        <f t="shared" si="11"/>
        <v>0</v>
      </c>
      <c r="AA45" s="704">
        <v>0</v>
      </c>
      <c r="AB45" s="704">
        <v>0</v>
      </c>
      <c r="AC45" s="704">
        <v>10.923</v>
      </c>
      <c r="AD45" s="1165">
        <v>0.84</v>
      </c>
      <c r="AE45" s="1165">
        <v>1.4E-2</v>
      </c>
      <c r="AF45" s="1165">
        <v>7.6999999999999999E-2</v>
      </c>
      <c r="AG45" s="1165">
        <v>0.58199999999999996</v>
      </c>
      <c r="AH45" s="1166">
        <v>1.2E-2</v>
      </c>
    </row>
    <row r="46" spans="1:34" s="465" customFormat="1" ht="15" customHeight="1">
      <c r="A46" s="484" t="s">
        <v>296</v>
      </c>
      <c r="B46" s="484" t="s">
        <v>65</v>
      </c>
      <c r="C46" s="703">
        <v>408.21800000000002</v>
      </c>
      <c r="D46" s="812">
        <f t="shared" si="0"/>
        <v>410</v>
      </c>
      <c r="E46" s="703">
        <v>0</v>
      </c>
      <c r="F46" s="812">
        <f t="shared" si="1"/>
        <v>0</v>
      </c>
      <c r="G46" s="703">
        <v>0</v>
      </c>
      <c r="H46" s="815">
        <f t="shared" si="2"/>
        <v>0</v>
      </c>
      <c r="I46" s="703">
        <v>0</v>
      </c>
      <c r="J46" s="815">
        <f t="shared" si="3"/>
        <v>0</v>
      </c>
      <c r="K46" s="703">
        <v>0</v>
      </c>
      <c r="L46" s="815">
        <f t="shared" si="4"/>
        <v>0</v>
      </c>
      <c r="M46" s="703">
        <v>0</v>
      </c>
      <c r="N46" s="812">
        <f t="shared" si="5"/>
        <v>0</v>
      </c>
      <c r="O46" s="703">
        <v>58.402000000000001</v>
      </c>
      <c r="P46" s="812">
        <f t="shared" si="6"/>
        <v>60</v>
      </c>
      <c r="Q46" s="703">
        <v>103.161</v>
      </c>
      <c r="R46" s="812">
        <f t="shared" si="7"/>
        <v>103</v>
      </c>
      <c r="S46" s="703">
        <v>0</v>
      </c>
      <c r="T46" s="812">
        <f t="shared" si="8"/>
        <v>0</v>
      </c>
      <c r="U46" s="703">
        <v>97.105000000000004</v>
      </c>
      <c r="V46" s="812">
        <f t="shared" si="9"/>
        <v>97</v>
      </c>
      <c r="W46" s="703">
        <v>97.105000000000004</v>
      </c>
      <c r="X46" s="812">
        <f t="shared" si="10"/>
        <v>97</v>
      </c>
      <c r="Y46" s="704">
        <v>0</v>
      </c>
      <c r="Z46" s="812">
        <f t="shared" si="11"/>
        <v>0</v>
      </c>
      <c r="AA46" s="704">
        <v>0</v>
      </c>
      <c r="AB46" s="704">
        <v>0</v>
      </c>
      <c r="AC46" s="704">
        <v>10.532</v>
      </c>
      <c r="AD46" s="1165">
        <v>0.81</v>
      </c>
      <c r="AE46" s="1165">
        <v>3.2000000000000001E-2</v>
      </c>
      <c r="AF46" s="1165">
        <v>0.17899999999999999</v>
      </c>
      <c r="AG46" s="1165">
        <v>1.33</v>
      </c>
      <c r="AH46" s="1166">
        <v>2.8000000000000001E-2</v>
      </c>
    </row>
    <row r="47" spans="1:34" s="465" customFormat="1" ht="15" customHeight="1">
      <c r="A47" s="484" t="s">
        <v>296</v>
      </c>
      <c r="B47" s="484" t="s">
        <v>314</v>
      </c>
      <c r="C47" s="672">
        <v>412.35700000000003</v>
      </c>
      <c r="D47" s="812">
        <f t="shared" si="0"/>
        <v>410</v>
      </c>
      <c r="E47" s="672">
        <v>0</v>
      </c>
      <c r="F47" s="812">
        <f t="shared" si="1"/>
        <v>0</v>
      </c>
      <c r="G47" s="672">
        <v>0</v>
      </c>
      <c r="H47" s="815">
        <f t="shared" si="2"/>
        <v>0</v>
      </c>
      <c r="I47" s="672">
        <v>0</v>
      </c>
      <c r="J47" s="815">
        <f t="shared" si="3"/>
        <v>0</v>
      </c>
      <c r="K47" s="672">
        <v>0</v>
      </c>
      <c r="L47" s="815">
        <f t="shared" si="4"/>
        <v>0</v>
      </c>
      <c r="M47" s="672">
        <v>0</v>
      </c>
      <c r="N47" s="812">
        <f t="shared" si="5"/>
        <v>0</v>
      </c>
      <c r="O47" s="672">
        <v>45.54</v>
      </c>
      <c r="P47" s="812">
        <f t="shared" si="6"/>
        <v>45</v>
      </c>
      <c r="Q47" s="672">
        <v>102.974</v>
      </c>
      <c r="R47" s="812">
        <f t="shared" si="7"/>
        <v>103</v>
      </c>
      <c r="S47" s="672">
        <v>7.5999999999999998E-2</v>
      </c>
      <c r="T47" s="812">
        <f t="shared" si="8"/>
        <v>0</v>
      </c>
      <c r="U47" s="672">
        <v>97.084999999999994</v>
      </c>
      <c r="V47" s="812">
        <f t="shared" si="9"/>
        <v>97</v>
      </c>
      <c r="W47" s="672">
        <v>97.084999999999994</v>
      </c>
      <c r="X47" s="812">
        <f t="shared" si="10"/>
        <v>97</v>
      </c>
      <c r="Y47" s="672">
        <v>8.0000000000000002E-3</v>
      </c>
      <c r="Z47" s="812">
        <f t="shared" si="11"/>
        <v>0</v>
      </c>
      <c r="AA47" s="672">
        <v>0</v>
      </c>
      <c r="AB47" s="672">
        <v>0</v>
      </c>
      <c r="AC47" s="672">
        <v>10.615</v>
      </c>
      <c r="AD47" s="672">
        <v>0.81699999999999995</v>
      </c>
      <c r="AE47" s="672">
        <v>2.4E-2</v>
      </c>
      <c r="AF47" s="672">
        <v>0.13200000000000001</v>
      </c>
      <c r="AG47" s="672">
        <v>1.6459999999999999</v>
      </c>
      <c r="AH47" s="672">
        <v>3.5000000000000003E-2</v>
      </c>
    </row>
    <row r="48" spans="1:34" s="465" customFormat="1" ht="15" customHeight="1">
      <c r="A48" s="484" t="s">
        <v>296</v>
      </c>
      <c r="B48" s="484" t="s">
        <v>66</v>
      </c>
      <c r="C48" s="703">
        <v>413.55599999999998</v>
      </c>
      <c r="D48" s="812">
        <f t="shared" si="0"/>
        <v>410</v>
      </c>
      <c r="E48" s="703">
        <v>0.13</v>
      </c>
      <c r="F48" s="812">
        <f t="shared" si="1"/>
        <v>0</v>
      </c>
      <c r="G48" s="703">
        <v>1.4E-2</v>
      </c>
      <c r="H48" s="815">
        <f t="shared" si="2"/>
        <v>0</v>
      </c>
      <c r="I48" s="703">
        <v>0</v>
      </c>
      <c r="J48" s="815">
        <f t="shared" si="3"/>
        <v>0</v>
      </c>
      <c r="K48" s="703">
        <v>0</v>
      </c>
      <c r="L48" s="815">
        <f t="shared" si="4"/>
        <v>0</v>
      </c>
      <c r="M48" s="703">
        <v>0</v>
      </c>
      <c r="N48" s="812">
        <f t="shared" si="5"/>
        <v>0</v>
      </c>
      <c r="O48" s="703">
        <v>59.301000000000002</v>
      </c>
      <c r="P48" s="812">
        <f t="shared" si="6"/>
        <v>60</v>
      </c>
      <c r="Q48" s="703">
        <v>104.23</v>
      </c>
      <c r="R48" s="812">
        <f t="shared" si="7"/>
        <v>104</v>
      </c>
      <c r="S48" s="703">
        <v>0.28199999999999997</v>
      </c>
      <c r="T48" s="812">
        <f t="shared" si="8"/>
        <v>0</v>
      </c>
      <c r="U48" s="703">
        <v>101.20099999999999</v>
      </c>
      <c r="V48" s="812">
        <f t="shared" si="9"/>
        <v>101</v>
      </c>
      <c r="W48" s="703">
        <v>99.819000000000003</v>
      </c>
      <c r="X48" s="812">
        <f t="shared" si="10"/>
        <v>100</v>
      </c>
      <c r="Y48" s="704">
        <v>0.255</v>
      </c>
      <c r="Z48" s="812">
        <f t="shared" si="11"/>
        <v>0</v>
      </c>
      <c r="AA48" s="704">
        <v>0</v>
      </c>
      <c r="AB48" s="704">
        <v>0</v>
      </c>
      <c r="AC48" s="704">
        <v>13.377000000000001</v>
      </c>
      <c r="AD48" s="1165">
        <v>1.0289999999999999</v>
      </c>
      <c r="AE48" s="1165">
        <v>0.17499999999999999</v>
      </c>
      <c r="AF48" s="1165">
        <v>0.97199999999999998</v>
      </c>
      <c r="AG48" s="1165">
        <v>17.611999999999998</v>
      </c>
      <c r="AH48" s="1166">
        <v>0.375</v>
      </c>
    </row>
    <row r="49" spans="1:34" s="465" customFormat="1" ht="15" customHeight="1">
      <c r="A49" s="484" t="s">
        <v>296</v>
      </c>
      <c r="B49" s="484" t="s">
        <v>67</v>
      </c>
      <c r="C49" s="703">
        <v>410.65199999999999</v>
      </c>
      <c r="D49" s="812">
        <f t="shared" si="0"/>
        <v>410</v>
      </c>
      <c r="E49" s="703">
        <v>2.7E-2</v>
      </c>
      <c r="F49" s="812">
        <f t="shared" si="1"/>
        <v>0</v>
      </c>
      <c r="G49" s="703">
        <v>3.0000000000000001E-3</v>
      </c>
      <c r="H49" s="815">
        <f t="shared" si="2"/>
        <v>0</v>
      </c>
      <c r="I49" s="703">
        <v>0</v>
      </c>
      <c r="J49" s="815">
        <f t="shared" si="3"/>
        <v>0</v>
      </c>
      <c r="K49" s="703">
        <v>0</v>
      </c>
      <c r="L49" s="815">
        <f t="shared" si="4"/>
        <v>0</v>
      </c>
      <c r="M49" s="703">
        <v>0</v>
      </c>
      <c r="N49" s="812">
        <f t="shared" si="5"/>
        <v>0</v>
      </c>
      <c r="O49" s="703">
        <v>58.094000000000001</v>
      </c>
      <c r="P49" s="812">
        <f t="shared" si="6"/>
        <v>60</v>
      </c>
      <c r="Q49" s="703">
        <v>103.84699999999999</v>
      </c>
      <c r="R49" s="812">
        <f t="shared" si="7"/>
        <v>104</v>
      </c>
      <c r="S49" s="703">
        <v>0.112</v>
      </c>
      <c r="T49" s="812">
        <f t="shared" si="8"/>
        <v>0</v>
      </c>
      <c r="U49" s="703">
        <v>100.70099999999999</v>
      </c>
      <c r="V49" s="812">
        <f t="shared" si="9"/>
        <v>101</v>
      </c>
      <c r="W49" s="703">
        <v>100.136</v>
      </c>
      <c r="X49" s="812">
        <f t="shared" si="10"/>
        <v>100</v>
      </c>
      <c r="Y49" s="704">
        <v>0.124</v>
      </c>
      <c r="Z49" s="812">
        <f t="shared" si="11"/>
        <v>0</v>
      </c>
      <c r="AA49" s="704">
        <v>0</v>
      </c>
      <c r="AB49" s="704">
        <v>0</v>
      </c>
      <c r="AC49" s="704">
        <v>13.055</v>
      </c>
      <c r="AD49" s="1165">
        <v>1.004</v>
      </c>
      <c r="AE49" s="1165">
        <v>0.10199999999999999</v>
      </c>
      <c r="AF49" s="1165">
        <v>0.56899999999999995</v>
      </c>
      <c r="AG49" s="1165">
        <v>3.8340000000000001</v>
      </c>
      <c r="AH49" s="1166">
        <v>8.2000000000000003E-2</v>
      </c>
    </row>
    <row r="50" spans="1:34" s="465" customFormat="1" ht="15" customHeight="1">
      <c r="A50" s="484" t="s">
        <v>296</v>
      </c>
      <c r="B50" s="484" t="s">
        <v>68</v>
      </c>
      <c r="C50" s="703">
        <v>351.96600000000001</v>
      </c>
      <c r="D50" s="812">
        <f t="shared" si="0"/>
        <v>350</v>
      </c>
      <c r="E50" s="703">
        <v>0.31900000000000001</v>
      </c>
      <c r="F50" s="812">
        <f t="shared" si="1"/>
        <v>0</v>
      </c>
      <c r="G50" s="703">
        <v>3.5000000000000003E-2</v>
      </c>
      <c r="H50" s="815">
        <f t="shared" si="2"/>
        <v>0</v>
      </c>
      <c r="I50" s="703">
        <v>1E-3</v>
      </c>
      <c r="J50" s="815">
        <f t="shared" si="3"/>
        <v>0</v>
      </c>
      <c r="K50" s="703">
        <v>0</v>
      </c>
      <c r="L50" s="815">
        <f t="shared" si="4"/>
        <v>0</v>
      </c>
      <c r="M50" s="703">
        <v>0</v>
      </c>
      <c r="N50" s="812">
        <f t="shared" si="5"/>
        <v>0</v>
      </c>
      <c r="O50" s="703">
        <v>53.054000000000002</v>
      </c>
      <c r="P50" s="812">
        <f t="shared" si="6"/>
        <v>55</v>
      </c>
      <c r="Q50" s="703">
        <v>89.664000000000001</v>
      </c>
      <c r="R50" s="812">
        <f t="shared" si="7"/>
        <v>90</v>
      </c>
      <c r="S50" s="703">
        <v>0.254</v>
      </c>
      <c r="T50" s="812">
        <f t="shared" si="8"/>
        <v>0</v>
      </c>
      <c r="U50" s="703">
        <v>85.638999999999996</v>
      </c>
      <c r="V50" s="812">
        <f t="shared" si="9"/>
        <v>86</v>
      </c>
      <c r="W50" s="703">
        <v>84.593999999999994</v>
      </c>
      <c r="X50" s="812">
        <f t="shared" si="10"/>
        <v>85</v>
      </c>
      <c r="Y50" s="704">
        <v>0.219</v>
      </c>
      <c r="Z50" s="812">
        <f t="shared" si="11"/>
        <v>0</v>
      </c>
      <c r="AA50" s="704">
        <v>0</v>
      </c>
      <c r="AB50" s="704">
        <v>0</v>
      </c>
      <c r="AC50" s="704">
        <v>14.621</v>
      </c>
      <c r="AD50" s="1165">
        <v>1.125</v>
      </c>
      <c r="AE50" s="1165">
        <v>0.11899999999999999</v>
      </c>
      <c r="AF50" s="1165">
        <v>0.66300000000000003</v>
      </c>
      <c r="AG50" s="1165">
        <v>27.727</v>
      </c>
      <c r="AH50" s="1166">
        <v>0.59</v>
      </c>
    </row>
    <row r="51" spans="1:34" s="465" customFormat="1" ht="15" customHeight="1">
      <c r="A51" s="484" t="s">
        <v>296</v>
      </c>
      <c r="B51" s="484" t="s">
        <v>69</v>
      </c>
      <c r="C51" s="703">
        <v>404.512</v>
      </c>
      <c r="D51" s="812">
        <f t="shared" si="0"/>
        <v>400</v>
      </c>
      <c r="E51" s="703">
        <v>0.33500000000000002</v>
      </c>
      <c r="F51" s="812">
        <f t="shared" si="1"/>
        <v>0</v>
      </c>
      <c r="G51" s="703">
        <v>3.6999999999999998E-2</v>
      </c>
      <c r="H51" s="815">
        <f t="shared" si="2"/>
        <v>0</v>
      </c>
      <c r="I51" s="703">
        <v>2E-3</v>
      </c>
      <c r="J51" s="815">
        <f t="shared" si="3"/>
        <v>0</v>
      </c>
      <c r="K51" s="703">
        <v>0</v>
      </c>
      <c r="L51" s="815">
        <f t="shared" si="4"/>
        <v>0</v>
      </c>
      <c r="M51" s="703">
        <v>0</v>
      </c>
      <c r="N51" s="812">
        <f t="shared" si="5"/>
        <v>0</v>
      </c>
      <c r="O51" s="703">
        <v>65.914000000000001</v>
      </c>
      <c r="P51" s="812">
        <f t="shared" si="6"/>
        <v>65</v>
      </c>
      <c r="Q51" s="703">
        <v>102.777</v>
      </c>
      <c r="R51" s="812">
        <f t="shared" si="7"/>
        <v>103</v>
      </c>
      <c r="S51" s="703">
        <v>0.27900000000000003</v>
      </c>
      <c r="T51" s="812">
        <f t="shared" si="8"/>
        <v>0</v>
      </c>
      <c r="U51" s="703">
        <v>98.372</v>
      </c>
      <c r="V51" s="812">
        <f t="shared" si="9"/>
        <v>98</v>
      </c>
      <c r="W51" s="703">
        <v>97.337999999999994</v>
      </c>
      <c r="X51" s="812">
        <f t="shared" si="10"/>
        <v>97</v>
      </c>
      <c r="Y51" s="704">
        <v>0.22900000000000001</v>
      </c>
      <c r="Z51" s="812">
        <f t="shared" si="11"/>
        <v>0</v>
      </c>
      <c r="AA51" s="704">
        <v>0</v>
      </c>
      <c r="AB51" s="704">
        <v>0</v>
      </c>
      <c r="AC51" s="704">
        <v>14.882</v>
      </c>
      <c r="AD51" s="1165">
        <v>1.145</v>
      </c>
      <c r="AE51" s="1165">
        <v>0.105</v>
      </c>
      <c r="AF51" s="1165">
        <v>0.58099999999999996</v>
      </c>
      <c r="AG51" s="1165">
        <v>25.539000000000001</v>
      </c>
      <c r="AH51" s="1166">
        <v>0.54300000000000004</v>
      </c>
    </row>
    <row r="52" spans="1:34" s="465" customFormat="1" ht="15" customHeight="1">
      <c r="A52" s="484" t="s">
        <v>296</v>
      </c>
      <c r="B52" s="484" t="s">
        <v>71</v>
      </c>
      <c r="C52" s="703">
        <v>389.51299999999998</v>
      </c>
      <c r="D52" s="812">
        <f t="shared" si="0"/>
        <v>390</v>
      </c>
      <c r="E52" s="703">
        <v>0.151</v>
      </c>
      <c r="F52" s="812">
        <f t="shared" si="1"/>
        <v>0</v>
      </c>
      <c r="G52" s="703">
        <v>1.7000000000000001E-2</v>
      </c>
      <c r="H52" s="815">
        <f t="shared" si="2"/>
        <v>0</v>
      </c>
      <c r="I52" s="703">
        <v>2E-3</v>
      </c>
      <c r="J52" s="815">
        <f t="shared" si="3"/>
        <v>0</v>
      </c>
      <c r="K52" s="703">
        <v>0</v>
      </c>
      <c r="L52" s="815">
        <f t="shared" si="4"/>
        <v>0</v>
      </c>
      <c r="M52" s="703">
        <v>0</v>
      </c>
      <c r="N52" s="812">
        <f t="shared" si="5"/>
        <v>0</v>
      </c>
      <c r="O52" s="703">
        <v>59.396999999999998</v>
      </c>
      <c r="P52" s="812">
        <f t="shared" si="6"/>
        <v>60</v>
      </c>
      <c r="Q52" s="703">
        <v>98.369</v>
      </c>
      <c r="R52" s="812">
        <f t="shared" si="7"/>
        <v>98</v>
      </c>
      <c r="S52" s="703">
        <v>0.112</v>
      </c>
      <c r="T52" s="812">
        <f t="shared" si="8"/>
        <v>0</v>
      </c>
      <c r="U52" s="703">
        <v>95.177000000000007</v>
      </c>
      <c r="V52" s="812">
        <f t="shared" si="9"/>
        <v>95</v>
      </c>
      <c r="W52" s="703">
        <v>94.082999999999998</v>
      </c>
      <c r="X52" s="812">
        <f t="shared" si="10"/>
        <v>94</v>
      </c>
      <c r="Y52" s="704">
        <v>0.185</v>
      </c>
      <c r="Z52" s="812">
        <f t="shared" si="11"/>
        <v>0</v>
      </c>
      <c r="AA52" s="704">
        <v>0</v>
      </c>
      <c r="AB52" s="704">
        <v>0</v>
      </c>
      <c r="AC52" s="704">
        <v>12.63</v>
      </c>
      <c r="AD52" s="1165">
        <v>0.97199999999999998</v>
      </c>
      <c r="AE52" s="1165">
        <v>0.121</v>
      </c>
      <c r="AF52" s="1165">
        <v>0.67</v>
      </c>
      <c r="AG52" s="1165">
        <v>13.819000000000001</v>
      </c>
      <c r="AH52" s="1166">
        <v>0.29399999999999998</v>
      </c>
    </row>
    <row r="53" spans="1:34" s="465" customFormat="1" ht="15" customHeight="1">
      <c r="A53" s="484" t="s">
        <v>296</v>
      </c>
      <c r="B53" s="484" t="s">
        <v>72</v>
      </c>
      <c r="C53" s="703">
        <v>447.60199999999998</v>
      </c>
      <c r="D53" s="812">
        <f t="shared" si="0"/>
        <v>450</v>
      </c>
      <c r="E53" s="703">
        <v>0</v>
      </c>
      <c r="F53" s="812">
        <f t="shared" si="1"/>
        <v>0</v>
      </c>
      <c r="G53" s="703">
        <v>0</v>
      </c>
      <c r="H53" s="815">
        <f t="shared" si="2"/>
        <v>0</v>
      </c>
      <c r="I53" s="703">
        <v>0</v>
      </c>
      <c r="J53" s="815">
        <f t="shared" si="3"/>
        <v>0</v>
      </c>
      <c r="K53" s="703">
        <v>0</v>
      </c>
      <c r="L53" s="815">
        <f t="shared" si="4"/>
        <v>0</v>
      </c>
      <c r="M53" s="703">
        <v>0</v>
      </c>
      <c r="N53" s="812">
        <f t="shared" si="5"/>
        <v>0</v>
      </c>
      <c r="O53" s="703">
        <v>100.60599999999999</v>
      </c>
      <c r="P53" s="812">
        <f t="shared" si="6"/>
        <v>100</v>
      </c>
      <c r="Q53" s="703">
        <v>113.996</v>
      </c>
      <c r="R53" s="812">
        <f t="shared" si="7"/>
        <v>114</v>
      </c>
      <c r="S53" s="703">
        <v>3.5999999999999997E-2</v>
      </c>
      <c r="T53" s="812">
        <f t="shared" si="8"/>
        <v>0</v>
      </c>
      <c r="U53" s="703">
        <v>110.923</v>
      </c>
      <c r="V53" s="812">
        <f t="shared" si="9"/>
        <v>111</v>
      </c>
      <c r="W53" s="703">
        <v>110.923</v>
      </c>
      <c r="X53" s="812">
        <f t="shared" si="10"/>
        <v>111</v>
      </c>
      <c r="Y53" s="704">
        <v>0.42499999999999999</v>
      </c>
      <c r="Z53" s="812">
        <f t="shared" si="11"/>
        <v>0</v>
      </c>
      <c r="AA53" s="704">
        <v>0</v>
      </c>
      <c r="AB53" s="704">
        <v>0</v>
      </c>
      <c r="AC53" s="704">
        <v>12.057</v>
      </c>
      <c r="AD53" s="1165">
        <v>0.92700000000000005</v>
      </c>
      <c r="AE53" s="1165">
        <v>0.11</v>
      </c>
      <c r="AF53" s="1165">
        <v>0.61299999999999999</v>
      </c>
      <c r="AG53" s="1165">
        <v>1.625</v>
      </c>
      <c r="AH53" s="1166">
        <v>3.5000000000000003E-2</v>
      </c>
    </row>
    <row r="54" spans="1:34" s="465" customFormat="1" ht="15" customHeight="1">
      <c r="A54" s="484" t="s">
        <v>296</v>
      </c>
      <c r="B54" s="484" t="s">
        <v>73</v>
      </c>
      <c r="C54" s="736">
        <v>467.75799999999998</v>
      </c>
      <c r="D54" s="812">
        <f t="shared" si="0"/>
        <v>470</v>
      </c>
      <c r="E54" s="736">
        <v>21.071000000000002</v>
      </c>
      <c r="F54" s="812">
        <f t="shared" si="1"/>
        <v>20</v>
      </c>
      <c r="G54" s="736">
        <v>2.3410000000000002</v>
      </c>
      <c r="H54" s="815">
        <f t="shared" si="2"/>
        <v>2.5</v>
      </c>
      <c r="I54" s="736">
        <v>2.1</v>
      </c>
      <c r="J54" s="815">
        <f t="shared" si="3"/>
        <v>2</v>
      </c>
      <c r="K54" s="736">
        <v>0</v>
      </c>
      <c r="L54" s="815">
        <f t="shared" si="4"/>
        <v>0</v>
      </c>
      <c r="M54" s="736">
        <v>0</v>
      </c>
      <c r="N54" s="812">
        <f t="shared" si="5"/>
        <v>0</v>
      </c>
      <c r="O54" s="736">
        <v>56.219000000000001</v>
      </c>
      <c r="P54" s="812">
        <f t="shared" si="6"/>
        <v>55</v>
      </c>
      <c r="Q54" s="736">
        <v>81.518000000000001</v>
      </c>
      <c r="R54" s="812">
        <f t="shared" si="7"/>
        <v>82</v>
      </c>
      <c r="S54" s="736">
        <v>0.53200000000000003</v>
      </c>
      <c r="T54" s="812" t="str">
        <f t="shared" si="8"/>
        <v>less than 1 g</v>
      </c>
      <c r="U54" s="736">
        <v>78.44</v>
      </c>
      <c r="V54" s="812">
        <f t="shared" si="9"/>
        <v>78</v>
      </c>
      <c r="W54" s="736">
        <v>68.399000000000001</v>
      </c>
      <c r="X54" s="812">
        <f t="shared" si="10"/>
        <v>68</v>
      </c>
      <c r="Y54" s="735">
        <v>0.124</v>
      </c>
      <c r="Z54" s="812">
        <f t="shared" si="11"/>
        <v>0</v>
      </c>
      <c r="AA54" s="735">
        <v>0</v>
      </c>
      <c r="AB54" s="735">
        <v>0</v>
      </c>
      <c r="AC54" s="735">
        <v>11.938000000000001</v>
      </c>
      <c r="AD54" s="1163">
        <v>0.91800000000000004</v>
      </c>
      <c r="AE54" s="1163">
        <v>6.2E-2</v>
      </c>
      <c r="AF54" s="1163">
        <v>0.34300000000000003</v>
      </c>
      <c r="AG54" s="1163">
        <v>7.476</v>
      </c>
      <c r="AH54" s="1164">
        <v>0.159</v>
      </c>
    </row>
    <row r="55" spans="1:34" s="465" customFormat="1" ht="15" customHeight="1">
      <c r="A55" s="484" t="s">
        <v>296</v>
      </c>
      <c r="B55" s="484" t="s">
        <v>75</v>
      </c>
      <c r="C55" s="703">
        <v>361.68799999999999</v>
      </c>
      <c r="D55" s="812">
        <f t="shared" si="0"/>
        <v>360</v>
      </c>
      <c r="E55" s="703">
        <v>0</v>
      </c>
      <c r="F55" s="812">
        <f t="shared" si="1"/>
        <v>0</v>
      </c>
      <c r="G55" s="703">
        <v>0</v>
      </c>
      <c r="H55" s="815">
        <f t="shared" si="2"/>
        <v>0</v>
      </c>
      <c r="I55" s="703">
        <v>0</v>
      </c>
      <c r="J55" s="815">
        <f t="shared" si="3"/>
        <v>0</v>
      </c>
      <c r="K55" s="703">
        <v>0</v>
      </c>
      <c r="L55" s="815">
        <f t="shared" si="4"/>
        <v>0</v>
      </c>
      <c r="M55" s="703">
        <v>0</v>
      </c>
      <c r="N55" s="812">
        <f t="shared" si="5"/>
        <v>0</v>
      </c>
      <c r="O55" s="703">
        <v>60.037999999999997</v>
      </c>
      <c r="P55" s="812">
        <f t="shared" si="6"/>
        <v>60</v>
      </c>
      <c r="Q55" s="703">
        <v>91.153000000000006</v>
      </c>
      <c r="R55" s="812">
        <f t="shared" si="7"/>
        <v>91</v>
      </c>
      <c r="S55" s="703">
        <v>5.8000000000000003E-2</v>
      </c>
      <c r="T55" s="812">
        <f t="shared" si="8"/>
        <v>0</v>
      </c>
      <c r="U55" s="703">
        <v>88.356999999999999</v>
      </c>
      <c r="V55" s="812">
        <f t="shared" si="9"/>
        <v>88</v>
      </c>
      <c r="W55" s="703">
        <v>88.248999999999995</v>
      </c>
      <c r="X55" s="812">
        <f t="shared" si="10"/>
        <v>88</v>
      </c>
      <c r="Y55" s="704">
        <v>0</v>
      </c>
      <c r="Z55" s="812">
        <f t="shared" si="11"/>
        <v>0</v>
      </c>
      <c r="AA55" s="704">
        <v>0</v>
      </c>
      <c r="AB55" s="704">
        <v>0</v>
      </c>
      <c r="AC55" s="704">
        <v>12.179</v>
      </c>
      <c r="AD55" s="1165">
        <v>0.93700000000000006</v>
      </c>
      <c r="AE55" s="1165">
        <v>8.2000000000000003E-2</v>
      </c>
      <c r="AF55" s="1165">
        <v>0.45800000000000002</v>
      </c>
      <c r="AG55" s="1165">
        <v>27.587</v>
      </c>
      <c r="AH55" s="1165">
        <v>0.58699999999999997</v>
      </c>
    </row>
    <row r="56" spans="1:34" s="465" customFormat="1" ht="15" customHeight="1">
      <c r="A56" s="484" t="s">
        <v>296</v>
      </c>
      <c r="B56" s="484" t="s">
        <v>76</v>
      </c>
      <c r="C56" s="736">
        <v>389.51299999999998</v>
      </c>
      <c r="D56" s="812">
        <f t="shared" si="0"/>
        <v>390</v>
      </c>
      <c r="E56" s="736">
        <v>0.151</v>
      </c>
      <c r="F56" s="812">
        <f t="shared" si="1"/>
        <v>0</v>
      </c>
      <c r="G56" s="736">
        <v>1.7000000000000001E-2</v>
      </c>
      <c r="H56" s="815">
        <f t="shared" si="2"/>
        <v>0</v>
      </c>
      <c r="I56" s="736">
        <v>2E-3</v>
      </c>
      <c r="J56" s="815">
        <f t="shared" si="3"/>
        <v>0</v>
      </c>
      <c r="K56" s="736">
        <v>4.0000000000000001E-3</v>
      </c>
      <c r="L56" s="815">
        <f t="shared" si="4"/>
        <v>0</v>
      </c>
      <c r="M56" s="736">
        <v>0</v>
      </c>
      <c r="N56" s="812">
        <f t="shared" si="5"/>
        <v>0</v>
      </c>
      <c r="O56" s="736">
        <v>59.396999999999998</v>
      </c>
      <c r="P56" s="812">
        <f t="shared" si="6"/>
        <v>60</v>
      </c>
      <c r="Q56" s="736">
        <v>98.369</v>
      </c>
      <c r="R56" s="812">
        <f t="shared" si="7"/>
        <v>98</v>
      </c>
      <c r="S56" s="736">
        <v>0.112</v>
      </c>
      <c r="T56" s="812">
        <f t="shared" si="8"/>
        <v>0</v>
      </c>
      <c r="U56" s="736">
        <v>95.177000000000007</v>
      </c>
      <c r="V56" s="812">
        <f t="shared" si="9"/>
        <v>95</v>
      </c>
      <c r="W56" s="736">
        <v>94.082999999999998</v>
      </c>
      <c r="X56" s="812">
        <f t="shared" si="10"/>
        <v>94</v>
      </c>
      <c r="Y56" s="735">
        <v>0.185</v>
      </c>
      <c r="Z56" s="812">
        <f t="shared" si="11"/>
        <v>0</v>
      </c>
      <c r="AA56" s="735">
        <v>0</v>
      </c>
      <c r="AB56" s="735">
        <v>0</v>
      </c>
      <c r="AC56" s="735">
        <v>12.63</v>
      </c>
      <c r="AD56" s="1163">
        <v>0.97199999999999998</v>
      </c>
      <c r="AE56" s="1163">
        <v>0.121</v>
      </c>
      <c r="AF56" s="1163">
        <v>0.67</v>
      </c>
      <c r="AG56" s="1163">
        <v>13.819000000000001</v>
      </c>
      <c r="AH56" s="1163">
        <v>0.29399999999999998</v>
      </c>
    </row>
    <row r="57" spans="1:34" s="465" customFormat="1" ht="15" customHeight="1">
      <c r="A57" s="484" t="s">
        <v>296</v>
      </c>
      <c r="B57" s="484" t="s">
        <v>78</v>
      </c>
      <c r="C57" s="736">
        <v>375.42399999999998</v>
      </c>
      <c r="D57" s="812">
        <f t="shared" si="0"/>
        <v>380</v>
      </c>
      <c r="E57" s="736">
        <v>1.6E-2</v>
      </c>
      <c r="F57" s="812">
        <f t="shared" si="1"/>
        <v>0</v>
      </c>
      <c r="G57" s="736">
        <v>1.4999999999999999E-2</v>
      </c>
      <c r="H57" s="815">
        <f t="shared" si="2"/>
        <v>0</v>
      </c>
      <c r="I57" s="736">
        <v>0</v>
      </c>
      <c r="J57" s="815">
        <f t="shared" si="3"/>
        <v>0</v>
      </c>
      <c r="K57" s="736">
        <v>0</v>
      </c>
      <c r="L57" s="815">
        <f t="shared" si="4"/>
        <v>0</v>
      </c>
      <c r="M57" s="736">
        <v>0</v>
      </c>
      <c r="N57" s="812">
        <f t="shared" si="5"/>
        <v>0</v>
      </c>
      <c r="O57" s="736">
        <v>63.968000000000004</v>
      </c>
      <c r="P57" s="812">
        <f t="shared" si="6"/>
        <v>65</v>
      </c>
      <c r="Q57" s="736">
        <v>90.611000000000004</v>
      </c>
      <c r="R57" s="812">
        <f t="shared" si="7"/>
        <v>91</v>
      </c>
      <c r="S57" s="736">
        <v>0.34599999999999997</v>
      </c>
      <c r="T57" s="812">
        <f t="shared" si="8"/>
        <v>0</v>
      </c>
      <c r="U57" s="736">
        <v>84.393000000000001</v>
      </c>
      <c r="V57" s="812">
        <f t="shared" si="9"/>
        <v>84</v>
      </c>
      <c r="W57" s="736">
        <v>81.956000000000003</v>
      </c>
      <c r="X57" s="812">
        <f t="shared" si="10"/>
        <v>82</v>
      </c>
      <c r="Y57" s="735">
        <v>0.64400000000000002</v>
      </c>
      <c r="Z57" s="812" t="str">
        <f t="shared" si="11"/>
        <v>less than 1 g</v>
      </c>
      <c r="AA57" s="735">
        <v>0</v>
      </c>
      <c r="AB57" s="735">
        <v>0</v>
      </c>
      <c r="AC57" s="735">
        <v>20.428000000000001</v>
      </c>
      <c r="AD57" s="1163">
        <v>1.571</v>
      </c>
      <c r="AE57" s="1163">
        <v>0.27300000000000002</v>
      </c>
      <c r="AF57" s="1163">
        <v>1.5149999999999999</v>
      </c>
      <c r="AG57" s="1163">
        <v>30.010999999999999</v>
      </c>
      <c r="AH57" s="1163">
        <v>0.63900000000000001</v>
      </c>
    </row>
    <row r="58" spans="1:34" s="465" customFormat="1" ht="15" customHeight="1">
      <c r="A58" s="484" t="s">
        <v>296</v>
      </c>
      <c r="B58" s="486" t="s">
        <v>324</v>
      </c>
      <c r="C58" s="721">
        <v>398.87799999999999</v>
      </c>
      <c r="D58" s="812">
        <f t="shared" si="0"/>
        <v>400</v>
      </c>
      <c r="E58" s="721">
        <v>0</v>
      </c>
      <c r="F58" s="812">
        <f t="shared" si="1"/>
        <v>0</v>
      </c>
      <c r="G58" s="721">
        <v>0</v>
      </c>
      <c r="H58" s="815">
        <f t="shared" si="2"/>
        <v>0</v>
      </c>
      <c r="I58" s="721">
        <v>0</v>
      </c>
      <c r="J58" s="815">
        <f t="shared" si="3"/>
        <v>0</v>
      </c>
      <c r="K58" s="721">
        <v>0</v>
      </c>
      <c r="L58" s="815">
        <f t="shared" si="4"/>
        <v>0</v>
      </c>
      <c r="M58" s="721">
        <v>0</v>
      </c>
      <c r="N58" s="812">
        <f t="shared" si="5"/>
        <v>0</v>
      </c>
      <c r="O58" s="721">
        <v>79.010999999999996</v>
      </c>
      <c r="P58" s="812">
        <f t="shared" si="6"/>
        <v>80</v>
      </c>
      <c r="Q58" s="721">
        <v>101.251</v>
      </c>
      <c r="R58" s="812">
        <f t="shared" si="7"/>
        <v>101</v>
      </c>
      <c r="S58" s="721">
        <v>3.9E-2</v>
      </c>
      <c r="T58" s="812">
        <f t="shared" si="8"/>
        <v>0</v>
      </c>
      <c r="U58" s="721">
        <v>98.394000000000005</v>
      </c>
      <c r="V58" s="812">
        <f t="shared" si="9"/>
        <v>98</v>
      </c>
      <c r="W58" s="721">
        <v>98.394000000000005</v>
      </c>
      <c r="X58" s="812">
        <f t="shared" si="10"/>
        <v>98</v>
      </c>
      <c r="Y58" s="722">
        <v>0.21199999999999999</v>
      </c>
      <c r="Z58" s="812">
        <f t="shared" si="11"/>
        <v>0</v>
      </c>
      <c r="AA58" s="722">
        <v>0</v>
      </c>
      <c r="AB58" s="722">
        <v>0</v>
      </c>
      <c r="AC58" s="722">
        <v>12.821</v>
      </c>
      <c r="AD58" s="1168">
        <v>0.98599999999999999</v>
      </c>
      <c r="AE58" s="1168">
        <v>9.5000000000000001E-2</v>
      </c>
      <c r="AF58" s="1168">
        <v>0.52800000000000002</v>
      </c>
      <c r="AG58" s="1168">
        <v>1.3560000000000001</v>
      </c>
      <c r="AH58" s="1169">
        <v>2.9000000000000001E-2</v>
      </c>
    </row>
    <row r="59" spans="1:34" s="465" customFormat="1" ht="15" customHeight="1">
      <c r="A59" s="484" t="s">
        <v>296</v>
      </c>
      <c r="B59" s="486" t="s">
        <v>180</v>
      </c>
      <c r="C59" s="721">
        <v>376.53899999999999</v>
      </c>
      <c r="D59" s="812">
        <f t="shared" si="0"/>
        <v>380</v>
      </c>
      <c r="E59" s="721">
        <v>0</v>
      </c>
      <c r="F59" s="812">
        <f t="shared" si="1"/>
        <v>0</v>
      </c>
      <c r="G59" s="721">
        <v>0</v>
      </c>
      <c r="H59" s="815">
        <f t="shared" si="2"/>
        <v>0</v>
      </c>
      <c r="I59" s="721">
        <v>0</v>
      </c>
      <c r="J59" s="815">
        <f t="shared" si="3"/>
        <v>0</v>
      </c>
      <c r="K59" s="721">
        <v>0</v>
      </c>
      <c r="L59" s="815">
        <f t="shared" si="4"/>
        <v>0</v>
      </c>
      <c r="M59" s="721">
        <v>0</v>
      </c>
      <c r="N59" s="812">
        <f t="shared" si="5"/>
        <v>0</v>
      </c>
      <c r="O59" s="721">
        <v>169.88800000000001</v>
      </c>
      <c r="P59" s="812">
        <f t="shared" si="6"/>
        <v>170</v>
      </c>
      <c r="Q59" s="721">
        <v>96.337999999999994</v>
      </c>
      <c r="R59" s="812">
        <f t="shared" si="7"/>
        <v>96</v>
      </c>
      <c r="S59" s="721">
        <v>3.4000000000000002E-2</v>
      </c>
      <c r="T59" s="812">
        <f t="shared" si="8"/>
        <v>0</v>
      </c>
      <c r="U59" s="721">
        <v>87.66</v>
      </c>
      <c r="V59" s="812">
        <f t="shared" si="9"/>
        <v>88</v>
      </c>
      <c r="W59" s="721">
        <v>87.66</v>
      </c>
      <c r="X59" s="812">
        <f t="shared" si="10"/>
        <v>88</v>
      </c>
      <c r="Y59" s="722">
        <v>5.0000000000000001E-3</v>
      </c>
      <c r="Z59" s="812">
        <f t="shared" si="11"/>
        <v>0</v>
      </c>
      <c r="AA59" s="722">
        <v>0</v>
      </c>
      <c r="AB59" s="722">
        <v>0</v>
      </c>
      <c r="AC59" s="722">
        <v>13.069000000000001</v>
      </c>
      <c r="AD59" s="1168">
        <v>1.0049999999999999</v>
      </c>
      <c r="AE59" s="1168">
        <v>0.88400000000000001</v>
      </c>
      <c r="AF59" s="1168">
        <v>4.91</v>
      </c>
      <c r="AG59" s="1168">
        <v>33.676000000000002</v>
      </c>
      <c r="AH59" s="1170">
        <v>0.71699999999999997</v>
      </c>
    </row>
    <row r="60" spans="1:34" s="465" customFormat="1" ht="15" customHeight="1" thickBot="1">
      <c r="A60" s="484" t="s">
        <v>296</v>
      </c>
      <c r="B60" s="482" t="s">
        <v>315</v>
      </c>
      <c r="C60" s="736">
        <v>319.84100000000001</v>
      </c>
      <c r="D60" s="812">
        <f t="shared" si="0"/>
        <v>320</v>
      </c>
      <c r="E60" s="736">
        <v>8.9999999999999993E-3</v>
      </c>
      <c r="F60" s="812">
        <f t="shared" si="1"/>
        <v>0</v>
      </c>
      <c r="G60" s="736">
        <v>1E-3</v>
      </c>
      <c r="H60" s="815">
        <f t="shared" si="2"/>
        <v>0</v>
      </c>
      <c r="I60" s="736">
        <v>0</v>
      </c>
      <c r="J60" s="815">
        <f t="shared" si="3"/>
        <v>0</v>
      </c>
      <c r="K60" s="736">
        <v>0</v>
      </c>
      <c r="L60" s="815">
        <f t="shared" si="4"/>
        <v>0</v>
      </c>
      <c r="M60" s="736">
        <v>0</v>
      </c>
      <c r="N60" s="812">
        <f t="shared" si="5"/>
        <v>0</v>
      </c>
      <c r="O60" s="736">
        <v>57.195</v>
      </c>
      <c r="P60" s="812">
        <f t="shared" si="6"/>
        <v>55</v>
      </c>
      <c r="Q60" s="736">
        <v>78.948999999999998</v>
      </c>
      <c r="R60" s="812">
        <f t="shared" si="7"/>
        <v>79</v>
      </c>
      <c r="S60" s="736">
        <v>9.5000000000000001E-2</v>
      </c>
      <c r="T60" s="812">
        <f t="shared" si="8"/>
        <v>0</v>
      </c>
      <c r="U60" s="736">
        <v>74.730999999999995</v>
      </c>
      <c r="V60" s="812">
        <f t="shared" si="9"/>
        <v>75</v>
      </c>
      <c r="W60" s="736">
        <v>74.730999999999995</v>
      </c>
      <c r="X60" s="812">
        <f t="shared" si="10"/>
        <v>75</v>
      </c>
      <c r="Y60" s="735">
        <v>0.377</v>
      </c>
      <c r="Z60" s="812">
        <f t="shared" si="11"/>
        <v>0</v>
      </c>
      <c r="AA60" s="735">
        <v>0</v>
      </c>
      <c r="AB60" s="735">
        <v>0</v>
      </c>
      <c r="AC60" s="735">
        <v>14.558</v>
      </c>
      <c r="AD60" s="1163">
        <v>1.1200000000000001</v>
      </c>
      <c r="AE60" s="1163">
        <v>6.0999999999999999E-2</v>
      </c>
      <c r="AF60" s="1163">
        <v>0.33700000000000002</v>
      </c>
      <c r="AG60" s="1163">
        <v>18.152999999999999</v>
      </c>
      <c r="AH60" s="1164">
        <v>0.38600000000000001</v>
      </c>
    </row>
    <row r="61" spans="1:34" s="465" customFormat="1" ht="15" customHeight="1">
      <c r="A61" s="484" t="s">
        <v>92</v>
      </c>
      <c r="B61" s="479" t="s">
        <v>94</v>
      </c>
      <c r="C61" s="703">
        <v>480.89600000000002</v>
      </c>
      <c r="D61" s="812">
        <f t="shared" ref="D61:D95" si="12">MROUND(C61,10)</f>
        <v>480</v>
      </c>
      <c r="E61" s="703">
        <v>14.456</v>
      </c>
      <c r="F61" s="812">
        <f t="shared" ref="F61:F95" si="13">IF(E61&lt;5,0,(IF(E61&gt;50,MROUND(E61,10),MROUND(E61,5))))</f>
        <v>15</v>
      </c>
      <c r="G61" s="703">
        <v>5.9320000000000004</v>
      </c>
      <c r="H61" s="815">
        <f t="shared" ref="H61:H95" si="14">IF(G61&lt;0.5,0,IF(G61&gt;5,MROUND(G61,1),MROUND(G61,0.5)))</f>
        <v>6</v>
      </c>
      <c r="I61" s="703">
        <v>4.8090000000000002</v>
      </c>
      <c r="J61" s="815">
        <f t="shared" ref="J61:J95" si="15">IF(I61&lt;0.5,0,IF(I61&gt;5,MROUND(I61,1),MROUND(I61,0.5)))</f>
        <v>5</v>
      </c>
      <c r="K61" s="703">
        <v>1.6E-2</v>
      </c>
      <c r="L61" s="815">
        <f t="shared" ref="L61:L95" si="16">IF(K61&lt;0.5,0,IF(K61&gt;5,MROUND(K61,1),MROUND(K61,0.5)))</f>
        <v>0</v>
      </c>
      <c r="M61" s="703">
        <v>0</v>
      </c>
      <c r="N61" s="812">
        <f t="shared" ref="N61:N95" si="17">IF(M61&lt;2,0,IF(M61&gt;5,MROUND(M61,5),"less than 5 mg"))</f>
        <v>0</v>
      </c>
      <c r="O61" s="703">
        <v>249.42599999999999</v>
      </c>
      <c r="P61" s="812">
        <f t="shared" ref="P61:P95" si="18">IF(O61&lt;5,0,IF(O61&gt;140,MROUND(O61,10),MROUND(O61,5)))</f>
        <v>250</v>
      </c>
      <c r="Q61" s="703">
        <v>106.934</v>
      </c>
      <c r="R61" s="812">
        <f t="shared" ref="R61:R95" si="19">IF(Q61&lt;0.5,0,IF(Q61&gt;1,MROUND(Q61,1),"less than 1 g"))</f>
        <v>107</v>
      </c>
      <c r="S61" s="703">
        <v>0.17100000000000001</v>
      </c>
      <c r="T61" s="812">
        <f t="shared" ref="T61:T95" si="20">IF(S61&lt;0.5,0,IF(S61&gt;1,MROUND(S61,1),"less than 1 g"))</f>
        <v>0</v>
      </c>
      <c r="U61" s="703">
        <v>95.831999999999994</v>
      </c>
      <c r="V61" s="812">
        <f t="shared" ref="V61:V95" si="21">IF(U61&lt;0.5,0,IF(U61&gt;1,MROUND(U61,1),"less than 1 g"))</f>
        <v>96</v>
      </c>
      <c r="W61" s="703">
        <v>82.873000000000005</v>
      </c>
      <c r="X61" s="812">
        <f t="shared" ref="X61:X95" si="22">IF(W61&lt;0.5,0,IF(W61&gt;1,MROUND(W61,1),"less than 1 g"))</f>
        <v>83</v>
      </c>
      <c r="Y61" s="704">
        <v>0.90800000000000003</v>
      </c>
      <c r="Z61" s="812" t="str">
        <f t="shared" ref="Z61:Z95" si="23">IF(Y61&lt;0.5,0,IF(Y61&gt;1,MROUND(Y61,1),"less than 1 g"))</f>
        <v>less than 1 g</v>
      </c>
      <c r="AA61" s="704">
        <v>0</v>
      </c>
      <c r="AB61" s="704">
        <v>0</v>
      </c>
      <c r="AC61" s="704">
        <v>53.106000000000002</v>
      </c>
      <c r="AD61" s="1165">
        <v>4.085</v>
      </c>
      <c r="AE61" s="1165">
        <v>0.39700000000000002</v>
      </c>
      <c r="AF61" s="1165">
        <v>2.2040000000000002</v>
      </c>
      <c r="AG61" s="1165">
        <v>10.132999999999999</v>
      </c>
      <c r="AH61" s="1165">
        <v>0.216</v>
      </c>
    </row>
    <row r="62" spans="1:34" s="465" customFormat="1" ht="15" customHeight="1">
      <c r="A62" s="484" t="s">
        <v>92</v>
      </c>
      <c r="B62" s="478" t="s">
        <v>93</v>
      </c>
      <c r="C62" s="1165">
        <v>453.57799999999997</v>
      </c>
      <c r="D62" s="812">
        <f t="shared" si="12"/>
        <v>450</v>
      </c>
      <c r="E62" s="1165">
        <v>21.946000000000002</v>
      </c>
      <c r="F62" s="812">
        <f t="shared" si="13"/>
        <v>20</v>
      </c>
      <c r="G62" s="1165">
        <v>6.7190000000000003</v>
      </c>
      <c r="H62" s="815">
        <f t="shared" si="14"/>
        <v>7</v>
      </c>
      <c r="I62" s="1165">
        <v>5.2080000000000002</v>
      </c>
      <c r="J62" s="815">
        <f t="shared" si="15"/>
        <v>5</v>
      </c>
      <c r="K62" s="1165">
        <v>4.0000000000000001E-3</v>
      </c>
      <c r="L62" s="815">
        <f t="shared" si="16"/>
        <v>0</v>
      </c>
      <c r="M62" s="1165">
        <v>0</v>
      </c>
      <c r="N62" s="812">
        <f t="shared" si="17"/>
        <v>0</v>
      </c>
      <c r="O62" s="1165">
        <v>96.427999999999997</v>
      </c>
      <c r="P62" s="812">
        <f t="shared" si="18"/>
        <v>95</v>
      </c>
      <c r="Q62" s="1165">
        <v>106.63800000000001</v>
      </c>
      <c r="R62" s="812">
        <f t="shared" si="19"/>
        <v>107</v>
      </c>
      <c r="S62" s="1165">
        <v>0.90900000000000003</v>
      </c>
      <c r="T62" s="812" t="str">
        <f t="shared" si="20"/>
        <v>less than 1 g</v>
      </c>
      <c r="U62" s="1165">
        <v>100.23099999999999</v>
      </c>
      <c r="V62" s="812">
        <f t="shared" si="21"/>
        <v>100</v>
      </c>
      <c r="W62" s="1165">
        <v>90.924999999999997</v>
      </c>
      <c r="X62" s="812">
        <f t="shared" si="22"/>
        <v>91</v>
      </c>
      <c r="Y62" s="1165">
        <v>0.83399999999999996</v>
      </c>
      <c r="Z62" s="812" t="str">
        <f t="shared" si="23"/>
        <v>less than 1 g</v>
      </c>
      <c r="AA62" s="1165">
        <v>1.6E-2</v>
      </c>
      <c r="AB62" s="1165">
        <v>8.1000000000000003E-2</v>
      </c>
      <c r="AC62" s="1165">
        <v>20.198</v>
      </c>
      <c r="AD62" s="1165">
        <v>1.554</v>
      </c>
      <c r="AE62" s="1165">
        <v>0.72499999999999998</v>
      </c>
      <c r="AF62" s="1165">
        <v>4.0250000000000004</v>
      </c>
      <c r="AG62" s="1165">
        <v>96.117999999999995</v>
      </c>
      <c r="AH62" s="1165">
        <v>2.0449999999999999</v>
      </c>
    </row>
    <row r="63" spans="1:34" s="465" customFormat="1" ht="15" customHeight="1">
      <c r="A63" s="484" t="s">
        <v>92</v>
      </c>
      <c r="B63" s="478" t="s">
        <v>95</v>
      </c>
      <c r="C63" s="703">
        <v>515.52800000000002</v>
      </c>
      <c r="D63" s="812">
        <f t="shared" si="12"/>
        <v>520</v>
      </c>
      <c r="E63" s="703">
        <v>29.957999999999998</v>
      </c>
      <c r="F63" s="812">
        <f t="shared" si="13"/>
        <v>30</v>
      </c>
      <c r="G63" s="703">
        <v>7.6029999999999998</v>
      </c>
      <c r="H63" s="815">
        <f t="shared" si="14"/>
        <v>8</v>
      </c>
      <c r="I63" s="703">
        <v>6.109</v>
      </c>
      <c r="J63" s="815">
        <f t="shared" si="15"/>
        <v>6</v>
      </c>
      <c r="K63" s="703">
        <v>7.0000000000000007E-2</v>
      </c>
      <c r="L63" s="815">
        <f t="shared" si="16"/>
        <v>0</v>
      </c>
      <c r="M63" s="703">
        <v>8.2690000000000001</v>
      </c>
      <c r="N63" s="812">
        <f t="shared" si="17"/>
        <v>10</v>
      </c>
      <c r="O63" s="703">
        <v>109.751</v>
      </c>
      <c r="P63" s="812">
        <f t="shared" si="18"/>
        <v>110</v>
      </c>
      <c r="Q63" s="703">
        <v>110.486</v>
      </c>
      <c r="R63" s="812">
        <f t="shared" si="19"/>
        <v>110</v>
      </c>
      <c r="S63" s="703">
        <v>3.5000000000000003E-2</v>
      </c>
      <c r="T63" s="812">
        <f t="shared" si="20"/>
        <v>0</v>
      </c>
      <c r="U63" s="703">
        <v>101.05500000000001</v>
      </c>
      <c r="V63" s="812">
        <f t="shared" si="21"/>
        <v>101</v>
      </c>
      <c r="W63" s="703">
        <v>100.437</v>
      </c>
      <c r="X63" s="812">
        <f t="shared" si="22"/>
        <v>100</v>
      </c>
      <c r="Y63" s="704">
        <v>0.94899999999999995</v>
      </c>
      <c r="Z63" s="812" t="str">
        <f t="shared" si="23"/>
        <v>less than 1 g</v>
      </c>
      <c r="AA63" s="704">
        <v>0</v>
      </c>
      <c r="AB63" s="704">
        <v>0</v>
      </c>
      <c r="AC63" s="704">
        <v>32.206000000000003</v>
      </c>
      <c r="AD63" s="1165">
        <v>2.4769999999999999</v>
      </c>
      <c r="AE63" s="1165">
        <v>0.14099999999999999</v>
      </c>
      <c r="AF63" s="1165">
        <v>0.78500000000000003</v>
      </c>
      <c r="AG63" s="1165">
        <v>28.843</v>
      </c>
      <c r="AH63" s="1165">
        <v>0.61399999999999999</v>
      </c>
    </row>
    <row r="64" spans="1:34" s="465" customFormat="1" ht="15" customHeight="1">
      <c r="A64" s="484" t="s">
        <v>92</v>
      </c>
      <c r="B64" s="478" t="s">
        <v>182</v>
      </c>
      <c r="C64" s="736">
        <v>530</v>
      </c>
      <c r="D64" s="812">
        <f t="shared" si="12"/>
        <v>530</v>
      </c>
      <c r="E64" s="736">
        <v>35</v>
      </c>
      <c r="F64" s="812">
        <f t="shared" si="13"/>
        <v>35</v>
      </c>
      <c r="G64" s="736">
        <v>10</v>
      </c>
      <c r="H64" s="815">
        <f t="shared" si="14"/>
        <v>10</v>
      </c>
      <c r="I64" s="736">
        <v>5</v>
      </c>
      <c r="J64" s="815">
        <f t="shared" si="15"/>
        <v>5</v>
      </c>
      <c r="K64" s="736">
        <v>0</v>
      </c>
      <c r="L64" s="815">
        <f t="shared" si="16"/>
        <v>0</v>
      </c>
      <c r="M64" s="736">
        <v>0</v>
      </c>
      <c r="N64" s="812">
        <f t="shared" si="17"/>
        <v>0</v>
      </c>
      <c r="O64" s="736">
        <v>160</v>
      </c>
      <c r="P64" s="812">
        <f t="shared" si="18"/>
        <v>160</v>
      </c>
      <c r="Q64" s="736">
        <v>110</v>
      </c>
      <c r="R64" s="812">
        <f t="shared" si="19"/>
        <v>110</v>
      </c>
      <c r="S64" s="736">
        <v>0</v>
      </c>
      <c r="T64" s="812">
        <f t="shared" si="20"/>
        <v>0</v>
      </c>
      <c r="U64" s="736">
        <v>100</v>
      </c>
      <c r="V64" s="812">
        <f t="shared" si="21"/>
        <v>100</v>
      </c>
      <c r="W64" s="736">
        <v>100</v>
      </c>
      <c r="X64" s="812">
        <f t="shared" si="22"/>
        <v>100</v>
      </c>
      <c r="Y64" s="735">
        <v>0</v>
      </c>
      <c r="Z64" s="812">
        <f t="shared" si="23"/>
        <v>0</v>
      </c>
      <c r="AA64" s="735">
        <v>0</v>
      </c>
      <c r="AB64" s="735">
        <v>0</v>
      </c>
      <c r="AC64" s="735">
        <v>20</v>
      </c>
      <c r="AD64" s="1163">
        <v>0</v>
      </c>
      <c r="AE64" s="1163">
        <v>0</v>
      </c>
      <c r="AF64" s="1163">
        <v>0</v>
      </c>
      <c r="AG64" s="1163">
        <v>120</v>
      </c>
      <c r="AH64" s="1163">
        <v>0</v>
      </c>
    </row>
    <row r="65" spans="1:34" s="465" customFormat="1" ht="15" customHeight="1">
      <c r="A65" s="484" t="s">
        <v>92</v>
      </c>
      <c r="B65" s="478" t="s">
        <v>98</v>
      </c>
      <c r="C65" s="736">
        <v>496.72399999999999</v>
      </c>
      <c r="D65" s="812">
        <f t="shared" si="12"/>
        <v>500</v>
      </c>
      <c r="E65" s="736">
        <v>30.135999999999999</v>
      </c>
      <c r="F65" s="812">
        <f t="shared" si="13"/>
        <v>30</v>
      </c>
      <c r="G65" s="736">
        <v>7.6479999999999997</v>
      </c>
      <c r="H65" s="815">
        <f t="shared" si="14"/>
        <v>8</v>
      </c>
      <c r="I65" s="736">
        <v>6.1459999999999999</v>
      </c>
      <c r="J65" s="815">
        <f t="shared" si="15"/>
        <v>6</v>
      </c>
      <c r="K65" s="736">
        <v>0</v>
      </c>
      <c r="L65" s="815">
        <f t="shared" si="16"/>
        <v>0</v>
      </c>
      <c r="M65" s="736">
        <v>8.3179999999999996</v>
      </c>
      <c r="N65" s="812">
        <f t="shared" si="17"/>
        <v>10</v>
      </c>
      <c r="O65" s="736">
        <v>110.992</v>
      </c>
      <c r="P65" s="812">
        <f t="shared" si="18"/>
        <v>110</v>
      </c>
      <c r="Q65" s="736">
        <v>106.76900000000001</v>
      </c>
      <c r="R65" s="812">
        <f t="shared" si="19"/>
        <v>107</v>
      </c>
      <c r="S65" s="736">
        <v>3.5000000000000003E-2</v>
      </c>
      <c r="T65" s="812">
        <f t="shared" si="20"/>
        <v>0</v>
      </c>
      <c r="U65" s="736">
        <v>97.281999999999996</v>
      </c>
      <c r="V65" s="812">
        <f t="shared" si="21"/>
        <v>97</v>
      </c>
      <c r="W65" s="736">
        <v>96.66</v>
      </c>
      <c r="X65" s="812">
        <f t="shared" si="22"/>
        <v>97</v>
      </c>
      <c r="Y65" s="735">
        <v>0.95499999999999996</v>
      </c>
      <c r="Z65" s="812" t="str">
        <f t="shared" si="23"/>
        <v>less than 1 g</v>
      </c>
      <c r="AA65" s="735">
        <v>0</v>
      </c>
      <c r="AB65" s="735">
        <v>0</v>
      </c>
      <c r="AC65" s="735">
        <v>28.465</v>
      </c>
      <c r="AD65" s="1163">
        <v>2.19</v>
      </c>
      <c r="AE65" s="1163">
        <v>0.14199999999999999</v>
      </c>
      <c r="AF65" s="1163">
        <v>0.78900000000000003</v>
      </c>
      <c r="AG65" s="1163">
        <v>24.640999999999998</v>
      </c>
      <c r="AH65" s="1163">
        <v>0.52400000000000002</v>
      </c>
    </row>
    <row r="66" spans="1:34" s="465" customFormat="1" ht="15" customHeight="1">
      <c r="A66" s="484" t="s">
        <v>92</v>
      </c>
      <c r="B66" s="478" t="s">
        <v>99</v>
      </c>
      <c r="C66" s="1165">
        <v>498.09500000000003</v>
      </c>
      <c r="D66" s="812">
        <f t="shared" si="12"/>
        <v>500</v>
      </c>
      <c r="E66" s="1165">
        <v>61.12</v>
      </c>
      <c r="F66" s="812">
        <f t="shared" si="13"/>
        <v>60</v>
      </c>
      <c r="G66" s="1165">
        <v>11.102</v>
      </c>
      <c r="H66" s="815">
        <f t="shared" si="14"/>
        <v>11</v>
      </c>
      <c r="I66" s="1165">
        <v>8.2230000000000008</v>
      </c>
      <c r="J66" s="815">
        <f t="shared" si="15"/>
        <v>8</v>
      </c>
      <c r="K66" s="1165">
        <v>7.0999999999999994E-2</v>
      </c>
      <c r="L66" s="815">
        <f t="shared" si="16"/>
        <v>0</v>
      </c>
      <c r="M66" s="1165">
        <v>8.3409999999999993</v>
      </c>
      <c r="N66" s="812">
        <f t="shared" si="17"/>
        <v>10</v>
      </c>
      <c r="O66" s="1165">
        <v>110.735</v>
      </c>
      <c r="P66" s="812">
        <f t="shared" si="18"/>
        <v>110</v>
      </c>
      <c r="Q66" s="1165">
        <v>116.233</v>
      </c>
      <c r="R66" s="812">
        <f t="shared" si="19"/>
        <v>116</v>
      </c>
      <c r="S66" s="1165">
        <v>1.0049999999999999</v>
      </c>
      <c r="T66" s="812">
        <f t="shared" si="20"/>
        <v>1</v>
      </c>
      <c r="U66" s="1165">
        <v>105.131</v>
      </c>
      <c r="V66" s="812">
        <f t="shared" si="21"/>
        <v>105</v>
      </c>
      <c r="W66" s="1165">
        <v>96.927000000000007</v>
      </c>
      <c r="X66" s="812">
        <f t="shared" si="22"/>
        <v>97</v>
      </c>
      <c r="Y66" s="1165">
        <v>1.577</v>
      </c>
      <c r="Z66" s="812">
        <f t="shared" si="23"/>
        <v>2</v>
      </c>
      <c r="AA66" s="1165">
        <v>2.9000000000000001E-2</v>
      </c>
      <c r="AB66" s="1165">
        <v>0.14499999999999999</v>
      </c>
      <c r="AC66" s="1165">
        <v>32.813000000000002</v>
      </c>
      <c r="AD66" s="1165">
        <v>2.524</v>
      </c>
      <c r="AE66" s="1165">
        <v>1.2010000000000001</v>
      </c>
      <c r="AF66" s="1165">
        <v>6.6710000000000003</v>
      </c>
      <c r="AG66" s="1165">
        <v>78.781999999999996</v>
      </c>
      <c r="AH66" s="1165">
        <v>1.6759999999999999</v>
      </c>
    </row>
    <row r="67" spans="1:34" s="465" customFormat="1" ht="15" customHeight="1">
      <c r="A67" s="484" t="s">
        <v>92</v>
      </c>
      <c r="B67" s="478" t="s">
        <v>449</v>
      </c>
      <c r="C67" s="1165">
        <v>470.745</v>
      </c>
      <c r="D67" s="812">
        <f t="shared" si="12"/>
        <v>470</v>
      </c>
      <c r="E67" s="1165">
        <v>26.873999999999999</v>
      </c>
      <c r="F67" s="812">
        <f t="shared" si="13"/>
        <v>25</v>
      </c>
      <c r="G67" s="1165">
        <v>7.2960000000000003</v>
      </c>
      <c r="H67" s="815">
        <f t="shared" si="14"/>
        <v>7</v>
      </c>
      <c r="I67" s="1165">
        <v>6.2409999999999997</v>
      </c>
      <c r="J67" s="815">
        <f t="shared" si="15"/>
        <v>6</v>
      </c>
      <c r="K67" s="1165">
        <v>4.0000000000000001E-3</v>
      </c>
      <c r="L67" s="815">
        <f t="shared" si="16"/>
        <v>0</v>
      </c>
      <c r="M67" s="1165">
        <v>1E-3</v>
      </c>
      <c r="N67" s="812">
        <f t="shared" si="17"/>
        <v>0</v>
      </c>
      <c r="O67" s="1165">
        <v>121.157</v>
      </c>
      <c r="P67" s="812">
        <f t="shared" si="18"/>
        <v>120</v>
      </c>
      <c r="Q67" s="1165">
        <v>110.354</v>
      </c>
      <c r="R67" s="812">
        <f t="shared" si="19"/>
        <v>110</v>
      </c>
      <c r="S67" s="1165">
        <v>1.0469999999999999</v>
      </c>
      <c r="T67" s="812">
        <f t="shared" si="20"/>
        <v>1</v>
      </c>
      <c r="U67" s="1165">
        <v>101.816</v>
      </c>
      <c r="V67" s="812">
        <f t="shared" si="21"/>
        <v>102</v>
      </c>
      <c r="W67" s="1165">
        <v>95.176000000000002</v>
      </c>
      <c r="X67" s="812">
        <f t="shared" si="22"/>
        <v>95</v>
      </c>
      <c r="Y67" s="1165">
        <v>1.149</v>
      </c>
      <c r="Z67" s="812">
        <f t="shared" si="23"/>
        <v>1</v>
      </c>
      <c r="AA67" s="1165">
        <v>1.4E-2</v>
      </c>
      <c r="AB67" s="1165">
        <v>7.1999999999999995E-2</v>
      </c>
      <c r="AC67" s="1165">
        <v>20.18</v>
      </c>
      <c r="AD67" s="1165">
        <v>1.552</v>
      </c>
      <c r="AE67" s="1165">
        <v>0.95799999999999996</v>
      </c>
      <c r="AF67" s="1165">
        <v>5.32</v>
      </c>
      <c r="AG67" s="1165">
        <v>145.15</v>
      </c>
      <c r="AH67" s="1165">
        <v>3.0880000000000001</v>
      </c>
    </row>
    <row r="68" spans="1:34" s="465" customFormat="1" ht="15" customHeight="1">
      <c r="A68" s="484" t="s">
        <v>92</v>
      </c>
      <c r="B68" s="478" t="s">
        <v>101</v>
      </c>
      <c r="C68" s="1165">
        <v>448.76299999999998</v>
      </c>
      <c r="D68" s="812">
        <f t="shared" si="12"/>
        <v>450</v>
      </c>
      <c r="E68" s="1165">
        <v>42.216999999999999</v>
      </c>
      <c r="F68" s="812">
        <f t="shared" si="13"/>
        <v>40</v>
      </c>
      <c r="G68" s="1165">
        <v>9.0730000000000004</v>
      </c>
      <c r="H68" s="815">
        <f t="shared" si="14"/>
        <v>9</v>
      </c>
      <c r="I68" s="1165">
        <v>7.298</v>
      </c>
      <c r="J68" s="815">
        <f t="shared" si="15"/>
        <v>7</v>
      </c>
      <c r="K68" s="1165">
        <v>0</v>
      </c>
      <c r="L68" s="815">
        <f t="shared" si="16"/>
        <v>0</v>
      </c>
      <c r="M68" s="1165">
        <v>1E-3</v>
      </c>
      <c r="N68" s="812">
        <f t="shared" si="17"/>
        <v>0</v>
      </c>
      <c r="O68" s="1165">
        <v>132.32900000000001</v>
      </c>
      <c r="P68" s="812">
        <f t="shared" si="18"/>
        <v>130</v>
      </c>
      <c r="Q68" s="1165">
        <v>108.80500000000001</v>
      </c>
      <c r="R68" s="812">
        <f t="shared" si="19"/>
        <v>109</v>
      </c>
      <c r="S68" s="1165">
        <v>1.4810000000000001</v>
      </c>
      <c r="T68" s="812">
        <f t="shared" si="20"/>
        <v>1</v>
      </c>
      <c r="U68" s="1165">
        <v>100.795</v>
      </c>
      <c r="V68" s="812">
        <f t="shared" si="21"/>
        <v>101</v>
      </c>
      <c r="W68" s="1165">
        <v>91.408000000000001</v>
      </c>
      <c r="X68" s="812">
        <f t="shared" si="22"/>
        <v>91</v>
      </c>
      <c r="Y68" s="1165">
        <v>1.621</v>
      </c>
      <c r="Z68" s="812">
        <f t="shared" si="23"/>
        <v>2</v>
      </c>
      <c r="AA68" s="1165">
        <v>2.9000000000000001E-2</v>
      </c>
      <c r="AB68" s="1165">
        <v>0.14699999999999999</v>
      </c>
      <c r="AC68" s="1165">
        <v>24.94</v>
      </c>
      <c r="AD68" s="1165">
        <v>1.9179999999999999</v>
      </c>
      <c r="AE68" s="1165">
        <v>1.6140000000000001</v>
      </c>
      <c r="AF68" s="1165">
        <v>8.968</v>
      </c>
      <c r="AG68" s="1165">
        <v>122.246</v>
      </c>
      <c r="AH68" s="1165">
        <v>2.601</v>
      </c>
    </row>
    <row r="69" spans="1:34" s="465" customFormat="1" ht="15" customHeight="1">
      <c r="A69" s="484" t="s">
        <v>92</v>
      </c>
      <c r="B69" s="478" t="s">
        <v>102</v>
      </c>
      <c r="C69" s="736">
        <v>490</v>
      </c>
      <c r="D69" s="812">
        <f t="shared" si="12"/>
        <v>490</v>
      </c>
      <c r="E69" s="736">
        <v>25</v>
      </c>
      <c r="F69" s="812">
        <f t="shared" si="13"/>
        <v>25</v>
      </c>
      <c r="G69" s="736">
        <v>5</v>
      </c>
      <c r="H69" s="815">
        <f t="shared" si="14"/>
        <v>5</v>
      </c>
      <c r="I69" s="736">
        <v>5</v>
      </c>
      <c r="J69" s="815">
        <f t="shared" si="15"/>
        <v>5</v>
      </c>
      <c r="K69" s="736">
        <v>0</v>
      </c>
      <c r="L69" s="815">
        <f t="shared" si="16"/>
        <v>0</v>
      </c>
      <c r="M69" s="736">
        <v>0</v>
      </c>
      <c r="N69" s="812">
        <f t="shared" si="17"/>
        <v>0</v>
      </c>
      <c r="O69" s="736">
        <v>110</v>
      </c>
      <c r="P69" s="812">
        <f t="shared" si="18"/>
        <v>110</v>
      </c>
      <c r="Q69" s="736">
        <v>110</v>
      </c>
      <c r="R69" s="812">
        <f t="shared" si="19"/>
        <v>110</v>
      </c>
      <c r="S69" s="736">
        <v>0</v>
      </c>
      <c r="T69" s="812">
        <f t="shared" si="20"/>
        <v>0</v>
      </c>
      <c r="U69" s="736">
        <v>100</v>
      </c>
      <c r="V69" s="812">
        <f t="shared" si="21"/>
        <v>100</v>
      </c>
      <c r="W69" s="736">
        <v>90</v>
      </c>
      <c r="X69" s="812">
        <f t="shared" si="22"/>
        <v>90</v>
      </c>
      <c r="Y69" s="735">
        <v>0</v>
      </c>
      <c r="Z69" s="812">
        <f t="shared" si="23"/>
        <v>0</v>
      </c>
      <c r="AA69" s="735">
        <v>0</v>
      </c>
      <c r="AB69" s="735">
        <v>0</v>
      </c>
      <c r="AC69" s="735">
        <v>15</v>
      </c>
      <c r="AD69" s="1163">
        <v>0</v>
      </c>
      <c r="AE69" s="1163">
        <v>0</v>
      </c>
      <c r="AF69" s="1163">
        <v>0</v>
      </c>
      <c r="AG69" s="1163">
        <v>15</v>
      </c>
      <c r="AH69" s="1164">
        <v>0</v>
      </c>
    </row>
    <row r="70" spans="1:34" s="465" customFormat="1" ht="15" customHeight="1">
      <c r="A70" s="484" t="s">
        <v>92</v>
      </c>
      <c r="B70" s="478" t="s">
        <v>104</v>
      </c>
      <c r="C70" s="736">
        <v>520</v>
      </c>
      <c r="D70" s="812">
        <f t="shared" si="12"/>
        <v>520</v>
      </c>
      <c r="E70" s="736">
        <v>30</v>
      </c>
      <c r="F70" s="812">
        <f t="shared" si="13"/>
        <v>30</v>
      </c>
      <c r="G70" s="736">
        <v>10</v>
      </c>
      <c r="H70" s="815">
        <f t="shared" si="14"/>
        <v>10</v>
      </c>
      <c r="I70" s="736">
        <v>5</v>
      </c>
      <c r="J70" s="815">
        <f t="shared" si="15"/>
        <v>5</v>
      </c>
      <c r="K70" s="736">
        <v>0</v>
      </c>
      <c r="L70" s="815">
        <f t="shared" si="16"/>
        <v>0</v>
      </c>
      <c r="M70" s="736">
        <v>0</v>
      </c>
      <c r="N70" s="812">
        <f t="shared" si="17"/>
        <v>0</v>
      </c>
      <c r="O70" s="736">
        <v>150</v>
      </c>
      <c r="P70" s="812">
        <f t="shared" si="18"/>
        <v>150</v>
      </c>
      <c r="Q70" s="736">
        <v>110</v>
      </c>
      <c r="R70" s="812">
        <f t="shared" si="19"/>
        <v>110</v>
      </c>
      <c r="S70" s="736">
        <v>0</v>
      </c>
      <c r="T70" s="812">
        <f t="shared" si="20"/>
        <v>0</v>
      </c>
      <c r="U70" s="736">
        <v>100</v>
      </c>
      <c r="V70" s="812">
        <f t="shared" si="21"/>
        <v>100</v>
      </c>
      <c r="W70" s="736">
        <v>100</v>
      </c>
      <c r="X70" s="812">
        <f t="shared" si="22"/>
        <v>100</v>
      </c>
      <c r="Y70" s="735">
        <v>0</v>
      </c>
      <c r="Z70" s="812">
        <f t="shared" si="23"/>
        <v>0</v>
      </c>
      <c r="AA70" s="735">
        <v>0</v>
      </c>
      <c r="AB70" s="735">
        <v>0</v>
      </c>
      <c r="AC70" s="735">
        <v>15</v>
      </c>
      <c r="AD70" s="1163">
        <v>0</v>
      </c>
      <c r="AE70" s="1163">
        <v>0</v>
      </c>
      <c r="AF70" s="1163">
        <v>0</v>
      </c>
      <c r="AG70" s="1163">
        <v>70</v>
      </c>
      <c r="AH70" s="1164">
        <v>0</v>
      </c>
    </row>
    <row r="71" spans="1:34" s="465" customFormat="1" ht="15" customHeight="1">
      <c r="A71" s="484" t="s">
        <v>92</v>
      </c>
      <c r="B71" s="478" t="s">
        <v>103</v>
      </c>
      <c r="C71" s="703">
        <v>546.84500000000003</v>
      </c>
      <c r="D71" s="812">
        <f t="shared" si="12"/>
        <v>550</v>
      </c>
      <c r="E71" s="703">
        <v>11.497</v>
      </c>
      <c r="F71" s="812">
        <f t="shared" si="13"/>
        <v>10</v>
      </c>
      <c r="G71" s="703">
        <v>5.5220000000000002</v>
      </c>
      <c r="H71" s="815">
        <f t="shared" si="14"/>
        <v>6</v>
      </c>
      <c r="I71" s="703">
        <v>4.33</v>
      </c>
      <c r="J71" s="815">
        <f t="shared" si="15"/>
        <v>4.5</v>
      </c>
      <c r="K71" s="703">
        <v>0</v>
      </c>
      <c r="L71" s="815">
        <f t="shared" si="16"/>
        <v>0</v>
      </c>
      <c r="M71" s="703">
        <v>4.3999999999999997E-2</v>
      </c>
      <c r="N71" s="812">
        <f t="shared" si="17"/>
        <v>0</v>
      </c>
      <c r="O71" s="703">
        <v>105.014</v>
      </c>
      <c r="P71" s="812">
        <f t="shared" si="18"/>
        <v>105</v>
      </c>
      <c r="Q71" s="703">
        <v>125.145</v>
      </c>
      <c r="R71" s="812">
        <f t="shared" si="19"/>
        <v>125</v>
      </c>
      <c r="S71" s="703">
        <v>0.15</v>
      </c>
      <c r="T71" s="812">
        <f t="shared" si="20"/>
        <v>0</v>
      </c>
      <c r="U71" s="703">
        <v>118.045</v>
      </c>
      <c r="V71" s="812">
        <f t="shared" si="21"/>
        <v>118</v>
      </c>
      <c r="W71" s="703">
        <v>117.756</v>
      </c>
      <c r="X71" s="812">
        <f t="shared" si="22"/>
        <v>118</v>
      </c>
      <c r="Y71" s="704">
        <v>0.66300000000000003</v>
      </c>
      <c r="Z71" s="812" t="str">
        <f t="shared" si="23"/>
        <v>less than 1 g</v>
      </c>
      <c r="AA71" s="704">
        <v>0</v>
      </c>
      <c r="AB71" s="704">
        <v>0</v>
      </c>
      <c r="AC71" s="704">
        <v>13.208</v>
      </c>
      <c r="AD71" s="1165">
        <v>1.016</v>
      </c>
      <c r="AE71" s="1165">
        <v>0.38300000000000001</v>
      </c>
      <c r="AF71" s="1165">
        <v>2.1269999999999998</v>
      </c>
      <c r="AG71" s="1165">
        <v>20.478999999999999</v>
      </c>
      <c r="AH71" s="1165">
        <v>0.436</v>
      </c>
    </row>
    <row r="72" spans="1:34" s="465" customFormat="1" ht="18.45">
      <c r="A72" s="484" t="s">
        <v>92</v>
      </c>
      <c r="B72" s="478" t="s">
        <v>318</v>
      </c>
      <c r="C72" s="672">
        <v>481.74</v>
      </c>
      <c r="D72" s="812">
        <f t="shared" si="12"/>
        <v>480</v>
      </c>
      <c r="E72" s="672">
        <v>3.855</v>
      </c>
      <c r="F72" s="812">
        <f t="shared" si="13"/>
        <v>0</v>
      </c>
      <c r="G72" s="672">
        <v>4.5190000000000001</v>
      </c>
      <c r="H72" s="815">
        <f t="shared" si="14"/>
        <v>4.5</v>
      </c>
      <c r="I72" s="672">
        <v>4.0460000000000003</v>
      </c>
      <c r="J72" s="815">
        <f t="shared" si="15"/>
        <v>4</v>
      </c>
      <c r="K72" s="672">
        <v>0</v>
      </c>
      <c r="L72" s="815">
        <f t="shared" si="16"/>
        <v>0</v>
      </c>
      <c r="M72" s="672">
        <v>0</v>
      </c>
      <c r="N72" s="812">
        <f t="shared" si="17"/>
        <v>0</v>
      </c>
      <c r="O72" s="672">
        <v>117.532</v>
      </c>
      <c r="P72" s="812">
        <f t="shared" si="18"/>
        <v>120</v>
      </c>
      <c r="Q72" s="672">
        <v>112.819</v>
      </c>
      <c r="R72" s="812">
        <f t="shared" si="19"/>
        <v>113</v>
      </c>
      <c r="S72" s="672">
        <v>1.2529999999999999</v>
      </c>
      <c r="T72" s="812">
        <f t="shared" si="20"/>
        <v>1</v>
      </c>
      <c r="U72" s="672">
        <v>105.812</v>
      </c>
      <c r="V72" s="812">
        <f t="shared" si="21"/>
        <v>106</v>
      </c>
      <c r="W72" s="672">
        <v>105.24299999999999</v>
      </c>
      <c r="X72" s="812">
        <f t="shared" si="22"/>
        <v>105</v>
      </c>
      <c r="Y72" s="672">
        <v>1.135</v>
      </c>
      <c r="Z72" s="812">
        <f t="shared" si="23"/>
        <v>1</v>
      </c>
      <c r="AA72" s="672">
        <v>6.0000000000000001E-3</v>
      </c>
      <c r="AB72" s="672">
        <v>2.8000000000000001E-2</v>
      </c>
      <c r="AC72" s="672">
        <v>19.16</v>
      </c>
      <c r="AD72" s="672">
        <v>1.474</v>
      </c>
      <c r="AE72" s="672">
        <v>0.83799999999999997</v>
      </c>
      <c r="AF72" s="672">
        <v>4.6550000000000002</v>
      </c>
      <c r="AG72" s="672">
        <v>102.036</v>
      </c>
      <c r="AH72" s="672">
        <v>2.1709999999999998</v>
      </c>
    </row>
    <row r="73" spans="1:34" s="465" customFormat="1" ht="15" customHeight="1">
      <c r="A73" s="484" t="s">
        <v>92</v>
      </c>
      <c r="B73" s="478" t="s">
        <v>105</v>
      </c>
      <c r="C73" s="1165">
        <v>595.53599999999994</v>
      </c>
      <c r="D73" s="812">
        <f t="shared" si="12"/>
        <v>600</v>
      </c>
      <c r="E73" s="1165">
        <v>0</v>
      </c>
      <c r="F73" s="812">
        <f t="shared" si="13"/>
        <v>0</v>
      </c>
      <c r="G73" s="1165">
        <v>8.2940000000000005</v>
      </c>
      <c r="H73" s="815">
        <f t="shared" si="14"/>
        <v>8</v>
      </c>
      <c r="I73" s="1165">
        <v>5.8070000000000004</v>
      </c>
      <c r="J73" s="815">
        <f t="shared" si="15"/>
        <v>6</v>
      </c>
      <c r="K73" s="1165">
        <v>4.2000000000000003E-2</v>
      </c>
      <c r="L73" s="815">
        <f t="shared" si="16"/>
        <v>0</v>
      </c>
      <c r="M73" s="1165">
        <v>3.2709999999999999</v>
      </c>
      <c r="N73" s="812" t="str">
        <f t="shared" si="17"/>
        <v>less than 5 mg</v>
      </c>
      <c r="O73" s="1165">
        <v>160.70500000000001</v>
      </c>
      <c r="P73" s="812">
        <f t="shared" si="18"/>
        <v>160</v>
      </c>
      <c r="Q73" s="1165">
        <v>133.59800000000001</v>
      </c>
      <c r="R73" s="812">
        <f t="shared" si="19"/>
        <v>134</v>
      </c>
      <c r="S73" s="1165">
        <v>2.3519999999999999</v>
      </c>
      <c r="T73" s="812">
        <f t="shared" si="20"/>
        <v>2</v>
      </c>
      <c r="U73" s="1165">
        <v>118.764</v>
      </c>
      <c r="V73" s="812">
        <f t="shared" si="21"/>
        <v>119</v>
      </c>
      <c r="W73" s="1165">
        <v>118.06</v>
      </c>
      <c r="X73" s="812">
        <f t="shared" si="22"/>
        <v>118</v>
      </c>
      <c r="Y73" s="1165">
        <v>2.4169999999999998</v>
      </c>
      <c r="Z73" s="812">
        <f t="shared" si="23"/>
        <v>2</v>
      </c>
      <c r="AA73" s="1165">
        <v>6.0000000000000001E-3</v>
      </c>
      <c r="AB73" s="1165">
        <v>2.9000000000000001E-2</v>
      </c>
      <c r="AC73" s="1165">
        <v>25.292000000000002</v>
      </c>
      <c r="AD73" s="1165">
        <v>1.946</v>
      </c>
      <c r="AE73" s="1165">
        <v>1.6970000000000001</v>
      </c>
      <c r="AF73" s="1165">
        <v>9.4250000000000007</v>
      </c>
      <c r="AG73" s="1165">
        <v>196.18600000000001</v>
      </c>
      <c r="AH73" s="1165">
        <v>4.1740000000000004</v>
      </c>
    </row>
    <row r="74" spans="1:34" s="465" customFormat="1" ht="15" customHeight="1">
      <c r="A74" s="484" t="s">
        <v>92</v>
      </c>
      <c r="B74" s="478" t="s">
        <v>319</v>
      </c>
      <c r="C74" s="703">
        <v>590.78300000000002</v>
      </c>
      <c r="D74" s="812">
        <f t="shared" si="12"/>
        <v>590</v>
      </c>
      <c r="E74" s="703">
        <v>0</v>
      </c>
      <c r="F74" s="812">
        <f t="shared" si="13"/>
        <v>0</v>
      </c>
      <c r="G74" s="703">
        <v>13.523</v>
      </c>
      <c r="H74" s="815">
        <f t="shared" si="14"/>
        <v>14</v>
      </c>
      <c r="I74" s="703">
        <v>5.4660000000000002</v>
      </c>
      <c r="J74" s="815">
        <f t="shared" si="15"/>
        <v>5</v>
      </c>
      <c r="K74" s="703">
        <v>0</v>
      </c>
      <c r="L74" s="815">
        <f t="shared" si="16"/>
        <v>0</v>
      </c>
      <c r="M74" s="703">
        <v>0</v>
      </c>
      <c r="N74" s="812">
        <f t="shared" si="17"/>
        <v>0</v>
      </c>
      <c r="O74" s="703">
        <v>168.14099999999999</v>
      </c>
      <c r="P74" s="812">
        <f t="shared" si="18"/>
        <v>170</v>
      </c>
      <c r="Q74" s="703">
        <v>116.408</v>
      </c>
      <c r="R74" s="812">
        <f t="shared" si="19"/>
        <v>116</v>
      </c>
      <c r="S74" s="703">
        <v>1.081</v>
      </c>
      <c r="T74" s="812">
        <f t="shared" si="20"/>
        <v>1</v>
      </c>
      <c r="U74" s="703">
        <v>110.43600000000001</v>
      </c>
      <c r="V74" s="812">
        <f t="shared" si="21"/>
        <v>110</v>
      </c>
      <c r="W74" s="703">
        <v>109.735</v>
      </c>
      <c r="X74" s="812">
        <f t="shared" si="22"/>
        <v>110</v>
      </c>
      <c r="Y74" s="704">
        <v>3.4449999999999998</v>
      </c>
      <c r="Z74" s="812">
        <f t="shared" si="23"/>
        <v>3</v>
      </c>
      <c r="AA74" s="704">
        <v>0</v>
      </c>
      <c r="AB74" s="704">
        <v>0</v>
      </c>
      <c r="AC74" s="704">
        <v>24.07</v>
      </c>
      <c r="AD74" s="1165">
        <v>1.8520000000000001</v>
      </c>
      <c r="AE74" s="1165">
        <v>1.05</v>
      </c>
      <c r="AF74" s="1165">
        <v>5.8310000000000004</v>
      </c>
      <c r="AG74" s="1165">
        <v>114.58799999999999</v>
      </c>
      <c r="AH74" s="1165">
        <v>2.4380000000000002</v>
      </c>
    </row>
    <row r="75" spans="1:34" s="465" customFormat="1" ht="15" customHeight="1">
      <c r="A75" s="484" t="s">
        <v>92</v>
      </c>
      <c r="B75" s="478" t="s">
        <v>108</v>
      </c>
      <c r="C75" s="1165">
        <v>417.69</v>
      </c>
      <c r="D75" s="812">
        <f t="shared" si="12"/>
        <v>420</v>
      </c>
      <c r="E75" s="1165">
        <v>31</v>
      </c>
      <c r="F75" s="812">
        <f t="shared" si="13"/>
        <v>30</v>
      </c>
      <c r="G75" s="1165">
        <v>7.77</v>
      </c>
      <c r="H75" s="815">
        <f t="shared" si="14"/>
        <v>8</v>
      </c>
      <c r="I75" s="1165">
        <v>6.077</v>
      </c>
      <c r="J75" s="815">
        <f t="shared" si="15"/>
        <v>6</v>
      </c>
      <c r="K75" s="1165">
        <v>0</v>
      </c>
      <c r="L75" s="815">
        <f t="shared" si="16"/>
        <v>0</v>
      </c>
      <c r="M75" s="1165">
        <v>0</v>
      </c>
      <c r="N75" s="812">
        <f t="shared" si="17"/>
        <v>0</v>
      </c>
      <c r="O75" s="1165">
        <v>85.262</v>
      </c>
      <c r="P75" s="812">
        <f t="shared" si="18"/>
        <v>85</v>
      </c>
      <c r="Q75" s="1165">
        <v>105.31</v>
      </c>
      <c r="R75" s="812">
        <f t="shared" si="19"/>
        <v>105</v>
      </c>
      <c r="S75" s="1165">
        <v>0.97299999999999998</v>
      </c>
      <c r="T75" s="812" t="str">
        <f t="shared" si="20"/>
        <v>less than 1 g</v>
      </c>
      <c r="U75" s="1165">
        <v>99.265000000000001</v>
      </c>
      <c r="V75" s="812">
        <f t="shared" si="21"/>
        <v>99</v>
      </c>
      <c r="W75" s="1165">
        <v>91.424999999999997</v>
      </c>
      <c r="X75" s="812">
        <f t="shared" si="22"/>
        <v>91</v>
      </c>
      <c r="Y75" s="1165">
        <v>1.0149999999999999</v>
      </c>
      <c r="Z75" s="812">
        <f t="shared" si="23"/>
        <v>1</v>
      </c>
      <c r="AA75" s="1165">
        <v>2.9000000000000001E-2</v>
      </c>
      <c r="AB75" s="1165">
        <v>0.14499999999999999</v>
      </c>
      <c r="AC75" s="1165">
        <v>15.944000000000001</v>
      </c>
      <c r="AD75" s="1165">
        <v>1.226</v>
      </c>
      <c r="AE75" s="1165">
        <v>1.171</v>
      </c>
      <c r="AF75" s="1165">
        <v>6.5060000000000002</v>
      </c>
      <c r="AG75" s="1165">
        <v>65.331999999999994</v>
      </c>
      <c r="AH75" s="1165">
        <v>1.39</v>
      </c>
    </row>
    <row r="76" spans="1:34" s="465" customFormat="1" ht="15" customHeight="1">
      <c r="A76" s="484" t="s">
        <v>92</v>
      </c>
      <c r="B76" s="478" t="s">
        <v>109</v>
      </c>
      <c r="C76" s="703">
        <v>452.79700000000003</v>
      </c>
      <c r="D76" s="812">
        <f t="shared" si="12"/>
        <v>450</v>
      </c>
      <c r="E76" s="703">
        <v>11.792999999999999</v>
      </c>
      <c r="F76" s="812">
        <f t="shared" si="13"/>
        <v>10</v>
      </c>
      <c r="G76" s="703">
        <v>5.6639999999999997</v>
      </c>
      <c r="H76" s="815">
        <f t="shared" si="14"/>
        <v>6</v>
      </c>
      <c r="I76" s="703">
        <v>4.4420000000000002</v>
      </c>
      <c r="J76" s="815">
        <f t="shared" si="15"/>
        <v>4.5</v>
      </c>
      <c r="K76" s="703">
        <v>0</v>
      </c>
      <c r="L76" s="815">
        <f t="shared" si="16"/>
        <v>0</v>
      </c>
      <c r="M76" s="703">
        <v>4.4999999999999998E-2</v>
      </c>
      <c r="N76" s="812">
        <f t="shared" si="17"/>
        <v>0</v>
      </c>
      <c r="O76" s="703">
        <v>109.148</v>
      </c>
      <c r="P76" s="812">
        <f t="shared" si="18"/>
        <v>110</v>
      </c>
      <c r="Q76" s="703">
        <v>101.66</v>
      </c>
      <c r="R76" s="812">
        <f t="shared" si="19"/>
        <v>102</v>
      </c>
      <c r="S76" s="703">
        <v>0.13600000000000001</v>
      </c>
      <c r="T76" s="812">
        <f t="shared" si="20"/>
        <v>0</v>
      </c>
      <c r="U76" s="703">
        <v>94.957999999999998</v>
      </c>
      <c r="V76" s="812">
        <f t="shared" si="21"/>
        <v>95</v>
      </c>
      <c r="W76" s="703">
        <v>94.697000000000003</v>
      </c>
      <c r="X76" s="812">
        <f t="shared" si="22"/>
        <v>95</v>
      </c>
      <c r="Y76" s="704">
        <v>0.68</v>
      </c>
      <c r="Z76" s="812" t="str">
        <f t="shared" si="23"/>
        <v>less than 1 g</v>
      </c>
      <c r="AA76" s="704">
        <v>0</v>
      </c>
      <c r="AB76" s="704">
        <v>0</v>
      </c>
      <c r="AC76" s="704">
        <v>14.331</v>
      </c>
      <c r="AD76" s="1165">
        <v>1.1020000000000001</v>
      </c>
      <c r="AE76" s="1165">
        <v>0.39300000000000002</v>
      </c>
      <c r="AF76" s="1165">
        <v>2.181</v>
      </c>
      <c r="AG76" s="1165">
        <v>20.669</v>
      </c>
      <c r="AH76" s="1165">
        <v>0.44</v>
      </c>
    </row>
    <row r="77" spans="1:34" s="465" customFormat="1" ht="15" customHeight="1">
      <c r="A77" s="484" t="s">
        <v>92</v>
      </c>
      <c r="B77" s="478" t="s">
        <v>320</v>
      </c>
      <c r="C77" s="736">
        <v>390</v>
      </c>
      <c r="D77" s="812">
        <f t="shared" si="12"/>
        <v>390</v>
      </c>
      <c r="E77" s="736">
        <v>0</v>
      </c>
      <c r="F77" s="812">
        <f t="shared" si="13"/>
        <v>0</v>
      </c>
      <c r="G77" s="736">
        <v>0</v>
      </c>
      <c r="H77" s="815">
        <f t="shared" si="14"/>
        <v>0</v>
      </c>
      <c r="I77" s="736">
        <v>0</v>
      </c>
      <c r="J77" s="815">
        <f t="shared" si="15"/>
        <v>0</v>
      </c>
      <c r="K77" s="736">
        <v>0</v>
      </c>
      <c r="L77" s="815">
        <f t="shared" si="16"/>
        <v>0</v>
      </c>
      <c r="M77" s="736">
        <v>0</v>
      </c>
      <c r="N77" s="812">
        <f t="shared" si="17"/>
        <v>0</v>
      </c>
      <c r="O77" s="736">
        <v>90</v>
      </c>
      <c r="P77" s="812">
        <f t="shared" si="18"/>
        <v>90</v>
      </c>
      <c r="Q77" s="736">
        <v>90</v>
      </c>
      <c r="R77" s="812">
        <f t="shared" si="19"/>
        <v>90</v>
      </c>
      <c r="S77" s="736">
        <v>0</v>
      </c>
      <c r="T77" s="812">
        <f t="shared" si="20"/>
        <v>0</v>
      </c>
      <c r="U77" s="736">
        <v>80</v>
      </c>
      <c r="V77" s="812">
        <f t="shared" si="21"/>
        <v>80</v>
      </c>
      <c r="W77" s="736">
        <v>80</v>
      </c>
      <c r="X77" s="812">
        <f t="shared" si="22"/>
        <v>80</v>
      </c>
      <c r="Y77" s="735">
        <v>0</v>
      </c>
      <c r="Z77" s="812">
        <f t="shared" si="23"/>
        <v>0</v>
      </c>
      <c r="AA77" s="735">
        <v>0</v>
      </c>
      <c r="AB77" s="735">
        <v>0</v>
      </c>
      <c r="AC77" s="735">
        <v>10</v>
      </c>
      <c r="AD77" s="1163">
        <v>0</v>
      </c>
      <c r="AE77" s="1163">
        <v>0</v>
      </c>
      <c r="AF77" s="1163">
        <v>0</v>
      </c>
      <c r="AG77" s="1163">
        <v>10</v>
      </c>
      <c r="AH77" s="1163">
        <v>0</v>
      </c>
    </row>
    <row r="78" spans="1:34" s="465" customFormat="1" ht="15" customHeight="1">
      <c r="A78" s="484" t="s">
        <v>92</v>
      </c>
      <c r="B78" s="478" t="s">
        <v>111</v>
      </c>
      <c r="C78" s="703">
        <v>430.529</v>
      </c>
      <c r="D78" s="812">
        <f t="shared" si="12"/>
        <v>430</v>
      </c>
      <c r="E78" s="703">
        <v>15.180999999999999</v>
      </c>
      <c r="F78" s="812">
        <f t="shared" si="13"/>
        <v>15</v>
      </c>
      <c r="G78" s="703">
        <v>6.008</v>
      </c>
      <c r="H78" s="815">
        <f t="shared" si="14"/>
        <v>6</v>
      </c>
      <c r="I78" s="703">
        <v>5.0960000000000001</v>
      </c>
      <c r="J78" s="815">
        <f t="shared" si="15"/>
        <v>5</v>
      </c>
      <c r="K78" s="703">
        <v>3.5000000000000003E-2</v>
      </c>
      <c r="L78" s="815">
        <f t="shared" si="16"/>
        <v>0</v>
      </c>
      <c r="M78" s="703">
        <v>4.18</v>
      </c>
      <c r="N78" s="812" t="str">
        <f t="shared" si="17"/>
        <v>less than 5 mg</v>
      </c>
      <c r="O78" s="703">
        <v>100.431</v>
      </c>
      <c r="P78" s="812">
        <f t="shared" si="18"/>
        <v>100</v>
      </c>
      <c r="Q78" s="703">
        <v>94.12</v>
      </c>
      <c r="R78" s="812">
        <f t="shared" si="19"/>
        <v>94</v>
      </c>
      <c r="S78" s="703">
        <v>0.65800000000000003</v>
      </c>
      <c r="T78" s="812" t="str">
        <f t="shared" si="20"/>
        <v>less than 1 g</v>
      </c>
      <c r="U78" s="703">
        <v>85.998000000000005</v>
      </c>
      <c r="V78" s="812">
        <f t="shared" si="21"/>
        <v>86</v>
      </c>
      <c r="W78" s="703">
        <v>85.004000000000005</v>
      </c>
      <c r="X78" s="812">
        <f t="shared" si="22"/>
        <v>85</v>
      </c>
      <c r="Y78" s="704">
        <v>0.872</v>
      </c>
      <c r="Z78" s="812" t="str">
        <f t="shared" si="23"/>
        <v>less than 1 g</v>
      </c>
      <c r="AA78" s="704">
        <v>0</v>
      </c>
      <c r="AB78" s="704">
        <v>0</v>
      </c>
      <c r="AC78" s="704">
        <v>25.497</v>
      </c>
      <c r="AD78" s="1165">
        <v>1.9610000000000001</v>
      </c>
      <c r="AE78" s="1165">
        <v>0.32400000000000001</v>
      </c>
      <c r="AF78" s="1165">
        <v>1.7989999999999999</v>
      </c>
      <c r="AG78" s="1165">
        <v>56.225999999999999</v>
      </c>
      <c r="AH78" s="1165">
        <v>1.196</v>
      </c>
    </row>
    <row r="79" spans="1:34" s="465" customFormat="1" ht="15" customHeight="1">
      <c r="A79" s="484" t="s">
        <v>92</v>
      </c>
      <c r="B79" s="478" t="s">
        <v>112</v>
      </c>
      <c r="C79" s="703">
        <v>376.66199999999998</v>
      </c>
      <c r="D79" s="812">
        <f t="shared" si="12"/>
        <v>380</v>
      </c>
      <c r="E79" s="703">
        <v>7.6999999999999999E-2</v>
      </c>
      <c r="F79" s="812">
        <f t="shared" si="13"/>
        <v>0</v>
      </c>
      <c r="G79" s="703">
        <v>4.3440000000000003</v>
      </c>
      <c r="H79" s="815">
        <f t="shared" si="14"/>
        <v>4.5</v>
      </c>
      <c r="I79" s="703">
        <v>4.0289999999999999</v>
      </c>
      <c r="J79" s="815">
        <f t="shared" si="15"/>
        <v>4</v>
      </c>
      <c r="K79" s="703">
        <v>0</v>
      </c>
      <c r="L79" s="815">
        <f t="shared" si="16"/>
        <v>0</v>
      </c>
      <c r="M79" s="703">
        <v>0</v>
      </c>
      <c r="N79" s="812">
        <f t="shared" si="17"/>
        <v>0</v>
      </c>
      <c r="O79" s="703">
        <v>89.551000000000002</v>
      </c>
      <c r="P79" s="812">
        <f t="shared" si="18"/>
        <v>90</v>
      </c>
      <c r="Q79" s="703">
        <v>84.72</v>
      </c>
      <c r="R79" s="812">
        <f t="shared" si="19"/>
        <v>85</v>
      </c>
      <c r="S79" s="703">
        <v>1.284</v>
      </c>
      <c r="T79" s="812">
        <f t="shared" si="20"/>
        <v>1</v>
      </c>
      <c r="U79" s="703">
        <v>77.98</v>
      </c>
      <c r="V79" s="812">
        <f t="shared" si="21"/>
        <v>78</v>
      </c>
      <c r="W79" s="703">
        <v>76.613</v>
      </c>
      <c r="X79" s="812">
        <f t="shared" si="22"/>
        <v>77</v>
      </c>
      <c r="Y79" s="704">
        <v>0.78800000000000003</v>
      </c>
      <c r="Z79" s="812" t="str">
        <f t="shared" si="23"/>
        <v>less than 1 g</v>
      </c>
      <c r="AA79" s="704">
        <v>0</v>
      </c>
      <c r="AB79" s="704">
        <v>0</v>
      </c>
      <c r="AC79" s="704">
        <v>22.417000000000002</v>
      </c>
      <c r="AD79" s="1165">
        <v>1.724</v>
      </c>
      <c r="AE79" s="1165">
        <v>0.50800000000000001</v>
      </c>
      <c r="AF79" s="1165">
        <v>2.823</v>
      </c>
      <c r="AG79" s="1165">
        <v>88.061999999999998</v>
      </c>
      <c r="AH79" s="1165">
        <v>1.8740000000000001</v>
      </c>
    </row>
    <row r="80" spans="1:34" s="465" customFormat="1" ht="15" customHeight="1">
      <c r="A80" s="484" t="s">
        <v>92</v>
      </c>
      <c r="B80" s="478" t="s">
        <v>321</v>
      </c>
      <c r="C80" s="703">
        <v>381.36799999999999</v>
      </c>
      <c r="D80" s="812">
        <f t="shared" si="12"/>
        <v>380</v>
      </c>
      <c r="E80" s="703">
        <v>0.91600000000000004</v>
      </c>
      <c r="F80" s="812">
        <f t="shared" si="13"/>
        <v>0</v>
      </c>
      <c r="G80" s="703">
        <v>4.3029999999999999</v>
      </c>
      <c r="H80" s="815">
        <f t="shared" si="14"/>
        <v>4.5</v>
      </c>
      <c r="I80" s="703">
        <v>3.9049999999999998</v>
      </c>
      <c r="J80" s="815">
        <f t="shared" si="15"/>
        <v>4</v>
      </c>
      <c r="K80" s="703">
        <v>0</v>
      </c>
      <c r="L80" s="815">
        <f t="shared" si="16"/>
        <v>0</v>
      </c>
      <c r="M80" s="703">
        <v>0</v>
      </c>
      <c r="N80" s="812">
        <f t="shared" si="17"/>
        <v>0</v>
      </c>
      <c r="O80" s="703">
        <v>87.171999999999997</v>
      </c>
      <c r="P80" s="812">
        <f t="shared" si="18"/>
        <v>85</v>
      </c>
      <c r="Q80" s="703">
        <v>85.786000000000001</v>
      </c>
      <c r="R80" s="812">
        <f t="shared" si="19"/>
        <v>86</v>
      </c>
      <c r="S80" s="703">
        <v>0.94799999999999995</v>
      </c>
      <c r="T80" s="812" t="str">
        <f t="shared" si="20"/>
        <v>less than 1 g</v>
      </c>
      <c r="U80" s="703">
        <v>79.48</v>
      </c>
      <c r="V80" s="812">
        <f t="shared" si="21"/>
        <v>79</v>
      </c>
      <c r="W80" s="703">
        <v>78.141000000000005</v>
      </c>
      <c r="X80" s="812">
        <f t="shared" si="22"/>
        <v>78</v>
      </c>
      <c r="Y80" s="704">
        <v>0.66500000000000004</v>
      </c>
      <c r="Z80" s="812" t="str">
        <f t="shared" si="23"/>
        <v>less than 1 g</v>
      </c>
      <c r="AA80" s="704">
        <v>0</v>
      </c>
      <c r="AB80" s="704">
        <v>0</v>
      </c>
      <c r="AC80" s="704">
        <v>15.407999999999999</v>
      </c>
      <c r="AD80" s="1165">
        <v>1.1850000000000001</v>
      </c>
      <c r="AE80" s="1165">
        <v>0.22800000000000001</v>
      </c>
      <c r="AF80" s="1165">
        <v>1.2649999999999999</v>
      </c>
      <c r="AG80" s="1165">
        <v>44.317</v>
      </c>
      <c r="AH80" s="1165">
        <v>0.94299999999999995</v>
      </c>
    </row>
    <row r="81" spans="1:34" s="465" customFormat="1" ht="15" customHeight="1">
      <c r="A81" s="484" t="s">
        <v>92</v>
      </c>
      <c r="B81" s="478" t="s">
        <v>115</v>
      </c>
      <c r="C81" s="703">
        <v>396.62099999999998</v>
      </c>
      <c r="D81" s="812">
        <f t="shared" si="12"/>
        <v>400</v>
      </c>
      <c r="E81" s="703">
        <v>0</v>
      </c>
      <c r="F81" s="812">
        <f t="shared" si="13"/>
        <v>0</v>
      </c>
      <c r="G81" s="703">
        <v>2.0390000000000001</v>
      </c>
      <c r="H81" s="815">
        <f t="shared" si="14"/>
        <v>2</v>
      </c>
      <c r="I81" s="703">
        <v>1.891</v>
      </c>
      <c r="J81" s="815">
        <f t="shared" si="15"/>
        <v>2</v>
      </c>
      <c r="K81" s="703">
        <v>0</v>
      </c>
      <c r="L81" s="815">
        <f t="shared" si="16"/>
        <v>0</v>
      </c>
      <c r="M81" s="703">
        <v>0</v>
      </c>
      <c r="N81" s="812">
        <f t="shared" si="17"/>
        <v>0</v>
      </c>
      <c r="O81" s="703">
        <v>78.799000000000007</v>
      </c>
      <c r="P81" s="812">
        <f t="shared" si="18"/>
        <v>80</v>
      </c>
      <c r="Q81" s="703">
        <v>73.058999999999997</v>
      </c>
      <c r="R81" s="812">
        <f t="shared" si="19"/>
        <v>73</v>
      </c>
      <c r="S81" s="703">
        <v>21.643999999999998</v>
      </c>
      <c r="T81" s="812">
        <f t="shared" si="20"/>
        <v>22</v>
      </c>
      <c r="U81" s="703">
        <v>69.754999999999995</v>
      </c>
      <c r="V81" s="812">
        <f t="shared" si="21"/>
        <v>70</v>
      </c>
      <c r="W81" s="703">
        <v>91.224000000000004</v>
      </c>
      <c r="X81" s="812">
        <f t="shared" si="22"/>
        <v>91</v>
      </c>
      <c r="Y81" s="704">
        <v>0.185</v>
      </c>
      <c r="Z81" s="812">
        <f t="shared" si="23"/>
        <v>0</v>
      </c>
      <c r="AA81" s="704">
        <v>0</v>
      </c>
      <c r="AB81" s="704">
        <v>0</v>
      </c>
      <c r="AC81" s="704">
        <v>12.994999999999999</v>
      </c>
      <c r="AD81" s="1165">
        <v>1</v>
      </c>
      <c r="AE81" s="1165">
        <v>0.122</v>
      </c>
      <c r="AF81" s="1165">
        <v>0.67800000000000005</v>
      </c>
      <c r="AG81" s="1165">
        <v>33.213000000000001</v>
      </c>
      <c r="AH81" s="1165">
        <v>0.70699999999999996</v>
      </c>
    </row>
    <row r="82" spans="1:34" s="465" customFormat="1" ht="15" customHeight="1">
      <c r="A82" s="484" t="s">
        <v>92</v>
      </c>
      <c r="B82" s="478" t="s">
        <v>116</v>
      </c>
      <c r="C82" s="1165">
        <v>528.61699999999996</v>
      </c>
      <c r="D82" s="812">
        <f t="shared" si="12"/>
        <v>530</v>
      </c>
      <c r="E82" s="1165">
        <v>0</v>
      </c>
      <c r="F82" s="812">
        <f t="shared" si="13"/>
        <v>0</v>
      </c>
      <c r="G82" s="1165">
        <v>6.4080000000000004</v>
      </c>
      <c r="H82" s="815">
        <f t="shared" si="14"/>
        <v>6</v>
      </c>
      <c r="I82" s="1165">
        <v>5.2279999999999998</v>
      </c>
      <c r="J82" s="815">
        <f t="shared" si="15"/>
        <v>5</v>
      </c>
      <c r="K82" s="1165">
        <v>0</v>
      </c>
      <c r="L82" s="815">
        <f t="shared" si="16"/>
        <v>0</v>
      </c>
      <c r="M82" s="1165">
        <v>0</v>
      </c>
      <c r="N82" s="812">
        <f t="shared" si="17"/>
        <v>0</v>
      </c>
      <c r="O82" s="1165">
        <v>99.986999999999995</v>
      </c>
      <c r="P82" s="812">
        <f t="shared" si="18"/>
        <v>100</v>
      </c>
      <c r="Q82" s="1165">
        <v>119.577</v>
      </c>
      <c r="R82" s="812">
        <f t="shared" si="19"/>
        <v>120</v>
      </c>
      <c r="S82" s="1165">
        <v>0.72899999999999998</v>
      </c>
      <c r="T82" s="812" t="str">
        <f t="shared" si="20"/>
        <v>less than 1 g</v>
      </c>
      <c r="U82" s="1165">
        <v>113.958</v>
      </c>
      <c r="V82" s="812">
        <f t="shared" si="21"/>
        <v>114</v>
      </c>
      <c r="W82" s="1165">
        <v>113.726</v>
      </c>
      <c r="X82" s="812">
        <f t="shared" si="22"/>
        <v>114</v>
      </c>
      <c r="Y82" s="1165">
        <v>0.80100000000000005</v>
      </c>
      <c r="Z82" s="812" t="str">
        <f t="shared" si="23"/>
        <v>less than 1 g</v>
      </c>
      <c r="AA82" s="1165">
        <v>0</v>
      </c>
      <c r="AB82" s="1165">
        <v>0</v>
      </c>
      <c r="AC82" s="1165">
        <v>16.437999999999999</v>
      </c>
      <c r="AD82" s="1165">
        <v>1.264</v>
      </c>
      <c r="AE82" s="1165">
        <v>1.2170000000000001</v>
      </c>
      <c r="AF82" s="1165">
        <v>6.7590000000000003</v>
      </c>
      <c r="AG82" s="1165">
        <v>67.361000000000004</v>
      </c>
      <c r="AH82" s="1165">
        <v>1.4330000000000001</v>
      </c>
    </row>
    <row r="83" spans="1:34" s="465" customFormat="1" ht="15" customHeight="1">
      <c r="A83" s="484" t="s">
        <v>92</v>
      </c>
      <c r="B83" s="478" t="s">
        <v>322</v>
      </c>
      <c r="C83" s="672">
        <v>465.23099999999999</v>
      </c>
      <c r="D83" s="812">
        <f t="shared" si="12"/>
        <v>470</v>
      </c>
      <c r="E83" s="672">
        <v>0</v>
      </c>
      <c r="F83" s="812">
        <f t="shared" si="13"/>
        <v>0</v>
      </c>
      <c r="G83" s="672">
        <v>4.2080000000000002</v>
      </c>
      <c r="H83" s="815">
        <f t="shared" si="14"/>
        <v>4</v>
      </c>
      <c r="I83" s="672">
        <v>3.9020000000000001</v>
      </c>
      <c r="J83" s="815">
        <f t="shared" si="15"/>
        <v>4</v>
      </c>
      <c r="K83" s="672">
        <v>0</v>
      </c>
      <c r="L83" s="815">
        <f t="shared" si="16"/>
        <v>0</v>
      </c>
      <c r="M83" s="672">
        <v>0</v>
      </c>
      <c r="N83" s="812">
        <f t="shared" si="17"/>
        <v>0</v>
      </c>
      <c r="O83" s="672">
        <v>82.691000000000003</v>
      </c>
      <c r="P83" s="812">
        <f t="shared" si="18"/>
        <v>85</v>
      </c>
      <c r="Q83" s="672">
        <v>107.699</v>
      </c>
      <c r="R83" s="812">
        <f t="shared" si="19"/>
        <v>108</v>
      </c>
      <c r="S83" s="672">
        <v>1.4E-2</v>
      </c>
      <c r="T83" s="812">
        <f t="shared" si="20"/>
        <v>0</v>
      </c>
      <c r="U83" s="672">
        <v>102.89100000000001</v>
      </c>
      <c r="V83" s="812">
        <f t="shared" si="21"/>
        <v>103</v>
      </c>
      <c r="W83" s="672">
        <v>102.634</v>
      </c>
      <c r="X83" s="812">
        <f t="shared" si="22"/>
        <v>103</v>
      </c>
      <c r="Y83" s="672">
        <v>0.38300000000000001</v>
      </c>
      <c r="Z83" s="812">
        <f t="shared" si="23"/>
        <v>0</v>
      </c>
      <c r="AA83" s="672">
        <v>0</v>
      </c>
      <c r="AB83" s="672">
        <v>0</v>
      </c>
      <c r="AC83" s="672">
        <v>10.874000000000001</v>
      </c>
      <c r="AD83" s="672">
        <v>0.83599999999999997</v>
      </c>
      <c r="AE83" s="672">
        <v>0.10199999999999999</v>
      </c>
      <c r="AF83" s="672">
        <v>0.56899999999999995</v>
      </c>
      <c r="AG83" s="672">
        <v>10.914</v>
      </c>
      <c r="AH83" s="672">
        <v>0.23200000000000001</v>
      </c>
    </row>
    <row r="84" spans="1:34" s="465" customFormat="1" ht="15" customHeight="1">
      <c r="A84" s="484" t="s">
        <v>92</v>
      </c>
      <c r="B84" s="478" t="s">
        <v>118</v>
      </c>
      <c r="C84" s="736">
        <v>520</v>
      </c>
      <c r="D84" s="812">
        <f t="shared" si="12"/>
        <v>520</v>
      </c>
      <c r="E84" s="736">
        <v>30</v>
      </c>
      <c r="F84" s="812">
        <f t="shared" si="13"/>
        <v>30</v>
      </c>
      <c r="G84" s="736">
        <v>10</v>
      </c>
      <c r="H84" s="815">
        <f t="shared" si="14"/>
        <v>10</v>
      </c>
      <c r="I84" s="736">
        <v>5</v>
      </c>
      <c r="J84" s="815">
        <f t="shared" si="15"/>
        <v>5</v>
      </c>
      <c r="K84" s="736">
        <v>0</v>
      </c>
      <c r="L84" s="815">
        <f t="shared" si="16"/>
        <v>0</v>
      </c>
      <c r="M84" s="736">
        <v>10</v>
      </c>
      <c r="N84" s="812">
        <f t="shared" si="17"/>
        <v>10</v>
      </c>
      <c r="O84" s="736">
        <v>110</v>
      </c>
      <c r="P84" s="812">
        <f t="shared" si="18"/>
        <v>110</v>
      </c>
      <c r="Q84" s="736">
        <v>110</v>
      </c>
      <c r="R84" s="812">
        <f t="shared" si="19"/>
        <v>110</v>
      </c>
      <c r="S84" s="736">
        <v>0</v>
      </c>
      <c r="T84" s="812">
        <f t="shared" si="20"/>
        <v>0</v>
      </c>
      <c r="U84" s="736">
        <v>100</v>
      </c>
      <c r="V84" s="812">
        <f t="shared" si="21"/>
        <v>100</v>
      </c>
      <c r="W84" s="736">
        <v>100</v>
      </c>
      <c r="X84" s="812">
        <f t="shared" si="22"/>
        <v>100</v>
      </c>
      <c r="Y84" s="735">
        <v>0</v>
      </c>
      <c r="Z84" s="812">
        <f t="shared" si="23"/>
        <v>0</v>
      </c>
      <c r="AA84" s="735">
        <v>0</v>
      </c>
      <c r="AB84" s="735">
        <v>0</v>
      </c>
      <c r="AC84" s="735">
        <v>30</v>
      </c>
      <c r="AD84" s="1163">
        <v>0</v>
      </c>
      <c r="AE84" s="1163">
        <v>0</v>
      </c>
      <c r="AF84" s="1163">
        <v>0</v>
      </c>
      <c r="AG84" s="1163">
        <v>40</v>
      </c>
      <c r="AH84" s="1164">
        <v>0</v>
      </c>
    </row>
    <row r="85" spans="1:34" s="465" customFormat="1" ht="15" customHeight="1">
      <c r="A85" s="484" t="s">
        <v>92</v>
      </c>
      <c r="B85" s="478" t="s">
        <v>183</v>
      </c>
      <c r="C85" s="703">
        <v>340.93</v>
      </c>
      <c r="D85" s="812">
        <f t="shared" si="12"/>
        <v>340</v>
      </c>
      <c r="E85" s="703">
        <v>0.66</v>
      </c>
      <c r="F85" s="812">
        <f t="shared" si="13"/>
        <v>0</v>
      </c>
      <c r="G85" s="703">
        <v>4.87</v>
      </c>
      <c r="H85" s="815">
        <f t="shared" si="14"/>
        <v>5</v>
      </c>
      <c r="I85" s="703">
        <v>4.5030000000000001</v>
      </c>
      <c r="J85" s="815">
        <f t="shared" si="15"/>
        <v>4.5</v>
      </c>
      <c r="K85" s="703">
        <v>2E-3</v>
      </c>
      <c r="L85" s="815">
        <f t="shared" si="16"/>
        <v>0</v>
      </c>
      <c r="M85" s="703">
        <v>0</v>
      </c>
      <c r="N85" s="812">
        <f t="shared" si="17"/>
        <v>0</v>
      </c>
      <c r="O85" s="703">
        <v>105.77</v>
      </c>
      <c r="P85" s="812">
        <f t="shared" si="18"/>
        <v>105</v>
      </c>
      <c r="Q85" s="703">
        <v>73.59</v>
      </c>
      <c r="R85" s="812">
        <f t="shared" si="19"/>
        <v>74</v>
      </c>
      <c r="S85" s="703">
        <v>0.41899999999999998</v>
      </c>
      <c r="T85" s="812">
        <f t="shared" si="20"/>
        <v>0</v>
      </c>
      <c r="U85" s="703">
        <v>66.706000000000003</v>
      </c>
      <c r="V85" s="812">
        <f t="shared" si="21"/>
        <v>67</v>
      </c>
      <c r="W85" s="703">
        <v>63.956000000000003</v>
      </c>
      <c r="X85" s="812">
        <f t="shared" si="22"/>
        <v>64</v>
      </c>
      <c r="Y85" s="704">
        <v>0.66700000000000004</v>
      </c>
      <c r="Z85" s="812" t="str">
        <f t="shared" si="23"/>
        <v>less than 1 g</v>
      </c>
      <c r="AA85" s="704">
        <v>0</v>
      </c>
      <c r="AB85" s="704">
        <v>0</v>
      </c>
      <c r="AC85" s="704">
        <v>13.273</v>
      </c>
      <c r="AD85" s="1165">
        <v>1.0209999999999999</v>
      </c>
      <c r="AE85" s="1165">
        <v>0.20699999999999999</v>
      </c>
      <c r="AF85" s="1165">
        <v>1.151</v>
      </c>
      <c r="AG85" s="1165">
        <v>66.721999999999994</v>
      </c>
      <c r="AH85" s="1165">
        <v>1.42</v>
      </c>
    </row>
    <row r="86" spans="1:34" s="465" customFormat="1" ht="15" customHeight="1">
      <c r="A86" s="484" t="s">
        <v>92</v>
      </c>
      <c r="B86" s="478" t="s">
        <v>323</v>
      </c>
      <c r="C86" s="672">
        <v>453.19099999999997</v>
      </c>
      <c r="D86" s="812">
        <f t="shared" si="12"/>
        <v>450</v>
      </c>
      <c r="E86" s="672">
        <v>7.0999999999999994E-2</v>
      </c>
      <c r="F86" s="812">
        <f t="shared" si="13"/>
        <v>0</v>
      </c>
      <c r="G86" s="672">
        <v>4.3410000000000002</v>
      </c>
      <c r="H86" s="815">
        <f t="shared" si="14"/>
        <v>4.5</v>
      </c>
      <c r="I86" s="672">
        <v>4.0190000000000001</v>
      </c>
      <c r="J86" s="815">
        <f t="shared" si="15"/>
        <v>4</v>
      </c>
      <c r="K86" s="672">
        <v>0</v>
      </c>
      <c r="L86" s="815">
        <f t="shared" si="16"/>
        <v>0</v>
      </c>
      <c r="M86" s="672">
        <v>0</v>
      </c>
      <c r="N86" s="812">
        <f t="shared" si="17"/>
        <v>0</v>
      </c>
      <c r="O86" s="672">
        <v>88.846999999999994</v>
      </c>
      <c r="P86" s="812">
        <f t="shared" si="18"/>
        <v>90</v>
      </c>
      <c r="Q86" s="672">
        <v>104.363</v>
      </c>
      <c r="R86" s="812">
        <f t="shared" si="19"/>
        <v>104</v>
      </c>
      <c r="S86" s="672">
        <v>0.16500000000000001</v>
      </c>
      <c r="T86" s="812">
        <f t="shared" si="20"/>
        <v>0</v>
      </c>
      <c r="U86" s="672">
        <v>98.790999999999997</v>
      </c>
      <c r="V86" s="812">
        <f t="shared" si="21"/>
        <v>99</v>
      </c>
      <c r="W86" s="672">
        <v>97.052000000000007</v>
      </c>
      <c r="X86" s="812">
        <f t="shared" si="22"/>
        <v>97</v>
      </c>
      <c r="Y86" s="672">
        <v>0.46200000000000002</v>
      </c>
      <c r="Z86" s="812">
        <f t="shared" si="23"/>
        <v>0</v>
      </c>
      <c r="AA86" s="672">
        <v>0</v>
      </c>
      <c r="AB86" s="672">
        <v>0</v>
      </c>
      <c r="AC86" s="672">
        <v>12.045999999999999</v>
      </c>
      <c r="AD86" s="672">
        <v>0.92700000000000005</v>
      </c>
      <c r="AE86" s="672">
        <v>0.16200000000000001</v>
      </c>
      <c r="AF86" s="672">
        <v>0.89800000000000002</v>
      </c>
      <c r="AG86" s="672">
        <v>22.260999999999999</v>
      </c>
      <c r="AH86" s="672">
        <v>0.47399999999999998</v>
      </c>
    </row>
    <row r="87" spans="1:34" s="465" customFormat="1" ht="15" customHeight="1" thickBot="1">
      <c r="A87" s="484" t="s">
        <v>92</v>
      </c>
      <c r="B87" s="480" t="s">
        <v>120</v>
      </c>
      <c r="C87" s="1163">
        <v>470</v>
      </c>
      <c r="D87" s="812">
        <f t="shared" si="12"/>
        <v>470</v>
      </c>
      <c r="E87" s="1163">
        <v>30</v>
      </c>
      <c r="F87" s="812">
        <f t="shared" si="13"/>
        <v>30</v>
      </c>
      <c r="G87" s="1163">
        <v>5</v>
      </c>
      <c r="H87" s="815">
        <f t="shared" si="14"/>
        <v>5</v>
      </c>
      <c r="I87" s="1163">
        <v>5</v>
      </c>
      <c r="J87" s="815">
        <f t="shared" si="15"/>
        <v>5</v>
      </c>
      <c r="K87" s="1163">
        <v>0</v>
      </c>
      <c r="L87" s="815">
        <f t="shared" si="16"/>
        <v>0</v>
      </c>
      <c r="M87" s="1163">
        <v>0</v>
      </c>
      <c r="N87" s="812">
        <f t="shared" si="17"/>
        <v>0</v>
      </c>
      <c r="O87" s="1163">
        <v>100</v>
      </c>
      <c r="P87" s="812">
        <f t="shared" si="18"/>
        <v>100</v>
      </c>
      <c r="Q87" s="1163">
        <v>120</v>
      </c>
      <c r="R87" s="812">
        <f t="shared" si="19"/>
        <v>120</v>
      </c>
      <c r="S87" s="1163">
        <v>0</v>
      </c>
      <c r="T87" s="812">
        <f t="shared" si="20"/>
        <v>0</v>
      </c>
      <c r="U87" s="1163">
        <v>110</v>
      </c>
      <c r="V87" s="812">
        <f t="shared" si="21"/>
        <v>110</v>
      </c>
      <c r="W87" s="1163">
        <v>100</v>
      </c>
      <c r="X87" s="812">
        <f t="shared" si="22"/>
        <v>100</v>
      </c>
      <c r="Y87" s="1163">
        <v>0</v>
      </c>
      <c r="Z87" s="812">
        <f t="shared" si="23"/>
        <v>0</v>
      </c>
      <c r="AA87" s="1163">
        <v>0</v>
      </c>
      <c r="AB87" s="1163">
        <v>0</v>
      </c>
      <c r="AC87" s="1163">
        <v>20</v>
      </c>
      <c r="AD87" s="1163">
        <v>0</v>
      </c>
      <c r="AE87" s="1163">
        <v>0</v>
      </c>
      <c r="AF87" s="1163">
        <v>0</v>
      </c>
      <c r="AG87" s="1163">
        <v>80</v>
      </c>
      <c r="AH87" s="1163">
        <v>0</v>
      </c>
    </row>
    <row r="88" spans="1:34" s="465" customFormat="1" ht="15" customHeight="1">
      <c r="A88" s="484" t="s">
        <v>394</v>
      </c>
      <c r="B88" s="479" t="s">
        <v>122</v>
      </c>
      <c r="C88" s="703">
        <v>177.761</v>
      </c>
      <c r="D88" s="812">
        <f t="shared" si="12"/>
        <v>180</v>
      </c>
      <c r="E88" s="703">
        <v>0.105</v>
      </c>
      <c r="F88" s="812">
        <f t="shared" si="13"/>
        <v>0</v>
      </c>
      <c r="G88" s="703">
        <v>1.2E-2</v>
      </c>
      <c r="H88" s="815">
        <f t="shared" si="14"/>
        <v>0</v>
      </c>
      <c r="I88" s="703">
        <v>1.2E-2</v>
      </c>
      <c r="J88" s="815">
        <f t="shared" si="15"/>
        <v>0</v>
      </c>
      <c r="K88" s="703">
        <v>0</v>
      </c>
      <c r="L88" s="815">
        <f t="shared" si="16"/>
        <v>0</v>
      </c>
      <c r="M88" s="703">
        <v>0</v>
      </c>
      <c r="N88" s="812">
        <f t="shared" si="17"/>
        <v>0</v>
      </c>
      <c r="O88" s="703">
        <v>36.043999999999997</v>
      </c>
      <c r="P88" s="812">
        <f t="shared" si="18"/>
        <v>35</v>
      </c>
      <c r="Q88" s="703">
        <v>62.395000000000003</v>
      </c>
      <c r="R88" s="812">
        <f t="shared" si="19"/>
        <v>62</v>
      </c>
      <c r="S88" s="703">
        <v>4.4999999999999998E-2</v>
      </c>
      <c r="T88" s="812">
        <f t="shared" si="20"/>
        <v>0</v>
      </c>
      <c r="U88" s="703">
        <v>0.123</v>
      </c>
      <c r="V88" s="812">
        <f t="shared" si="21"/>
        <v>0</v>
      </c>
      <c r="W88" s="703">
        <v>0</v>
      </c>
      <c r="X88" s="812">
        <f t="shared" si="22"/>
        <v>0</v>
      </c>
      <c r="Y88" s="703">
        <v>0.503</v>
      </c>
      <c r="Z88" s="812" t="str">
        <f t="shared" si="23"/>
        <v>less than 1 g</v>
      </c>
      <c r="AA88" s="703">
        <v>0</v>
      </c>
      <c r="AB88" s="703">
        <v>0</v>
      </c>
      <c r="AC88" s="703">
        <v>18.896999999999998</v>
      </c>
      <c r="AD88" s="1165">
        <v>1.454</v>
      </c>
      <c r="AE88" s="1165">
        <v>7.9000000000000001E-2</v>
      </c>
      <c r="AF88" s="1165">
        <v>0.44</v>
      </c>
      <c r="AG88" s="1165">
        <v>25.548999999999999</v>
      </c>
      <c r="AH88" s="1165">
        <v>0.54400000000000004</v>
      </c>
    </row>
    <row r="89" spans="1:34" s="465" customFormat="1" ht="15" customHeight="1">
      <c r="A89" s="484" t="s">
        <v>394</v>
      </c>
      <c r="B89" s="478" t="s">
        <v>123</v>
      </c>
      <c r="C89" s="736">
        <v>177.94900000000001</v>
      </c>
      <c r="D89" s="812">
        <f t="shared" si="12"/>
        <v>180</v>
      </c>
      <c r="E89" s="736">
        <v>0.104</v>
      </c>
      <c r="F89" s="812">
        <f t="shared" si="13"/>
        <v>0</v>
      </c>
      <c r="G89" s="736">
        <v>1.2E-2</v>
      </c>
      <c r="H89" s="815">
        <f t="shared" si="14"/>
        <v>0</v>
      </c>
      <c r="I89" s="736">
        <v>1.2E-2</v>
      </c>
      <c r="J89" s="815">
        <f t="shared" si="15"/>
        <v>0</v>
      </c>
      <c r="K89" s="736">
        <v>0</v>
      </c>
      <c r="L89" s="815">
        <f t="shared" si="16"/>
        <v>0</v>
      </c>
      <c r="M89" s="736">
        <v>0</v>
      </c>
      <c r="N89" s="812">
        <f t="shared" si="17"/>
        <v>0</v>
      </c>
      <c r="O89" s="736">
        <v>38.091000000000001</v>
      </c>
      <c r="P89" s="812">
        <f t="shared" si="18"/>
        <v>40</v>
      </c>
      <c r="Q89" s="736">
        <v>62.283999999999999</v>
      </c>
      <c r="R89" s="812">
        <f t="shared" si="19"/>
        <v>62</v>
      </c>
      <c r="S89" s="736">
        <v>1.2E-2</v>
      </c>
      <c r="T89" s="812">
        <f t="shared" si="20"/>
        <v>0</v>
      </c>
      <c r="U89" s="736">
        <v>0.126</v>
      </c>
      <c r="V89" s="812">
        <f t="shared" si="21"/>
        <v>0</v>
      </c>
      <c r="W89" s="736">
        <v>0</v>
      </c>
      <c r="X89" s="812">
        <f t="shared" si="22"/>
        <v>0</v>
      </c>
      <c r="Y89" s="736">
        <v>3.6999999999999998E-2</v>
      </c>
      <c r="Z89" s="812">
        <f t="shared" si="23"/>
        <v>0</v>
      </c>
      <c r="AA89" s="736">
        <v>0</v>
      </c>
      <c r="AB89" s="736">
        <v>0</v>
      </c>
      <c r="AC89" s="736">
        <v>18.902999999999999</v>
      </c>
      <c r="AD89" s="1163">
        <v>1.454</v>
      </c>
      <c r="AE89" s="1163">
        <v>7.9000000000000001E-2</v>
      </c>
      <c r="AF89" s="1163">
        <v>0.442</v>
      </c>
      <c r="AG89" s="1163">
        <v>35.442</v>
      </c>
      <c r="AH89" s="1163">
        <v>0.754</v>
      </c>
    </row>
    <row r="90" spans="1:34" s="465" customFormat="1" ht="15" customHeight="1">
      <c r="A90" s="484" t="s">
        <v>394</v>
      </c>
      <c r="B90" s="478" t="s">
        <v>395</v>
      </c>
      <c r="C90" s="703">
        <v>176.559</v>
      </c>
      <c r="D90" s="812">
        <f t="shared" si="12"/>
        <v>180</v>
      </c>
      <c r="E90" s="703">
        <v>0.126</v>
      </c>
      <c r="F90" s="812">
        <f t="shared" si="13"/>
        <v>0</v>
      </c>
      <c r="G90" s="703">
        <v>1.4E-2</v>
      </c>
      <c r="H90" s="815">
        <f t="shared" si="14"/>
        <v>0</v>
      </c>
      <c r="I90" s="703">
        <v>1.0999999999999999E-2</v>
      </c>
      <c r="J90" s="815">
        <f t="shared" si="15"/>
        <v>0</v>
      </c>
      <c r="K90" s="703">
        <v>0</v>
      </c>
      <c r="L90" s="815">
        <f t="shared" si="16"/>
        <v>0</v>
      </c>
      <c r="M90" s="703">
        <v>0</v>
      </c>
      <c r="N90" s="812">
        <f t="shared" si="17"/>
        <v>0</v>
      </c>
      <c r="O90" s="703">
        <v>36.908000000000001</v>
      </c>
      <c r="P90" s="812">
        <f t="shared" si="18"/>
        <v>35</v>
      </c>
      <c r="Q90" s="703">
        <v>61.555999999999997</v>
      </c>
      <c r="R90" s="812">
        <f t="shared" si="19"/>
        <v>62</v>
      </c>
      <c r="S90" s="703">
        <v>2.4E-2</v>
      </c>
      <c r="T90" s="812">
        <f t="shared" si="20"/>
        <v>0</v>
      </c>
      <c r="U90" s="703">
        <v>0.219</v>
      </c>
      <c r="V90" s="812">
        <f t="shared" si="21"/>
        <v>0</v>
      </c>
      <c r="W90" s="703">
        <v>0</v>
      </c>
      <c r="X90" s="812">
        <f t="shared" si="22"/>
        <v>0</v>
      </c>
      <c r="Y90" s="703">
        <v>1.9E-2</v>
      </c>
      <c r="Z90" s="812">
        <f t="shared" si="23"/>
        <v>0</v>
      </c>
      <c r="AA90" s="703">
        <v>0</v>
      </c>
      <c r="AB90" s="703">
        <v>0</v>
      </c>
      <c r="AC90" s="703">
        <v>18.87</v>
      </c>
      <c r="AD90" s="1165">
        <v>1.452</v>
      </c>
      <c r="AE90" s="1165">
        <v>9.6000000000000002E-2</v>
      </c>
      <c r="AF90" s="1165">
        <v>0.53500000000000003</v>
      </c>
      <c r="AG90" s="1165">
        <v>33.365000000000002</v>
      </c>
      <c r="AH90" s="1165">
        <v>0.71599999999999997</v>
      </c>
    </row>
    <row r="91" spans="1:34" s="465" customFormat="1" ht="18.45">
      <c r="A91" s="484" t="s">
        <v>394</v>
      </c>
      <c r="B91" s="478" t="s">
        <v>124</v>
      </c>
      <c r="C91" s="703">
        <v>170.17599999999999</v>
      </c>
      <c r="D91" s="812">
        <f t="shared" si="12"/>
        <v>170</v>
      </c>
      <c r="E91" s="703">
        <v>0.14399999999999999</v>
      </c>
      <c r="F91" s="812">
        <f t="shared" si="13"/>
        <v>0</v>
      </c>
      <c r="G91" s="703">
        <v>1.6E-2</v>
      </c>
      <c r="H91" s="815">
        <f t="shared" si="14"/>
        <v>0</v>
      </c>
      <c r="I91" s="703">
        <v>1.0999999999999999E-2</v>
      </c>
      <c r="J91" s="815">
        <f t="shared" si="15"/>
        <v>0</v>
      </c>
      <c r="K91" s="703">
        <v>0</v>
      </c>
      <c r="L91" s="815">
        <f t="shared" si="16"/>
        <v>0</v>
      </c>
      <c r="M91" s="703">
        <v>0</v>
      </c>
      <c r="N91" s="812">
        <f t="shared" si="17"/>
        <v>0</v>
      </c>
      <c r="O91" s="703">
        <v>35.238999999999997</v>
      </c>
      <c r="P91" s="812">
        <f t="shared" si="18"/>
        <v>35</v>
      </c>
      <c r="Q91" s="703">
        <v>59.094999999999999</v>
      </c>
      <c r="R91" s="812">
        <f t="shared" si="19"/>
        <v>59</v>
      </c>
      <c r="S91" s="703">
        <v>3.5000000000000003E-2</v>
      </c>
      <c r="T91" s="812">
        <f t="shared" si="20"/>
        <v>0</v>
      </c>
      <c r="U91" s="703">
        <v>0.30399999999999999</v>
      </c>
      <c r="V91" s="812">
        <f t="shared" si="21"/>
        <v>0</v>
      </c>
      <c r="W91" s="703">
        <v>0</v>
      </c>
      <c r="X91" s="812">
        <f t="shared" si="22"/>
        <v>0</v>
      </c>
      <c r="Y91" s="703">
        <v>0</v>
      </c>
      <c r="Z91" s="812">
        <f t="shared" si="23"/>
        <v>0</v>
      </c>
      <c r="AA91" s="703">
        <v>0</v>
      </c>
      <c r="AB91" s="703">
        <v>0</v>
      </c>
      <c r="AC91" s="703">
        <v>18.7</v>
      </c>
      <c r="AD91" s="1165">
        <v>1.4379999999999999</v>
      </c>
      <c r="AE91" s="1165">
        <v>0.11</v>
      </c>
      <c r="AF91" s="1165">
        <v>0.61</v>
      </c>
      <c r="AG91" s="1165">
        <v>30.920999999999999</v>
      </c>
      <c r="AH91" s="1165">
        <v>0.65800000000000003</v>
      </c>
    </row>
    <row r="92" spans="1:34" s="465" customFormat="1" ht="19.95" customHeight="1">
      <c r="A92" s="484" t="s">
        <v>394</v>
      </c>
      <c r="B92" s="475" t="s">
        <v>335</v>
      </c>
      <c r="C92" s="703">
        <v>233.892</v>
      </c>
      <c r="D92" s="812">
        <f t="shared" si="12"/>
        <v>230</v>
      </c>
      <c r="E92" s="703">
        <v>0</v>
      </c>
      <c r="F92" s="812">
        <f t="shared" si="13"/>
        <v>0</v>
      </c>
      <c r="G92" s="703">
        <v>0</v>
      </c>
      <c r="H92" s="815">
        <f t="shared" si="14"/>
        <v>0</v>
      </c>
      <c r="I92" s="703">
        <v>0</v>
      </c>
      <c r="J92" s="815">
        <f t="shared" si="15"/>
        <v>0</v>
      </c>
      <c r="K92" s="703">
        <v>0</v>
      </c>
      <c r="L92" s="815">
        <f t="shared" si="16"/>
        <v>0</v>
      </c>
      <c r="M92" s="703">
        <v>0</v>
      </c>
      <c r="N92" s="812">
        <f t="shared" si="17"/>
        <v>0</v>
      </c>
      <c r="O92" s="703">
        <v>36.337000000000003</v>
      </c>
      <c r="P92" s="812">
        <f t="shared" si="18"/>
        <v>35</v>
      </c>
      <c r="Q92" s="703">
        <v>61.19</v>
      </c>
      <c r="R92" s="812">
        <f t="shared" si="19"/>
        <v>61</v>
      </c>
      <c r="S92" s="703">
        <v>0.41499999999999998</v>
      </c>
      <c r="T92" s="812">
        <f t="shared" si="20"/>
        <v>0</v>
      </c>
      <c r="U92" s="703">
        <v>0</v>
      </c>
      <c r="V92" s="812">
        <f t="shared" si="21"/>
        <v>0</v>
      </c>
      <c r="W92" s="703">
        <v>0</v>
      </c>
      <c r="X92" s="812">
        <f t="shared" si="22"/>
        <v>0</v>
      </c>
      <c r="Y92" s="703">
        <v>0.04</v>
      </c>
      <c r="Z92" s="812">
        <f t="shared" si="23"/>
        <v>0</v>
      </c>
      <c r="AA92" s="703">
        <v>0</v>
      </c>
      <c r="AB92" s="703">
        <v>0</v>
      </c>
      <c r="AC92" s="703">
        <v>12.882</v>
      </c>
      <c r="AD92" s="1165">
        <v>0.99099999999999999</v>
      </c>
      <c r="AE92" s="1165">
        <v>5.3999999999999999E-2</v>
      </c>
      <c r="AF92" s="1165">
        <v>0.29699999999999999</v>
      </c>
      <c r="AG92" s="1165">
        <v>7.7759999999999998</v>
      </c>
      <c r="AH92" s="1165">
        <v>0.16500000000000001</v>
      </c>
    </row>
    <row r="93" spans="1:34" s="465" customFormat="1" ht="18.899999999999999" thickBot="1">
      <c r="A93" s="484" t="s">
        <v>394</v>
      </c>
      <c r="B93" s="480" t="s">
        <v>127</v>
      </c>
      <c r="C93" s="703">
        <v>179.767</v>
      </c>
      <c r="D93" s="812">
        <f t="shared" si="12"/>
        <v>180</v>
      </c>
      <c r="E93" s="703">
        <v>0.105</v>
      </c>
      <c r="F93" s="812">
        <f t="shared" si="13"/>
        <v>0</v>
      </c>
      <c r="G93" s="703">
        <v>1.2E-2</v>
      </c>
      <c r="H93" s="815">
        <f t="shared" si="14"/>
        <v>0</v>
      </c>
      <c r="I93" s="703">
        <v>0</v>
      </c>
      <c r="J93" s="815">
        <f t="shared" si="15"/>
        <v>0</v>
      </c>
      <c r="K93" s="703">
        <v>0</v>
      </c>
      <c r="L93" s="815">
        <f t="shared" si="16"/>
        <v>0</v>
      </c>
      <c r="M93" s="703">
        <v>0</v>
      </c>
      <c r="N93" s="812">
        <f t="shared" si="17"/>
        <v>0</v>
      </c>
      <c r="O93" s="703">
        <v>53.911000000000001</v>
      </c>
      <c r="P93" s="812">
        <f t="shared" si="18"/>
        <v>55</v>
      </c>
      <c r="Q93" s="703">
        <v>62.085000000000001</v>
      </c>
      <c r="R93" s="812">
        <f t="shared" si="19"/>
        <v>62</v>
      </c>
      <c r="S93" s="703">
        <v>0</v>
      </c>
      <c r="T93" s="812">
        <f t="shared" si="20"/>
        <v>0</v>
      </c>
      <c r="U93" s="703">
        <v>0.123</v>
      </c>
      <c r="V93" s="812">
        <f t="shared" si="21"/>
        <v>0</v>
      </c>
      <c r="W93" s="703">
        <v>0</v>
      </c>
      <c r="X93" s="812">
        <f t="shared" si="22"/>
        <v>0</v>
      </c>
      <c r="Y93" s="703">
        <v>1.9E-2</v>
      </c>
      <c r="Z93" s="812">
        <f t="shared" si="23"/>
        <v>0</v>
      </c>
      <c r="AA93" s="703">
        <v>0</v>
      </c>
      <c r="AB93" s="703">
        <v>0</v>
      </c>
      <c r="AC93" s="703">
        <v>12.047000000000001</v>
      </c>
      <c r="AD93" s="1165">
        <v>0.92700000000000005</v>
      </c>
      <c r="AE93" s="1165">
        <v>7.9000000000000001E-2</v>
      </c>
      <c r="AF93" s="1165">
        <v>0.44</v>
      </c>
      <c r="AG93" s="1165">
        <v>34.588000000000001</v>
      </c>
      <c r="AH93" s="1165">
        <v>0.73599999999999999</v>
      </c>
    </row>
    <row r="94" spans="1:34" s="465" customFormat="1" ht="15" customHeight="1">
      <c r="A94" s="484" t="s">
        <v>396</v>
      </c>
      <c r="B94" s="493" t="s">
        <v>129</v>
      </c>
      <c r="C94" s="770">
        <v>210</v>
      </c>
      <c r="D94" s="812">
        <f t="shared" si="12"/>
        <v>210</v>
      </c>
      <c r="E94" s="770">
        <v>90</v>
      </c>
      <c r="F94" s="812">
        <f t="shared" si="13"/>
        <v>90</v>
      </c>
      <c r="G94" s="770">
        <v>10</v>
      </c>
      <c r="H94" s="815">
        <f t="shared" si="14"/>
        <v>10</v>
      </c>
      <c r="I94" s="770">
        <v>5</v>
      </c>
      <c r="J94" s="815">
        <f t="shared" si="15"/>
        <v>5</v>
      </c>
      <c r="K94" s="770">
        <v>0</v>
      </c>
      <c r="L94" s="815">
        <f t="shared" si="16"/>
        <v>0</v>
      </c>
      <c r="M94" s="770">
        <v>55</v>
      </c>
      <c r="N94" s="812">
        <f t="shared" si="17"/>
        <v>55</v>
      </c>
      <c r="O94" s="770">
        <v>120</v>
      </c>
      <c r="P94" s="812">
        <f t="shared" si="18"/>
        <v>120</v>
      </c>
      <c r="Q94" s="770">
        <v>30</v>
      </c>
      <c r="R94" s="812">
        <f t="shared" si="19"/>
        <v>30</v>
      </c>
      <c r="S94" s="770">
        <v>0</v>
      </c>
      <c r="T94" s="812">
        <f t="shared" si="20"/>
        <v>0</v>
      </c>
      <c r="U94" s="770">
        <v>20</v>
      </c>
      <c r="V94" s="812">
        <f t="shared" si="21"/>
        <v>20</v>
      </c>
      <c r="W94" s="770">
        <v>0</v>
      </c>
      <c r="X94" s="812">
        <f t="shared" si="22"/>
        <v>0</v>
      </c>
      <c r="Y94" s="771">
        <v>4.0819999999999999</v>
      </c>
      <c r="Z94" s="812">
        <f t="shared" si="23"/>
        <v>4</v>
      </c>
      <c r="AA94" s="771">
        <v>0</v>
      </c>
      <c r="AB94" s="771">
        <v>0</v>
      </c>
      <c r="AC94" s="771">
        <v>130</v>
      </c>
      <c r="AD94" s="1171">
        <v>10</v>
      </c>
      <c r="AE94" s="1171">
        <v>0</v>
      </c>
      <c r="AF94" s="1171">
        <v>0</v>
      </c>
      <c r="AG94" s="1171">
        <v>0</v>
      </c>
      <c r="AH94" s="1172">
        <v>0</v>
      </c>
    </row>
    <row r="95" spans="1:34" s="465" customFormat="1" ht="15" customHeight="1">
      <c r="A95" s="484" t="s">
        <v>396</v>
      </c>
      <c r="B95" s="492" t="s">
        <v>130</v>
      </c>
      <c r="C95" s="770">
        <v>200</v>
      </c>
      <c r="D95" s="812">
        <f t="shared" si="12"/>
        <v>200</v>
      </c>
      <c r="E95" s="770">
        <v>100</v>
      </c>
      <c r="F95" s="812">
        <f t="shared" si="13"/>
        <v>100</v>
      </c>
      <c r="G95" s="770">
        <v>10</v>
      </c>
      <c r="H95" s="815">
        <f t="shared" si="14"/>
        <v>10</v>
      </c>
      <c r="I95" s="770">
        <v>5</v>
      </c>
      <c r="J95" s="815">
        <f t="shared" si="15"/>
        <v>5</v>
      </c>
      <c r="K95" s="770">
        <v>0</v>
      </c>
      <c r="L95" s="815">
        <f t="shared" si="16"/>
        <v>0</v>
      </c>
      <c r="M95" s="770">
        <v>70</v>
      </c>
      <c r="N95" s="812">
        <f t="shared" si="17"/>
        <v>70</v>
      </c>
      <c r="O95" s="770">
        <v>140</v>
      </c>
      <c r="P95" s="812">
        <f t="shared" si="18"/>
        <v>140</v>
      </c>
      <c r="Q95" s="770">
        <v>20</v>
      </c>
      <c r="R95" s="812">
        <f t="shared" si="19"/>
        <v>20</v>
      </c>
      <c r="S95" s="770">
        <v>0</v>
      </c>
      <c r="T95" s="812">
        <f t="shared" si="20"/>
        <v>0</v>
      </c>
      <c r="U95" s="770">
        <v>20</v>
      </c>
      <c r="V95" s="812">
        <f t="shared" si="21"/>
        <v>20</v>
      </c>
      <c r="W95" s="770">
        <v>0</v>
      </c>
      <c r="X95" s="812">
        <f t="shared" si="22"/>
        <v>0</v>
      </c>
      <c r="Y95" s="771">
        <v>4.0819999999999999</v>
      </c>
      <c r="Z95" s="812">
        <f t="shared" si="23"/>
        <v>4</v>
      </c>
      <c r="AA95" s="771">
        <v>0</v>
      </c>
      <c r="AB95" s="771">
        <v>0</v>
      </c>
      <c r="AC95" s="771">
        <v>200</v>
      </c>
      <c r="AD95" s="1171">
        <v>15</v>
      </c>
      <c r="AE95" s="1171">
        <v>0</v>
      </c>
      <c r="AF95" s="1171">
        <v>0</v>
      </c>
      <c r="AG95" s="1171">
        <v>0</v>
      </c>
      <c r="AH95" s="1172">
        <v>0</v>
      </c>
    </row>
    <row r="96" spans="1:34" s="465" customFormat="1" ht="18.45">
      <c r="A96" s="467"/>
      <c r="B96" s="1249" t="s">
        <v>168</v>
      </c>
      <c r="C96" s="1249"/>
      <c r="D96" s="1249"/>
      <c r="E96" s="1249"/>
      <c r="F96" s="1249"/>
      <c r="G96" s="1249"/>
      <c r="H96" s="1249"/>
      <c r="I96" s="1249"/>
      <c r="J96" s="1249"/>
      <c r="K96" s="1249"/>
      <c r="L96" s="1249"/>
      <c r="M96" s="1249"/>
      <c r="N96" s="1249"/>
      <c r="O96" s="1249"/>
      <c r="P96" s="1249"/>
      <c r="Q96" s="1249"/>
      <c r="R96" s="1249"/>
      <c r="S96" s="1249"/>
      <c r="T96" s="1249"/>
      <c r="U96" s="1249"/>
      <c r="V96" s="1249"/>
      <c r="W96" s="1249"/>
      <c r="X96" s="1249"/>
      <c r="Y96" s="1249"/>
      <c r="Z96" s="1249"/>
      <c r="AA96" s="1249"/>
      <c r="AB96" s="1249"/>
      <c r="AC96" s="1249"/>
      <c r="AD96" s="1249"/>
      <c r="AE96" s="1249"/>
      <c r="AF96" s="1249"/>
      <c r="AG96" s="1249"/>
      <c r="AH96" s="1249"/>
    </row>
    <row r="97" spans="1:34" s="465" customFormat="1" ht="18.45">
      <c r="A97" s="467"/>
      <c r="B97" s="1249"/>
      <c r="C97" s="1249"/>
      <c r="D97" s="1249"/>
      <c r="E97" s="1249"/>
      <c r="F97" s="1249"/>
      <c r="G97" s="1249"/>
      <c r="H97" s="1249"/>
      <c r="I97" s="1249"/>
      <c r="J97" s="1249"/>
      <c r="K97" s="1249"/>
      <c r="L97" s="1249"/>
      <c r="M97" s="1249"/>
      <c r="N97" s="1249"/>
      <c r="O97" s="1249"/>
      <c r="P97" s="1249"/>
      <c r="Q97" s="1249"/>
      <c r="R97" s="1249"/>
      <c r="S97" s="1249"/>
      <c r="T97" s="1249"/>
      <c r="U97" s="1249"/>
      <c r="V97" s="1249"/>
      <c r="W97" s="1249"/>
      <c r="X97" s="1249"/>
      <c r="Y97" s="1249"/>
      <c r="Z97" s="1249"/>
      <c r="AA97" s="1249"/>
      <c r="AB97" s="1249"/>
      <c r="AC97" s="1249"/>
      <c r="AD97" s="1249"/>
      <c r="AE97" s="1249"/>
      <c r="AF97" s="1249"/>
      <c r="AG97" s="1249"/>
      <c r="AH97" s="1249"/>
    </row>
    <row r="98" spans="1:34" s="465" customFormat="1" ht="19.5" customHeight="1">
      <c r="A98" s="467"/>
      <c r="B98" s="1249"/>
      <c r="C98" s="1249"/>
      <c r="D98" s="1249"/>
      <c r="E98" s="1249"/>
      <c r="F98" s="1249"/>
      <c r="G98" s="1249"/>
      <c r="H98" s="1249"/>
      <c r="I98" s="1249"/>
      <c r="J98" s="1249"/>
      <c r="K98" s="1249"/>
      <c r="L98" s="1249"/>
      <c r="M98" s="1249"/>
      <c r="N98" s="1249"/>
      <c r="O98" s="1249"/>
      <c r="P98" s="1249"/>
      <c r="Q98" s="1249"/>
      <c r="R98" s="1249"/>
      <c r="S98" s="1249"/>
      <c r="T98" s="1249"/>
      <c r="U98" s="1249"/>
      <c r="V98" s="1249"/>
      <c r="W98" s="1249"/>
      <c r="X98" s="1249"/>
      <c r="Y98" s="1249"/>
      <c r="Z98" s="1249"/>
      <c r="AA98" s="1249"/>
      <c r="AB98" s="1249"/>
      <c r="AC98" s="1249"/>
      <c r="AD98" s="1249"/>
      <c r="AE98" s="1249"/>
      <c r="AF98" s="1249"/>
      <c r="AG98" s="1249"/>
      <c r="AH98" s="1249"/>
    </row>
    <row r="99" spans="1:34" s="465" customFormat="1" ht="18.899999999999999" thickBot="1">
      <c r="A99" s="472"/>
      <c r="B99" s="472"/>
      <c r="C99" s="472"/>
      <c r="D99" s="472"/>
      <c r="E99" s="472"/>
      <c r="F99" s="842"/>
      <c r="G99" s="472"/>
      <c r="H99" s="837"/>
      <c r="I99" s="472"/>
      <c r="J99" s="837"/>
      <c r="K99" s="472"/>
      <c r="L99" s="837"/>
      <c r="M99" s="472"/>
      <c r="N99" s="842"/>
      <c r="O99" s="472"/>
      <c r="P99" s="842"/>
      <c r="Q99" s="472"/>
      <c r="R99" s="842"/>
      <c r="S99" s="472"/>
      <c r="T99" s="472"/>
      <c r="U99" s="472"/>
      <c r="V99" s="472"/>
      <c r="W99" s="472"/>
      <c r="X99" s="472"/>
      <c r="Y99" s="472"/>
      <c r="Z99" s="472"/>
      <c r="AA99" s="472"/>
      <c r="AB99" s="472"/>
      <c r="AC99" s="467"/>
    </row>
    <row r="100" spans="1:34" s="465" customFormat="1" ht="18.45" hidden="1">
      <c r="A100" s="467"/>
      <c r="B100" s="466" t="s">
        <v>439</v>
      </c>
      <c r="C100" s="468">
        <f>SUM(AVERAGE(C6:C57),AVERAGE(C94:C95))</f>
        <v>587.6845384615383</v>
      </c>
      <c r="D100" s="468"/>
      <c r="E100" s="468">
        <f>SUM(AVERAGE(E6:E57),AVERAGE(E94:E95))</f>
        <v>95.808557692307687</v>
      </c>
      <c r="F100" s="468"/>
      <c r="G100" s="468">
        <f>SUM(AVERAGE(G6:G57),AVERAGE(G94:G95))</f>
        <v>10.357096153846154</v>
      </c>
      <c r="H100" s="838"/>
      <c r="I100" s="468">
        <f>SUM(AVERAGE(I6:I57),AVERAGE(I94:I95))</f>
        <v>5.1300769230769232</v>
      </c>
      <c r="J100" s="838"/>
      <c r="K100" s="468">
        <f>SUM(AVERAGE(K6:K57),AVERAGE(K94:K95))</f>
        <v>5.0000000000000001E-4</v>
      </c>
      <c r="L100" s="838"/>
      <c r="M100" s="468">
        <f>SUM(AVERAGE(M6:M57),AVERAGE(M94:M95))</f>
        <v>62.5</v>
      </c>
      <c r="N100" s="468"/>
      <c r="O100" s="468">
        <f>SUM(AVERAGE(O6:O57),AVERAGE(O94:O95))</f>
        <v>188.05473076923079</v>
      </c>
      <c r="P100" s="468"/>
      <c r="Q100" s="468">
        <f>SUM(AVERAGE(Q6:Q57),AVERAGE(Q94:Q95))</f>
        <v>120.60003846153845</v>
      </c>
      <c r="R100" s="468"/>
      <c r="S100" s="468">
        <f>SUM(AVERAGE(S6:S57),AVERAGE(S94:S95))</f>
        <v>0.28811538461538466</v>
      </c>
      <c r="T100" s="468"/>
      <c r="U100" s="468">
        <f>SUM(AVERAGE(U6:U57),AVERAGE(U94:U95))</f>
        <v>111.45098076923075</v>
      </c>
      <c r="V100" s="468"/>
      <c r="W100" s="468">
        <f>SUM(AVERAGE(W6:W57),AVERAGE(W94:W95))</f>
        <v>89.856326923076921</v>
      </c>
      <c r="X100" s="468"/>
      <c r="Y100" s="468">
        <f>SUM(AVERAGE(Y6:Y57),AVERAGE(Y94:Y95))</f>
        <v>4.3313653846153848</v>
      </c>
      <c r="Z100" s="468"/>
      <c r="AA100" s="468">
        <f t="shared" ref="AA100:AH100" si="24">SUM(AVERAGE(AA6:AA57),AVERAGE(AA94:AA95))</f>
        <v>5.6942307692307688E-2</v>
      </c>
      <c r="AB100" s="468">
        <f t="shared" si="24"/>
        <v>0.2848846153846154</v>
      </c>
      <c r="AC100" s="468">
        <f t="shared" si="24"/>
        <v>178.64534615384616</v>
      </c>
      <c r="AD100" s="468">
        <f t="shared" si="24"/>
        <v>13.520211538461538</v>
      </c>
      <c r="AE100" s="468">
        <f t="shared" si="24"/>
        <v>0.16736538461538461</v>
      </c>
      <c r="AF100" s="468">
        <f t="shared" si="24"/>
        <v>0.92965384615384616</v>
      </c>
      <c r="AG100" s="468">
        <f t="shared" si="24"/>
        <v>25.925730769230775</v>
      </c>
      <c r="AH100" s="468">
        <f t="shared" si="24"/>
        <v>0.51888461538461539</v>
      </c>
    </row>
    <row r="101" spans="1:34" s="465" customFormat="1" ht="36.9" hidden="1">
      <c r="A101" s="467"/>
      <c r="B101" s="466" t="s">
        <v>440</v>
      </c>
      <c r="C101" s="468" t="str">
        <f>ROUND( MIN(C6:C57)+MIN(C94:C95),0) &amp; " - " &amp; ROUND(MAX(C6:C57)+MAX(C94:C95), 0)</f>
        <v>398 - 771</v>
      </c>
      <c r="D101" s="468"/>
      <c r="E101" s="468" t="str">
        <f>ROUND( MIN(E6:E57)+MIN(E94:E95),0) &amp; " - " &amp; ROUND(MAX(E6:E57)+MAX(E94:E95), 0)</f>
        <v>90 - 121</v>
      </c>
      <c r="F101" s="468"/>
      <c r="G101" s="468" t="str">
        <f>ROUND( MIN(G6:G57)+MIN(G94:G95),0) &amp; " - " &amp; ROUND(MAX(G6:G57)+MAX(G94:G95), 0)</f>
        <v>10 - 20</v>
      </c>
      <c r="H101" s="838"/>
      <c r="I101" s="468" t="str">
        <f>ROUND( MIN(I6:I57)+MIN(I94:I95),0) &amp; " - " &amp; ROUND(MAX(I6:I57)+MAX(I94:I95), 0)</f>
        <v>5 - 7</v>
      </c>
      <c r="J101" s="838"/>
      <c r="K101" s="468" t="str">
        <f>ROUND( MIN(K6:K57)+MIN(K94:K95),0) &amp; " - " &amp; ROUND(MAX(K6:K57)+MAX(K94:K95), 0)</f>
        <v>0 - 0</v>
      </c>
      <c r="L101" s="838"/>
      <c r="M101" s="468" t="str">
        <f>ROUND( MIN(M6:M57)+MIN(M94:M95),0) &amp; " - " &amp; ROUND(MAX(M6:M57)+MAX(M94:M95), 0)</f>
        <v>55 - 70</v>
      </c>
      <c r="N101" s="468"/>
      <c r="O101" s="468" t="str">
        <f>ROUND( MIN(O6:O57)+MIN(O94:O95),0) &amp; " - " &amp; ROUND(MAX(O6:O57)+MAX(O94:O95), 0)</f>
        <v>163 - 268</v>
      </c>
      <c r="P101" s="468"/>
      <c r="Q101" s="468" t="str">
        <f>ROUND( MIN(Q6:Q57)+MIN(Q94:Q95),0) &amp; " - " &amp; ROUND(MAX(Q6:Q57)+MAX(Q94:Q95), 0)</f>
        <v>72 - 158</v>
      </c>
      <c r="R101" s="468"/>
      <c r="S101" s="468" t="str">
        <f>ROUND( MIN(S6:S57)+MIN(S94:S95),0) &amp; " - " &amp; ROUND(MAX(S6:S57)+MAX(S94:S95), 0)</f>
        <v>0 - 3</v>
      </c>
      <c r="T101" s="468"/>
      <c r="U101" s="468" t="str">
        <f>ROUND( MIN(U6:U57)+MIN(U94:U95),0) &amp; " - " &amp; ROUND(MAX(U6:U57)+MAX(U94:U95), 0)</f>
        <v>70 - 140</v>
      </c>
      <c r="V101" s="468"/>
      <c r="W101" s="468" t="str">
        <f>ROUND( MIN(W6:W57)+MIN(W94:W95),0) &amp; " - " &amp; ROUND(MAX(W6:W57)+MAX(W94:W95), 0)</f>
        <v>38 - 119</v>
      </c>
      <c r="X101" s="468"/>
      <c r="Y101" s="468" t="str">
        <f>ROUND( MIN(Y6:Y57)+MIN(Y94:Y95),0) &amp; " - " &amp; ROUND(MAX(Y6:Y57)+MAX(Y94:Y95), 0)</f>
        <v>4 - 8</v>
      </c>
      <c r="Z101" s="468"/>
      <c r="AA101" s="468" t="str">
        <f t="shared" ref="AA101:AH101" si="25">ROUND( MIN(AA6:AA57)+MIN(AA94:AA95),0) &amp; " - " &amp; ROUND(MAX(AA6:AA57)+MAX(AA94:AA95), 0)</f>
        <v>0 - 2</v>
      </c>
      <c r="AB101" s="468" t="str">
        <f t="shared" si="25"/>
        <v>0 - 9</v>
      </c>
      <c r="AC101" s="468" t="str">
        <f t="shared" si="25"/>
        <v>140 - 231</v>
      </c>
      <c r="AD101" s="468" t="str">
        <f t="shared" si="25"/>
        <v>10 - 17</v>
      </c>
      <c r="AE101" s="468" t="str">
        <f t="shared" si="25"/>
        <v>0 - 2</v>
      </c>
      <c r="AF101" s="468" t="str">
        <f t="shared" si="25"/>
        <v>0 - 11</v>
      </c>
      <c r="AG101" s="468" t="str">
        <f t="shared" si="25"/>
        <v>0 - 203</v>
      </c>
      <c r="AH101" s="468" t="str">
        <f t="shared" si="25"/>
        <v>0 - 4</v>
      </c>
    </row>
    <row r="102" spans="1:34" s="465" customFormat="1" ht="18.45" hidden="1">
      <c r="A102" s="467"/>
      <c r="B102" s="466" t="s">
        <v>441</v>
      </c>
      <c r="C102" s="468" t="e">
        <f>SUM(AVERAGE(#REF!), AVERAGE(C94:C95))</f>
        <v>#REF!</v>
      </c>
      <c r="D102" s="468"/>
      <c r="E102" s="468" t="e">
        <f>SUM(AVERAGE(#REF!), AVERAGE(E94:E95))</f>
        <v>#REF!</v>
      </c>
      <c r="F102" s="468"/>
      <c r="G102" s="468" t="e">
        <f>SUM(AVERAGE(#REF!), AVERAGE(G94:G95))</f>
        <v>#REF!</v>
      </c>
      <c r="H102" s="838"/>
      <c r="I102" s="468" t="e">
        <f>SUM(AVERAGE(#REF!), AVERAGE(I94:I95))</f>
        <v>#REF!</v>
      </c>
      <c r="J102" s="838"/>
      <c r="K102" s="468" t="e">
        <f>SUM(AVERAGE(#REF!), AVERAGE(K94:K95))</f>
        <v>#REF!</v>
      </c>
      <c r="L102" s="838"/>
      <c r="M102" s="468" t="e">
        <f>SUM(AVERAGE(#REF!), AVERAGE(M94:M95))</f>
        <v>#REF!</v>
      </c>
      <c r="N102" s="468"/>
      <c r="O102" s="468" t="e">
        <f>SUM(AVERAGE(#REF!), AVERAGE(O94:O95))</f>
        <v>#REF!</v>
      </c>
      <c r="P102" s="468"/>
      <c r="Q102" s="468" t="e">
        <f>SUM(AVERAGE(#REF!), AVERAGE(Q94:Q95))</f>
        <v>#REF!</v>
      </c>
      <c r="R102" s="468"/>
      <c r="S102" s="468" t="e">
        <f>SUM(AVERAGE(#REF!), AVERAGE(S94:S95))</f>
        <v>#REF!</v>
      </c>
      <c r="T102" s="468"/>
      <c r="U102" s="468" t="e">
        <f>SUM(AVERAGE(#REF!), AVERAGE(U94:U95))</f>
        <v>#REF!</v>
      </c>
      <c r="V102" s="468"/>
      <c r="W102" s="468" t="e">
        <f>SUM(AVERAGE(#REF!), AVERAGE(W94:W95))</f>
        <v>#REF!</v>
      </c>
      <c r="X102" s="468"/>
      <c r="Y102" s="468" t="e">
        <f>SUM(AVERAGE(#REF!), AVERAGE(Y94:Y95))</f>
        <v>#REF!</v>
      </c>
      <c r="Z102" s="468"/>
      <c r="AA102" s="468" t="e">
        <f>SUM(AVERAGE(#REF!), AVERAGE(AA94:AA95))</f>
        <v>#REF!</v>
      </c>
      <c r="AB102" s="468" t="e">
        <f>SUM(AVERAGE(#REF!), AVERAGE(AB94:AB95))</f>
        <v>#REF!</v>
      </c>
      <c r="AC102" s="468" t="e">
        <f>SUM(AVERAGE(#REF!), AVERAGE(AC94:AC95))</f>
        <v>#REF!</v>
      </c>
      <c r="AD102" s="468" t="e">
        <f>SUM(AVERAGE(#REF!), AVERAGE(AD94:AD95))</f>
        <v>#REF!</v>
      </c>
      <c r="AE102" s="468" t="e">
        <f>SUM(AVERAGE(#REF!), AVERAGE(AE94:AE95))</f>
        <v>#REF!</v>
      </c>
      <c r="AF102" s="468" t="e">
        <f>SUM(AVERAGE(#REF!), AVERAGE(AF94:AF95))</f>
        <v>#REF!</v>
      </c>
      <c r="AG102" s="468" t="e">
        <f>SUM(AVERAGE(#REF!), AVERAGE(AG94:AG95))</f>
        <v>#REF!</v>
      </c>
      <c r="AH102" s="468" t="e">
        <f>SUM(AVERAGE(#REF!), AVERAGE(AH94:AH95))</f>
        <v>#REF!</v>
      </c>
    </row>
    <row r="103" spans="1:34" s="465" customFormat="1" ht="18.45" hidden="1">
      <c r="A103" s="467"/>
      <c r="B103" s="466" t="s">
        <v>442</v>
      </c>
      <c r="C103" s="468" t="e">
        <f xml:space="preserve"> ROUND(MIN(#REF!)+MIN(C94:C95),0) &amp; " - " &amp; ROUND( MAX(#REF!)+MAX(C94:C95),0)</f>
        <v>#REF!</v>
      </c>
      <c r="D103" s="468"/>
      <c r="E103" s="468" t="e">
        <f xml:space="preserve"> ROUND(MIN(#REF!)+MIN(E94:E95),0) &amp; " - " &amp; ROUND( MAX(#REF!)+MAX(E94:E95),0)</f>
        <v>#REF!</v>
      </c>
      <c r="F103" s="468"/>
      <c r="G103" s="468" t="e">
        <f xml:space="preserve"> ROUND(MIN(#REF!)+MIN(G94:G95),0) &amp; " - " &amp; ROUND( MAX(#REF!)+MAX(G94:G95),0)</f>
        <v>#REF!</v>
      </c>
      <c r="H103" s="838"/>
      <c r="I103" s="468" t="e">
        <f xml:space="preserve"> ROUND(MIN(#REF!)+MIN(I94:I95),0) &amp; " - " &amp; ROUND( MAX(#REF!)+MAX(I94:I95),0)</f>
        <v>#REF!</v>
      </c>
      <c r="J103" s="838"/>
      <c r="K103" s="468" t="e">
        <f xml:space="preserve"> ROUND(MIN(#REF!)+MIN(K94:K95),0) &amp; " - " &amp; ROUND( MAX(#REF!)+MAX(K94:K95),0)</f>
        <v>#REF!</v>
      </c>
      <c r="L103" s="838"/>
      <c r="M103" s="468" t="e">
        <f xml:space="preserve"> ROUND(MIN(#REF!)+MIN(M94:M95),0) &amp; " - " &amp; ROUND( MAX(#REF!)+MAX(M94:M95),0)</f>
        <v>#REF!</v>
      </c>
      <c r="N103" s="468"/>
      <c r="O103" s="468" t="e">
        <f xml:space="preserve"> ROUND(MIN(#REF!)+MIN(O94:O95),0) &amp; " - " &amp; ROUND( MAX(#REF!)+MAX(O94:O95),0)</f>
        <v>#REF!</v>
      </c>
      <c r="P103" s="468"/>
      <c r="Q103" s="468" t="e">
        <f xml:space="preserve"> ROUND(MIN(#REF!)+MIN(Q94:Q95),0) &amp; " - " &amp; ROUND( MAX(#REF!)+MAX(Q94:Q95),0)</f>
        <v>#REF!</v>
      </c>
      <c r="R103" s="468"/>
      <c r="S103" s="468" t="e">
        <f xml:space="preserve"> ROUND(MIN(#REF!)+MIN(S94:S95),0) &amp; " - " &amp; ROUND( MAX(#REF!)+MAX(S94:S95),0)</f>
        <v>#REF!</v>
      </c>
      <c r="T103" s="468"/>
      <c r="U103" s="468" t="e">
        <f xml:space="preserve"> ROUND(MIN(#REF!)+MIN(U94:U95),0) &amp; " - " &amp; ROUND( MAX(#REF!)+MAX(U94:U95),0)</f>
        <v>#REF!</v>
      </c>
      <c r="V103" s="468"/>
      <c r="W103" s="468" t="e">
        <f xml:space="preserve"> ROUND(MIN(#REF!)+MIN(W94:W95),0) &amp; " - " &amp; ROUND( MAX(#REF!)+MAX(W94:W95),0)</f>
        <v>#REF!</v>
      </c>
      <c r="X103" s="468"/>
      <c r="Y103" s="468" t="e">
        <f xml:space="preserve"> ROUND(MIN(#REF!)+MIN(Y94:Y95),0) &amp; " - " &amp; ROUND( MAX(#REF!)+MAX(Y94:Y95),0)</f>
        <v>#REF!</v>
      </c>
      <c r="Z103" s="468"/>
      <c r="AA103" s="468" t="e">
        <f xml:space="preserve"> ROUND(MIN(#REF!)+MIN(AA94:AA95),0) &amp; " - " &amp; ROUND( MAX(#REF!)+MAX(AA94:AA95),0)</f>
        <v>#REF!</v>
      </c>
      <c r="AB103" s="468" t="e">
        <f xml:space="preserve"> ROUND(MIN(#REF!)+MIN(AB94:AB95),0) &amp; " - " &amp; ROUND( MAX(#REF!)+MAX(AB94:AB95),0)</f>
        <v>#REF!</v>
      </c>
      <c r="AC103" s="468" t="e">
        <f xml:space="preserve"> ROUND(MIN(#REF!)+MIN(AC94:AC95),0) &amp; " - " &amp; ROUND( MAX(#REF!)+MAX(AC94:AC95),0)</f>
        <v>#REF!</v>
      </c>
      <c r="AD103" s="468" t="e">
        <f xml:space="preserve"> ROUND(MIN(#REF!)+MIN(AD94:AD95),0) &amp; " - " &amp; ROUND( MAX(#REF!)+MAX(AD94:AD95),0)</f>
        <v>#REF!</v>
      </c>
      <c r="AE103" s="468" t="e">
        <f xml:space="preserve"> ROUND(MIN(#REF!)+MIN(AE94:AE95),0) &amp; " - " &amp; ROUND( MAX(#REF!)+MAX(AE94:AE95),0)</f>
        <v>#REF!</v>
      </c>
      <c r="AF103" s="468" t="e">
        <f xml:space="preserve"> ROUND(MIN(#REF!)+MIN(AF94:AF95),0) &amp; " - " &amp; ROUND( MAX(#REF!)+MAX(AF94:AF95),0)</f>
        <v>#REF!</v>
      </c>
      <c r="AG103" s="468" t="e">
        <f xml:space="preserve"> ROUND(MIN(#REF!)+MIN(AG94:AG95),0) &amp; " - " &amp; ROUND( MAX(#REF!)+MAX(AG94:AG95),0)</f>
        <v>#REF!</v>
      </c>
      <c r="AH103" s="468" t="e">
        <f xml:space="preserve"> ROUND(MIN(#REF!)+MIN(AH94:AH95),0) &amp; " - " &amp; ROUND( MAX(#REF!)+MAX(AH94:AH95),0)</f>
        <v>#REF!</v>
      </c>
    </row>
    <row r="104" spans="1:34" s="465" customFormat="1" ht="15" hidden="1" customHeight="1">
      <c r="A104" s="467"/>
      <c r="B104" s="466" t="s">
        <v>443</v>
      </c>
      <c r="C104" s="468">
        <f>SUM(AVERAGE(C61:C87),AVERAGE(C94:C95))</f>
        <v>676.95811111111107</v>
      </c>
      <c r="D104" s="468"/>
      <c r="E104" s="468">
        <f>SUM(AVERAGE(E61:E87),AVERAGE(E94:E95))</f>
        <v>111.73174074074075</v>
      </c>
      <c r="F104" s="468"/>
      <c r="G104" s="468">
        <f>SUM(AVERAGE(G61:G87),AVERAGE(G94:G95))</f>
        <v>16.562444444444445</v>
      </c>
      <c r="H104" s="838"/>
      <c r="I104" s="468">
        <f>SUM(AVERAGE(I61:I87),AVERAGE(I94:I95))</f>
        <v>9.8805555555555564</v>
      </c>
      <c r="J104" s="838"/>
      <c r="K104" s="468">
        <f>SUM(AVERAGE(K61:K87),AVERAGE(K94:K95))</f>
        <v>9.0370370370370379E-3</v>
      </c>
      <c r="L104" s="838"/>
      <c r="M104" s="468">
        <f>SUM(AVERAGE(M61:M87),AVERAGE(M94:M95))</f>
        <v>64.072962962962961</v>
      </c>
      <c r="N104" s="468"/>
      <c r="O104" s="468">
        <f>SUM(AVERAGE(O61:O87),AVERAGE(O94:O95))</f>
        <v>245.92103703703702</v>
      </c>
      <c r="P104" s="468"/>
      <c r="Q104" s="468">
        <f>SUM(AVERAGE(Q61:Q87),AVERAGE(Q94:Q95))</f>
        <v>130.70640740740743</v>
      </c>
      <c r="R104" s="468"/>
      <c r="S104" s="468">
        <f>SUM(AVERAGE(S61:S87),AVERAGE(S94:S95))</f>
        <v>1.3514444444444444</v>
      </c>
      <c r="T104" s="468"/>
      <c r="U104" s="468">
        <f>SUM(AVERAGE(U61:U87),AVERAGE(U94:U95))</f>
        <v>117.5918888888889</v>
      </c>
      <c r="V104" s="468"/>
      <c r="W104" s="468">
        <f>SUM(AVERAGE(W61:W87),AVERAGE(W94:W95))</f>
        <v>95.173037037037034</v>
      </c>
      <c r="X104" s="468"/>
      <c r="Y104" s="468">
        <f>SUM(AVERAGE(Y61:Y87),AVERAGE(Y94:Y95))</f>
        <v>4.9031481481481478</v>
      </c>
      <c r="Z104" s="468"/>
      <c r="AA104" s="468">
        <f t="shared" ref="AA104:AH104" si="26">SUM(AVERAGE(AA61:AA87),AVERAGE(AA94:AA95))</f>
        <v>4.7777777777777775E-3</v>
      </c>
      <c r="AB104" s="468">
        <f t="shared" si="26"/>
        <v>2.3962962962962964E-2</v>
      </c>
      <c r="AC104" s="468">
        <f t="shared" si="26"/>
        <v>185.84670370370372</v>
      </c>
      <c r="AD104" s="468">
        <f t="shared" si="26"/>
        <v>13.790148148148148</v>
      </c>
      <c r="AE104" s="468">
        <f t="shared" si="26"/>
        <v>0.50296296296296306</v>
      </c>
      <c r="AF104" s="468">
        <f t="shared" si="26"/>
        <v>2.7936666666666663</v>
      </c>
      <c r="AG104" s="468">
        <f t="shared" si="26"/>
        <v>64.788111111111107</v>
      </c>
      <c r="AH104" s="468">
        <f t="shared" si="26"/>
        <v>1.1145185185185187</v>
      </c>
    </row>
    <row r="105" spans="1:34" s="465" customFormat="1" ht="36.9" hidden="1">
      <c r="A105" s="467"/>
      <c r="B105" s="466" t="s">
        <v>444</v>
      </c>
      <c r="C105" s="468" t="str">
        <f>ROUND( MIN(C61:C87)+MIN(C94:C95),0) &amp; " - " &amp; ROUND(MAX(C61:C87)+MAX(C94:C95),0)</f>
        <v>541 - 806</v>
      </c>
      <c r="D105" s="468"/>
      <c r="E105" s="468" t="str">
        <f>ROUND( MIN(E61:E87)+MIN(E94:E95),0) &amp; " - " &amp; ROUND(MAX(E61:E87)+MAX(E94:E95),0)</f>
        <v>90 - 161</v>
      </c>
      <c r="F105" s="468"/>
      <c r="G105" s="468" t="str">
        <f>ROUND( MIN(G61:G87)+MIN(G94:G95),0) &amp; " - " &amp; ROUND(MAX(G61:G87)+MAX(G94:G95),0)</f>
        <v>10 - 24</v>
      </c>
      <c r="H105" s="838"/>
      <c r="I105" s="468" t="str">
        <f>ROUND( MIN(I61:I87)+MIN(I94:I95),0) &amp; " - " &amp; ROUND(MAX(I61:I87)+MAX(I94:I95),0)</f>
        <v>5 - 13</v>
      </c>
      <c r="J105" s="838"/>
      <c r="K105" s="468" t="str">
        <f>ROUND( MIN(K61:K87)+MIN(K94:K95),0) &amp; " - " &amp; ROUND(MAX(K61:K87)+MAX(K94:K95),0)</f>
        <v>0 - 0</v>
      </c>
      <c r="L105" s="838"/>
      <c r="M105" s="468" t="str">
        <f>ROUND( MIN(M61:M87)+MIN(M94:M95),0) &amp; " - " &amp; ROUND(MAX(M61:M87)+MAX(M94:M95),0)</f>
        <v>55 - 80</v>
      </c>
      <c r="N105" s="468"/>
      <c r="O105" s="468" t="str">
        <f>ROUND( MIN(O61:O87)+MIN(O94:O95),0) &amp; " - " &amp; ROUND(MAX(O61:O87)+MAX(O94:O95),0)</f>
        <v>199 - 389</v>
      </c>
      <c r="P105" s="468"/>
      <c r="Q105" s="468" t="str">
        <f>ROUND( MIN(Q61:Q87)+MIN(Q94:Q95),0) &amp; " - " &amp; ROUND(MAX(Q61:Q87)+MAX(Q94:Q95),0)</f>
        <v>93 - 164</v>
      </c>
      <c r="R105" s="468"/>
      <c r="S105" s="468" t="str">
        <f>ROUND( MIN(S61:S87)+MIN(S94:S95),0) &amp; " - " &amp; ROUND(MAX(S61:S87)+MAX(S94:S95),0)</f>
        <v>0 - 22</v>
      </c>
      <c r="T105" s="468"/>
      <c r="U105" s="468" t="str">
        <f>ROUND( MIN(U61:U87)+MIN(U94:U95),0) &amp; " - " &amp; ROUND(MAX(U61:U87)+MAX(U94:U95),0)</f>
        <v>87 - 139</v>
      </c>
      <c r="V105" s="468"/>
      <c r="W105" s="468" t="str">
        <f>ROUND( MIN(W61:W87)+MIN(W94:W95),0) &amp; " - " &amp; ROUND(MAX(W61:W87)+MAX(W94:W95),0)</f>
        <v>64 - 118</v>
      </c>
      <c r="X105" s="468"/>
      <c r="Y105" s="468" t="str">
        <f>ROUND( MIN(Y61:Y87)+MIN(Y94:Y95),0) &amp; " - " &amp; ROUND(MAX(Y61:Y87)+MAX(Y94:Y95),0)</f>
        <v>4 - 8</v>
      </c>
      <c r="Z105" s="468"/>
      <c r="AA105" s="468" t="str">
        <f t="shared" ref="AA105:AH105" si="27">ROUND( MIN(AA61:AA87)+MIN(AA94:AA95),0) &amp; " - " &amp; ROUND(MAX(AA61:AA87)+MAX(AA94:AA95),0)</f>
        <v>0 - 0</v>
      </c>
      <c r="AB105" s="468" t="str">
        <f t="shared" si="27"/>
        <v>0 - 0</v>
      </c>
      <c r="AC105" s="468" t="str">
        <f t="shared" si="27"/>
        <v>140 - 253</v>
      </c>
      <c r="AD105" s="468" t="str">
        <f t="shared" si="27"/>
        <v>10 - 19</v>
      </c>
      <c r="AE105" s="468" t="str">
        <f t="shared" si="27"/>
        <v>0 - 2</v>
      </c>
      <c r="AF105" s="468" t="str">
        <f t="shared" si="27"/>
        <v>0 - 9</v>
      </c>
      <c r="AG105" s="468" t="str">
        <f t="shared" si="27"/>
        <v>10 - 196</v>
      </c>
      <c r="AH105" s="468" t="str">
        <f t="shared" si="27"/>
        <v>0 - 4</v>
      </c>
    </row>
    <row r="106" spans="1:34" s="465" customFormat="1" ht="27.75" hidden="1" customHeight="1">
      <c r="A106" s="467"/>
      <c r="B106" s="466" t="s">
        <v>445</v>
      </c>
      <c r="C106" s="468">
        <f>SUM(AVERAGE(C88:C93), AVERAGE(C94:C95))</f>
        <v>391.01733333333334</v>
      </c>
      <c r="D106" s="468"/>
      <c r="E106" s="468">
        <f>SUM(AVERAGE(E88:E93), AVERAGE(E94:E95))</f>
        <v>95.097333333333339</v>
      </c>
      <c r="F106" s="468"/>
      <c r="G106" s="468">
        <f>SUM(AVERAGE(G88:G93), AVERAGE(G94:G95))</f>
        <v>10.010999999999999</v>
      </c>
      <c r="H106" s="838"/>
      <c r="I106" s="468">
        <f>SUM(AVERAGE(I88:I93), AVERAGE(I94:I95))</f>
        <v>5.0076666666666663</v>
      </c>
      <c r="J106" s="838"/>
      <c r="K106" s="468">
        <f>SUM(AVERAGE(K88:K93), AVERAGE(K94:K95))</f>
        <v>0</v>
      </c>
      <c r="L106" s="838"/>
      <c r="M106" s="468">
        <f>SUM(AVERAGE(M88:M93), AVERAGE(M94:M95))</f>
        <v>62.5</v>
      </c>
      <c r="N106" s="468"/>
      <c r="O106" s="468">
        <f>SUM(AVERAGE(O88:O93), AVERAGE(O94:O95))</f>
        <v>169.42166666666665</v>
      </c>
      <c r="P106" s="468"/>
      <c r="Q106" s="468">
        <f>SUM(AVERAGE(Q88:Q93), AVERAGE(Q94:Q95))</f>
        <v>86.43416666666667</v>
      </c>
      <c r="R106" s="468"/>
      <c r="S106" s="468">
        <f>SUM(AVERAGE(S88:S93), AVERAGE(S94:S95))</f>
        <v>8.8499999999999981E-2</v>
      </c>
      <c r="T106" s="468"/>
      <c r="U106" s="468">
        <f>SUM(AVERAGE(U88:U93), AVERAGE(U94:U95))</f>
        <v>20.149166666666666</v>
      </c>
      <c r="V106" s="468"/>
      <c r="W106" s="468">
        <f>SUM(AVERAGE(W88:W93), AVERAGE(W94:W95))</f>
        <v>0</v>
      </c>
      <c r="X106" s="468"/>
      <c r="Y106" s="468">
        <f>SUM(AVERAGE(Y88:Y93), AVERAGE(Y94:Y95))</f>
        <v>4.1849999999999996</v>
      </c>
      <c r="Z106" s="468"/>
      <c r="AA106" s="468">
        <f t="shared" ref="AA106:AH106" si="28">SUM(AVERAGE(AA88:AA93), AVERAGE(AA94:AA95))</f>
        <v>0</v>
      </c>
      <c r="AB106" s="468">
        <f t="shared" si="28"/>
        <v>0</v>
      </c>
      <c r="AC106" s="468">
        <f t="shared" si="28"/>
        <v>181.7165</v>
      </c>
      <c r="AD106" s="468">
        <f t="shared" si="28"/>
        <v>13.786</v>
      </c>
      <c r="AE106" s="468">
        <f t="shared" si="28"/>
        <v>8.2833333333333328E-2</v>
      </c>
      <c r="AF106" s="468">
        <f t="shared" si="28"/>
        <v>0.46066666666666672</v>
      </c>
      <c r="AG106" s="468">
        <f t="shared" si="28"/>
        <v>27.940166666666666</v>
      </c>
      <c r="AH106" s="468">
        <f t="shared" si="28"/>
        <v>0.59550000000000003</v>
      </c>
    </row>
    <row r="107" spans="1:34" s="465" customFormat="1" ht="34.5" hidden="1" customHeight="1">
      <c r="A107" s="467"/>
      <c r="B107" s="466" t="s">
        <v>446</v>
      </c>
      <c r="C107" s="468" t="str">
        <f xml:space="preserve"> ROUND(MIN(C88:C93)+MIN(C94:C95),0) &amp; " - " &amp; ROUND(MAX(C88:C93)+MAX(C94:C95),0)</f>
        <v>370 - 444</v>
      </c>
      <c r="D107" s="468"/>
      <c r="E107" s="468" t="str">
        <f xml:space="preserve"> ROUND(MIN(E88:E93)+MIN(E94:E95),0) &amp; " - " &amp; ROUND(MAX(E88:E93)+MAX(E94:E95),0)</f>
        <v>90 - 100</v>
      </c>
      <c r="F107" s="468"/>
      <c r="G107" s="468" t="str">
        <f xml:space="preserve"> ROUND(MIN(G88:G93)+MIN(G94:G95),0) &amp; " - " &amp; ROUND(MAX(G88:G93)+MAX(G94:G95),0)</f>
        <v>10 - 10</v>
      </c>
      <c r="H107" s="838"/>
      <c r="I107" s="468" t="str">
        <f xml:space="preserve"> ROUND(MIN(I88:I93)+MIN(I94:I95),0) &amp; " - " &amp; ROUND(MAX(I88:I93)+MAX(I94:I95),0)</f>
        <v>5 - 5</v>
      </c>
      <c r="J107" s="838"/>
      <c r="K107" s="468" t="str">
        <f xml:space="preserve"> ROUND(MIN(K88:K93)+MIN(K94:K95),0) &amp; " - " &amp; ROUND(MAX(K88:K93)+MAX(K94:K95),0)</f>
        <v>0 - 0</v>
      </c>
      <c r="L107" s="838"/>
      <c r="M107" s="468" t="str">
        <f xml:space="preserve"> ROUND(MIN(M88:M93)+MIN(M94:M95),0) &amp; " - " &amp; ROUND(MAX(M88:M93)+MAX(M94:M95),0)</f>
        <v>55 - 70</v>
      </c>
      <c r="N107" s="468"/>
      <c r="O107" s="468" t="str">
        <f xml:space="preserve"> ROUND(MIN(O88:O93)+MIN(O94:O95),0) &amp; " - " &amp; ROUND(MAX(O88:O93)+MAX(O94:O95),0)</f>
        <v>155 - 194</v>
      </c>
      <c r="P107" s="468"/>
      <c r="Q107" s="468" t="str">
        <f xml:space="preserve"> ROUND(MIN(Q88:Q93)+MIN(Q94:Q95),0) &amp; " - " &amp; ROUND(MAX(Q88:Q93)+MAX(Q94:Q95),0)</f>
        <v>79 - 92</v>
      </c>
      <c r="R107" s="468"/>
      <c r="S107" s="468" t="str">
        <f xml:space="preserve"> ROUND(MIN(S88:S93)+MIN(S94:S95),0) &amp; " - " &amp; ROUND(MAX(S88:S93)+MAX(S94:S95),0)</f>
        <v>0 - 0</v>
      </c>
      <c r="T107" s="468"/>
      <c r="U107" s="468" t="str">
        <f xml:space="preserve"> ROUND(MIN(U88:U93)+MIN(U94:U95),0) &amp; " - " &amp; ROUND(MAX(U88:U93)+MAX(U94:U95),0)</f>
        <v>20 - 20</v>
      </c>
      <c r="V107" s="468"/>
      <c r="W107" s="468" t="str">
        <f xml:space="preserve"> ROUND(MIN(W88:W93)+MIN(W94:W95),0) &amp; " - " &amp; ROUND(MAX(W88:W93)+MAX(W94:W95),0)</f>
        <v>0 - 0</v>
      </c>
      <c r="X107" s="468"/>
      <c r="Y107" s="468" t="str">
        <f xml:space="preserve"> ROUND(MIN(Y88:Y93)+MIN(Y94:Y95),0) &amp; " - " &amp; ROUND(MAX(Y88:Y93)+MAX(Y94:Y95),0)</f>
        <v>4 - 5</v>
      </c>
      <c r="Z107" s="468"/>
      <c r="AA107" s="468" t="str">
        <f t="shared" ref="AA107:AH107" si="29" xml:space="preserve"> ROUND(MIN(AA88:AA93)+MIN(AA94:AA95),0) &amp; " - " &amp; ROUND(MAX(AA88:AA93)+MAX(AA94:AA95),0)</f>
        <v>0 - 0</v>
      </c>
      <c r="AB107" s="468" t="str">
        <f t="shared" si="29"/>
        <v>0 - 0</v>
      </c>
      <c r="AC107" s="468" t="str">
        <f t="shared" si="29"/>
        <v>142 - 219</v>
      </c>
      <c r="AD107" s="468" t="str">
        <f t="shared" si="29"/>
        <v>11 - 16</v>
      </c>
      <c r="AE107" s="468" t="str">
        <f t="shared" si="29"/>
        <v>0 - 0</v>
      </c>
      <c r="AF107" s="468" t="str">
        <f t="shared" si="29"/>
        <v>0 - 1</v>
      </c>
      <c r="AG107" s="468" t="str">
        <f t="shared" si="29"/>
        <v>8 - 35</v>
      </c>
      <c r="AH107" s="468" t="str">
        <f t="shared" si="29"/>
        <v>0 - 1</v>
      </c>
    </row>
    <row r="108" spans="1:34" ht="36.9">
      <c r="B108" s="982" t="s">
        <v>450</v>
      </c>
      <c r="C108" s="460" t="s">
        <v>4</v>
      </c>
      <c r="D108" s="460" t="s">
        <v>4</v>
      </c>
      <c r="E108" s="460" t="s">
        <v>5</v>
      </c>
      <c r="F108" s="460" t="s">
        <v>5</v>
      </c>
      <c r="G108" s="460" t="s">
        <v>6</v>
      </c>
      <c r="H108" s="460" t="s">
        <v>6</v>
      </c>
      <c r="I108" s="460" t="s">
        <v>7</v>
      </c>
      <c r="J108" s="460" t="s">
        <v>7</v>
      </c>
      <c r="K108" s="460" t="s">
        <v>8</v>
      </c>
      <c r="L108" s="460" t="s">
        <v>8</v>
      </c>
      <c r="M108" s="460" t="s">
        <v>9</v>
      </c>
      <c r="N108" s="460" t="s">
        <v>9</v>
      </c>
      <c r="O108" s="460" t="s">
        <v>10</v>
      </c>
      <c r="P108" s="460" t="s">
        <v>10</v>
      </c>
      <c r="Q108" s="460" t="s">
        <v>11</v>
      </c>
      <c r="R108" s="460" t="s">
        <v>11</v>
      </c>
      <c r="S108" s="460" t="s">
        <v>12</v>
      </c>
      <c r="T108" s="460" t="s">
        <v>12</v>
      </c>
      <c r="U108" s="460" t="s">
        <v>13</v>
      </c>
      <c r="V108" s="460" t="s">
        <v>13</v>
      </c>
      <c r="W108" s="460" t="s">
        <v>14</v>
      </c>
      <c r="X108" s="460" t="s">
        <v>14</v>
      </c>
      <c r="Y108" s="460" t="s">
        <v>15</v>
      </c>
      <c r="Z108" s="460" t="s">
        <v>15</v>
      </c>
    </row>
    <row r="109" spans="1:34" ht="18.45">
      <c r="B109" s="983" t="s">
        <v>296</v>
      </c>
      <c r="C109" s="984">
        <f>MIN(D5:D60)</f>
        <v>200</v>
      </c>
      <c r="D109" s="984">
        <f>MAX(D5:D60)</f>
        <v>560</v>
      </c>
      <c r="E109" s="984">
        <f>MIN(F5:F60)</f>
        <v>0</v>
      </c>
      <c r="F109" s="984">
        <f>MAX(F5:F60)</f>
        <v>20</v>
      </c>
      <c r="G109" s="984">
        <f>MIN(H5:H60)</f>
        <v>0</v>
      </c>
      <c r="H109" s="984">
        <f>MAX(H5:H60)</f>
        <v>10</v>
      </c>
      <c r="I109" s="984">
        <f>MIN(J5:J60)</f>
        <v>0</v>
      </c>
      <c r="J109" s="984">
        <f>MAX(J5:J60)</f>
        <v>2.5</v>
      </c>
      <c r="K109" s="984">
        <f>MIN(L5:L60)</f>
        <v>0</v>
      </c>
      <c r="L109" s="984">
        <f>MAX(L5:L60)</f>
        <v>0</v>
      </c>
      <c r="M109" s="984">
        <f>MIN(N5:N60)</f>
        <v>0</v>
      </c>
      <c r="N109" s="984">
        <f>MAX(N5:N60)</f>
        <v>0</v>
      </c>
      <c r="O109" s="984">
        <f>MIN(P5:P60)</f>
        <v>45</v>
      </c>
      <c r="P109" s="984">
        <f>MAX(P5:P60)</f>
        <v>170</v>
      </c>
      <c r="Q109" s="984">
        <f>MIN(R5:R60)</f>
        <v>52</v>
      </c>
      <c r="R109" s="984">
        <f>MAX(R5:R60)</f>
        <v>128</v>
      </c>
      <c r="S109" s="984">
        <f>MIN(T5:T60)</f>
        <v>0</v>
      </c>
      <c r="T109" s="984">
        <f>MAX(T5:T60)</f>
        <v>3</v>
      </c>
      <c r="U109" s="984">
        <f>MIN(V5:V60)</f>
        <v>50</v>
      </c>
      <c r="V109" s="984">
        <f>MAX(V5:V60)</f>
        <v>120</v>
      </c>
      <c r="W109" s="984">
        <f>MIN(X5:X60)</f>
        <v>38</v>
      </c>
      <c r="X109" s="984">
        <f>MAX(X5:X60)</f>
        <v>119</v>
      </c>
      <c r="Y109" s="984">
        <f>MIN(Z5:Z60)</f>
        <v>0</v>
      </c>
      <c r="Z109" s="984">
        <f>MAX(Z5:Z60)</f>
        <v>4</v>
      </c>
    </row>
    <row r="110" spans="1:34" ht="18.45">
      <c r="B110" s="983" t="s">
        <v>92</v>
      </c>
      <c r="C110" s="984">
        <f>MIN(D61:D87)</f>
        <v>340</v>
      </c>
      <c r="D110" s="984">
        <f>MAX(D61:D87)</f>
        <v>600</v>
      </c>
      <c r="E110" s="984">
        <f>MIN(F61:F87)</f>
        <v>0</v>
      </c>
      <c r="F110" s="984">
        <f>MAX(F61:F87)</f>
        <v>60</v>
      </c>
      <c r="G110" s="984">
        <f>MIN(H61:H87)</f>
        <v>0</v>
      </c>
      <c r="H110" s="984">
        <f>MAX(H61:H87)</f>
        <v>14</v>
      </c>
      <c r="I110" s="984">
        <f>MIN(J61:J87)</f>
        <v>0</v>
      </c>
      <c r="J110" s="984">
        <f>MAX(J61:J87)</f>
        <v>8</v>
      </c>
      <c r="K110" s="984">
        <f>MIN(L61:L87)</f>
        <v>0</v>
      </c>
      <c r="L110" s="984">
        <f>MAX(L61:L87)</f>
        <v>0</v>
      </c>
      <c r="M110" s="984">
        <f>MIN(N61:N87)</f>
        <v>0</v>
      </c>
      <c r="N110" s="984">
        <f>MAX(N61:N87)</f>
        <v>10</v>
      </c>
      <c r="O110" s="984">
        <f>MIN(P61:P87)</f>
        <v>80</v>
      </c>
      <c r="P110" s="984">
        <f>MAX(P61:P87)</f>
        <v>250</v>
      </c>
      <c r="Q110" s="984">
        <f>MIN(R61:R87)</f>
        <v>73</v>
      </c>
      <c r="R110" s="984">
        <f>MAX(R61:R87)</f>
        <v>134</v>
      </c>
      <c r="S110" s="984">
        <f>MIN(T61:T87)</f>
        <v>0</v>
      </c>
      <c r="T110" s="984">
        <f>MAX(T61:T87)</f>
        <v>22</v>
      </c>
      <c r="U110" s="984">
        <f>MIN(V61:V87)</f>
        <v>67</v>
      </c>
      <c r="V110" s="984">
        <f>MAX(V61:V87)</f>
        <v>119</v>
      </c>
      <c r="W110" s="984">
        <f>MIN(X61:X87)</f>
        <v>64</v>
      </c>
      <c r="X110" s="984">
        <f>MAX(X61:X87)</f>
        <v>118</v>
      </c>
      <c r="Y110" s="984">
        <f>MIN(Z61:Z87)</f>
        <v>0</v>
      </c>
      <c r="Z110" s="984">
        <f>MAX(Z61:Z87)</f>
        <v>3</v>
      </c>
    </row>
    <row r="111" spans="1:34" ht="18.45">
      <c r="B111" s="983" t="s">
        <v>394</v>
      </c>
      <c r="C111" s="984">
        <f>MIN(D88:D93)</f>
        <v>170</v>
      </c>
      <c r="D111" s="984">
        <f>MAX(D88:D93)</f>
        <v>230</v>
      </c>
      <c r="E111" s="984">
        <f>MIN(F88:F93)</f>
        <v>0</v>
      </c>
      <c r="F111" s="984">
        <f>MAX(F88:F93)</f>
        <v>0</v>
      </c>
      <c r="G111" s="984">
        <f>MIN(H88:H93)</f>
        <v>0</v>
      </c>
      <c r="H111" s="984">
        <f>MAX(H88:H93)</f>
        <v>0</v>
      </c>
      <c r="I111" s="984">
        <f>MIN(J88:J93)</f>
        <v>0</v>
      </c>
      <c r="J111" s="984">
        <f>MAX(J88:J93)</f>
        <v>0</v>
      </c>
      <c r="K111" s="984">
        <f>MIN(L88:L93)</f>
        <v>0</v>
      </c>
      <c r="L111" s="984">
        <f>MAX(L88:L93)</f>
        <v>0</v>
      </c>
      <c r="M111" s="984">
        <f>MIN(N88:N93)</f>
        <v>0</v>
      </c>
      <c r="N111" s="984">
        <f>MAX(N88:N93)</f>
        <v>0</v>
      </c>
      <c r="O111" s="984">
        <f>MIN(P88:P93)</f>
        <v>35</v>
      </c>
      <c r="P111" s="984">
        <f>MAX(P88:P93)</f>
        <v>55</v>
      </c>
      <c r="Q111" s="984">
        <f>MIN(R88:R93)</f>
        <v>59</v>
      </c>
      <c r="R111" s="984">
        <f>MAX(R88:R93)</f>
        <v>62</v>
      </c>
      <c r="S111" s="984">
        <f>MIN(T88:T93)</f>
        <v>0</v>
      </c>
      <c r="T111" s="984">
        <f>MAX(T88:T93)</f>
        <v>0</v>
      </c>
      <c r="U111" s="984">
        <f>MIN(V88:V93)</f>
        <v>0</v>
      </c>
      <c r="V111" s="984">
        <f>MAX(V88:V93)</f>
        <v>0</v>
      </c>
      <c r="W111" s="984">
        <f>MIN(X88:X93)</f>
        <v>0</v>
      </c>
      <c r="X111" s="984">
        <f>MAX(X88:X93)</f>
        <v>0</v>
      </c>
      <c r="Y111" s="984">
        <f>MIN(Z88:Z93)</f>
        <v>0</v>
      </c>
      <c r="Z111" s="984">
        <f>MAX(Z88:Z93)</f>
        <v>0</v>
      </c>
    </row>
    <row r="112" spans="1:34" ht="18.45">
      <c r="B112" s="857" t="s">
        <v>396</v>
      </c>
      <c r="C112" s="990">
        <f>MIN(D94:D95)</f>
        <v>200</v>
      </c>
      <c r="D112" s="990">
        <f>MAX(D94:D95)</f>
        <v>210</v>
      </c>
      <c r="E112" s="990">
        <f>MIN(F94:F95)</f>
        <v>90</v>
      </c>
      <c r="F112" s="990">
        <f>MAX(F94:F95)</f>
        <v>100</v>
      </c>
      <c r="G112" s="990">
        <f>MIN(H94:H95)</f>
        <v>10</v>
      </c>
      <c r="H112" s="990">
        <f>MAX(H94:H95)</f>
        <v>10</v>
      </c>
      <c r="I112" s="990">
        <f>MIN(J94:J95)</f>
        <v>5</v>
      </c>
      <c r="J112" s="990">
        <f>MAX(J94:J95)</f>
        <v>5</v>
      </c>
      <c r="K112" s="990">
        <f>MIN(L94:L95)</f>
        <v>0</v>
      </c>
      <c r="L112" s="990">
        <f>MAX(L94:L95)</f>
        <v>0</v>
      </c>
      <c r="M112" s="990">
        <f>MIN(N94:N95)</f>
        <v>55</v>
      </c>
      <c r="N112" s="990">
        <f>MAX(N94:N95)</f>
        <v>70</v>
      </c>
      <c r="O112" s="990">
        <f>MIN(P94:P95)</f>
        <v>120</v>
      </c>
      <c r="P112" s="990">
        <f>MAX(P94:P95)</f>
        <v>140</v>
      </c>
      <c r="Q112" s="990">
        <f>MIN(R94:R95)</f>
        <v>20</v>
      </c>
      <c r="R112" s="990">
        <f>MAX(R94:R95)</f>
        <v>30</v>
      </c>
      <c r="S112" s="990">
        <f>MIN(T94:T95)</f>
        <v>0</v>
      </c>
      <c r="T112" s="990">
        <f>MAX(T94:T95)</f>
        <v>0</v>
      </c>
      <c r="U112" s="990">
        <f>MIN(V94:V95)</f>
        <v>20</v>
      </c>
      <c r="V112" s="990">
        <f>MAX(V94:V95)</f>
        <v>20</v>
      </c>
      <c r="W112" s="990">
        <f>MIN(X94:X95)</f>
        <v>0</v>
      </c>
      <c r="X112" s="990">
        <f>MAX(X94:X95)</f>
        <v>0</v>
      </c>
      <c r="Y112" s="990">
        <f>MIN(Z94:Z95)</f>
        <v>4</v>
      </c>
      <c r="Z112" s="990">
        <f>MAX(Z94:Z95)</f>
        <v>4</v>
      </c>
    </row>
    <row r="113" spans="2:26">
      <c r="C113" s="901"/>
      <c r="D113" s="901"/>
      <c r="E113" s="901"/>
      <c r="F113" s="373"/>
      <c r="G113" s="901"/>
      <c r="H113" s="373"/>
      <c r="I113" s="901"/>
      <c r="J113" s="373"/>
      <c r="K113" s="901"/>
      <c r="L113" s="373"/>
      <c r="M113" s="901"/>
      <c r="N113" s="373"/>
      <c r="O113" s="901"/>
      <c r="P113" s="373"/>
      <c r="Q113" s="901"/>
      <c r="S113" s="901"/>
      <c r="U113" s="901"/>
      <c r="W113" s="901"/>
      <c r="X113" s="844"/>
      <c r="Y113" s="901"/>
    </row>
    <row r="114" spans="2:26" ht="18.45">
      <c r="B114" s="983" t="s">
        <v>296</v>
      </c>
      <c r="C114" s="991">
        <f t="shared" ref="C114:Z114" si="30">C109+C112</f>
        <v>400</v>
      </c>
      <c r="D114" s="991">
        <f t="shared" si="30"/>
        <v>770</v>
      </c>
      <c r="E114" s="991">
        <f t="shared" si="30"/>
        <v>90</v>
      </c>
      <c r="F114" s="991">
        <f t="shared" si="30"/>
        <v>120</v>
      </c>
      <c r="G114" s="991">
        <f t="shared" si="30"/>
        <v>10</v>
      </c>
      <c r="H114" s="991">
        <f t="shared" si="30"/>
        <v>20</v>
      </c>
      <c r="I114" s="991">
        <f t="shared" si="30"/>
        <v>5</v>
      </c>
      <c r="J114" s="991">
        <f t="shared" si="30"/>
        <v>7.5</v>
      </c>
      <c r="K114" s="991">
        <f t="shared" si="30"/>
        <v>0</v>
      </c>
      <c r="L114" s="991">
        <f t="shared" si="30"/>
        <v>0</v>
      </c>
      <c r="M114" s="991">
        <f t="shared" si="30"/>
        <v>55</v>
      </c>
      <c r="N114" s="991">
        <f t="shared" si="30"/>
        <v>70</v>
      </c>
      <c r="O114" s="991">
        <f t="shared" si="30"/>
        <v>165</v>
      </c>
      <c r="P114" s="991">
        <f t="shared" si="30"/>
        <v>310</v>
      </c>
      <c r="Q114" s="991">
        <f t="shared" si="30"/>
        <v>72</v>
      </c>
      <c r="R114" s="991">
        <f t="shared" si="30"/>
        <v>158</v>
      </c>
      <c r="S114" s="991">
        <f t="shared" si="30"/>
        <v>0</v>
      </c>
      <c r="T114" s="991">
        <f t="shared" si="30"/>
        <v>3</v>
      </c>
      <c r="U114" s="991">
        <f t="shared" si="30"/>
        <v>70</v>
      </c>
      <c r="V114" s="991">
        <f t="shared" si="30"/>
        <v>140</v>
      </c>
      <c r="W114" s="991">
        <f t="shared" si="30"/>
        <v>38</v>
      </c>
      <c r="X114" s="991">
        <f t="shared" si="30"/>
        <v>119</v>
      </c>
      <c r="Y114" s="991">
        <f t="shared" si="30"/>
        <v>4</v>
      </c>
      <c r="Z114" s="991">
        <f t="shared" si="30"/>
        <v>8</v>
      </c>
    </row>
    <row r="115" spans="2:26" ht="18.45">
      <c r="B115" s="983" t="s">
        <v>92</v>
      </c>
      <c r="C115" s="844">
        <f t="shared" ref="C115:Z115" si="31">C110+C112</f>
        <v>540</v>
      </c>
      <c r="D115" s="844">
        <f t="shared" si="31"/>
        <v>810</v>
      </c>
      <c r="E115" s="844">
        <f t="shared" si="31"/>
        <v>90</v>
      </c>
      <c r="F115" s="844">
        <f t="shared" si="31"/>
        <v>160</v>
      </c>
      <c r="G115" s="844">
        <f t="shared" si="31"/>
        <v>10</v>
      </c>
      <c r="H115" s="844">
        <f t="shared" si="31"/>
        <v>24</v>
      </c>
      <c r="I115" s="844">
        <f t="shared" si="31"/>
        <v>5</v>
      </c>
      <c r="J115" s="844">
        <f t="shared" si="31"/>
        <v>13</v>
      </c>
      <c r="K115" s="844">
        <f t="shared" si="31"/>
        <v>0</v>
      </c>
      <c r="L115" s="844">
        <f t="shared" si="31"/>
        <v>0</v>
      </c>
      <c r="M115" s="844">
        <f t="shared" si="31"/>
        <v>55</v>
      </c>
      <c r="N115" s="844">
        <f t="shared" si="31"/>
        <v>80</v>
      </c>
      <c r="O115" s="844">
        <f t="shared" si="31"/>
        <v>200</v>
      </c>
      <c r="P115" s="844">
        <f t="shared" si="31"/>
        <v>390</v>
      </c>
      <c r="Q115" s="844">
        <f t="shared" si="31"/>
        <v>93</v>
      </c>
      <c r="R115" s="844">
        <f t="shared" si="31"/>
        <v>164</v>
      </c>
      <c r="S115" s="844">
        <f t="shared" si="31"/>
        <v>0</v>
      </c>
      <c r="T115" s="844">
        <f t="shared" si="31"/>
        <v>22</v>
      </c>
      <c r="U115" s="844">
        <f t="shared" si="31"/>
        <v>87</v>
      </c>
      <c r="V115" s="844">
        <f t="shared" si="31"/>
        <v>139</v>
      </c>
      <c r="W115" s="844">
        <f t="shared" si="31"/>
        <v>64</v>
      </c>
      <c r="X115" s="844">
        <f t="shared" si="31"/>
        <v>118</v>
      </c>
      <c r="Y115" s="844">
        <f t="shared" si="31"/>
        <v>4</v>
      </c>
      <c r="Z115" s="844">
        <f t="shared" si="31"/>
        <v>7</v>
      </c>
    </row>
    <row r="116" spans="2:26" ht="18.45">
      <c r="B116" s="983" t="s">
        <v>394</v>
      </c>
      <c r="C116" s="844">
        <f t="shared" ref="C116:Z116" si="32">C111+C112</f>
        <v>370</v>
      </c>
      <c r="D116" s="844">
        <f t="shared" si="32"/>
        <v>440</v>
      </c>
      <c r="E116" s="844">
        <f t="shared" si="32"/>
        <v>90</v>
      </c>
      <c r="F116" s="844">
        <f t="shared" si="32"/>
        <v>100</v>
      </c>
      <c r="G116" s="844">
        <f t="shared" si="32"/>
        <v>10</v>
      </c>
      <c r="H116" s="844">
        <f t="shared" si="32"/>
        <v>10</v>
      </c>
      <c r="I116" s="844">
        <f t="shared" si="32"/>
        <v>5</v>
      </c>
      <c r="J116" s="844">
        <f t="shared" si="32"/>
        <v>5</v>
      </c>
      <c r="K116" s="844">
        <f t="shared" si="32"/>
        <v>0</v>
      </c>
      <c r="L116" s="844">
        <f t="shared" si="32"/>
        <v>0</v>
      </c>
      <c r="M116" s="844">
        <f t="shared" si="32"/>
        <v>55</v>
      </c>
      <c r="N116" s="844">
        <f t="shared" si="32"/>
        <v>70</v>
      </c>
      <c r="O116" s="844">
        <f t="shared" si="32"/>
        <v>155</v>
      </c>
      <c r="P116" s="844">
        <f t="shared" si="32"/>
        <v>195</v>
      </c>
      <c r="Q116" s="844">
        <f t="shared" si="32"/>
        <v>79</v>
      </c>
      <c r="R116" s="844">
        <f t="shared" si="32"/>
        <v>92</v>
      </c>
      <c r="S116" s="844">
        <f t="shared" si="32"/>
        <v>0</v>
      </c>
      <c r="T116" s="844">
        <f t="shared" si="32"/>
        <v>0</v>
      </c>
      <c r="U116" s="844">
        <f t="shared" si="32"/>
        <v>20</v>
      </c>
      <c r="V116" s="844">
        <f t="shared" si="32"/>
        <v>20</v>
      </c>
      <c r="W116" s="844">
        <f t="shared" si="32"/>
        <v>0</v>
      </c>
      <c r="X116" s="844">
        <f t="shared" si="32"/>
        <v>0</v>
      </c>
      <c r="Y116" s="844">
        <f t="shared" si="32"/>
        <v>4</v>
      </c>
      <c r="Z116" s="844">
        <f t="shared" si="32"/>
        <v>4</v>
      </c>
    </row>
    <row r="117" spans="2:26">
      <c r="F117" s="373"/>
      <c r="H117" s="373"/>
      <c r="J117" s="373"/>
      <c r="L117" s="373"/>
      <c r="N117" s="373"/>
      <c r="P117" s="373"/>
      <c r="R117" s="373"/>
    </row>
  </sheetData>
  <autoFilter ref="A4:AH98" xr:uid="{81F1D9B0-9785-4CA0-87BE-D0860059C205}"/>
  <mergeCells count="4">
    <mergeCell ref="B96:AH98"/>
    <mergeCell ref="A1:AH1"/>
    <mergeCell ref="A2:AH2"/>
    <mergeCell ref="A3:AH3"/>
  </mergeCells>
  <pageMargins left="0.7" right="0.7" top="0.75249999999999995" bottom="0.75" header="0.3" footer="0.3"/>
  <pageSetup scale="49" fitToHeight="0" orientation="landscape" r:id="rId1"/>
  <headerFooter>
    <oddHeader xml:space="preserve">&amp;R&amp;14 2024 Nutrition Information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filterMode="1"/>
  <dimension ref="A1:AH65"/>
  <sheetViews>
    <sheetView topLeftCell="A51" zoomScale="80" zoomScaleNormal="80" zoomScalePageLayoutView="86" workbookViewId="0">
      <selection activeCell="U42" sqref="U42"/>
    </sheetView>
    <sheetView zoomScale="80" zoomScaleNormal="80" workbookViewId="1">
      <selection activeCell="F5" sqref="F5"/>
    </sheetView>
    <sheetView workbookViewId="2">
      <selection activeCell="H15" sqref="H15"/>
    </sheetView>
  </sheetViews>
  <sheetFormatPr defaultColWidth="9.15234375" defaultRowHeight="15.9"/>
  <cols>
    <col min="1" max="1" width="14.53515625" style="212" bestFit="1" customWidth="1"/>
    <col min="2" max="2" width="42.84375" style="212" customWidth="1"/>
    <col min="3" max="4" width="11.53515625" style="212" customWidth="1"/>
    <col min="5" max="6" width="12.3828125" style="212" customWidth="1"/>
    <col min="7" max="7" width="8.53515625" style="212" customWidth="1"/>
    <col min="8" max="8" width="8.53515625" style="912" customWidth="1"/>
    <col min="9" max="10" width="12.84375" style="212" customWidth="1"/>
    <col min="11" max="12" width="8.53515625" style="212" customWidth="1"/>
    <col min="13" max="14" width="13" style="212" customWidth="1"/>
    <col min="15" max="15" width="9" style="212" customWidth="1"/>
    <col min="16" max="16" width="10.53515625" style="212" bestFit="1" customWidth="1"/>
    <col min="17" max="18" width="16.84375" style="212" customWidth="1"/>
    <col min="19" max="20" width="10.3828125" style="212" customWidth="1"/>
    <col min="21" max="22" width="8.84375" style="212" customWidth="1"/>
    <col min="23" max="24" width="9" style="212" customWidth="1"/>
    <col min="25" max="28" width="11.53515625" style="212" customWidth="1"/>
    <col min="29" max="29" width="9" style="212" customWidth="1"/>
    <col min="30" max="32" width="9.15234375" style="212"/>
    <col min="33" max="33" width="14.15234375" style="212" customWidth="1"/>
    <col min="34" max="34" width="14.3046875" style="212" customWidth="1"/>
    <col min="35" max="16384" width="9.15234375" style="212"/>
  </cols>
  <sheetData>
    <row r="1" spans="1:34" ht="15" customHeight="1">
      <c r="A1" s="1214" t="s">
        <v>451</v>
      </c>
      <c r="B1" s="1215"/>
      <c r="C1" s="1215"/>
      <c r="D1" s="1215"/>
      <c r="E1" s="1215"/>
      <c r="F1" s="1215"/>
      <c r="G1" s="1215"/>
      <c r="H1" s="1215"/>
      <c r="I1" s="1215"/>
      <c r="J1" s="1215"/>
      <c r="K1" s="1215"/>
      <c r="L1" s="1215"/>
      <c r="M1" s="1215"/>
      <c r="N1" s="1215"/>
      <c r="O1" s="1215"/>
      <c r="P1" s="1215"/>
      <c r="Q1" s="1215"/>
      <c r="R1" s="1215"/>
      <c r="S1" s="1215"/>
      <c r="T1" s="1215"/>
      <c r="U1" s="1215"/>
      <c r="V1" s="1215"/>
      <c r="W1" s="1215"/>
      <c r="X1" s="1215"/>
      <c r="Y1" s="1215"/>
      <c r="Z1" s="1215"/>
      <c r="AA1" s="1215"/>
      <c r="AB1" s="1215"/>
      <c r="AC1" s="1215"/>
      <c r="AD1" s="1215"/>
      <c r="AE1" s="1215"/>
      <c r="AF1" s="1215"/>
      <c r="AG1" s="1215"/>
      <c r="AH1" s="1215"/>
    </row>
    <row r="2" spans="1:34" ht="15" customHeight="1">
      <c r="A2" s="1214"/>
      <c r="B2" s="1215"/>
      <c r="C2" s="1215"/>
      <c r="D2" s="1215"/>
      <c r="E2" s="1215"/>
      <c r="F2" s="1215"/>
      <c r="G2" s="1215"/>
      <c r="H2" s="1215"/>
      <c r="I2" s="1215"/>
      <c r="J2" s="1215"/>
      <c r="K2" s="1215"/>
      <c r="L2" s="1215"/>
      <c r="M2" s="1215"/>
      <c r="N2" s="1215"/>
      <c r="O2" s="1215"/>
      <c r="P2" s="1215"/>
      <c r="Q2" s="1215"/>
      <c r="R2" s="1215"/>
      <c r="S2" s="1215"/>
      <c r="T2" s="1215"/>
      <c r="U2" s="1215"/>
      <c r="V2" s="1215"/>
      <c r="W2" s="1215"/>
      <c r="X2" s="1215"/>
      <c r="Y2" s="1215"/>
      <c r="Z2" s="1215"/>
      <c r="AA2" s="1215"/>
      <c r="AB2" s="1215"/>
      <c r="AC2" s="1215"/>
      <c r="AD2" s="1215"/>
      <c r="AE2" s="1215"/>
      <c r="AF2" s="1215"/>
      <c r="AG2" s="1215"/>
      <c r="AH2" s="1215"/>
    </row>
    <row r="3" spans="1:34" ht="18" customHeight="1" thickBot="1">
      <c r="A3" s="1209" t="s">
        <v>452</v>
      </c>
      <c r="B3" s="1210"/>
      <c r="C3" s="1210"/>
      <c r="D3" s="1210"/>
      <c r="E3" s="1210"/>
      <c r="F3" s="1210"/>
      <c r="G3" s="1210"/>
      <c r="H3" s="1210"/>
      <c r="I3" s="1210"/>
      <c r="J3" s="1210"/>
      <c r="K3" s="1210"/>
      <c r="L3" s="1210"/>
      <c r="M3" s="1210"/>
      <c r="N3" s="1210"/>
      <c r="O3" s="1210"/>
      <c r="P3" s="1210"/>
      <c r="Q3" s="1210"/>
      <c r="R3" s="1210"/>
      <c r="S3" s="1210"/>
      <c r="T3" s="1210"/>
      <c r="U3" s="1210"/>
      <c r="V3" s="1210"/>
      <c r="W3" s="1210"/>
      <c r="X3" s="1210"/>
      <c r="Y3" s="1210"/>
      <c r="Z3" s="1210"/>
      <c r="AA3" s="1210"/>
      <c r="AB3" s="1210"/>
      <c r="AC3" s="1210"/>
      <c r="AD3" s="1210"/>
      <c r="AE3" s="1210"/>
      <c r="AF3" s="1210"/>
      <c r="AG3" s="1210"/>
      <c r="AH3" s="1210"/>
    </row>
    <row r="4" spans="1:34" ht="37.5" customHeight="1" thickBot="1">
      <c r="A4" s="250" t="s">
        <v>179</v>
      </c>
      <c r="B4" s="214" t="s">
        <v>3</v>
      </c>
      <c r="C4" s="214" t="s">
        <v>4</v>
      </c>
      <c r="D4" s="214" t="s">
        <v>4</v>
      </c>
      <c r="E4" s="214" t="s">
        <v>5</v>
      </c>
      <c r="F4" s="214" t="s">
        <v>5</v>
      </c>
      <c r="G4" s="214" t="s">
        <v>6</v>
      </c>
      <c r="H4" s="869" t="s">
        <v>6</v>
      </c>
      <c r="I4" s="214" t="s">
        <v>7</v>
      </c>
      <c r="J4" s="214" t="s">
        <v>7</v>
      </c>
      <c r="K4" s="214" t="s">
        <v>8</v>
      </c>
      <c r="L4" s="214" t="s">
        <v>8</v>
      </c>
      <c r="M4" s="214" t="s">
        <v>9</v>
      </c>
      <c r="N4" s="214" t="s">
        <v>9</v>
      </c>
      <c r="O4" s="214" t="s">
        <v>10</v>
      </c>
      <c r="P4" s="214" t="s">
        <v>10</v>
      </c>
      <c r="Q4" s="214" t="s">
        <v>11</v>
      </c>
      <c r="R4" s="214" t="s">
        <v>11</v>
      </c>
      <c r="S4" s="214" t="s">
        <v>12</v>
      </c>
      <c r="T4" s="214" t="s">
        <v>12</v>
      </c>
      <c r="U4" s="214" t="s">
        <v>13</v>
      </c>
      <c r="V4" s="214" t="s">
        <v>13</v>
      </c>
      <c r="W4" s="214" t="s">
        <v>14</v>
      </c>
      <c r="X4" s="214" t="s">
        <v>14</v>
      </c>
      <c r="Y4" s="214" t="s">
        <v>15</v>
      </c>
      <c r="Z4" s="214" t="s">
        <v>15</v>
      </c>
      <c r="AA4" s="215" t="s">
        <v>16</v>
      </c>
      <c r="AB4" s="215" t="s">
        <v>17</v>
      </c>
      <c r="AC4" s="215" t="s">
        <v>18</v>
      </c>
      <c r="AD4" s="215" t="s">
        <v>19</v>
      </c>
      <c r="AE4" s="267" t="s">
        <v>20</v>
      </c>
      <c r="AF4" s="267" t="s">
        <v>21</v>
      </c>
      <c r="AG4" s="215" t="s">
        <v>22</v>
      </c>
      <c r="AH4" s="215" t="s">
        <v>23</v>
      </c>
    </row>
    <row r="5" spans="1:34" ht="15" hidden="1" customHeight="1" thickBot="1">
      <c r="A5" s="528" t="s">
        <v>453</v>
      </c>
      <c r="B5" s="528" t="s">
        <v>129</v>
      </c>
      <c r="C5" s="975">
        <v>476.26299999999998</v>
      </c>
      <c r="D5" s="237">
        <f t="shared" ref="D5:D30" si="0">MROUND(C5,10)</f>
        <v>480</v>
      </c>
      <c r="E5" s="975">
        <v>204.113</v>
      </c>
      <c r="F5" s="237">
        <f>IF(E5&lt;5,0,(IF(E5&gt;50,MROUND(E5,10),MROUND(E5,5))))</f>
        <v>200</v>
      </c>
      <c r="G5" s="975">
        <v>22.678999999999998</v>
      </c>
      <c r="H5" s="978">
        <f>IF(G5&lt;0.5,0,IF(G5&gt;5,MROUND(G5,1),MROUND(G5,0.5)))</f>
        <v>23</v>
      </c>
      <c r="I5" s="975">
        <v>13.608000000000001</v>
      </c>
      <c r="J5" s="978">
        <f>IF(I5&lt;0.5,0,IF(I5&gt;5,MROUND(I5,1),MROUND(I5,0.5)))</f>
        <v>14</v>
      </c>
      <c r="K5" s="975">
        <v>0</v>
      </c>
      <c r="L5" s="978">
        <f>IF(K5&lt;0.5,0,IF(K5&gt;5,MROUND(K5,1),MROUND(K5,0.5)))</f>
        <v>0</v>
      </c>
      <c r="M5" s="975">
        <v>124.736</v>
      </c>
      <c r="N5" s="237">
        <f>IF(M5&lt;2,0,IF(M5&gt;5,MROUND(M5,5),"less than 5 mg"))</f>
        <v>125</v>
      </c>
      <c r="O5" s="975">
        <v>260.81099999999998</v>
      </c>
      <c r="P5" s="237">
        <f>IF(O5&lt;5,0,IF(O5&gt;140,MROUND(O5,10),MROUND(O5,5)))</f>
        <v>260</v>
      </c>
      <c r="Q5" s="975">
        <v>61.234000000000002</v>
      </c>
      <c r="R5" s="237">
        <f>IF(Q5&lt;0.5,0,IF(Q5&gt;1,MROUND(Q5,1),"less than 1 g"))</f>
        <v>61</v>
      </c>
      <c r="S5" s="975">
        <v>0</v>
      </c>
      <c r="T5" s="237">
        <f>IF(S5&lt;0.5,0,IF(S5&gt;1,MROUND(S5,1),"less than 1 g"))</f>
        <v>0</v>
      </c>
      <c r="U5" s="975">
        <v>47.625999999999998</v>
      </c>
      <c r="V5" s="237">
        <f>IF(U5&lt;0.5,0,IF(U5&gt;1,MROUND(U5,1),"less than 1 g"))</f>
        <v>48</v>
      </c>
      <c r="W5" s="975">
        <v>0</v>
      </c>
      <c r="X5" s="237">
        <f>IF(W5&lt;0.5,0,IF(W5&gt;1,MROUND(W5,1),"less than 1 g"))</f>
        <v>0</v>
      </c>
      <c r="Y5" s="975">
        <v>9.0719999999999992</v>
      </c>
      <c r="Z5" s="237">
        <f>IF(Y5&lt;0.5,0,IF(Y5&gt;1,MROUND(Y5,1),"less than 1 g"))</f>
        <v>9</v>
      </c>
      <c r="AA5" s="975">
        <v>0</v>
      </c>
      <c r="AB5" s="975">
        <v>0</v>
      </c>
      <c r="AC5" s="975">
        <v>294.83</v>
      </c>
      <c r="AD5" s="975">
        <v>22.678999999999998</v>
      </c>
      <c r="AE5" s="975">
        <v>2.4489999999999998</v>
      </c>
      <c r="AF5" s="975">
        <v>13.608000000000001</v>
      </c>
      <c r="AG5" s="975">
        <v>0</v>
      </c>
      <c r="AH5" s="976">
        <v>0</v>
      </c>
    </row>
    <row r="6" spans="1:34" ht="15" hidden="1" customHeight="1" thickBot="1">
      <c r="A6" s="528" t="s">
        <v>453</v>
      </c>
      <c r="B6" s="529" t="s">
        <v>130</v>
      </c>
      <c r="C6" s="536">
        <v>453.584</v>
      </c>
      <c r="D6" s="237">
        <f t="shared" si="0"/>
        <v>450</v>
      </c>
      <c r="E6" s="536">
        <v>224.524</v>
      </c>
      <c r="F6" s="237">
        <f t="shared" ref="F6:F30" si="1">IF(E6&lt;5,0,(IF(E6&gt;50,MROUND(E6,10),MROUND(E6,5))))</f>
        <v>220</v>
      </c>
      <c r="G6" s="536">
        <v>24.946999999999999</v>
      </c>
      <c r="H6" s="978">
        <f t="shared" ref="H6:H30" si="2">IF(G6&lt;0.5,0,IF(G6&gt;5,MROUND(G6,1),MROUND(G6,0.5)))</f>
        <v>25</v>
      </c>
      <c r="I6" s="536">
        <v>15.875</v>
      </c>
      <c r="J6" s="978">
        <f t="shared" ref="J6:J30" si="3">IF(I6&lt;0.5,0,IF(I6&gt;5,MROUND(I6,1),MROUND(I6,0.5)))</f>
        <v>16</v>
      </c>
      <c r="K6" s="536">
        <v>0</v>
      </c>
      <c r="L6" s="978">
        <f t="shared" ref="L6:L30" si="4">IF(K6&lt;0.5,0,IF(K6&gt;5,MROUND(K6,1),MROUND(K6,0.5)))</f>
        <v>0</v>
      </c>
      <c r="M6" s="536">
        <v>147.41499999999999</v>
      </c>
      <c r="N6" s="237">
        <f t="shared" ref="N6:N30" si="5">IF(M6&lt;2,0,IF(M6&gt;5,MROUND(M6,5),"less than 5 mg"))</f>
        <v>145</v>
      </c>
      <c r="O6" s="536">
        <v>317.50900000000001</v>
      </c>
      <c r="P6" s="237">
        <f t="shared" ref="P6:P30" si="6">IF(O6&lt;5,0,IF(O6&gt;140,MROUND(O6,10),MROUND(O6,5)))</f>
        <v>320</v>
      </c>
      <c r="Q6" s="536">
        <v>52.161999999999999</v>
      </c>
      <c r="R6" s="237">
        <f t="shared" ref="R6:R30" si="7">IF(Q6&lt;0.5,0,IF(Q6&gt;1,MROUND(Q6,1),"less than 1 g"))</f>
        <v>52</v>
      </c>
      <c r="S6" s="536">
        <v>0</v>
      </c>
      <c r="T6" s="237">
        <f t="shared" ref="T6:T30" si="8">IF(S6&lt;0.5,0,IF(S6&gt;1,MROUND(S6,1),"less than 1 g"))</f>
        <v>0</v>
      </c>
      <c r="U6" s="536">
        <v>40.823</v>
      </c>
      <c r="V6" s="237">
        <f t="shared" ref="V6:V30" si="9">IF(U6&lt;0.5,0,IF(U6&gt;1,MROUND(U6,1),"less than 1 g"))</f>
        <v>41</v>
      </c>
      <c r="W6" s="536">
        <v>0</v>
      </c>
      <c r="X6" s="237">
        <f t="shared" ref="X6:X30" si="10">IF(W6&lt;0.5,0,IF(W6&gt;1,MROUND(W6,1),"less than 1 g"))</f>
        <v>0</v>
      </c>
      <c r="Y6" s="536">
        <v>9.0719999999999992</v>
      </c>
      <c r="Z6" s="237">
        <f t="shared" ref="Z6:Z30" si="11">IF(Y6&lt;0.5,0,IF(Y6&gt;1,MROUND(Y6,1),"less than 1 g"))</f>
        <v>9</v>
      </c>
      <c r="AA6" s="536">
        <v>0</v>
      </c>
      <c r="AB6" s="536">
        <v>0</v>
      </c>
      <c r="AC6" s="536">
        <v>442.24400000000003</v>
      </c>
      <c r="AD6" s="536">
        <v>34.018999999999998</v>
      </c>
      <c r="AE6" s="536">
        <v>0</v>
      </c>
      <c r="AF6" s="536">
        <v>0</v>
      </c>
      <c r="AG6" s="536">
        <v>0</v>
      </c>
      <c r="AH6" s="665">
        <v>0</v>
      </c>
    </row>
    <row r="7" spans="1:34" ht="15" hidden="1" customHeight="1" thickBot="1">
      <c r="A7" s="528" t="s">
        <v>453</v>
      </c>
      <c r="B7" s="529" t="s">
        <v>26</v>
      </c>
      <c r="C7" s="536">
        <v>449.57600000000002</v>
      </c>
      <c r="D7" s="237">
        <f t="shared" si="0"/>
        <v>450</v>
      </c>
      <c r="E7" s="536">
        <v>216.589</v>
      </c>
      <c r="F7" s="237">
        <f t="shared" si="1"/>
        <v>220</v>
      </c>
      <c r="G7" s="536">
        <v>24.065000000000001</v>
      </c>
      <c r="H7" s="978">
        <f t="shared" si="2"/>
        <v>24</v>
      </c>
      <c r="I7" s="536">
        <v>15.314</v>
      </c>
      <c r="J7" s="978">
        <f t="shared" si="3"/>
        <v>15</v>
      </c>
      <c r="K7" s="536">
        <v>0</v>
      </c>
      <c r="L7" s="978">
        <f t="shared" si="4"/>
        <v>0</v>
      </c>
      <c r="M7" s="536">
        <v>142.20500000000001</v>
      </c>
      <c r="N7" s="237">
        <f t="shared" si="5"/>
        <v>140</v>
      </c>
      <c r="O7" s="536">
        <v>308.69200000000001</v>
      </c>
      <c r="P7" s="237">
        <f t="shared" si="6"/>
        <v>310</v>
      </c>
      <c r="Q7" s="536">
        <v>53.283999999999999</v>
      </c>
      <c r="R7" s="237">
        <f t="shared" si="7"/>
        <v>53</v>
      </c>
      <c r="S7" s="536">
        <v>0</v>
      </c>
      <c r="T7" s="237">
        <f t="shared" si="8"/>
        <v>0</v>
      </c>
      <c r="U7" s="536">
        <v>41.302999999999997</v>
      </c>
      <c r="V7" s="237">
        <f t="shared" si="9"/>
        <v>41</v>
      </c>
      <c r="W7" s="536">
        <v>1.9239999999999999</v>
      </c>
      <c r="X7" s="237">
        <f t="shared" si="10"/>
        <v>2</v>
      </c>
      <c r="Y7" s="536">
        <v>8.7509999999999994</v>
      </c>
      <c r="Z7" s="237">
        <f t="shared" si="11"/>
        <v>9</v>
      </c>
      <c r="AA7" s="536">
        <v>0</v>
      </c>
      <c r="AB7" s="536">
        <v>0</v>
      </c>
      <c r="AC7" s="536">
        <v>427.17500000000001</v>
      </c>
      <c r="AD7" s="536">
        <v>32.86</v>
      </c>
      <c r="AE7" s="536">
        <v>0</v>
      </c>
      <c r="AF7" s="536">
        <v>0</v>
      </c>
      <c r="AG7" s="536">
        <v>2.3250000000000002</v>
      </c>
      <c r="AH7" s="665">
        <v>4.9000000000000002E-2</v>
      </c>
    </row>
    <row r="8" spans="1:34" ht="15" hidden="1" customHeight="1" thickBot="1">
      <c r="A8" s="528" t="s">
        <v>453</v>
      </c>
      <c r="B8" s="529" t="s">
        <v>356</v>
      </c>
      <c r="C8" s="536">
        <v>450</v>
      </c>
      <c r="D8" s="237">
        <f t="shared" si="0"/>
        <v>450</v>
      </c>
      <c r="E8" s="536">
        <v>220</v>
      </c>
      <c r="F8" s="237">
        <f t="shared" si="1"/>
        <v>220</v>
      </c>
      <c r="G8" s="536">
        <v>25</v>
      </c>
      <c r="H8" s="978">
        <f t="shared" si="2"/>
        <v>25</v>
      </c>
      <c r="I8" s="536">
        <v>15</v>
      </c>
      <c r="J8" s="978">
        <f t="shared" si="3"/>
        <v>15</v>
      </c>
      <c r="K8" s="536">
        <v>0</v>
      </c>
      <c r="L8" s="978">
        <f t="shared" si="4"/>
        <v>0</v>
      </c>
      <c r="M8" s="536">
        <v>140</v>
      </c>
      <c r="N8" s="237">
        <f t="shared" si="5"/>
        <v>140</v>
      </c>
      <c r="O8" s="536">
        <v>310</v>
      </c>
      <c r="P8" s="237">
        <f t="shared" si="6"/>
        <v>310</v>
      </c>
      <c r="Q8" s="536">
        <v>50</v>
      </c>
      <c r="R8" s="237">
        <f t="shared" si="7"/>
        <v>50</v>
      </c>
      <c r="S8" s="536">
        <v>0</v>
      </c>
      <c r="T8" s="237">
        <f t="shared" si="8"/>
        <v>0</v>
      </c>
      <c r="U8" s="536">
        <v>40</v>
      </c>
      <c r="V8" s="237">
        <f t="shared" si="9"/>
        <v>40</v>
      </c>
      <c r="W8" s="536">
        <v>0</v>
      </c>
      <c r="X8" s="237">
        <f t="shared" si="10"/>
        <v>0</v>
      </c>
      <c r="Y8" s="536">
        <v>10</v>
      </c>
      <c r="Z8" s="237">
        <f t="shared" si="11"/>
        <v>10</v>
      </c>
      <c r="AA8" s="536">
        <v>0</v>
      </c>
      <c r="AB8" s="536">
        <v>0</v>
      </c>
      <c r="AC8" s="536">
        <v>430</v>
      </c>
      <c r="AD8" s="536">
        <v>35</v>
      </c>
      <c r="AE8" s="536">
        <v>0</v>
      </c>
      <c r="AF8" s="536">
        <v>0</v>
      </c>
      <c r="AG8" s="536">
        <v>0</v>
      </c>
      <c r="AH8" s="665">
        <v>0</v>
      </c>
    </row>
    <row r="9" spans="1:34" ht="15" hidden="1" customHeight="1" thickBot="1">
      <c r="A9" s="528" t="s">
        <v>453</v>
      </c>
      <c r="B9" s="529" t="s">
        <v>404</v>
      </c>
      <c r="C9" s="536">
        <v>452.84899999999999</v>
      </c>
      <c r="D9" s="237">
        <f t="shared" si="0"/>
        <v>450</v>
      </c>
      <c r="E9" s="536">
        <v>219.98</v>
      </c>
      <c r="F9" s="237">
        <f t="shared" si="1"/>
        <v>220</v>
      </c>
      <c r="G9" s="536">
        <v>24.442</v>
      </c>
      <c r="H9" s="978">
        <f t="shared" si="2"/>
        <v>24</v>
      </c>
      <c r="I9" s="536">
        <v>15.554</v>
      </c>
      <c r="J9" s="978">
        <f t="shared" si="3"/>
        <v>16</v>
      </c>
      <c r="K9" s="536">
        <v>0</v>
      </c>
      <c r="L9" s="978">
        <f t="shared" si="4"/>
        <v>0</v>
      </c>
      <c r="M9" s="536">
        <v>144.43100000000001</v>
      </c>
      <c r="N9" s="237">
        <f t="shared" si="5"/>
        <v>145</v>
      </c>
      <c r="O9" s="536">
        <v>313.96499999999997</v>
      </c>
      <c r="P9" s="237">
        <f t="shared" si="6"/>
        <v>310</v>
      </c>
      <c r="Q9" s="536">
        <v>53.231000000000002</v>
      </c>
      <c r="R9" s="237">
        <f t="shared" si="7"/>
        <v>53</v>
      </c>
      <c r="S9" s="536">
        <v>3.4000000000000002E-2</v>
      </c>
      <c r="T9" s="237">
        <f t="shared" si="8"/>
        <v>0</v>
      </c>
      <c r="U9" s="536">
        <v>41.713000000000001</v>
      </c>
      <c r="V9" s="237">
        <f t="shared" si="9"/>
        <v>42</v>
      </c>
      <c r="W9" s="536">
        <v>0</v>
      </c>
      <c r="X9" s="237">
        <f t="shared" si="10"/>
        <v>0</v>
      </c>
      <c r="Y9" s="536">
        <v>8.89</v>
      </c>
      <c r="Z9" s="237">
        <f t="shared" si="11"/>
        <v>9</v>
      </c>
      <c r="AA9" s="536">
        <v>0</v>
      </c>
      <c r="AB9" s="536">
        <v>0</v>
      </c>
      <c r="AC9" s="536">
        <v>433.39600000000002</v>
      </c>
      <c r="AD9" s="536">
        <v>33.338000000000001</v>
      </c>
      <c r="AE9" s="536">
        <v>3.0000000000000001E-3</v>
      </c>
      <c r="AF9" s="536">
        <v>1.6E-2</v>
      </c>
      <c r="AG9" s="536">
        <v>1.8109999999999999</v>
      </c>
      <c r="AH9" s="665">
        <v>3.9E-2</v>
      </c>
    </row>
    <row r="10" spans="1:34" ht="15" hidden="1" customHeight="1" thickBot="1">
      <c r="A10" s="528" t="s">
        <v>453</v>
      </c>
      <c r="B10" s="529" t="s">
        <v>134</v>
      </c>
      <c r="C10" s="536">
        <v>433.06</v>
      </c>
      <c r="D10" s="237">
        <f t="shared" si="0"/>
        <v>430</v>
      </c>
      <c r="E10" s="536">
        <v>156.79599999999999</v>
      </c>
      <c r="F10" s="237">
        <f t="shared" si="1"/>
        <v>160</v>
      </c>
      <c r="G10" s="536">
        <v>17.420999999999999</v>
      </c>
      <c r="H10" s="978">
        <f t="shared" si="2"/>
        <v>17</v>
      </c>
      <c r="I10" s="536">
        <v>11.087</v>
      </c>
      <c r="J10" s="978">
        <f t="shared" si="3"/>
        <v>11</v>
      </c>
      <c r="K10" s="536">
        <v>0</v>
      </c>
      <c r="L10" s="978">
        <f t="shared" si="4"/>
        <v>0</v>
      </c>
      <c r="M10" s="536">
        <v>102.947</v>
      </c>
      <c r="N10" s="237">
        <f t="shared" si="5"/>
        <v>105</v>
      </c>
      <c r="O10" s="536">
        <v>269.62</v>
      </c>
      <c r="P10" s="237">
        <f t="shared" si="6"/>
        <v>270</v>
      </c>
      <c r="Q10" s="536">
        <v>62.423999999999999</v>
      </c>
      <c r="R10" s="237">
        <f t="shared" si="7"/>
        <v>62</v>
      </c>
      <c r="S10" s="536">
        <v>0</v>
      </c>
      <c r="T10" s="237">
        <f t="shared" si="8"/>
        <v>0</v>
      </c>
      <c r="U10" s="536">
        <v>46.98</v>
      </c>
      <c r="V10" s="237">
        <f t="shared" si="9"/>
        <v>47</v>
      </c>
      <c r="W10" s="536">
        <v>18.472000000000001</v>
      </c>
      <c r="X10" s="237">
        <f t="shared" si="10"/>
        <v>18</v>
      </c>
      <c r="Y10" s="536">
        <v>6.335</v>
      </c>
      <c r="Z10" s="237">
        <f t="shared" si="11"/>
        <v>6</v>
      </c>
      <c r="AA10" s="536">
        <v>0</v>
      </c>
      <c r="AB10" s="536">
        <v>0</v>
      </c>
      <c r="AC10" s="536">
        <v>312.94499999999999</v>
      </c>
      <c r="AD10" s="536">
        <v>24.073</v>
      </c>
      <c r="AE10" s="536">
        <v>0</v>
      </c>
      <c r="AF10" s="536">
        <v>0</v>
      </c>
      <c r="AG10" s="536">
        <v>20.524000000000001</v>
      </c>
      <c r="AH10" s="665">
        <v>0.437</v>
      </c>
    </row>
    <row r="11" spans="1:34" ht="15" hidden="1" customHeight="1" thickBot="1">
      <c r="A11" s="528" t="s">
        <v>453</v>
      </c>
      <c r="B11" s="529" t="s">
        <v>402</v>
      </c>
      <c r="C11" s="536">
        <v>452.36799999999999</v>
      </c>
      <c r="D11" s="237">
        <f t="shared" si="0"/>
        <v>450</v>
      </c>
      <c r="E11" s="536">
        <v>218.505</v>
      </c>
      <c r="F11" s="237">
        <f t="shared" si="1"/>
        <v>220</v>
      </c>
      <c r="G11" s="536">
        <v>24.277999999999999</v>
      </c>
      <c r="H11" s="978">
        <f t="shared" si="2"/>
        <v>24</v>
      </c>
      <c r="I11" s="536">
        <v>15.45</v>
      </c>
      <c r="J11" s="978">
        <f t="shared" si="3"/>
        <v>15</v>
      </c>
      <c r="K11" s="536">
        <v>0</v>
      </c>
      <c r="L11" s="978">
        <f t="shared" si="4"/>
        <v>0</v>
      </c>
      <c r="M11" s="536">
        <v>143.46299999999999</v>
      </c>
      <c r="N11" s="237">
        <f t="shared" si="5"/>
        <v>145</v>
      </c>
      <c r="O11" s="536">
        <v>313.25299999999999</v>
      </c>
      <c r="P11" s="237">
        <f t="shared" si="6"/>
        <v>310</v>
      </c>
      <c r="Q11" s="536">
        <v>53.561</v>
      </c>
      <c r="R11" s="237">
        <f t="shared" si="7"/>
        <v>54</v>
      </c>
      <c r="S11" s="536">
        <v>0</v>
      </c>
      <c r="T11" s="237">
        <f t="shared" si="8"/>
        <v>0</v>
      </c>
      <c r="U11" s="536">
        <v>41.613</v>
      </c>
      <c r="V11" s="237">
        <f t="shared" si="9"/>
        <v>42</v>
      </c>
      <c r="W11" s="536">
        <v>1.885</v>
      </c>
      <c r="X11" s="237">
        <f t="shared" si="10"/>
        <v>2</v>
      </c>
      <c r="Y11" s="536">
        <v>8.8279999999999994</v>
      </c>
      <c r="Z11" s="237">
        <f t="shared" si="11"/>
        <v>9</v>
      </c>
      <c r="AA11" s="536">
        <v>0</v>
      </c>
      <c r="AB11" s="536">
        <v>0</v>
      </c>
      <c r="AC11" s="536">
        <v>430.81400000000002</v>
      </c>
      <c r="AD11" s="536">
        <v>33.14</v>
      </c>
      <c r="AE11" s="536">
        <v>0</v>
      </c>
      <c r="AF11" s="536">
        <v>0</v>
      </c>
      <c r="AG11" s="536">
        <v>2.0059999999999998</v>
      </c>
      <c r="AH11" s="665">
        <v>4.2999999999999997E-2</v>
      </c>
    </row>
    <row r="12" spans="1:34" ht="15" hidden="1" customHeight="1" thickBot="1">
      <c r="A12" s="528" t="s">
        <v>453</v>
      </c>
      <c r="B12" s="529" t="s">
        <v>373</v>
      </c>
      <c r="C12" s="536">
        <v>451.01</v>
      </c>
      <c r="D12" s="237">
        <f t="shared" si="0"/>
        <v>450</v>
      </c>
      <c r="E12" s="536">
        <v>216.029</v>
      </c>
      <c r="F12" s="237">
        <f t="shared" si="1"/>
        <v>220</v>
      </c>
      <c r="G12" s="536">
        <v>24.003</v>
      </c>
      <c r="H12" s="978">
        <f t="shared" si="2"/>
        <v>24</v>
      </c>
      <c r="I12" s="536">
        <v>15.275</v>
      </c>
      <c r="J12" s="978">
        <f t="shared" si="3"/>
        <v>15</v>
      </c>
      <c r="K12" s="536">
        <v>0</v>
      </c>
      <c r="L12" s="978">
        <f t="shared" si="4"/>
        <v>0</v>
      </c>
      <c r="M12" s="536">
        <v>141.83699999999999</v>
      </c>
      <c r="N12" s="237">
        <f t="shared" si="5"/>
        <v>140</v>
      </c>
      <c r="O12" s="536">
        <v>338.64</v>
      </c>
      <c r="P12" s="237">
        <f t="shared" si="6"/>
        <v>340</v>
      </c>
      <c r="Q12" s="536">
        <v>52.673999999999999</v>
      </c>
      <c r="R12" s="237">
        <f t="shared" si="7"/>
        <v>53</v>
      </c>
      <c r="S12" s="536">
        <v>0</v>
      </c>
      <c r="T12" s="237">
        <f t="shared" si="8"/>
        <v>0</v>
      </c>
      <c r="U12" s="536">
        <v>41.752000000000002</v>
      </c>
      <c r="V12" s="237">
        <f t="shared" si="9"/>
        <v>42</v>
      </c>
      <c r="W12" s="536">
        <v>2.4740000000000002</v>
      </c>
      <c r="X12" s="237">
        <f t="shared" si="10"/>
        <v>2</v>
      </c>
      <c r="Y12" s="536">
        <v>8.7279999999999998</v>
      </c>
      <c r="Z12" s="237">
        <f t="shared" si="11"/>
        <v>9</v>
      </c>
      <c r="AA12" s="536">
        <v>0</v>
      </c>
      <c r="AB12" s="536">
        <v>0</v>
      </c>
      <c r="AC12" s="536">
        <v>426.24</v>
      </c>
      <c r="AD12" s="536">
        <v>32.787999999999997</v>
      </c>
      <c r="AE12" s="536">
        <v>6.4000000000000001E-2</v>
      </c>
      <c r="AF12" s="536">
        <v>0.35399999999999998</v>
      </c>
      <c r="AG12" s="536">
        <v>7.4390000000000001</v>
      </c>
      <c r="AH12" s="665">
        <v>0.158</v>
      </c>
    </row>
    <row r="13" spans="1:34" ht="15" hidden="1" customHeight="1" thickBot="1">
      <c r="A13" s="528" t="s">
        <v>453</v>
      </c>
      <c r="B13" s="529" t="s">
        <v>98</v>
      </c>
      <c r="C13" s="536">
        <v>450.44799999999998</v>
      </c>
      <c r="D13" s="237">
        <f t="shared" si="0"/>
        <v>450</v>
      </c>
      <c r="E13" s="536">
        <v>216.761</v>
      </c>
      <c r="F13" s="237">
        <f t="shared" si="1"/>
        <v>220</v>
      </c>
      <c r="G13" s="536">
        <v>24.085000000000001</v>
      </c>
      <c r="H13" s="978">
        <f t="shared" si="2"/>
        <v>24</v>
      </c>
      <c r="I13" s="536">
        <v>15.327</v>
      </c>
      <c r="J13" s="978">
        <f t="shared" si="3"/>
        <v>15</v>
      </c>
      <c r="K13" s="536">
        <v>0</v>
      </c>
      <c r="L13" s="978">
        <f t="shared" si="4"/>
        <v>0</v>
      </c>
      <c r="M13" s="536">
        <v>142.31800000000001</v>
      </c>
      <c r="N13" s="237">
        <f t="shared" si="5"/>
        <v>140</v>
      </c>
      <c r="O13" s="536">
        <v>324.56599999999997</v>
      </c>
      <c r="P13" s="237">
        <f t="shared" si="6"/>
        <v>320</v>
      </c>
      <c r="Q13" s="536">
        <v>53.417000000000002</v>
      </c>
      <c r="R13" s="237">
        <f t="shared" si="7"/>
        <v>53</v>
      </c>
      <c r="S13" s="536">
        <v>0</v>
      </c>
      <c r="T13" s="237">
        <f t="shared" si="8"/>
        <v>0</v>
      </c>
      <c r="U13" s="536">
        <v>41.823999999999998</v>
      </c>
      <c r="V13" s="237">
        <f t="shared" si="9"/>
        <v>42</v>
      </c>
      <c r="W13" s="536">
        <v>2.431</v>
      </c>
      <c r="X13" s="237">
        <f t="shared" si="10"/>
        <v>2</v>
      </c>
      <c r="Y13" s="536">
        <v>8.7579999999999991</v>
      </c>
      <c r="Z13" s="237">
        <f t="shared" si="11"/>
        <v>9</v>
      </c>
      <c r="AA13" s="536">
        <v>0</v>
      </c>
      <c r="AB13" s="536">
        <v>0</v>
      </c>
      <c r="AC13" s="536">
        <v>449.30099999999999</v>
      </c>
      <c r="AD13" s="536">
        <v>34.561999999999998</v>
      </c>
      <c r="AE13" s="536">
        <v>0</v>
      </c>
      <c r="AF13" s="536">
        <v>0</v>
      </c>
      <c r="AG13" s="536">
        <v>2.1949999999999998</v>
      </c>
      <c r="AH13" s="665">
        <v>4.7E-2</v>
      </c>
    </row>
    <row r="14" spans="1:34" ht="15" hidden="1" customHeight="1" thickBot="1">
      <c r="A14" s="528" t="s">
        <v>453</v>
      </c>
      <c r="B14" s="529" t="s">
        <v>399</v>
      </c>
      <c r="C14" s="557">
        <v>470.30399999999997</v>
      </c>
      <c r="D14" s="237">
        <f t="shared" si="0"/>
        <v>470</v>
      </c>
      <c r="E14" s="557">
        <v>195.17400000000001</v>
      </c>
      <c r="F14" s="237">
        <f t="shared" si="1"/>
        <v>200</v>
      </c>
      <c r="G14" s="557">
        <v>21.686</v>
      </c>
      <c r="H14" s="978">
        <f t="shared" si="2"/>
        <v>22</v>
      </c>
      <c r="I14" s="557">
        <v>13.012</v>
      </c>
      <c r="J14" s="978">
        <f t="shared" si="3"/>
        <v>13</v>
      </c>
      <c r="K14" s="557">
        <v>0</v>
      </c>
      <c r="L14" s="978">
        <f t="shared" si="4"/>
        <v>0</v>
      </c>
      <c r="M14" s="557">
        <v>119.273</v>
      </c>
      <c r="N14" s="237">
        <f t="shared" si="5"/>
        <v>120</v>
      </c>
      <c r="O14" s="557">
        <v>252.369</v>
      </c>
      <c r="P14" s="237">
        <f t="shared" si="6"/>
        <v>250</v>
      </c>
      <c r="Q14" s="557">
        <v>62.226999999999997</v>
      </c>
      <c r="R14" s="237">
        <f t="shared" si="7"/>
        <v>62</v>
      </c>
      <c r="S14" s="557">
        <v>0</v>
      </c>
      <c r="T14" s="237">
        <f t="shared" si="8"/>
        <v>0</v>
      </c>
      <c r="U14" s="557">
        <v>47.923999999999999</v>
      </c>
      <c r="V14" s="237">
        <f t="shared" si="9"/>
        <v>48</v>
      </c>
      <c r="W14" s="557">
        <v>2.3839999999999999</v>
      </c>
      <c r="X14" s="237">
        <f t="shared" si="10"/>
        <v>2</v>
      </c>
      <c r="Y14" s="557">
        <v>8.6739999999999995</v>
      </c>
      <c r="Z14" s="237">
        <f t="shared" si="11"/>
        <v>9</v>
      </c>
      <c r="AA14" s="557">
        <v>0</v>
      </c>
      <c r="AB14" s="557">
        <v>0</v>
      </c>
      <c r="AC14" s="557">
        <v>282.613</v>
      </c>
      <c r="AD14" s="557">
        <v>21.739000000000001</v>
      </c>
      <c r="AE14" s="557">
        <v>2.3420000000000001</v>
      </c>
      <c r="AF14" s="557">
        <v>13.012</v>
      </c>
      <c r="AG14" s="557">
        <v>2.88</v>
      </c>
      <c r="AH14" s="557">
        <v>6.0999999999999999E-2</v>
      </c>
    </row>
    <row r="15" spans="1:34" ht="15" hidden="1" customHeight="1" thickBot="1">
      <c r="A15" s="528" t="s">
        <v>453</v>
      </c>
      <c r="B15" s="529" t="s">
        <v>454</v>
      </c>
      <c r="C15" s="977">
        <v>472.733</v>
      </c>
      <c r="D15" s="237">
        <f t="shared" si="0"/>
        <v>470</v>
      </c>
      <c r="E15" s="977">
        <v>196.16900000000001</v>
      </c>
      <c r="F15" s="237">
        <f t="shared" si="1"/>
        <v>200</v>
      </c>
      <c r="G15" s="977">
        <v>21.797000000000001</v>
      </c>
      <c r="H15" s="978">
        <f t="shared" si="2"/>
        <v>22</v>
      </c>
      <c r="I15" s="977">
        <v>13.077999999999999</v>
      </c>
      <c r="J15" s="978">
        <f t="shared" si="3"/>
        <v>13</v>
      </c>
      <c r="K15" s="977">
        <v>0</v>
      </c>
      <c r="L15" s="978">
        <f t="shared" si="4"/>
        <v>0</v>
      </c>
      <c r="M15" s="977">
        <v>119.881</v>
      </c>
      <c r="N15" s="237">
        <f t="shared" si="5"/>
        <v>120</v>
      </c>
      <c r="O15" s="977">
        <v>256.839</v>
      </c>
      <c r="P15" s="237">
        <f t="shared" si="6"/>
        <v>260</v>
      </c>
      <c r="Q15" s="977">
        <v>62.204999999999998</v>
      </c>
      <c r="R15" s="237">
        <f t="shared" si="7"/>
        <v>62</v>
      </c>
      <c r="S15" s="977">
        <v>0</v>
      </c>
      <c r="T15" s="237">
        <f t="shared" si="8"/>
        <v>0</v>
      </c>
      <c r="U15" s="977">
        <v>48.155999999999999</v>
      </c>
      <c r="V15" s="237">
        <f t="shared" si="9"/>
        <v>48</v>
      </c>
      <c r="W15" s="977">
        <v>2.383</v>
      </c>
      <c r="X15" s="237">
        <f t="shared" si="10"/>
        <v>2</v>
      </c>
      <c r="Y15" s="977">
        <v>8.7189999999999994</v>
      </c>
      <c r="Z15" s="237">
        <f t="shared" si="11"/>
        <v>9</v>
      </c>
      <c r="AA15" s="977">
        <v>0</v>
      </c>
      <c r="AB15" s="977">
        <v>0</v>
      </c>
      <c r="AC15" s="977">
        <v>283.88499999999999</v>
      </c>
      <c r="AD15" s="977">
        <v>21.837</v>
      </c>
      <c r="AE15" s="977">
        <v>2.3540000000000001</v>
      </c>
      <c r="AF15" s="977">
        <v>13.077999999999999</v>
      </c>
      <c r="AG15" s="977">
        <v>2.6480000000000001</v>
      </c>
      <c r="AH15" s="977">
        <v>5.6000000000000001E-2</v>
      </c>
    </row>
    <row r="16" spans="1:34" ht="15" hidden="1" customHeight="1" thickBot="1">
      <c r="A16" s="528" t="s">
        <v>453</v>
      </c>
      <c r="B16" s="529" t="s">
        <v>397</v>
      </c>
      <c r="C16" s="557">
        <v>471.048</v>
      </c>
      <c r="D16" s="237">
        <f t="shared" si="0"/>
        <v>470</v>
      </c>
      <c r="E16" s="557">
        <v>194.72499999999999</v>
      </c>
      <c r="F16" s="237">
        <f t="shared" si="1"/>
        <v>190</v>
      </c>
      <c r="G16" s="557">
        <v>21.635999999999999</v>
      </c>
      <c r="H16" s="978">
        <f t="shared" si="2"/>
        <v>22</v>
      </c>
      <c r="I16" s="557">
        <v>12.981999999999999</v>
      </c>
      <c r="J16" s="978">
        <f t="shared" si="3"/>
        <v>13</v>
      </c>
      <c r="K16" s="557">
        <v>0</v>
      </c>
      <c r="L16" s="978">
        <f t="shared" si="4"/>
        <v>0</v>
      </c>
      <c r="M16" s="557">
        <v>118.999</v>
      </c>
      <c r="N16" s="237">
        <f t="shared" si="5"/>
        <v>120</v>
      </c>
      <c r="O16" s="557">
        <v>251.94499999999999</v>
      </c>
      <c r="P16" s="237">
        <f t="shared" si="6"/>
        <v>250</v>
      </c>
      <c r="Q16" s="557">
        <v>62.694000000000003</v>
      </c>
      <c r="R16" s="237">
        <f t="shared" si="7"/>
        <v>63</v>
      </c>
      <c r="S16" s="557">
        <v>0</v>
      </c>
      <c r="T16" s="237">
        <f t="shared" si="8"/>
        <v>0</v>
      </c>
      <c r="U16" s="557">
        <v>48.252000000000002</v>
      </c>
      <c r="V16" s="237">
        <f t="shared" si="9"/>
        <v>48</v>
      </c>
      <c r="W16" s="557">
        <v>2.8159999999999998</v>
      </c>
      <c r="X16" s="237">
        <f t="shared" si="10"/>
        <v>3</v>
      </c>
      <c r="Y16" s="557">
        <v>8.6539999999999999</v>
      </c>
      <c r="Z16" s="237">
        <f t="shared" si="11"/>
        <v>9</v>
      </c>
      <c r="AA16" s="557">
        <v>0</v>
      </c>
      <c r="AB16" s="557">
        <v>0</v>
      </c>
      <c r="AC16" s="557">
        <v>281.89600000000002</v>
      </c>
      <c r="AD16" s="557">
        <v>21.684000000000001</v>
      </c>
      <c r="AE16" s="557">
        <v>2.3370000000000002</v>
      </c>
      <c r="AF16" s="557">
        <v>12.981999999999999</v>
      </c>
      <c r="AG16" s="557">
        <v>3.129</v>
      </c>
      <c r="AH16" s="557">
        <v>6.7000000000000004E-2</v>
      </c>
    </row>
    <row r="17" spans="1:34" ht="16.3" hidden="1" thickBot="1">
      <c r="A17" s="528" t="s">
        <v>453</v>
      </c>
      <c r="B17" s="529" t="s">
        <v>136</v>
      </c>
      <c r="C17" s="536">
        <v>451.654</v>
      </c>
      <c r="D17" s="237">
        <f t="shared" si="0"/>
        <v>450</v>
      </c>
      <c r="E17" s="536">
        <v>218.154</v>
      </c>
      <c r="F17" s="237">
        <f t="shared" si="1"/>
        <v>220</v>
      </c>
      <c r="G17" s="536">
        <v>24.239000000000001</v>
      </c>
      <c r="H17" s="978">
        <f t="shared" si="2"/>
        <v>24</v>
      </c>
      <c r="I17" s="536">
        <v>15.425000000000001</v>
      </c>
      <c r="J17" s="978">
        <f t="shared" si="3"/>
        <v>15</v>
      </c>
      <c r="K17" s="536">
        <v>0</v>
      </c>
      <c r="L17" s="978">
        <f t="shared" si="4"/>
        <v>0</v>
      </c>
      <c r="M17" s="536">
        <v>143.232</v>
      </c>
      <c r="N17" s="237">
        <f t="shared" si="5"/>
        <v>145</v>
      </c>
      <c r="O17" s="536">
        <v>319.43900000000002</v>
      </c>
      <c r="P17" s="237">
        <f t="shared" si="6"/>
        <v>320</v>
      </c>
      <c r="Q17" s="536">
        <v>53.192</v>
      </c>
      <c r="R17" s="237">
        <f t="shared" si="7"/>
        <v>53</v>
      </c>
      <c r="S17" s="536">
        <v>0</v>
      </c>
      <c r="T17" s="237">
        <f t="shared" si="8"/>
        <v>0</v>
      </c>
      <c r="U17" s="536">
        <v>41.337000000000003</v>
      </c>
      <c r="V17" s="237">
        <f t="shared" si="9"/>
        <v>41</v>
      </c>
      <c r="W17" s="536">
        <v>1.673</v>
      </c>
      <c r="X17" s="237">
        <f t="shared" si="10"/>
        <v>2</v>
      </c>
      <c r="Y17" s="536">
        <v>8.8140000000000001</v>
      </c>
      <c r="Z17" s="237">
        <f t="shared" si="11"/>
        <v>9</v>
      </c>
      <c r="AA17" s="536">
        <v>0</v>
      </c>
      <c r="AB17" s="536">
        <v>0</v>
      </c>
      <c r="AC17" s="536">
        <v>430.27600000000001</v>
      </c>
      <c r="AD17" s="536">
        <v>33.097999999999999</v>
      </c>
      <c r="AE17" s="536">
        <v>6.4000000000000001E-2</v>
      </c>
      <c r="AF17" s="536">
        <v>0.35699999999999998</v>
      </c>
      <c r="AG17" s="536">
        <v>6.8209999999999997</v>
      </c>
      <c r="AH17" s="665">
        <v>0.14499999999999999</v>
      </c>
    </row>
    <row r="18" spans="1:34" s="269" customFormat="1" ht="16.3" hidden="1" thickBot="1">
      <c r="A18" s="528" t="s">
        <v>453</v>
      </c>
      <c r="B18" s="529" t="s">
        <v>36</v>
      </c>
      <c r="C18" s="754">
        <v>458.37099999999998</v>
      </c>
      <c r="D18" s="237">
        <f t="shared" si="0"/>
        <v>460</v>
      </c>
      <c r="E18" s="754">
        <v>215.04599999999999</v>
      </c>
      <c r="F18" s="237">
        <f t="shared" si="1"/>
        <v>220</v>
      </c>
      <c r="G18" s="754">
        <v>23.893999999999998</v>
      </c>
      <c r="H18" s="978">
        <f t="shared" si="2"/>
        <v>24</v>
      </c>
      <c r="I18" s="754">
        <v>15.205</v>
      </c>
      <c r="J18" s="978">
        <f t="shared" si="3"/>
        <v>15</v>
      </c>
      <c r="K18" s="754">
        <v>0</v>
      </c>
      <c r="L18" s="978">
        <f t="shared" si="4"/>
        <v>0</v>
      </c>
      <c r="M18" s="754">
        <v>141.19200000000001</v>
      </c>
      <c r="N18" s="237">
        <f t="shared" si="5"/>
        <v>140</v>
      </c>
      <c r="O18" s="754">
        <v>304.10500000000002</v>
      </c>
      <c r="P18" s="237">
        <f t="shared" si="6"/>
        <v>300</v>
      </c>
      <c r="Q18" s="754">
        <v>55.704999999999998</v>
      </c>
      <c r="R18" s="237">
        <f t="shared" si="7"/>
        <v>56</v>
      </c>
      <c r="S18" s="754">
        <v>0</v>
      </c>
      <c r="T18" s="237">
        <f t="shared" si="8"/>
        <v>0</v>
      </c>
      <c r="U18" s="754">
        <v>44.268999999999998</v>
      </c>
      <c r="V18" s="237">
        <f t="shared" si="9"/>
        <v>44</v>
      </c>
      <c r="W18" s="754">
        <v>5.17</v>
      </c>
      <c r="X18" s="237">
        <f t="shared" si="10"/>
        <v>5</v>
      </c>
      <c r="Y18" s="754">
        <v>8.6890000000000001</v>
      </c>
      <c r="Z18" s="237">
        <f t="shared" si="11"/>
        <v>9</v>
      </c>
      <c r="AA18" s="754">
        <v>0</v>
      </c>
      <c r="AB18" s="754">
        <v>0</v>
      </c>
      <c r="AC18" s="754">
        <v>424.05399999999997</v>
      </c>
      <c r="AD18" s="754">
        <v>32.65</v>
      </c>
      <c r="AE18" s="754">
        <v>0</v>
      </c>
      <c r="AF18" s="754">
        <v>0</v>
      </c>
      <c r="AG18" s="754">
        <v>4.0209999999999999</v>
      </c>
      <c r="AH18" s="754">
        <v>8.5999999999999993E-2</v>
      </c>
    </row>
    <row r="19" spans="1:34" s="269" customFormat="1" ht="16.5" hidden="1" customHeight="1" thickBot="1">
      <c r="A19" s="684"/>
      <c r="B19" s="529" t="s">
        <v>48</v>
      </c>
      <c r="C19" s="536"/>
      <c r="D19" s="975">
        <f t="shared" si="0"/>
        <v>0</v>
      </c>
      <c r="E19" s="536"/>
      <c r="F19" s="237">
        <f t="shared" si="1"/>
        <v>0</v>
      </c>
      <c r="G19" s="536"/>
      <c r="H19" s="978">
        <f t="shared" si="2"/>
        <v>0</v>
      </c>
      <c r="I19" s="536"/>
      <c r="J19" s="978">
        <f t="shared" si="3"/>
        <v>0</v>
      </c>
      <c r="K19" s="536"/>
      <c r="L19" s="978">
        <f t="shared" si="4"/>
        <v>0</v>
      </c>
      <c r="M19" s="536"/>
      <c r="N19" s="237">
        <f t="shared" si="5"/>
        <v>0</v>
      </c>
      <c r="O19" s="536"/>
      <c r="P19" s="237">
        <f t="shared" si="6"/>
        <v>0</v>
      </c>
      <c r="Q19" s="536"/>
      <c r="R19" s="237">
        <f t="shared" si="7"/>
        <v>0</v>
      </c>
      <c r="S19" s="536"/>
      <c r="T19" s="237">
        <f t="shared" si="8"/>
        <v>0</v>
      </c>
      <c r="U19" s="536"/>
      <c r="V19" s="237">
        <f t="shared" si="9"/>
        <v>0</v>
      </c>
      <c r="W19" s="536"/>
      <c r="X19" s="237">
        <f t="shared" si="10"/>
        <v>0</v>
      </c>
      <c r="Y19" s="536"/>
      <c r="Z19" s="237">
        <f t="shared" si="11"/>
        <v>0</v>
      </c>
      <c r="AA19" s="536"/>
      <c r="AB19" s="536"/>
      <c r="AC19" s="536"/>
      <c r="AD19" s="536"/>
      <c r="AE19" s="536"/>
      <c r="AF19" s="536"/>
      <c r="AG19" s="536"/>
      <c r="AH19" s="665"/>
    </row>
    <row r="20" spans="1:34" s="269" customFormat="1" ht="16.3" hidden="1" thickBot="1">
      <c r="A20" s="528" t="s">
        <v>453</v>
      </c>
      <c r="B20" s="529" t="s">
        <v>137</v>
      </c>
      <c r="C20" s="536">
        <v>456.798</v>
      </c>
      <c r="D20" s="237">
        <f t="shared" si="0"/>
        <v>460</v>
      </c>
      <c r="E20" s="536">
        <v>213.917</v>
      </c>
      <c r="F20" s="237">
        <f t="shared" si="1"/>
        <v>210</v>
      </c>
      <c r="G20" s="536">
        <v>23.768999999999998</v>
      </c>
      <c r="H20" s="978">
        <f t="shared" si="2"/>
        <v>24</v>
      </c>
      <c r="I20" s="536">
        <v>15.125</v>
      </c>
      <c r="J20" s="978">
        <f t="shared" si="3"/>
        <v>15</v>
      </c>
      <c r="K20" s="536">
        <v>0</v>
      </c>
      <c r="L20" s="978">
        <f t="shared" si="4"/>
        <v>0</v>
      </c>
      <c r="M20" s="536">
        <v>140.44999999999999</v>
      </c>
      <c r="N20" s="237">
        <f t="shared" si="5"/>
        <v>140</v>
      </c>
      <c r="O20" s="536">
        <v>305.72300000000001</v>
      </c>
      <c r="P20" s="237">
        <f t="shared" si="6"/>
        <v>310</v>
      </c>
      <c r="Q20" s="536">
        <v>54.948</v>
      </c>
      <c r="R20" s="237">
        <f t="shared" si="7"/>
        <v>55</v>
      </c>
      <c r="S20" s="536">
        <v>0</v>
      </c>
      <c r="T20" s="237">
        <f t="shared" si="8"/>
        <v>0</v>
      </c>
      <c r="U20" s="536">
        <v>41.573</v>
      </c>
      <c r="V20" s="237">
        <f t="shared" si="9"/>
        <v>42</v>
      </c>
      <c r="W20" s="536">
        <v>2.6789999999999998</v>
      </c>
      <c r="X20" s="237">
        <f t="shared" si="10"/>
        <v>3</v>
      </c>
      <c r="Y20" s="536">
        <v>8.6430000000000007</v>
      </c>
      <c r="Z20" s="237">
        <f t="shared" si="11"/>
        <v>9</v>
      </c>
      <c r="AA20" s="536">
        <v>0</v>
      </c>
      <c r="AB20" s="536">
        <v>0</v>
      </c>
      <c r="AC20" s="536">
        <v>421.673</v>
      </c>
      <c r="AD20" s="536">
        <v>32.436</v>
      </c>
      <c r="AE20" s="536">
        <v>0</v>
      </c>
      <c r="AF20" s="536">
        <v>0</v>
      </c>
      <c r="AG20" s="536">
        <v>4.2859999999999996</v>
      </c>
      <c r="AH20" s="665">
        <v>9.0999999999999998E-2</v>
      </c>
    </row>
    <row r="21" spans="1:34" ht="16.3" hidden="1" thickBot="1">
      <c r="A21" s="528" t="s">
        <v>453</v>
      </c>
      <c r="B21" s="529" t="s">
        <v>416</v>
      </c>
      <c r="C21" s="536">
        <v>453.584</v>
      </c>
      <c r="D21" s="237">
        <f t="shared" si="0"/>
        <v>450</v>
      </c>
      <c r="E21" s="536">
        <v>219.60900000000001</v>
      </c>
      <c r="F21" s="237">
        <f t="shared" si="1"/>
        <v>220</v>
      </c>
      <c r="G21" s="536">
        <v>24.401</v>
      </c>
      <c r="H21" s="978">
        <f t="shared" si="2"/>
        <v>24</v>
      </c>
      <c r="I21" s="536">
        <v>15.528</v>
      </c>
      <c r="J21" s="978">
        <f t="shared" si="3"/>
        <v>16</v>
      </c>
      <c r="K21" s="536">
        <v>0</v>
      </c>
      <c r="L21" s="978">
        <f t="shared" si="4"/>
        <v>0</v>
      </c>
      <c r="M21" s="536">
        <v>144.18799999999999</v>
      </c>
      <c r="N21" s="237">
        <f t="shared" si="5"/>
        <v>145</v>
      </c>
      <c r="O21" s="536">
        <v>310.55799999999999</v>
      </c>
      <c r="P21" s="237">
        <f t="shared" si="6"/>
        <v>310</v>
      </c>
      <c r="Q21" s="536">
        <v>53.106000000000002</v>
      </c>
      <c r="R21" s="237">
        <f t="shared" si="7"/>
        <v>53</v>
      </c>
      <c r="S21" s="536">
        <v>0</v>
      </c>
      <c r="T21" s="237">
        <f t="shared" si="8"/>
        <v>0</v>
      </c>
      <c r="U21" s="536">
        <v>41.567</v>
      </c>
      <c r="V21" s="237">
        <f t="shared" si="9"/>
        <v>42</v>
      </c>
      <c r="W21" s="536">
        <v>1.6379999999999999</v>
      </c>
      <c r="X21" s="237">
        <f t="shared" si="10"/>
        <v>2</v>
      </c>
      <c r="Y21" s="536">
        <v>8.8729999999999993</v>
      </c>
      <c r="Z21" s="237">
        <f t="shared" si="11"/>
        <v>9</v>
      </c>
      <c r="AA21" s="536">
        <v>0</v>
      </c>
      <c r="AB21" s="536">
        <v>0</v>
      </c>
      <c r="AC21" s="536">
        <v>432.81099999999998</v>
      </c>
      <c r="AD21" s="536">
        <v>33.292999999999999</v>
      </c>
      <c r="AE21" s="536">
        <v>0</v>
      </c>
      <c r="AF21" s="536">
        <v>0</v>
      </c>
      <c r="AG21" s="536">
        <v>2.1349999999999998</v>
      </c>
      <c r="AH21" s="665">
        <v>4.4999999999999998E-2</v>
      </c>
    </row>
    <row r="22" spans="1:34" ht="16.5" hidden="1" customHeight="1" thickBot="1">
      <c r="A22" s="684"/>
      <c r="B22" s="529" t="s">
        <v>139</v>
      </c>
      <c r="C22" s="536"/>
      <c r="D22" s="975">
        <f t="shared" si="0"/>
        <v>0</v>
      </c>
      <c r="E22" s="536"/>
      <c r="F22" s="237">
        <f t="shared" si="1"/>
        <v>0</v>
      </c>
      <c r="G22" s="536"/>
      <c r="H22" s="978">
        <f t="shared" si="2"/>
        <v>0</v>
      </c>
      <c r="I22" s="536"/>
      <c r="J22" s="978">
        <f t="shared" si="3"/>
        <v>0</v>
      </c>
      <c r="K22" s="536"/>
      <c r="L22" s="978">
        <f t="shared" si="4"/>
        <v>0</v>
      </c>
      <c r="M22" s="536"/>
      <c r="N22" s="237">
        <f t="shared" si="5"/>
        <v>0</v>
      </c>
      <c r="O22" s="536"/>
      <c r="P22" s="237">
        <f t="shared" si="6"/>
        <v>0</v>
      </c>
      <c r="Q22" s="536"/>
      <c r="R22" s="237">
        <f t="shared" si="7"/>
        <v>0</v>
      </c>
      <c r="S22" s="536"/>
      <c r="T22" s="237">
        <f t="shared" si="8"/>
        <v>0</v>
      </c>
      <c r="U22" s="536"/>
      <c r="V22" s="237">
        <f t="shared" si="9"/>
        <v>0</v>
      </c>
      <c r="W22" s="536"/>
      <c r="X22" s="237">
        <f t="shared" si="10"/>
        <v>0</v>
      </c>
      <c r="Y22" s="536"/>
      <c r="Z22" s="237">
        <f t="shared" si="11"/>
        <v>0</v>
      </c>
      <c r="AA22" s="536"/>
      <c r="AB22" s="536"/>
      <c r="AC22" s="536"/>
      <c r="AD22" s="536"/>
      <c r="AE22" s="536"/>
      <c r="AF22" s="536"/>
      <c r="AG22" s="536"/>
      <c r="AH22" s="665"/>
    </row>
    <row r="23" spans="1:34" ht="16.3" hidden="1" thickBot="1">
      <c r="A23" s="528" t="s">
        <v>453</v>
      </c>
      <c r="B23" s="529" t="s">
        <v>403</v>
      </c>
      <c r="C23" s="557">
        <v>452.63900000000001</v>
      </c>
      <c r="D23" s="237">
        <f t="shared" si="0"/>
        <v>450</v>
      </c>
      <c r="E23" s="557">
        <v>219.846</v>
      </c>
      <c r="F23" s="237">
        <f t="shared" si="1"/>
        <v>220</v>
      </c>
      <c r="G23" s="557">
        <v>24.427</v>
      </c>
      <c r="H23" s="978">
        <f t="shared" si="2"/>
        <v>24</v>
      </c>
      <c r="I23" s="557">
        <v>15.545</v>
      </c>
      <c r="J23" s="978">
        <f t="shared" si="3"/>
        <v>16</v>
      </c>
      <c r="K23" s="557">
        <v>0</v>
      </c>
      <c r="L23" s="978">
        <f t="shared" si="4"/>
        <v>0</v>
      </c>
      <c r="M23" s="557">
        <v>144.34299999999999</v>
      </c>
      <c r="N23" s="237">
        <f t="shared" si="5"/>
        <v>145</v>
      </c>
      <c r="O23" s="557">
        <v>312.31099999999998</v>
      </c>
      <c r="P23" s="237">
        <f t="shared" si="6"/>
        <v>310</v>
      </c>
      <c r="Q23" s="557">
        <v>52.682000000000002</v>
      </c>
      <c r="R23" s="237">
        <f t="shared" si="7"/>
        <v>53</v>
      </c>
      <c r="S23" s="557">
        <v>0</v>
      </c>
      <c r="T23" s="237">
        <f t="shared" si="8"/>
        <v>0</v>
      </c>
      <c r="U23" s="557">
        <v>41.201000000000001</v>
      </c>
      <c r="V23" s="237">
        <f t="shared" si="9"/>
        <v>41</v>
      </c>
      <c r="W23" s="557">
        <v>1.1339999999999999</v>
      </c>
      <c r="X23" s="237">
        <f t="shared" si="10"/>
        <v>1</v>
      </c>
      <c r="Y23" s="557">
        <v>8.8829999999999991</v>
      </c>
      <c r="Z23" s="237">
        <f t="shared" si="11"/>
        <v>9</v>
      </c>
      <c r="AA23" s="557">
        <v>0</v>
      </c>
      <c r="AB23" s="557">
        <v>0</v>
      </c>
      <c r="AC23" s="557">
        <v>433.36</v>
      </c>
      <c r="AD23" s="557">
        <v>33.335000000000001</v>
      </c>
      <c r="AE23" s="557">
        <v>0</v>
      </c>
      <c r="AF23" s="557">
        <v>0</v>
      </c>
      <c r="AG23" s="557">
        <v>3.024</v>
      </c>
      <c r="AH23" s="557">
        <v>6.4000000000000001E-2</v>
      </c>
    </row>
    <row r="24" spans="1:34" ht="16.3" hidden="1" thickBot="1">
      <c r="A24" s="528" t="s">
        <v>453</v>
      </c>
      <c r="B24" s="529" t="s">
        <v>139</v>
      </c>
      <c r="C24" s="754">
        <v>453.584</v>
      </c>
      <c r="D24" s="237">
        <f t="shared" si="0"/>
        <v>450</v>
      </c>
      <c r="E24" s="754">
        <v>212.24600000000001</v>
      </c>
      <c r="F24" s="237">
        <f t="shared" si="1"/>
        <v>210</v>
      </c>
      <c r="G24" s="754">
        <v>23.582999999999998</v>
      </c>
      <c r="H24" s="978">
        <f t="shared" si="2"/>
        <v>24</v>
      </c>
      <c r="I24" s="754">
        <v>15.007</v>
      </c>
      <c r="J24" s="978">
        <f t="shared" si="3"/>
        <v>15</v>
      </c>
      <c r="K24" s="754">
        <v>0</v>
      </c>
      <c r="L24" s="978">
        <f t="shared" si="4"/>
        <v>0</v>
      </c>
      <c r="M24" s="754">
        <v>139.35300000000001</v>
      </c>
      <c r="N24" s="237">
        <f t="shared" si="5"/>
        <v>140</v>
      </c>
      <c r="O24" s="754">
        <v>304.48599999999999</v>
      </c>
      <c r="P24" s="237">
        <f t="shared" si="6"/>
        <v>300</v>
      </c>
      <c r="Q24" s="754">
        <v>54.023000000000003</v>
      </c>
      <c r="R24" s="237">
        <f t="shared" si="7"/>
        <v>54</v>
      </c>
      <c r="S24" s="754">
        <v>0</v>
      </c>
      <c r="T24" s="237">
        <f t="shared" si="8"/>
        <v>0</v>
      </c>
      <c r="U24" s="754">
        <v>41.442999999999998</v>
      </c>
      <c r="V24" s="237">
        <f t="shared" si="9"/>
        <v>41</v>
      </c>
      <c r="W24" s="754">
        <v>2.8530000000000002</v>
      </c>
      <c r="X24" s="237">
        <f t="shared" si="10"/>
        <v>3</v>
      </c>
      <c r="Y24" s="754">
        <v>8.5760000000000005</v>
      </c>
      <c r="Z24" s="237">
        <f t="shared" si="11"/>
        <v>9</v>
      </c>
      <c r="AA24" s="754">
        <v>0</v>
      </c>
      <c r="AB24" s="754">
        <v>0</v>
      </c>
      <c r="AC24" s="754">
        <v>418.80399999999997</v>
      </c>
      <c r="AD24" s="754">
        <v>32.216000000000001</v>
      </c>
      <c r="AE24" s="754">
        <v>0</v>
      </c>
      <c r="AF24" s="754">
        <v>0</v>
      </c>
      <c r="AG24" s="754">
        <v>3.7210000000000001</v>
      </c>
      <c r="AH24" s="754">
        <v>7.9000000000000001E-2</v>
      </c>
    </row>
    <row r="25" spans="1:34" ht="16.3" hidden="1" thickBot="1">
      <c r="A25" s="528" t="s">
        <v>453</v>
      </c>
      <c r="B25" s="529" t="s">
        <v>140</v>
      </c>
      <c r="C25" s="754">
        <v>450.88400000000001</v>
      </c>
      <c r="D25" s="237">
        <f t="shared" si="0"/>
        <v>450</v>
      </c>
      <c r="E25" s="754">
        <v>215.61500000000001</v>
      </c>
      <c r="F25" s="237">
        <f t="shared" si="1"/>
        <v>220</v>
      </c>
      <c r="G25" s="754">
        <v>23.957000000000001</v>
      </c>
      <c r="H25" s="978">
        <f t="shared" si="2"/>
        <v>24</v>
      </c>
      <c r="I25" s="754">
        <v>15.244999999999999</v>
      </c>
      <c r="J25" s="978">
        <f t="shared" si="3"/>
        <v>15</v>
      </c>
      <c r="K25" s="754">
        <v>0</v>
      </c>
      <c r="L25" s="978">
        <f t="shared" si="4"/>
        <v>0</v>
      </c>
      <c r="M25" s="754">
        <v>141.565</v>
      </c>
      <c r="N25" s="237">
        <f t="shared" si="5"/>
        <v>140</v>
      </c>
      <c r="O25" s="754">
        <v>314.80900000000003</v>
      </c>
      <c r="P25" s="237">
        <f t="shared" si="6"/>
        <v>310</v>
      </c>
      <c r="Q25" s="754">
        <v>51.262</v>
      </c>
      <c r="R25" s="237">
        <f t="shared" si="7"/>
        <v>51</v>
      </c>
      <c r="S25" s="754">
        <v>0</v>
      </c>
      <c r="T25" s="237">
        <f t="shared" si="8"/>
        <v>0</v>
      </c>
      <c r="U25" s="754">
        <v>41.542999999999999</v>
      </c>
      <c r="V25" s="237">
        <f t="shared" si="9"/>
        <v>42</v>
      </c>
      <c r="W25" s="754">
        <v>2.34</v>
      </c>
      <c r="X25" s="237">
        <f t="shared" si="10"/>
        <v>2</v>
      </c>
      <c r="Y25" s="754">
        <v>8.7119999999999997</v>
      </c>
      <c r="Z25" s="237">
        <f t="shared" si="11"/>
        <v>9</v>
      </c>
      <c r="AA25" s="754">
        <v>0</v>
      </c>
      <c r="AB25" s="754">
        <v>0</v>
      </c>
      <c r="AC25" s="754">
        <v>425.23500000000001</v>
      </c>
      <c r="AD25" s="754">
        <v>32.71</v>
      </c>
      <c r="AE25" s="754">
        <v>0</v>
      </c>
      <c r="AF25" s="754">
        <v>0</v>
      </c>
      <c r="AG25" s="754">
        <v>2.79</v>
      </c>
      <c r="AH25" s="754">
        <v>5.8999999999999997E-2</v>
      </c>
    </row>
    <row r="26" spans="1:34" ht="16.3" hidden="1" thickBot="1">
      <c r="A26" s="528" t="s">
        <v>453</v>
      </c>
      <c r="B26" s="529" t="s">
        <v>398</v>
      </c>
      <c r="C26" s="741">
        <v>450.48599999999999</v>
      </c>
      <c r="D26" s="237">
        <f t="shared" si="0"/>
        <v>450</v>
      </c>
      <c r="E26" s="741">
        <v>214.30199999999999</v>
      </c>
      <c r="F26" s="237">
        <f t="shared" si="1"/>
        <v>210</v>
      </c>
      <c r="G26" s="741">
        <v>23.811</v>
      </c>
      <c r="H26" s="978">
        <f t="shared" si="2"/>
        <v>24</v>
      </c>
      <c r="I26" s="741">
        <v>15.153</v>
      </c>
      <c r="J26" s="978">
        <f t="shared" si="3"/>
        <v>15</v>
      </c>
      <c r="K26" s="741">
        <v>0</v>
      </c>
      <c r="L26" s="978">
        <f t="shared" si="4"/>
        <v>0</v>
      </c>
      <c r="M26" s="741">
        <v>140.703</v>
      </c>
      <c r="N26" s="237">
        <f t="shared" si="5"/>
        <v>140</v>
      </c>
      <c r="O26" s="741">
        <v>317.25400000000002</v>
      </c>
      <c r="P26" s="237">
        <f t="shared" si="6"/>
        <v>320</v>
      </c>
      <c r="Q26" s="741">
        <v>52.362000000000002</v>
      </c>
      <c r="R26" s="237">
        <f t="shared" si="7"/>
        <v>52</v>
      </c>
      <c r="S26" s="741">
        <v>0</v>
      </c>
      <c r="T26" s="237">
        <f t="shared" si="8"/>
        <v>0</v>
      </c>
      <c r="U26" s="741">
        <v>41.649000000000001</v>
      </c>
      <c r="V26" s="237">
        <f t="shared" si="9"/>
        <v>42</v>
      </c>
      <c r="W26" s="741">
        <v>2.6850000000000001</v>
      </c>
      <c r="X26" s="237">
        <f t="shared" si="10"/>
        <v>3</v>
      </c>
      <c r="Y26" s="741">
        <v>8.6590000000000007</v>
      </c>
      <c r="Z26" s="237">
        <f t="shared" si="11"/>
        <v>9</v>
      </c>
      <c r="AA26" s="741">
        <v>0</v>
      </c>
      <c r="AB26" s="741">
        <v>0</v>
      </c>
      <c r="AC26" s="741">
        <v>422.87099999999998</v>
      </c>
      <c r="AD26" s="741">
        <v>32.529000000000003</v>
      </c>
      <c r="AE26" s="741">
        <v>4.7E-2</v>
      </c>
      <c r="AF26" s="741">
        <v>0.26300000000000001</v>
      </c>
      <c r="AG26" s="741">
        <v>6.7539999999999996</v>
      </c>
      <c r="AH26" s="741">
        <v>0.14399999999999999</v>
      </c>
    </row>
    <row r="27" spans="1:34" ht="16.3" hidden="1" thickBot="1">
      <c r="A27" s="528" t="s">
        <v>453</v>
      </c>
      <c r="B27" s="529" t="s">
        <v>141</v>
      </c>
      <c r="C27" s="741">
        <v>451.57900000000001</v>
      </c>
      <c r="D27" s="237">
        <f t="shared" si="0"/>
        <v>450</v>
      </c>
      <c r="E27" s="741">
        <v>217.90600000000001</v>
      </c>
      <c r="F27" s="237">
        <f t="shared" si="1"/>
        <v>220</v>
      </c>
      <c r="G27" s="741">
        <v>24.212</v>
      </c>
      <c r="H27" s="978">
        <f t="shared" si="2"/>
        <v>24</v>
      </c>
      <c r="I27" s="741">
        <v>15.407999999999999</v>
      </c>
      <c r="J27" s="978">
        <f t="shared" si="3"/>
        <v>15</v>
      </c>
      <c r="K27" s="741">
        <v>0</v>
      </c>
      <c r="L27" s="978">
        <f t="shared" si="4"/>
        <v>0</v>
      </c>
      <c r="M27" s="741">
        <v>143.07</v>
      </c>
      <c r="N27" s="237">
        <f t="shared" si="5"/>
        <v>145</v>
      </c>
      <c r="O27" s="741">
        <v>375.66800000000001</v>
      </c>
      <c r="P27" s="237">
        <f t="shared" si="6"/>
        <v>380</v>
      </c>
      <c r="Q27" s="741">
        <v>50.625</v>
      </c>
      <c r="R27" s="237">
        <f t="shared" si="7"/>
        <v>51</v>
      </c>
      <c r="S27" s="754">
        <v>0</v>
      </c>
      <c r="T27" s="237">
        <f t="shared" si="8"/>
        <v>0</v>
      </c>
      <c r="U27" s="754">
        <v>42.093000000000004</v>
      </c>
      <c r="V27" s="237">
        <f t="shared" si="9"/>
        <v>42</v>
      </c>
      <c r="W27" s="741">
        <v>2.4729999999999999</v>
      </c>
      <c r="X27" s="237">
        <f t="shared" si="10"/>
        <v>2</v>
      </c>
      <c r="Y27" s="741">
        <v>8.8040000000000003</v>
      </c>
      <c r="Z27" s="237">
        <f t="shared" si="11"/>
        <v>9</v>
      </c>
      <c r="AA27" s="741">
        <v>0</v>
      </c>
      <c r="AB27" s="741">
        <v>0</v>
      </c>
      <c r="AC27" s="741">
        <v>429.67700000000002</v>
      </c>
      <c r="AD27" s="741">
        <v>33.052</v>
      </c>
      <c r="AE27" s="741">
        <v>0</v>
      </c>
      <c r="AF27" s="741">
        <v>0</v>
      </c>
      <c r="AG27" s="741">
        <v>2.0720000000000001</v>
      </c>
      <c r="AH27" s="741">
        <v>4.3999999999999997E-2</v>
      </c>
    </row>
    <row r="28" spans="1:34" ht="16.3" hidden="1" thickBot="1">
      <c r="A28" s="528" t="s">
        <v>453</v>
      </c>
      <c r="B28" s="529" t="s">
        <v>142</v>
      </c>
      <c r="C28" s="741">
        <v>473.589</v>
      </c>
      <c r="D28" s="237">
        <f t="shared" si="0"/>
        <v>470</v>
      </c>
      <c r="E28" s="741">
        <v>198.096</v>
      </c>
      <c r="F28" s="237">
        <f t="shared" si="1"/>
        <v>200</v>
      </c>
      <c r="G28" s="741">
        <v>22.010999999999999</v>
      </c>
      <c r="H28" s="978">
        <f t="shared" si="2"/>
        <v>22</v>
      </c>
      <c r="I28" s="741">
        <v>13.206</v>
      </c>
      <c r="J28" s="978">
        <f t="shared" si="3"/>
        <v>13</v>
      </c>
      <c r="K28" s="741">
        <v>0</v>
      </c>
      <c r="L28" s="978">
        <f t="shared" si="4"/>
        <v>0</v>
      </c>
      <c r="M28" s="741">
        <v>121.059</v>
      </c>
      <c r="N28" s="237">
        <f t="shared" si="5"/>
        <v>120</v>
      </c>
      <c r="O28" s="741">
        <v>320.64100000000002</v>
      </c>
      <c r="P28" s="237">
        <f t="shared" si="6"/>
        <v>320</v>
      </c>
      <c r="Q28" s="741">
        <v>59.429000000000002</v>
      </c>
      <c r="R28" s="237">
        <f t="shared" si="7"/>
        <v>59</v>
      </c>
      <c r="S28" s="754">
        <v>0</v>
      </c>
      <c r="T28" s="237">
        <f t="shared" si="8"/>
        <v>0</v>
      </c>
      <c r="U28" s="754">
        <v>48.695999999999998</v>
      </c>
      <c r="V28" s="237">
        <f t="shared" si="9"/>
        <v>49</v>
      </c>
      <c r="W28" s="741">
        <v>2.4729999999999999</v>
      </c>
      <c r="X28" s="237">
        <f t="shared" si="10"/>
        <v>2</v>
      </c>
      <c r="Y28" s="741">
        <v>8.8040000000000003</v>
      </c>
      <c r="Z28" s="237">
        <f t="shared" si="11"/>
        <v>9</v>
      </c>
      <c r="AA28" s="741">
        <v>0</v>
      </c>
      <c r="AB28" s="741">
        <v>0</v>
      </c>
      <c r="AC28" s="741">
        <v>286.60700000000003</v>
      </c>
      <c r="AD28" s="741">
        <v>22.047000000000001</v>
      </c>
      <c r="AE28" s="741">
        <v>2.3769999999999998</v>
      </c>
      <c r="AF28" s="741">
        <v>13.207000000000001</v>
      </c>
      <c r="AG28" s="741">
        <v>2.0720000000000001</v>
      </c>
      <c r="AH28" s="741">
        <v>4.3999999999999997E-2</v>
      </c>
    </row>
    <row r="29" spans="1:34" ht="16.3" hidden="1" thickBot="1">
      <c r="A29" s="528" t="s">
        <v>453</v>
      </c>
      <c r="B29" s="529" t="s">
        <v>66</v>
      </c>
      <c r="C29" s="741">
        <v>451.03399999999999</v>
      </c>
      <c r="D29" s="237">
        <f t="shared" si="0"/>
        <v>450</v>
      </c>
      <c r="E29" s="741">
        <v>218.21199999999999</v>
      </c>
      <c r="F29" s="237">
        <f t="shared" si="1"/>
        <v>220</v>
      </c>
      <c r="G29" s="741">
        <v>24.245999999999999</v>
      </c>
      <c r="H29" s="978">
        <f t="shared" si="2"/>
        <v>24</v>
      </c>
      <c r="I29" s="741">
        <v>15.429</v>
      </c>
      <c r="J29" s="978">
        <f t="shared" si="3"/>
        <v>15</v>
      </c>
      <c r="K29" s="741">
        <v>0</v>
      </c>
      <c r="L29" s="978">
        <f t="shared" si="4"/>
        <v>0</v>
      </c>
      <c r="M29" s="741">
        <v>143.27099999999999</v>
      </c>
      <c r="N29" s="237">
        <f t="shared" si="5"/>
        <v>145</v>
      </c>
      <c r="O29" s="741">
        <v>310.49599999999998</v>
      </c>
      <c r="P29" s="237">
        <f t="shared" si="6"/>
        <v>310</v>
      </c>
      <c r="Q29" s="741">
        <v>53.31</v>
      </c>
      <c r="R29" s="237">
        <f t="shared" si="7"/>
        <v>53</v>
      </c>
      <c r="S29" s="754">
        <v>0</v>
      </c>
      <c r="T29" s="237">
        <f t="shared" si="8"/>
        <v>0</v>
      </c>
      <c r="U29" s="754">
        <v>41.396000000000001</v>
      </c>
      <c r="V29" s="237">
        <f t="shared" si="9"/>
        <v>41</v>
      </c>
      <c r="W29" s="741">
        <v>1.7210000000000001</v>
      </c>
      <c r="X29" s="237">
        <f t="shared" si="10"/>
        <v>2</v>
      </c>
      <c r="Y29" s="741">
        <v>8.8170000000000002</v>
      </c>
      <c r="Z29" s="237">
        <f t="shared" si="11"/>
        <v>9</v>
      </c>
      <c r="AA29" s="741">
        <v>0</v>
      </c>
      <c r="AB29" s="741">
        <v>0</v>
      </c>
      <c r="AC29" s="741">
        <v>430.19499999999999</v>
      </c>
      <c r="AD29" s="741">
        <v>33.091999999999999</v>
      </c>
      <c r="AE29" s="741">
        <v>0</v>
      </c>
      <c r="AF29" s="741">
        <v>0</v>
      </c>
      <c r="AG29" s="741">
        <v>1.913</v>
      </c>
      <c r="AH29" s="741">
        <v>4.1000000000000002E-2</v>
      </c>
    </row>
    <row r="30" spans="1:34" ht="16.3" hidden="1" thickBot="1">
      <c r="A30" s="528" t="s">
        <v>453</v>
      </c>
      <c r="B30" s="529" t="s">
        <v>117</v>
      </c>
      <c r="C30" s="741">
        <v>448.541</v>
      </c>
      <c r="D30" s="237">
        <f t="shared" si="0"/>
        <v>450</v>
      </c>
      <c r="E30" s="741">
        <v>213.511</v>
      </c>
      <c r="F30" s="237">
        <f t="shared" si="1"/>
        <v>210</v>
      </c>
      <c r="G30" s="741">
        <v>23.722999999999999</v>
      </c>
      <c r="H30" s="978">
        <f t="shared" si="2"/>
        <v>24</v>
      </c>
      <c r="I30" s="741">
        <v>15.097</v>
      </c>
      <c r="J30" s="978">
        <f t="shared" si="3"/>
        <v>15</v>
      </c>
      <c r="K30" s="741">
        <v>0</v>
      </c>
      <c r="L30" s="978">
        <f t="shared" si="4"/>
        <v>0</v>
      </c>
      <c r="M30" s="741">
        <v>140.184</v>
      </c>
      <c r="N30" s="237">
        <f t="shared" si="5"/>
        <v>140</v>
      </c>
      <c r="O30" s="741">
        <v>305.27199999999999</v>
      </c>
      <c r="P30" s="237">
        <f t="shared" si="6"/>
        <v>310</v>
      </c>
      <c r="Q30" s="741">
        <v>53.981999999999999</v>
      </c>
      <c r="R30" s="237">
        <f t="shared" si="7"/>
        <v>54</v>
      </c>
      <c r="S30" s="754">
        <v>0</v>
      </c>
      <c r="T30" s="237">
        <f t="shared" si="8"/>
        <v>0</v>
      </c>
      <c r="U30" s="754">
        <v>41.646000000000001</v>
      </c>
      <c r="V30" s="237">
        <f t="shared" si="9"/>
        <v>42</v>
      </c>
      <c r="W30" s="741">
        <v>2.8260000000000001</v>
      </c>
      <c r="X30" s="237">
        <f t="shared" si="10"/>
        <v>3</v>
      </c>
      <c r="Y30" s="741">
        <v>8.6270000000000007</v>
      </c>
      <c r="Z30" s="237">
        <f t="shared" si="11"/>
        <v>9</v>
      </c>
      <c r="AA30" s="741">
        <v>0</v>
      </c>
      <c r="AB30" s="741">
        <v>0</v>
      </c>
      <c r="AC30" s="741">
        <v>421.27800000000002</v>
      </c>
      <c r="AD30" s="741">
        <v>32.405999999999999</v>
      </c>
      <c r="AE30" s="741">
        <v>0</v>
      </c>
      <c r="AF30" s="741">
        <v>0</v>
      </c>
      <c r="AG30" s="741">
        <v>3.278</v>
      </c>
      <c r="AH30" s="741">
        <v>7.0000000000000007E-2</v>
      </c>
    </row>
    <row r="31" spans="1:34" ht="16.3" hidden="1" thickBot="1">
      <c r="A31" s="501" t="s">
        <v>143</v>
      </c>
      <c r="B31" s="937" t="s">
        <v>160</v>
      </c>
      <c r="C31" s="938">
        <v>118.566</v>
      </c>
      <c r="D31" s="237">
        <f t="shared" ref="D31:D50" si="12">MROUND(C31,10)</f>
        <v>120</v>
      </c>
      <c r="E31" s="938">
        <v>40.506</v>
      </c>
      <c r="F31" s="220">
        <f>MROUND(E31,5)</f>
        <v>40</v>
      </c>
      <c r="G31" s="938">
        <v>4.5010000000000003</v>
      </c>
      <c r="H31" s="941">
        <f>MROUND(G31,0.5)</f>
        <v>4.5</v>
      </c>
      <c r="I31" s="938">
        <v>3.8149999999999999</v>
      </c>
      <c r="J31" s="221">
        <f>MROUND(I31,1)</f>
        <v>4</v>
      </c>
      <c r="K31" s="938">
        <v>0</v>
      </c>
      <c r="L31" s="221">
        <v>0</v>
      </c>
      <c r="M31" s="938">
        <v>0.11899999999999999</v>
      </c>
      <c r="N31" s="221">
        <v>0</v>
      </c>
      <c r="O31" s="938">
        <v>2.024</v>
      </c>
      <c r="P31" s="220">
        <v>0</v>
      </c>
      <c r="Q31" s="938">
        <v>18.789000000000001</v>
      </c>
      <c r="R31" s="221">
        <f t="shared" ref="R31:R50" si="13">MROUND(Q31,1)</f>
        <v>19</v>
      </c>
      <c r="S31" s="938">
        <v>4.8000000000000001E-2</v>
      </c>
      <c r="T31" s="221">
        <v>0</v>
      </c>
      <c r="U31" s="938">
        <v>11.454000000000001</v>
      </c>
      <c r="V31" s="221">
        <f t="shared" ref="V31:V49" si="14">MROUND(U31,1)</f>
        <v>11</v>
      </c>
      <c r="W31" s="938">
        <v>0</v>
      </c>
      <c r="X31" s="221">
        <v>0</v>
      </c>
      <c r="Y31" s="938">
        <v>0</v>
      </c>
      <c r="Z31" s="221">
        <v>0</v>
      </c>
      <c r="AA31" s="938">
        <v>0</v>
      </c>
      <c r="AB31" s="938">
        <v>0</v>
      </c>
      <c r="AC31" s="938">
        <v>0.47599999999999998</v>
      </c>
      <c r="AD31" s="938">
        <v>3.6999999999999998E-2</v>
      </c>
      <c r="AE31" s="938">
        <v>0</v>
      </c>
      <c r="AF31" s="938">
        <v>0</v>
      </c>
      <c r="AG31" s="938">
        <v>0</v>
      </c>
      <c r="AH31" s="939">
        <v>0</v>
      </c>
    </row>
    <row r="32" spans="1:34" ht="16.3" hidden="1" thickBot="1">
      <c r="A32" s="501" t="s">
        <v>143</v>
      </c>
      <c r="B32" s="937" t="s">
        <v>161</v>
      </c>
      <c r="C32" s="536">
        <v>119.82</v>
      </c>
      <c r="D32" s="237">
        <f t="shared" si="12"/>
        <v>120</v>
      </c>
      <c r="E32" s="536">
        <v>42.917000000000002</v>
      </c>
      <c r="F32" s="220">
        <f>MROUND(E32,5)</f>
        <v>45</v>
      </c>
      <c r="G32" s="536">
        <v>4.7690000000000001</v>
      </c>
      <c r="H32" s="941">
        <f>MROUND(G32,0.5)</f>
        <v>5</v>
      </c>
      <c r="I32" s="536">
        <v>4.0419999999999998</v>
      </c>
      <c r="J32" s="221">
        <f>MROUND(I32,1)</f>
        <v>4</v>
      </c>
      <c r="K32" s="536">
        <v>0</v>
      </c>
      <c r="L32" s="221">
        <v>0</v>
      </c>
      <c r="M32" s="536">
        <v>0.126</v>
      </c>
      <c r="N32" s="221">
        <v>0</v>
      </c>
      <c r="O32" s="536">
        <v>2.145</v>
      </c>
      <c r="P32" s="220">
        <v>0</v>
      </c>
      <c r="Q32" s="536">
        <v>19.68</v>
      </c>
      <c r="R32" s="221">
        <f t="shared" si="13"/>
        <v>20</v>
      </c>
      <c r="S32" s="536">
        <v>0.05</v>
      </c>
      <c r="T32" s="221">
        <v>0</v>
      </c>
      <c r="U32" s="536">
        <v>12.135999999999999</v>
      </c>
      <c r="V32" s="195">
        <f t="shared" si="14"/>
        <v>12</v>
      </c>
      <c r="W32" s="536">
        <v>12.135999999999999</v>
      </c>
      <c r="X32" s="221">
        <f>MROUND(W32,1)</f>
        <v>12</v>
      </c>
      <c r="Y32" s="536">
        <v>0</v>
      </c>
      <c r="Z32" s="221">
        <v>0</v>
      </c>
      <c r="AA32" s="536">
        <v>0</v>
      </c>
      <c r="AB32" s="536">
        <v>0</v>
      </c>
      <c r="AC32" s="536">
        <v>0.505</v>
      </c>
      <c r="AD32" s="536">
        <v>3.9E-2</v>
      </c>
      <c r="AE32" s="536">
        <v>0</v>
      </c>
      <c r="AF32" s="536">
        <v>0</v>
      </c>
      <c r="AG32" s="536">
        <v>0.27800000000000002</v>
      </c>
      <c r="AH32" s="536">
        <v>6.0000000000000001E-3</v>
      </c>
    </row>
    <row r="33" spans="1:34" ht="18.899999999999999" hidden="1" thickBot="1">
      <c r="A33" s="501" t="s">
        <v>143</v>
      </c>
      <c r="B33" s="501" t="s">
        <v>455</v>
      </c>
      <c r="C33" s="555">
        <v>100.735</v>
      </c>
      <c r="D33" s="237">
        <f t="shared" si="12"/>
        <v>100</v>
      </c>
      <c r="E33" s="555">
        <v>0.747</v>
      </c>
      <c r="F33" s="221">
        <v>0</v>
      </c>
      <c r="G33" s="555">
        <v>8.3000000000000004E-2</v>
      </c>
      <c r="H33" s="942">
        <v>0</v>
      </c>
      <c r="I33" s="555">
        <v>0</v>
      </c>
      <c r="J33" s="221">
        <v>0</v>
      </c>
      <c r="K33" s="555">
        <v>0</v>
      </c>
      <c r="L33" s="221">
        <v>0</v>
      </c>
      <c r="M33" s="555">
        <v>0</v>
      </c>
      <c r="N33" s="221">
        <v>0</v>
      </c>
      <c r="O33" s="555">
        <v>22.035</v>
      </c>
      <c r="P33" s="943">
        <f>MROUND(O33,5)</f>
        <v>20</v>
      </c>
      <c r="Q33" s="555">
        <v>25.366</v>
      </c>
      <c r="R33" s="221">
        <f t="shared" si="13"/>
        <v>25</v>
      </c>
      <c r="S33" s="555">
        <v>0.60399999999999998</v>
      </c>
      <c r="T33" s="945" t="s">
        <v>456</v>
      </c>
      <c r="U33" s="555">
        <v>19.568999999999999</v>
      </c>
      <c r="V33" s="195">
        <f t="shared" si="14"/>
        <v>20</v>
      </c>
      <c r="W33" s="555">
        <v>19.568000000000001</v>
      </c>
      <c r="X33" s="221">
        <f>MROUND(W33,1)</f>
        <v>20</v>
      </c>
      <c r="Y33" s="555">
        <v>0</v>
      </c>
      <c r="Z33" s="221">
        <v>0</v>
      </c>
      <c r="AA33" s="773">
        <v>0</v>
      </c>
      <c r="AB33" s="773">
        <v>0</v>
      </c>
      <c r="AC33" s="773">
        <v>0</v>
      </c>
      <c r="AD33" s="773">
        <v>0</v>
      </c>
      <c r="AE33" s="773">
        <v>9.5000000000000001E-2</v>
      </c>
      <c r="AF33" s="773">
        <v>0.52900000000000003</v>
      </c>
      <c r="AG33" s="773">
        <v>46.533999999999999</v>
      </c>
      <c r="AH33" s="944">
        <v>0.99</v>
      </c>
    </row>
    <row r="34" spans="1:34" ht="16.3" hidden="1" thickBot="1">
      <c r="A34" s="501" t="s">
        <v>143</v>
      </c>
      <c r="B34" s="328" t="s">
        <v>457</v>
      </c>
      <c r="C34" s="536">
        <v>101.43</v>
      </c>
      <c r="D34" s="237">
        <f t="shared" si="12"/>
        <v>100</v>
      </c>
      <c r="E34" s="536">
        <v>0.152</v>
      </c>
      <c r="F34" s="221">
        <v>0</v>
      </c>
      <c r="G34" s="536">
        <v>1.7000000000000001E-2</v>
      </c>
      <c r="H34" s="942">
        <v>0</v>
      </c>
      <c r="I34" s="536">
        <v>3.0000000000000001E-3</v>
      </c>
      <c r="J34" s="221">
        <v>0</v>
      </c>
      <c r="K34" s="536">
        <v>0</v>
      </c>
      <c r="L34" s="221">
        <v>0</v>
      </c>
      <c r="M34" s="536">
        <v>0.17</v>
      </c>
      <c r="N34" s="221">
        <v>0</v>
      </c>
      <c r="O34" s="536">
        <v>1.206</v>
      </c>
      <c r="P34" s="220">
        <v>0</v>
      </c>
      <c r="Q34" s="536">
        <v>24.928999999999998</v>
      </c>
      <c r="R34" s="221">
        <f t="shared" si="13"/>
        <v>25</v>
      </c>
      <c r="S34" s="536">
        <v>1.4999999999999999E-2</v>
      </c>
      <c r="T34" s="221">
        <v>0</v>
      </c>
      <c r="U34" s="536">
        <v>24.684000000000001</v>
      </c>
      <c r="V34" s="195">
        <f t="shared" si="14"/>
        <v>25</v>
      </c>
      <c r="W34" s="536">
        <v>24.684000000000001</v>
      </c>
      <c r="X34" s="221">
        <f>MROUND(W34,1)</f>
        <v>25</v>
      </c>
      <c r="Y34" s="536">
        <v>1.4E-2</v>
      </c>
      <c r="Z34" s="221">
        <v>0</v>
      </c>
      <c r="AA34" s="536">
        <v>0</v>
      </c>
      <c r="AB34" s="536">
        <v>0</v>
      </c>
      <c r="AC34" s="536">
        <v>0.751</v>
      </c>
      <c r="AD34" s="536">
        <v>5.8000000000000003E-2</v>
      </c>
      <c r="AE34" s="536">
        <v>4.1000000000000002E-2</v>
      </c>
      <c r="AF34" s="536">
        <v>0.23</v>
      </c>
      <c r="AG34" s="536">
        <v>1.84</v>
      </c>
      <c r="AH34" s="665">
        <v>3.9E-2</v>
      </c>
    </row>
    <row r="35" spans="1:34" ht="18.899999999999999" hidden="1" thickBot="1">
      <c r="A35" s="501" t="s">
        <v>143</v>
      </c>
      <c r="B35" s="328" t="s">
        <v>162</v>
      </c>
      <c r="C35" s="536">
        <v>69.887</v>
      </c>
      <c r="D35" s="237">
        <f t="shared" si="12"/>
        <v>70</v>
      </c>
      <c r="E35" s="536">
        <v>0.28699999999999998</v>
      </c>
      <c r="F35" s="195">
        <v>0</v>
      </c>
      <c r="G35" s="536">
        <v>3.2000000000000001E-2</v>
      </c>
      <c r="H35" s="743">
        <v>0</v>
      </c>
      <c r="I35" s="536">
        <v>3.0000000000000001E-3</v>
      </c>
      <c r="J35" s="221">
        <v>0</v>
      </c>
      <c r="K35" s="536">
        <v>0</v>
      </c>
      <c r="L35" s="221">
        <v>0</v>
      </c>
      <c r="M35" s="536">
        <v>0</v>
      </c>
      <c r="N35" s="221">
        <v>0</v>
      </c>
      <c r="O35" s="536">
        <v>9.7279999999999998</v>
      </c>
      <c r="P35" s="943">
        <f>MROUND(O35,5)</f>
        <v>10</v>
      </c>
      <c r="Q35" s="536">
        <v>19.102</v>
      </c>
      <c r="R35" s="221">
        <f t="shared" si="13"/>
        <v>19</v>
      </c>
      <c r="S35" s="536">
        <v>0.60799999999999998</v>
      </c>
      <c r="T35" s="945" t="s">
        <v>456</v>
      </c>
      <c r="U35" s="536">
        <v>16.192</v>
      </c>
      <c r="V35" s="195">
        <f t="shared" si="14"/>
        <v>16</v>
      </c>
      <c r="W35" s="536">
        <v>10.198</v>
      </c>
      <c r="X35" s="195">
        <f>MROUND(W35,1)</f>
        <v>10</v>
      </c>
      <c r="Y35" s="536">
        <v>0.16200000000000001</v>
      </c>
      <c r="Z35" s="221">
        <v>0</v>
      </c>
      <c r="AA35" s="536">
        <v>0</v>
      </c>
      <c r="AB35" s="536">
        <v>0</v>
      </c>
      <c r="AC35" s="536">
        <v>5.0949999999999998</v>
      </c>
      <c r="AD35" s="536">
        <v>0.39200000000000002</v>
      </c>
      <c r="AE35" s="536">
        <v>0.218</v>
      </c>
      <c r="AF35" s="536">
        <v>1.212</v>
      </c>
      <c r="AG35" s="536">
        <v>48.47</v>
      </c>
      <c r="AH35" s="665">
        <v>1.0309999999999999</v>
      </c>
    </row>
    <row r="36" spans="1:34" ht="18.899999999999999" hidden="1" thickBot="1">
      <c r="A36" s="501" t="s">
        <v>143</v>
      </c>
      <c r="B36" s="328" t="s">
        <v>458</v>
      </c>
      <c r="C36" s="536">
        <v>50.271999999999998</v>
      </c>
      <c r="D36" s="237">
        <f t="shared" si="12"/>
        <v>50</v>
      </c>
      <c r="E36" s="536">
        <v>19.390999999999998</v>
      </c>
      <c r="F36" s="188">
        <f>MROUND(E36,5)</f>
        <v>20</v>
      </c>
      <c r="G36" s="536">
        <v>2.1549999999999998</v>
      </c>
      <c r="H36" s="765">
        <f>MROUND(G36,0.5)</f>
        <v>2</v>
      </c>
      <c r="I36" s="536">
        <v>0.53900000000000003</v>
      </c>
      <c r="J36" s="221">
        <f>MROUND(I36,0.5)</f>
        <v>0.5</v>
      </c>
      <c r="K36" s="536">
        <v>0</v>
      </c>
      <c r="L36" s="221">
        <v>0</v>
      </c>
      <c r="M36" s="536">
        <v>0</v>
      </c>
      <c r="N36" s="221">
        <v>0</v>
      </c>
      <c r="O36" s="536">
        <v>41.295000000000002</v>
      </c>
      <c r="P36" s="943">
        <f>MROUND(O36,5)</f>
        <v>40</v>
      </c>
      <c r="Q36" s="536">
        <v>7.5410000000000004</v>
      </c>
      <c r="R36" s="221">
        <f t="shared" si="13"/>
        <v>8</v>
      </c>
      <c r="S36" s="536">
        <v>8.9770000000000003</v>
      </c>
      <c r="T36" s="945">
        <f>MROUND(S36,1)</f>
        <v>9</v>
      </c>
      <c r="U36" s="536">
        <v>3.95</v>
      </c>
      <c r="V36" s="195">
        <f t="shared" si="14"/>
        <v>4</v>
      </c>
      <c r="W36" s="536">
        <v>0</v>
      </c>
      <c r="X36" s="195">
        <v>0</v>
      </c>
      <c r="Y36" s="536">
        <v>0.35899999999999999</v>
      </c>
      <c r="Z36" s="221">
        <v>0</v>
      </c>
      <c r="AA36" s="536">
        <v>0</v>
      </c>
      <c r="AB36" s="536">
        <v>0</v>
      </c>
      <c r="AC36" s="536">
        <v>0</v>
      </c>
      <c r="AD36" s="536">
        <v>0</v>
      </c>
      <c r="AE36" s="536">
        <v>0</v>
      </c>
      <c r="AF36" s="536">
        <v>0</v>
      </c>
      <c r="AG36" s="536">
        <v>10.773</v>
      </c>
      <c r="AH36" s="665">
        <v>0.22900000000000001</v>
      </c>
    </row>
    <row r="37" spans="1:34" ht="15" hidden="1" customHeight="1" thickBot="1">
      <c r="A37" s="501" t="s">
        <v>143</v>
      </c>
      <c r="B37" s="328" t="s">
        <v>459</v>
      </c>
      <c r="C37" s="536">
        <v>50.241</v>
      </c>
      <c r="D37" s="237">
        <f t="shared" si="12"/>
        <v>50</v>
      </c>
      <c r="E37" s="536">
        <v>22.099</v>
      </c>
      <c r="F37" s="188">
        <f>MROUND(E37,5)</f>
        <v>20</v>
      </c>
      <c r="G37" s="536">
        <v>2.4550000000000001</v>
      </c>
      <c r="H37" s="765">
        <f>MROUND(G37,0.5)</f>
        <v>2.5</v>
      </c>
      <c r="I37" s="536">
        <v>1.2410000000000001</v>
      </c>
      <c r="J37" s="221">
        <f>MROUND(I37,1)</f>
        <v>1</v>
      </c>
      <c r="K37" s="536">
        <v>5.0999999999999997E-2</v>
      </c>
      <c r="L37" s="221">
        <v>0</v>
      </c>
      <c r="M37" s="536">
        <v>3.1749999999999998</v>
      </c>
      <c r="N37" s="220" t="s">
        <v>332</v>
      </c>
      <c r="O37" s="536">
        <v>12.585000000000001</v>
      </c>
      <c r="P37" s="385">
        <f>MROUND(O37,5)</f>
        <v>15</v>
      </c>
      <c r="Q37" s="536">
        <v>6.6509999999999998</v>
      </c>
      <c r="R37" s="221">
        <f t="shared" si="13"/>
        <v>7</v>
      </c>
      <c r="S37" s="536">
        <v>0.15</v>
      </c>
      <c r="T37" s="221">
        <v>0</v>
      </c>
      <c r="U37" s="536">
        <v>2.121</v>
      </c>
      <c r="V37" s="195">
        <f t="shared" si="14"/>
        <v>2</v>
      </c>
      <c r="W37" s="536">
        <v>2.12</v>
      </c>
      <c r="X37" s="195">
        <f t="shared" ref="X37:X42" si="15">MROUND(W37,1)</f>
        <v>2</v>
      </c>
      <c r="Y37" s="536">
        <v>0.52900000000000003</v>
      </c>
      <c r="Z37" s="195" t="s">
        <v>303</v>
      </c>
      <c r="AA37" s="536">
        <v>1.4999999999999999E-2</v>
      </c>
      <c r="AB37" s="536">
        <v>7.6999999999999999E-2</v>
      </c>
      <c r="AC37" s="536">
        <v>1.2330000000000001</v>
      </c>
      <c r="AD37" s="536">
        <v>9.5000000000000001E-2</v>
      </c>
      <c r="AE37" s="536">
        <v>0.26800000000000002</v>
      </c>
      <c r="AF37" s="536">
        <v>1.4910000000000001</v>
      </c>
      <c r="AG37" s="536">
        <v>6.8330000000000002</v>
      </c>
      <c r="AH37" s="665">
        <v>0.14499999999999999</v>
      </c>
    </row>
    <row r="38" spans="1:34" ht="32.15" hidden="1" thickBot="1">
      <c r="A38" s="501" t="s">
        <v>143</v>
      </c>
      <c r="B38" s="327" t="s">
        <v>146</v>
      </c>
      <c r="C38" s="555">
        <v>73.915999999999997</v>
      </c>
      <c r="D38" s="237">
        <f t="shared" si="12"/>
        <v>70</v>
      </c>
      <c r="E38" s="555">
        <v>22.012</v>
      </c>
      <c r="F38" s="188">
        <f>MROUND(E38,5)</f>
        <v>20</v>
      </c>
      <c r="G38" s="555">
        <v>2.4460000000000002</v>
      </c>
      <c r="H38" s="765">
        <f>MROUND(G38,0.5)</f>
        <v>2.5</v>
      </c>
      <c r="I38" s="555">
        <v>1.002</v>
      </c>
      <c r="J38" s="221">
        <f>MROUND(I38,1)</f>
        <v>1</v>
      </c>
      <c r="K38" s="555">
        <v>5.0999999999999997E-2</v>
      </c>
      <c r="L38" s="221">
        <v>0</v>
      </c>
      <c r="M38" s="555">
        <v>2.9769999999999999</v>
      </c>
      <c r="N38" s="220" t="s">
        <v>332</v>
      </c>
      <c r="O38" s="555">
        <v>45.311</v>
      </c>
      <c r="P38" s="385">
        <f>MROUND(O38,5)</f>
        <v>45</v>
      </c>
      <c r="Q38" s="555">
        <v>12.352</v>
      </c>
      <c r="R38" s="221">
        <f t="shared" si="13"/>
        <v>12</v>
      </c>
      <c r="S38" s="555">
        <v>0.223</v>
      </c>
      <c r="T38" s="221">
        <v>0</v>
      </c>
      <c r="U38" s="555">
        <v>6.9580000000000002</v>
      </c>
      <c r="V38" s="195">
        <f t="shared" si="14"/>
        <v>7</v>
      </c>
      <c r="W38" s="555">
        <v>6.9420000000000002</v>
      </c>
      <c r="X38" s="195">
        <f t="shared" si="15"/>
        <v>7</v>
      </c>
      <c r="Y38" s="555">
        <v>0.55200000000000005</v>
      </c>
      <c r="Z38" s="195" t="s">
        <v>303</v>
      </c>
      <c r="AA38" s="773">
        <v>2E-3</v>
      </c>
      <c r="AB38" s="773">
        <v>8.9999999999999993E-3</v>
      </c>
      <c r="AC38" s="773">
        <v>3.0369999999999999</v>
      </c>
      <c r="AD38" s="773">
        <v>0.23400000000000001</v>
      </c>
      <c r="AE38" s="773">
        <v>0.161</v>
      </c>
      <c r="AF38" s="773">
        <v>0.89700000000000002</v>
      </c>
      <c r="AG38" s="773">
        <v>17.439</v>
      </c>
      <c r="AH38" s="774">
        <v>0.371</v>
      </c>
    </row>
    <row r="39" spans="1:34" ht="32.15" hidden="1" thickBot="1">
      <c r="A39" s="501" t="s">
        <v>143</v>
      </c>
      <c r="B39" s="327" t="s">
        <v>145</v>
      </c>
      <c r="C39" s="555">
        <v>54.722999999999999</v>
      </c>
      <c r="D39" s="237">
        <f t="shared" si="12"/>
        <v>50</v>
      </c>
      <c r="E39" s="555">
        <v>17.059000000000001</v>
      </c>
      <c r="F39" s="188">
        <f>MROUND(E39,5)</f>
        <v>15</v>
      </c>
      <c r="G39" s="555">
        <v>1.895</v>
      </c>
      <c r="H39" s="765">
        <f>MROUND(G39,0.5)</f>
        <v>2</v>
      </c>
      <c r="I39" s="555">
        <v>0.77800000000000002</v>
      </c>
      <c r="J39" s="221">
        <f>MROUND(I39,0.5)</f>
        <v>1</v>
      </c>
      <c r="K39" s="555">
        <v>3.9E-2</v>
      </c>
      <c r="L39" s="221">
        <v>0</v>
      </c>
      <c r="M39" s="555">
        <v>2.306</v>
      </c>
      <c r="N39" s="220" t="s">
        <v>332</v>
      </c>
      <c r="O39" s="555">
        <v>4.7809999999999997</v>
      </c>
      <c r="P39" s="188">
        <v>0</v>
      </c>
      <c r="Q39" s="555">
        <v>9.1460000000000008</v>
      </c>
      <c r="R39" s="221">
        <f t="shared" si="13"/>
        <v>9</v>
      </c>
      <c r="S39" s="555">
        <v>0.45400000000000001</v>
      </c>
      <c r="T39" s="221">
        <v>0</v>
      </c>
      <c r="U39" s="555">
        <v>4.7809999999999997</v>
      </c>
      <c r="V39" s="195">
        <f t="shared" si="14"/>
        <v>5</v>
      </c>
      <c r="W39" s="555">
        <v>4.7679999999999998</v>
      </c>
      <c r="X39" s="195">
        <f t="shared" si="15"/>
        <v>5</v>
      </c>
      <c r="Y39" s="555">
        <v>0.62</v>
      </c>
      <c r="Z39" s="195" t="s">
        <v>303</v>
      </c>
      <c r="AA39" s="773">
        <v>0</v>
      </c>
      <c r="AB39" s="773">
        <v>0</v>
      </c>
      <c r="AC39" s="773">
        <v>2.6960000000000002</v>
      </c>
      <c r="AD39" s="773">
        <v>0.20699999999999999</v>
      </c>
      <c r="AE39" s="773">
        <v>0.32800000000000001</v>
      </c>
      <c r="AF39" s="773">
        <v>1.823</v>
      </c>
      <c r="AG39" s="773">
        <v>40.585000000000001</v>
      </c>
      <c r="AH39" s="774">
        <v>0.86399999999999999</v>
      </c>
    </row>
    <row r="40" spans="1:34" ht="18.899999999999999" hidden="1" thickBot="1">
      <c r="A40" s="501" t="s">
        <v>143</v>
      </c>
      <c r="B40" s="328" t="s">
        <v>460</v>
      </c>
      <c r="C40" s="536">
        <v>101.495</v>
      </c>
      <c r="D40" s="237">
        <f t="shared" si="12"/>
        <v>100</v>
      </c>
      <c r="E40" s="536">
        <v>37.008000000000003</v>
      </c>
      <c r="F40" s="188">
        <f>MROUND(E40,5)</f>
        <v>35</v>
      </c>
      <c r="G40" s="536">
        <v>4.1120000000000001</v>
      </c>
      <c r="H40" s="765">
        <f>MROUND(G40,0.5)</f>
        <v>4</v>
      </c>
      <c r="I40" s="536">
        <v>1.2689999999999999</v>
      </c>
      <c r="J40" s="221">
        <f t="shared" ref="J40:J46" si="16">MROUND(I40,1)</f>
        <v>1</v>
      </c>
      <c r="K40" s="536">
        <v>0</v>
      </c>
      <c r="L40" s="221">
        <v>0</v>
      </c>
      <c r="M40" s="536">
        <v>0.14000000000000001</v>
      </c>
      <c r="N40" s="221">
        <v>0</v>
      </c>
      <c r="O40" s="536">
        <v>72.807000000000002</v>
      </c>
      <c r="P40" s="385">
        <f>MROUND(O40,5)</f>
        <v>75</v>
      </c>
      <c r="Q40" s="536">
        <v>15.414999999999999</v>
      </c>
      <c r="R40" s="221">
        <f t="shared" si="13"/>
        <v>15</v>
      </c>
      <c r="S40" s="536">
        <v>0.42499999999999999</v>
      </c>
      <c r="T40" s="195">
        <v>0</v>
      </c>
      <c r="U40" s="536">
        <v>8.4429999999999996</v>
      </c>
      <c r="V40" s="195">
        <f t="shared" si="14"/>
        <v>8</v>
      </c>
      <c r="W40" s="536">
        <v>8.3710000000000004</v>
      </c>
      <c r="X40" s="195">
        <f t="shared" si="15"/>
        <v>8</v>
      </c>
      <c r="Y40" s="536">
        <v>0.89300000000000002</v>
      </c>
      <c r="Z40" s="195" t="s">
        <v>303</v>
      </c>
      <c r="AA40" s="536">
        <v>0</v>
      </c>
      <c r="AB40" s="536">
        <v>0</v>
      </c>
      <c r="AC40" s="536">
        <v>9.1910000000000007</v>
      </c>
      <c r="AD40" s="536">
        <v>0.70699999999999996</v>
      </c>
      <c r="AE40" s="536">
        <v>0.88700000000000001</v>
      </c>
      <c r="AF40" s="536">
        <v>4.9260000000000002</v>
      </c>
      <c r="AG40" s="536">
        <v>29.843</v>
      </c>
      <c r="AH40" s="665">
        <v>0.63500000000000001</v>
      </c>
    </row>
    <row r="41" spans="1:34" ht="18.899999999999999" hidden="1" thickBot="1">
      <c r="A41" s="501" t="s">
        <v>143</v>
      </c>
      <c r="B41" s="327" t="s">
        <v>461</v>
      </c>
      <c r="C41" s="654">
        <v>100.05800000000001</v>
      </c>
      <c r="D41" s="237">
        <f t="shared" si="12"/>
        <v>100</v>
      </c>
      <c r="E41" s="654">
        <v>64.247</v>
      </c>
      <c r="F41" s="188">
        <f>MROUND(E41,10)</f>
        <v>60</v>
      </c>
      <c r="G41" s="654">
        <v>7.1390000000000002</v>
      </c>
      <c r="H41" s="765">
        <f>MROUND(G41,1)</f>
        <v>7</v>
      </c>
      <c r="I41" s="654">
        <v>3.1589999999999998</v>
      </c>
      <c r="J41" s="221">
        <f t="shared" si="16"/>
        <v>3</v>
      </c>
      <c r="K41" s="654">
        <v>0.1</v>
      </c>
      <c r="L41" s="221">
        <v>0</v>
      </c>
      <c r="M41" s="654">
        <v>7.242</v>
      </c>
      <c r="N41" s="221">
        <f>MROUND(M41,5)</f>
        <v>5</v>
      </c>
      <c r="O41" s="654">
        <v>8.8729999999999993</v>
      </c>
      <c r="P41" s="385">
        <f>MROUND(O41,5)</f>
        <v>10</v>
      </c>
      <c r="Q41" s="654">
        <v>8.8729999999999993</v>
      </c>
      <c r="R41" s="221">
        <f t="shared" si="13"/>
        <v>9</v>
      </c>
      <c r="S41" s="739">
        <v>0.57899999999999996</v>
      </c>
      <c r="T41" s="897" t="s">
        <v>456</v>
      </c>
      <c r="U41" s="654">
        <v>8.0549999999999997</v>
      </c>
      <c r="V41" s="195">
        <f t="shared" si="14"/>
        <v>8</v>
      </c>
      <c r="W41" s="654">
        <v>7.7549999999999999</v>
      </c>
      <c r="X41" s="195">
        <f t="shared" si="15"/>
        <v>8</v>
      </c>
      <c r="Y41" s="654">
        <v>0.95199999999999996</v>
      </c>
      <c r="Z41" s="195" t="s">
        <v>303</v>
      </c>
      <c r="AA41" s="654">
        <v>2.1000000000000001E-2</v>
      </c>
      <c r="AB41" s="654">
        <v>0.107</v>
      </c>
      <c r="AC41" s="654">
        <v>13.824</v>
      </c>
      <c r="AD41" s="654">
        <v>1.0629999999999999</v>
      </c>
      <c r="AE41" s="654">
        <v>0.246</v>
      </c>
      <c r="AF41" s="654">
        <v>1.369</v>
      </c>
      <c r="AG41" s="654">
        <v>42.262</v>
      </c>
      <c r="AH41" s="940">
        <v>0.89900000000000002</v>
      </c>
    </row>
    <row r="42" spans="1:34" ht="18.899999999999999" hidden="1" thickBot="1">
      <c r="A42" s="501" t="s">
        <v>143</v>
      </c>
      <c r="B42" s="328" t="s">
        <v>150</v>
      </c>
      <c r="C42" s="536">
        <v>127.224</v>
      </c>
      <c r="D42" s="237">
        <f t="shared" si="12"/>
        <v>130</v>
      </c>
      <c r="E42" s="536">
        <v>17.951000000000001</v>
      </c>
      <c r="F42" s="188">
        <f>MROUND(E42,5)</f>
        <v>20</v>
      </c>
      <c r="G42" s="536">
        <v>1.9950000000000001</v>
      </c>
      <c r="H42" s="765">
        <f>MROUND(G42,0.5)</f>
        <v>2</v>
      </c>
      <c r="I42" s="536">
        <v>1.228</v>
      </c>
      <c r="J42" s="221">
        <f t="shared" si="16"/>
        <v>1</v>
      </c>
      <c r="K42" s="536">
        <v>0</v>
      </c>
      <c r="L42" s="221">
        <v>0</v>
      </c>
      <c r="M42" s="536">
        <v>5.2210000000000001</v>
      </c>
      <c r="N42" s="221">
        <f>MROUND(M42,5)</f>
        <v>5</v>
      </c>
      <c r="O42" s="536">
        <v>102.91200000000001</v>
      </c>
      <c r="P42" s="385">
        <f>MROUND(O42,5)</f>
        <v>105</v>
      </c>
      <c r="Q42" s="536">
        <v>26.513000000000002</v>
      </c>
      <c r="R42" s="221">
        <f t="shared" si="13"/>
        <v>27</v>
      </c>
      <c r="S42" s="536">
        <v>2.8000000000000001E-2</v>
      </c>
      <c r="T42" s="195">
        <v>0</v>
      </c>
      <c r="U42" s="536">
        <v>20.395</v>
      </c>
      <c r="V42" s="195">
        <f t="shared" si="14"/>
        <v>20</v>
      </c>
      <c r="W42" s="536">
        <v>20.390999999999998</v>
      </c>
      <c r="X42" s="195">
        <f t="shared" si="15"/>
        <v>20</v>
      </c>
      <c r="Y42" s="536">
        <v>1.0009999999999999</v>
      </c>
      <c r="Z42" s="195">
        <f>MROUND(Y42,1)</f>
        <v>1</v>
      </c>
      <c r="AA42" s="536">
        <v>1.6E-2</v>
      </c>
      <c r="AB42" s="536">
        <v>8.1000000000000003E-2</v>
      </c>
      <c r="AC42" s="536">
        <v>29.184000000000001</v>
      </c>
      <c r="AD42" s="536">
        <v>2.2450000000000001</v>
      </c>
      <c r="AE42" s="536">
        <v>2.4E-2</v>
      </c>
      <c r="AF42" s="536">
        <v>0.13500000000000001</v>
      </c>
      <c r="AG42" s="536">
        <v>41.162999999999997</v>
      </c>
      <c r="AH42" s="665">
        <v>0.876</v>
      </c>
    </row>
    <row r="43" spans="1:34" ht="18.899999999999999" hidden="1" thickBot="1">
      <c r="A43" s="501" t="s">
        <v>143</v>
      </c>
      <c r="B43" s="327" t="s">
        <v>144</v>
      </c>
      <c r="C43" s="555">
        <v>111.661</v>
      </c>
      <c r="D43" s="237">
        <f t="shared" si="12"/>
        <v>110</v>
      </c>
      <c r="E43" s="555">
        <v>55.951999999999998</v>
      </c>
      <c r="F43" s="188">
        <f>MROUND(E43,10)</f>
        <v>60</v>
      </c>
      <c r="G43" s="555">
        <v>6.2169999999999996</v>
      </c>
      <c r="H43" s="765">
        <f>MROUND(G43,1)</f>
        <v>6</v>
      </c>
      <c r="I43" s="555">
        <v>3.73</v>
      </c>
      <c r="J43" s="221">
        <f t="shared" si="16"/>
        <v>4</v>
      </c>
      <c r="K43" s="555">
        <v>0</v>
      </c>
      <c r="L43" s="221">
        <v>0</v>
      </c>
      <c r="M43" s="555">
        <v>0</v>
      </c>
      <c r="N43" s="221">
        <v>0</v>
      </c>
      <c r="O43" s="555">
        <v>4.9000000000000002E-2</v>
      </c>
      <c r="P43" s="188">
        <v>0</v>
      </c>
      <c r="Q43" s="555">
        <v>16.603000000000002</v>
      </c>
      <c r="R43" s="221">
        <f t="shared" si="13"/>
        <v>17</v>
      </c>
      <c r="S43" s="555">
        <v>1.7549999999999999</v>
      </c>
      <c r="T43" s="897">
        <f>MROUND(S43,1)</f>
        <v>2</v>
      </c>
      <c r="U43" s="555">
        <v>13.726000000000001</v>
      </c>
      <c r="V43" s="195">
        <f t="shared" si="14"/>
        <v>14</v>
      </c>
      <c r="W43" s="555">
        <v>0</v>
      </c>
      <c r="X43" s="195">
        <v>0</v>
      </c>
      <c r="Y43" s="555">
        <v>1.121</v>
      </c>
      <c r="Z43" s="195">
        <f t="shared" ref="Z43:Z50" si="17">MROUND(Y43,1)</f>
        <v>1</v>
      </c>
      <c r="AA43" s="773">
        <v>0</v>
      </c>
      <c r="AB43" s="773">
        <v>0</v>
      </c>
      <c r="AC43" s="773">
        <v>8.5329999999999995</v>
      </c>
      <c r="AD43" s="773">
        <v>0.65600000000000003</v>
      </c>
      <c r="AE43" s="773">
        <v>1.9159999999999999</v>
      </c>
      <c r="AF43" s="773">
        <v>10.646000000000001</v>
      </c>
      <c r="AG43" s="773">
        <v>97.911000000000001</v>
      </c>
      <c r="AH43" s="774">
        <v>2.0830000000000002</v>
      </c>
    </row>
    <row r="44" spans="1:34" ht="18.899999999999999" hidden="1" thickBot="1">
      <c r="A44" s="501" t="s">
        <v>143</v>
      </c>
      <c r="B44" s="328" t="s">
        <v>151</v>
      </c>
      <c r="C44" s="536">
        <v>117.709</v>
      </c>
      <c r="D44" s="237">
        <f t="shared" si="12"/>
        <v>120</v>
      </c>
      <c r="E44" s="536">
        <v>36.851999999999997</v>
      </c>
      <c r="F44" s="188">
        <f>MROUND(E44,5)</f>
        <v>35</v>
      </c>
      <c r="G44" s="536">
        <v>4.0949999999999998</v>
      </c>
      <c r="H44" s="765">
        <f>MROUND(G44,0.5)</f>
        <v>4</v>
      </c>
      <c r="I44" s="536">
        <v>3.9359999999999999</v>
      </c>
      <c r="J44" s="221">
        <f t="shared" si="16"/>
        <v>4</v>
      </c>
      <c r="K44" s="536">
        <v>0</v>
      </c>
      <c r="L44" s="221">
        <v>0</v>
      </c>
      <c r="M44" s="536">
        <v>4.0000000000000001E-3</v>
      </c>
      <c r="N44" s="221">
        <v>0</v>
      </c>
      <c r="O44" s="536">
        <v>105.624</v>
      </c>
      <c r="P44" s="385">
        <f>MROUND(O44,5)</f>
        <v>105</v>
      </c>
      <c r="Q44" s="536">
        <v>20.123000000000001</v>
      </c>
      <c r="R44" s="221">
        <f t="shared" si="13"/>
        <v>20</v>
      </c>
      <c r="S44" s="536">
        <v>0.71599999999999997</v>
      </c>
      <c r="T44" s="897" t="s">
        <v>456</v>
      </c>
      <c r="U44" s="536">
        <v>16.646000000000001</v>
      </c>
      <c r="V44" s="195">
        <f t="shared" si="14"/>
        <v>17</v>
      </c>
      <c r="W44" s="536">
        <v>16.547999999999998</v>
      </c>
      <c r="X44" s="195">
        <f t="shared" ref="X44:X49" si="18">MROUND(W44,1)</f>
        <v>17</v>
      </c>
      <c r="Y44" s="536">
        <v>1.1459999999999999</v>
      </c>
      <c r="Z44" s="195">
        <f t="shared" si="17"/>
        <v>1</v>
      </c>
      <c r="AA44" s="536">
        <v>0</v>
      </c>
      <c r="AB44" s="536">
        <v>0</v>
      </c>
      <c r="AC44" s="536">
        <v>24.055</v>
      </c>
      <c r="AD44" s="536">
        <v>1.85</v>
      </c>
      <c r="AE44" s="536">
        <v>0.99199999999999999</v>
      </c>
      <c r="AF44" s="536">
        <v>5.5090000000000003</v>
      </c>
      <c r="AG44" s="536">
        <v>138.608</v>
      </c>
      <c r="AH44" s="665">
        <v>2.9489999999999998</v>
      </c>
    </row>
    <row r="45" spans="1:34" ht="18.899999999999999" hidden="1" thickBot="1">
      <c r="A45" s="501" t="s">
        <v>143</v>
      </c>
      <c r="B45" s="327" t="s">
        <v>462</v>
      </c>
      <c r="C45" s="654">
        <v>153.042</v>
      </c>
      <c r="D45" s="237">
        <f t="shared" si="12"/>
        <v>150</v>
      </c>
      <c r="E45" s="654">
        <v>86.084999999999994</v>
      </c>
      <c r="F45" s="188">
        <f>MROUND(E45,10)</f>
        <v>90</v>
      </c>
      <c r="G45" s="654">
        <v>9.5649999999999995</v>
      </c>
      <c r="H45" s="765">
        <f>MROUND(G45,1)</f>
        <v>10</v>
      </c>
      <c r="I45" s="654">
        <v>8.6210000000000004</v>
      </c>
      <c r="J45" s="221">
        <f t="shared" si="16"/>
        <v>9</v>
      </c>
      <c r="K45" s="654">
        <v>1.7000000000000001E-2</v>
      </c>
      <c r="L45" s="221">
        <v>0</v>
      </c>
      <c r="M45" s="654">
        <v>0.57799999999999996</v>
      </c>
      <c r="N45" s="195">
        <v>0</v>
      </c>
      <c r="O45" s="654">
        <v>12.138999999999999</v>
      </c>
      <c r="P45" s="385">
        <f>MROUND(O45,5)</f>
        <v>10</v>
      </c>
      <c r="Q45" s="654">
        <v>16.72</v>
      </c>
      <c r="R45" s="221">
        <f t="shared" si="13"/>
        <v>17</v>
      </c>
      <c r="S45" s="739">
        <v>1.0089999999999999</v>
      </c>
      <c r="T45" s="897">
        <f>MROUND(S45,1)</f>
        <v>1</v>
      </c>
      <c r="U45" s="654">
        <v>15.186999999999999</v>
      </c>
      <c r="V45" s="195">
        <f t="shared" si="14"/>
        <v>15</v>
      </c>
      <c r="W45" s="654">
        <v>13.891</v>
      </c>
      <c r="X45" s="195">
        <f t="shared" si="18"/>
        <v>14</v>
      </c>
      <c r="Y45" s="654">
        <v>1.4430000000000001</v>
      </c>
      <c r="Z45" s="195">
        <f t="shared" si="17"/>
        <v>1</v>
      </c>
      <c r="AA45" s="654">
        <v>0.35699999999999998</v>
      </c>
      <c r="AB45" s="654">
        <v>1.786</v>
      </c>
      <c r="AC45" s="654">
        <v>32.036999999999999</v>
      </c>
      <c r="AD45" s="654">
        <v>2.464</v>
      </c>
      <c r="AE45" s="654">
        <v>1.157</v>
      </c>
      <c r="AF45" s="654">
        <v>6.4260000000000002</v>
      </c>
      <c r="AG45" s="654">
        <v>96.965000000000003</v>
      </c>
      <c r="AH45" s="940">
        <v>2.0630000000000002</v>
      </c>
    </row>
    <row r="46" spans="1:34" ht="32.15" hidden="1" thickBot="1">
      <c r="A46" s="501" t="s">
        <v>143</v>
      </c>
      <c r="B46" s="328" t="s">
        <v>152</v>
      </c>
      <c r="C46" s="536">
        <v>133.96600000000001</v>
      </c>
      <c r="D46" s="237">
        <f t="shared" si="12"/>
        <v>130</v>
      </c>
      <c r="E46" s="536">
        <v>51.131</v>
      </c>
      <c r="F46" s="188">
        <f>MROUND(E46,10)</f>
        <v>50</v>
      </c>
      <c r="G46" s="536">
        <v>5.681</v>
      </c>
      <c r="H46" s="765">
        <f>MROUND(G46,1)</f>
        <v>6</v>
      </c>
      <c r="I46" s="536">
        <v>3.492</v>
      </c>
      <c r="J46" s="221">
        <f t="shared" si="16"/>
        <v>3</v>
      </c>
      <c r="K46" s="536">
        <v>0</v>
      </c>
      <c r="L46" s="221">
        <v>0</v>
      </c>
      <c r="M46" s="536">
        <v>2.4140000000000001</v>
      </c>
      <c r="N46" s="188" t="s">
        <v>332</v>
      </c>
      <c r="O46" s="536">
        <v>21.251000000000001</v>
      </c>
      <c r="P46" s="385">
        <f>MROUND(O46,5)</f>
        <v>20</v>
      </c>
      <c r="Q46" s="536">
        <v>19.190999999999999</v>
      </c>
      <c r="R46" s="221">
        <f t="shared" si="13"/>
        <v>19</v>
      </c>
      <c r="S46" s="536">
        <v>0.76700000000000002</v>
      </c>
      <c r="T46" s="897" t="s">
        <v>456</v>
      </c>
      <c r="U46" s="536">
        <v>17.629000000000001</v>
      </c>
      <c r="V46" s="195">
        <f t="shared" si="14"/>
        <v>18</v>
      </c>
      <c r="W46" s="536">
        <v>16.303999999999998</v>
      </c>
      <c r="X46" s="195">
        <f t="shared" si="18"/>
        <v>16</v>
      </c>
      <c r="Y46" s="536">
        <v>1.4490000000000001</v>
      </c>
      <c r="Z46" s="195">
        <f t="shared" si="17"/>
        <v>1</v>
      </c>
      <c r="AA46" s="536">
        <v>0</v>
      </c>
      <c r="AB46" s="536">
        <v>0</v>
      </c>
      <c r="AC46" s="536">
        <v>36.003999999999998</v>
      </c>
      <c r="AD46" s="536">
        <v>2.77</v>
      </c>
      <c r="AE46" s="536">
        <v>0.36</v>
      </c>
      <c r="AF46" s="536">
        <v>2.0009999999999999</v>
      </c>
      <c r="AG46" s="536">
        <v>87.786000000000001</v>
      </c>
      <c r="AH46" s="665">
        <v>1.8680000000000001</v>
      </c>
    </row>
    <row r="47" spans="1:34" ht="18.899999999999999" hidden="1" thickBot="1">
      <c r="A47" s="501" t="s">
        <v>143</v>
      </c>
      <c r="B47" s="328" t="s">
        <v>153</v>
      </c>
      <c r="C47" s="536">
        <v>101.59099999999999</v>
      </c>
      <c r="D47" s="237">
        <f t="shared" si="12"/>
        <v>100</v>
      </c>
      <c r="E47" s="536">
        <v>1.7999999999999999E-2</v>
      </c>
      <c r="F47" s="195">
        <v>0</v>
      </c>
      <c r="G47" s="536">
        <v>2E-3</v>
      </c>
      <c r="H47" s="743">
        <v>0</v>
      </c>
      <c r="I47" s="536">
        <v>0</v>
      </c>
      <c r="J47" s="221">
        <v>0</v>
      </c>
      <c r="K47" s="536">
        <v>0</v>
      </c>
      <c r="L47" s="221">
        <v>0</v>
      </c>
      <c r="M47" s="536">
        <v>0</v>
      </c>
      <c r="N47" s="195">
        <v>0</v>
      </c>
      <c r="O47" s="536">
        <v>10.077999999999999</v>
      </c>
      <c r="P47" s="385">
        <f>MROUND(O47,5)</f>
        <v>10</v>
      </c>
      <c r="Q47" s="536">
        <v>24.859000000000002</v>
      </c>
      <c r="R47" s="221">
        <f t="shared" si="13"/>
        <v>25</v>
      </c>
      <c r="S47" s="536">
        <v>0</v>
      </c>
      <c r="T47" s="195">
        <v>0</v>
      </c>
      <c r="U47" s="536">
        <v>16.257999999999999</v>
      </c>
      <c r="V47" s="195">
        <f t="shared" si="14"/>
        <v>16</v>
      </c>
      <c r="W47" s="536">
        <v>14.445</v>
      </c>
      <c r="X47" s="195">
        <f t="shared" si="18"/>
        <v>14</v>
      </c>
      <c r="Y47" s="536">
        <v>1.8740000000000001</v>
      </c>
      <c r="Z47" s="195">
        <f t="shared" si="17"/>
        <v>2</v>
      </c>
      <c r="AA47" s="536">
        <v>0</v>
      </c>
      <c r="AB47" s="536">
        <v>0</v>
      </c>
      <c r="AC47" s="536">
        <v>0.376</v>
      </c>
      <c r="AD47" s="536">
        <v>2.9000000000000001E-2</v>
      </c>
      <c r="AE47" s="536">
        <v>1.4999999999999999E-2</v>
      </c>
      <c r="AF47" s="536">
        <v>8.2000000000000003E-2</v>
      </c>
      <c r="AG47" s="536">
        <v>0</v>
      </c>
      <c r="AH47" s="665">
        <v>0</v>
      </c>
    </row>
    <row r="48" spans="1:34" ht="18.899999999999999" hidden="1" thickBot="1">
      <c r="A48" s="501" t="s">
        <v>143</v>
      </c>
      <c r="B48" s="328" t="s">
        <v>157</v>
      </c>
      <c r="C48" s="536">
        <v>100.864</v>
      </c>
      <c r="D48" s="237">
        <f t="shared" si="12"/>
        <v>100</v>
      </c>
      <c r="E48" s="536">
        <v>52.262</v>
      </c>
      <c r="F48" s="188">
        <f>MROUND(E48,10)</f>
        <v>50</v>
      </c>
      <c r="G48" s="536">
        <v>5.8070000000000004</v>
      </c>
      <c r="H48" s="765">
        <f>MROUND(G48,1)</f>
        <v>6</v>
      </c>
      <c r="I48" s="536">
        <v>2.1440000000000001</v>
      </c>
      <c r="J48" s="221">
        <f>MROUND(I48,1)</f>
        <v>2</v>
      </c>
      <c r="K48" s="536">
        <v>0</v>
      </c>
      <c r="L48" s="221">
        <v>0</v>
      </c>
      <c r="M48" s="536">
        <v>1.4890000000000001</v>
      </c>
      <c r="N48" s="195">
        <v>0</v>
      </c>
      <c r="O48" s="536">
        <v>62.076000000000001</v>
      </c>
      <c r="P48" s="385">
        <f>MROUND(O48,5)</f>
        <v>60</v>
      </c>
      <c r="Q48" s="536">
        <v>11.651999999999999</v>
      </c>
      <c r="R48" s="221">
        <f t="shared" si="13"/>
        <v>12</v>
      </c>
      <c r="S48" s="536">
        <v>0.73299999999999998</v>
      </c>
      <c r="T48" s="897" t="s">
        <v>456</v>
      </c>
      <c r="U48" s="536">
        <v>10.629</v>
      </c>
      <c r="V48" s="195">
        <f t="shared" si="14"/>
        <v>11</v>
      </c>
      <c r="W48" s="536">
        <v>9.8260000000000005</v>
      </c>
      <c r="X48" s="195">
        <f t="shared" si="18"/>
        <v>10</v>
      </c>
      <c r="Y48" s="536">
        <v>2.121</v>
      </c>
      <c r="Z48" s="195">
        <f t="shared" si="17"/>
        <v>2</v>
      </c>
      <c r="AA48" s="536">
        <v>0</v>
      </c>
      <c r="AB48" s="536">
        <v>0</v>
      </c>
      <c r="AC48" s="536">
        <v>18.925999999999998</v>
      </c>
      <c r="AD48" s="536">
        <v>1.456</v>
      </c>
      <c r="AE48" s="536">
        <v>0.57799999999999996</v>
      </c>
      <c r="AF48" s="536">
        <v>3.2090000000000001</v>
      </c>
      <c r="AG48" s="536">
        <v>71.394999999999996</v>
      </c>
      <c r="AH48" s="665">
        <v>1.5189999999999999</v>
      </c>
    </row>
    <row r="49" spans="1:34" ht="18.899999999999999" hidden="1" thickBot="1">
      <c r="A49" s="501" t="s">
        <v>143</v>
      </c>
      <c r="B49" s="328" t="s">
        <v>463</v>
      </c>
      <c r="C49" s="536">
        <v>208.47900000000001</v>
      </c>
      <c r="D49" s="237">
        <f t="shared" si="12"/>
        <v>210</v>
      </c>
      <c r="E49" s="536">
        <v>171.55</v>
      </c>
      <c r="F49" s="188">
        <f>MROUND(E49,10)</f>
        <v>170</v>
      </c>
      <c r="G49" s="536">
        <v>19.061</v>
      </c>
      <c r="H49" s="765">
        <f>MROUND(G49,1)</f>
        <v>19</v>
      </c>
      <c r="I49" s="536">
        <v>3.1640000000000001</v>
      </c>
      <c r="J49" s="221">
        <f>MROUND(I49,1)</f>
        <v>3</v>
      </c>
      <c r="K49" s="536">
        <v>0</v>
      </c>
      <c r="L49" s="221">
        <v>0</v>
      </c>
      <c r="M49" s="536">
        <v>0</v>
      </c>
      <c r="N49" s="195">
        <v>0</v>
      </c>
      <c r="O49" s="536">
        <v>141.21299999999999</v>
      </c>
      <c r="P49" s="385">
        <f>MROUND(O49,10)</f>
        <v>140</v>
      </c>
      <c r="Q49" s="536">
        <v>5.9530000000000003</v>
      </c>
      <c r="R49" s="221">
        <f t="shared" si="13"/>
        <v>6</v>
      </c>
      <c r="S49" s="536">
        <v>2.0680000000000001</v>
      </c>
      <c r="T49" s="897">
        <f>MROUND(S49,1)</f>
        <v>2</v>
      </c>
      <c r="U49" s="536">
        <v>2.9929999999999999</v>
      </c>
      <c r="V49" s="195">
        <f t="shared" si="14"/>
        <v>3</v>
      </c>
      <c r="W49" s="536">
        <v>2.0259999999999998</v>
      </c>
      <c r="X49" s="195">
        <f t="shared" si="18"/>
        <v>2</v>
      </c>
      <c r="Y49" s="536">
        <v>6.2789999999999999</v>
      </c>
      <c r="Z49" s="195">
        <f t="shared" si="17"/>
        <v>6</v>
      </c>
      <c r="AA49" s="536">
        <v>0</v>
      </c>
      <c r="AB49" s="536">
        <v>0</v>
      </c>
      <c r="AC49" s="536">
        <v>22.6</v>
      </c>
      <c r="AD49" s="536">
        <v>1.738</v>
      </c>
      <c r="AE49" s="536">
        <v>1.115</v>
      </c>
      <c r="AF49" s="536">
        <v>6.194</v>
      </c>
      <c r="AG49" s="536">
        <v>171.601</v>
      </c>
      <c r="AH49" s="665">
        <v>3.6509999999999998</v>
      </c>
    </row>
    <row r="50" spans="1:34" ht="18.899999999999999" hidden="1" thickBot="1">
      <c r="A50" s="501" t="s">
        <v>143</v>
      </c>
      <c r="B50" s="328" t="s">
        <v>147</v>
      </c>
      <c r="C50" s="536">
        <v>147.85400000000001</v>
      </c>
      <c r="D50" s="237">
        <f t="shared" si="12"/>
        <v>150</v>
      </c>
      <c r="E50" s="536">
        <v>116.727</v>
      </c>
      <c r="F50" s="188">
        <f>MROUND(E50,10)</f>
        <v>120</v>
      </c>
      <c r="G50" s="536">
        <v>12.97</v>
      </c>
      <c r="H50" s="765">
        <f>MROUND(G50,1)</f>
        <v>13</v>
      </c>
      <c r="I50" s="536">
        <v>1.8160000000000001</v>
      </c>
      <c r="J50" s="221">
        <f>MROUND(I50,1)</f>
        <v>2</v>
      </c>
      <c r="K50" s="536">
        <v>0</v>
      </c>
      <c r="L50" s="221">
        <v>0</v>
      </c>
      <c r="M50" s="536">
        <v>0</v>
      </c>
      <c r="N50" s="195">
        <v>0</v>
      </c>
      <c r="O50" s="536">
        <v>1.2969999999999999</v>
      </c>
      <c r="P50" s="188">
        <v>0</v>
      </c>
      <c r="Q50" s="536">
        <v>5.4470000000000001</v>
      </c>
      <c r="R50" s="221">
        <f t="shared" si="13"/>
        <v>5</v>
      </c>
      <c r="S50" s="536">
        <v>1.8160000000000001</v>
      </c>
      <c r="T50" s="897">
        <f>MROUND(S50,1)</f>
        <v>2</v>
      </c>
      <c r="U50" s="536">
        <v>0.93400000000000005</v>
      </c>
      <c r="V50" s="195" t="s">
        <v>303</v>
      </c>
      <c r="W50" s="536">
        <v>0</v>
      </c>
      <c r="X50" s="195">
        <v>0</v>
      </c>
      <c r="Y50" s="536">
        <v>6.4850000000000003</v>
      </c>
      <c r="Z50" s="195">
        <f t="shared" si="17"/>
        <v>6</v>
      </c>
      <c r="AA50" s="536">
        <v>0</v>
      </c>
      <c r="AB50" s="536">
        <v>0</v>
      </c>
      <c r="AC50" s="536">
        <v>15.045</v>
      </c>
      <c r="AD50" s="536">
        <v>1.157</v>
      </c>
      <c r="AE50" s="536">
        <v>0.41</v>
      </c>
      <c r="AF50" s="536">
        <v>2.2770000000000001</v>
      </c>
      <c r="AG50" s="536">
        <v>168.60599999999999</v>
      </c>
      <c r="AH50" s="665">
        <v>3.5870000000000002</v>
      </c>
    </row>
    <row r="51" spans="1:34" ht="16.5" customHeight="1" thickBot="1">
      <c r="A51" s="501" t="s">
        <v>464</v>
      </c>
      <c r="B51" s="224" t="s">
        <v>165</v>
      </c>
      <c r="C51" s="536">
        <v>117.709</v>
      </c>
      <c r="D51" s="975">
        <f t="shared" ref="D51:D55" si="19">MROUND(C51,10)</f>
        <v>120</v>
      </c>
      <c r="E51" s="536">
        <v>36.851999999999997</v>
      </c>
      <c r="F51" s="536"/>
      <c r="G51" s="536">
        <v>4.0949999999999998</v>
      </c>
      <c r="H51" s="743"/>
      <c r="I51" s="536">
        <v>3.9359999999999999</v>
      </c>
      <c r="J51" s="536"/>
      <c r="K51" s="536">
        <v>0</v>
      </c>
      <c r="L51" s="536"/>
      <c r="M51" s="536">
        <v>4.0000000000000001E-3</v>
      </c>
      <c r="N51" s="536"/>
      <c r="O51" s="536">
        <v>105.624</v>
      </c>
      <c r="P51" s="536"/>
      <c r="Q51" s="536">
        <v>20.123000000000001</v>
      </c>
      <c r="R51" s="195"/>
      <c r="S51" s="536">
        <v>0.71599999999999997</v>
      </c>
      <c r="T51" s="536"/>
      <c r="U51" s="536">
        <v>16.646000000000001</v>
      </c>
      <c r="V51" s="195"/>
      <c r="W51" s="536">
        <v>16.547999999999998</v>
      </c>
      <c r="X51" s="195"/>
      <c r="Y51" s="536">
        <v>1.1459999999999999</v>
      </c>
      <c r="Z51" s="195"/>
      <c r="AA51" s="536">
        <v>0</v>
      </c>
      <c r="AB51" s="536">
        <v>0</v>
      </c>
      <c r="AC51" s="536">
        <v>24.055</v>
      </c>
      <c r="AD51" s="536">
        <v>1.85</v>
      </c>
      <c r="AE51" s="536">
        <v>0.99199999999999999</v>
      </c>
      <c r="AF51" s="536">
        <v>5.5090000000000003</v>
      </c>
      <c r="AG51" s="536">
        <v>138.608</v>
      </c>
      <c r="AH51" s="665">
        <v>2.9489999999999998</v>
      </c>
    </row>
    <row r="52" spans="1:34" ht="16.3" thickBot="1">
      <c r="A52" s="501" t="s">
        <v>464</v>
      </c>
      <c r="B52" s="264" t="s">
        <v>166</v>
      </c>
      <c r="C52" s="536">
        <v>127.224</v>
      </c>
      <c r="D52" s="975">
        <f t="shared" si="19"/>
        <v>130</v>
      </c>
      <c r="E52" s="536">
        <v>17.951000000000001</v>
      </c>
      <c r="F52" s="536"/>
      <c r="G52" s="536">
        <v>1.9950000000000001</v>
      </c>
      <c r="H52" s="743"/>
      <c r="I52" s="536">
        <v>1.228</v>
      </c>
      <c r="J52" s="536"/>
      <c r="K52" s="536">
        <v>0</v>
      </c>
      <c r="L52" s="536"/>
      <c r="M52" s="536">
        <v>5.2210000000000001</v>
      </c>
      <c r="N52" s="536"/>
      <c r="O52" s="536">
        <v>102.91200000000001</v>
      </c>
      <c r="P52" s="536"/>
      <c r="Q52" s="536">
        <v>26.513000000000002</v>
      </c>
      <c r="R52" s="195"/>
      <c r="S52" s="536">
        <v>2.8000000000000001E-2</v>
      </c>
      <c r="T52" s="536"/>
      <c r="U52" s="536">
        <v>20.395</v>
      </c>
      <c r="V52" s="195"/>
      <c r="W52" s="536">
        <v>20.390999999999998</v>
      </c>
      <c r="X52" s="195"/>
      <c r="Y52" s="536">
        <v>1.0009999999999999</v>
      </c>
      <c r="Z52" s="195"/>
      <c r="AA52" s="536">
        <v>0</v>
      </c>
      <c r="AB52" s="536">
        <v>0</v>
      </c>
      <c r="AC52" s="536">
        <v>29.184000000000001</v>
      </c>
      <c r="AD52" s="536">
        <v>2.2450000000000001</v>
      </c>
      <c r="AE52" s="536">
        <v>2.4E-2</v>
      </c>
      <c r="AF52" s="536">
        <v>0.13500000000000001</v>
      </c>
      <c r="AG52" s="536">
        <v>41.162999999999997</v>
      </c>
      <c r="AH52" s="665">
        <v>0.876</v>
      </c>
    </row>
    <row r="53" spans="1:34" ht="16.3" thickBot="1">
      <c r="A53" s="501" t="s">
        <v>464</v>
      </c>
      <c r="B53" s="340" t="s">
        <v>465</v>
      </c>
      <c r="C53" s="536">
        <v>208.47900000000001</v>
      </c>
      <c r="D53" s="975">
        <f t="shared" si="19"/>
        <v>210</v>
      </c>
      <c r="E53" s="536">
        <v>171.55</v>
      </c>
      <c r="F53" s="536"/>
      <c r="G53" s="536">
        <v>19.061</v>
      </c>
      <c r="H53" s="743"/>
      <c r="I53" s="536">
        <v>3.1640000000000001</v>
      </c>
      <c r="J53" s="536"/>
      <c r="K53" s="536">
        <v>0</v>
      </c>
      <c r="L53" s="536"/>
      <c r="M53" s="536">
        <v>0</v>
      </c>
      <c r="N53" s="536"/>
      <c r="O53" s="536">
        <v>141.21299999999999</v>
      </c>
      <c r="P53" s="536"/>
      <c r="Q53" s="536">
        <v>5.9530000000000003</v>
      </c>
      <c r="R53" s="195"/>
      <c r="S53" s="536">
        <v>2.0680000000000001</v>
      </c>
      <c r="T53" s="536"/>
      <c r="U53" s="536">
        <v>2.9929999999999999</v>
      </c>
      <c r="V53" s="195"/>
      <c r="W53" s="536">
        <v>2.0259999999999998</v>
      </c>
      <c r="X53" s="195"/>
      <c r="Y53" s="536">
        <v>6.2789999999999999</v>
      </c>
      <c r="Z53" s="195"/>
      <c r="AA53" s="536">
        <v>0</v>
      </c>
      <c r="AB53" s="536">
        <v>0</v>
      </c>
      <c r="AC53" s="536">
        <v>22.6</v>
      </c>
      <c r="AD53" s="536">
        <v>1.738</v>
      </c>
      <c r="AE53" s="536">
        <v>1.115</v>
      </c>
      <c r="AF53" s="536">
        <v>6.194</v>
      </c>
      <c r="AG53" s="536">
        <v>171.601</v>
      </c>
      <c r="AH53" s="665">
        <v>3.6509999999999998</v>
      </c>
    </row>
    <row r="54" spans="1:34" ht="16.3" thickBot="1">
      <c r="A54" s="501" t="s">
        <v>464</v>
      </c>
      <c r="B54" s="501" t="s">
        <v>455</v>
      </c>
      <c r="C54" s="775">
        <v>100.735</v>
      </c>
      <c r="D54" s="975">
        <f t="shared" si="19"/>
        <v>100</v>
      </c>
      <c r="E54" s="775">
        <v>0.747</v>
      </c>
      <c r="F54" s="775"/>
      <c r="G54" s="775">
        <v>8.3000000000000004E-2</v>
      </c>
      <c r="H54" s="941"/>
      <c r="I54" s="775">
        <v>0</v>
      </c>
      <c r="J54" s="775"/>
      <c r="K54" s="775">
        <v>0</v>
      </c>
      <c r="L54" s="775"/>
      <c r="M54" s="775">
        <v>0</v>
      </c>
      <c r="N54" s="775"/>
      <c r="O54" s="775">
        <v>22.035</v>
      </c>
      <c r="P54" s="775"/>
      <c r="Q54" s="775">
        <v>25.366</v>
      </c>
      <c r="R54" s="220"/>
      <c r="S54" s="775">
        <v>0.60399999999999998</v>
      </c>
      <c r="T54" s="775"/>
      <c r="U54" s="775">
        <v>19.568999999999999</v>
      </c>
      <c r="V54" s="220"/>
      <c r="W54" s="775">
        <v>19.568000000000001</v>
      </c>
      <c r="X54" s="220"/>
      <c r="Y54" s="775">
        <v>0</v>
      </c>
      <c r="Z54" s="220"/>
      <c r="AA54" s="776">
        <v>0</v>
      </c>
      <c r="AB54" s="776">
        <v>0</v>
      </c>
      <c r="AC54" s="776">
        <v>0</v>
      </c>
      <c r="AD54" s="776">
        <v>0</v>
      </c>
      <c r="AE54" s="776">
        <v>9.5000000000000001E-2</v>
      </c>
      <c r="AF54" s="776">
        <v>0.52900000000000003</v>
      </c>
      <c r="AG54" s="776">
        <v>46.533999999999999</v>
      </c>
      <c r="AH54" s="777">
        <v>0.99</v>
      </c>
    </row>
    <row r="55" spans="1:34">
      <c r="A55" s="501" t="s">
        <v>464</v>
      </c>
      <c r="B55" s="264" t="s">
        <v>162</v>
      </c>
      <c r="C55" s="536">
        <v>69.887</v>
      </c>
      <c r="D55" s="975">
        <f t="shared" si="19"/>
        <v>70</v>
      </c>
      <c r="E55" s="536">
        <v>0.28699999999999998</v>
      </c>
      <c r="F55" s="536"/>
      <c r="G55" s="536">
        <v>3.2000000000000001E-2</v>
      </c>
      <c r="H55" s="743"/>
      <c r="I55" s="536">
        <v>3.0000000000000001E-3</v>
      </c>
      <c r="J55" s="536"/>
      <c r="K55" s="536">
        <v>0</v>
      </c>
      <c r="L55" s="536"/>
      <c r="M55" s="536">
        <v>0</v>
      </c>
      <c r="N55" s="536"/>
      <c r="O55" s="536">
        <v>9.7279999999999998</v>
      </c>
      <c r="P55" s="536"/>
      <c r="Q55" s="536">
        <v>19.102</v>
      </c>
      <c r="R55" s="195"/>
      <c r="S55" s="536">
        <v>0.60799999999999998</v>
      </c>
      <c r="T55" s="536"/>
      <c r="U55" s="536">
        <v>16.192</v>
      </c>
      <c r="V55" s="195"/>
      <c r="W55" s="536">
        <v>10.198</v>
      </c>
      <c r="X55" s="195"/>
      <c r="Y55" s="536">
        <v>0.16200000000000001</v>
      </c>
      <c r="Z55" s="195"/>
      <c r="AA55" s="536">
        <v>0</v>
      </c>
      <c r="AB55" s="536">
        <v>0</v>
      </c>
      <c r="AC55" s="536">
        <v>5.0949999999999998</v>
      </c>
      <c r="AD55" s="536">
        <v>0.39200000000000002</v>
      </c>
      <c r="AE55" s="536">
        <v>0.218</v>
      </c>
      <c r="AF55" s="536">
        <v>1.212</v>
      </c>
      <c r="AG55" s="536">
        <v>48.47</v>
      </c>
      <c r="AH55" s="665">
        <v>1.0309999999999999</v>
      </c>
    </row>
    <row r="56" spans="1:34">
      <c r="A56" s="227"/>
      <c r="B56" s="266"/>
    </row>
    <row r="57" spans="1:34" ht="61.5" customHeight="1">
      <c r="A57" s="1193" t="s">
        <v>168</v>
      </c>
      <c r="B57" s="1194"/>
      <c r="C57" s="1194"/>
      <c r="D57" s="1194"/>
      <c r="E57" s="1194"/>
      <c r="F57" s="1194"/>
      <c r="G57" s="1194"/>
      <c r="H57" s="1194"/>
      <c r="I57" s="1194"/>
      <c r="J57" s="1194"/>
      <c r="K57" s="1194"/>
      <c r="L57" s="1194"/>
      <c r="M57" s="1194"/>
      <c r="N57" s="1194"/>
      <c r="O57" s="1194"/>
      <c r="P57" s="1194"/>
      <c r="Q57" s="1194"/>
      <c r="R57" s="1194"/>
      <c r="S57" s="1194"/>
      <c r="T57" s="1194"/>
      <c r="U57" s="1194"/>
      <c r="V57" s="1194"/>
      <c r="W57" s="1194"/>
      <c r="X57" s="1194"/>
      <c r="Y57" s="1194"/>
      <c r="Z57" s="1194"/>
      <c r="AA57" s="1194"/>
      <c r="AB57" s="1194"/>
      <c r="AC57" s="1194"/>
      <c r="AD57" s="1194"/>
      <c r="AE57" s="1194"/>
      <c r="AF57" s="1194"/>
      <c r="AG57" s="1194"/>
      <c r="AH57" s="1195"/>
    </row>
    <row r="58" spans="1:34" ht="15" hidden="1" customHeight="1">
      <c r="A58" s="179"/>
      <c r="B58" s="220"/>
      <c r="C58" s="220"/>
      <c r="D58" s="220"/>
      <c r="E58" s="220"/>
      <c r="F58" s="220"/>
      <c r="G58" s="220"/>
      <c r="H58" s="941"/>
      <c r="I58" s="220"/>
      <c r="J58" s="220"/>
      <c r="K58" s="220"/>
      <c r="L58" s="220"/>
      <c r="M58" s="220"/>
      <c r="N58" s="220"/>
      <c r="O58" s="220"/>
      <c r="P58" s="220"/>
      <c r="Q58" s="220"/>
      <c r="R58" s="220"/>
      <c r="S58" s="220"/>
      <c r="T58" s="220"/>
      <c r="U58" s="220"/>
      <c r="V58" s="220"/>
      <c r="W58" s="220"/>
      <c r="X58" s="220"/>
      <c r="Y58" s="220"/>
      <c r="Z58" s="220"/>
      <c r="AA58" s="220"/>
      <c r="AB58" s="220"/>
      <c r="AC58" s="220"/>
      <c r="AD58" s="221"/>
      <c r="AE58" s="221"/>
      <c r="AF58" s="221"/>
      <c r="AG58" s="221"/>
      <c r="AH58" s="221"/>
    </row>
    <row r="59" spans="1:34" ht="28.5" hidden="1" customHeight="1">
      <c r="A59" s="179"/>
      <c r="B59" s="191" t="s">
        <v>466</v>
      </c>
      <c r="C59" s="191">
        <f>SUM(AVERAGE(C5:C30),(AVERAGE(C37:C55)*2))</f>
        <v>687.96682017543856</v>
      </c>
      <c r="D59" s="191"/>
      <c r="E59" s="191">
        <f>SUM(AVERAGE(E5:E30),(AVERAGE(E37:E55)*2))</f>
        <v>313.64253289473675</v>
      </c>
      <c r="F59" s="191"/>
      <c r="G59" s="191">
        <f>SUM(AVERAGE(G5:G30),(AVERAGE(G37:G55)*2))</f>
        <v>34.872403508771924</v>
      </c>
      <c r="H59" s="832"/>
      <c r="I59" s="191">
        <f>SUM(AVERAGE(I5:I30),(AVERAGE(I37:I55)*2))</f>
        <v>19.327835526315788</v>
      </c>
      <c r="J59" s="191"/>
      <c r="K59" s="191">
        <f>SUM(AVERAGE(K5:K30),(AVERAGE(K37:K55)*2))</f>
        <v>2.7157894736842107E-2</v>
      </c>
      <c r="L59" s="191"/>
      <c r="M59" s="191">
        <f>SUM(AVERAGE(M5:M30),(AVERAGE(M37:M55)*2))</f>
        <v>139.49384429824565</v>
      </c>
      <c r="N59" s="191"/>
      <c r="O59" s="191">
        <f>SUM(AVERAGE(O5:O30),(AVERAGE(O37:O55)*2))</f>
        <v>408.37901973684205</v>
      </c>
      <c r="P59" s="191"/>
      <c r="Q59" s="191">
        <f>SUM(AVERAGE(Q5:Q30),(AVERAGE(Q37:Q55)*2))</f>
        <v>86.372107456140355</v>
      </c>
      <c r="R59" s="191"/>
      <c r="S59" s="191">
        <f>SUM(AVERAGE(S5:S30),(AVERAGE(S37:S55)*2))</f>
        <v>1.5537324561403507</v>
      </c>
      <c r="T59" s="191"/>
      <c r="U59" s="191">
        <f>SUM(AVERAGE(U5:U30),(AVERAGE(U37:U55)*2))</f>
        <v>66.39824780701754</v>
      </c>
      <c r="V59" s="191"/>
      <c r="W59" s="191">
        <f>SUM(AVERAGE(W5:W30),(AVERAGE(W37:W55)*2))</f>
        <v>22.907697368421054</v>
      </c>
      <c r="X59" s="191"/>
      <c r="Y59" s="191">
        <f>SUM(AVERAGE(Y5:Y30),(AVERAGE(Y37:Y55)*2))</f>
        <v>12.414039473684209</v>
      </c>
      <c r="Z59" s="191"/>
      <c r="AA59" s="191">
        <f t="shared" ref="AA59:AH59" si="20">SUM(AVERAGE(AA5:AA30),(AVERAGE(AA37:AA55)*2))</f>
        <v>4.3263157894736837E-2</v>
      </c>
      <c r="AB59" s="191">
        <f t="shared" si="20"/>
        <v>0.21684210526315789</v>
      </c>
      <c r="AC59" s="191">
        <f t="shared" si="20"/>
        <v>426.00837719298244</v>
      </c>
      <c r="AD59" s="191">
        <f t="shared" si="20"/>
        <v>32.851063596491223</v>
      </c>
      <c r="AE59" s="191">
        <f t="shared" si="20"/>
        <v>1.6490153508771932</v>
      </c>
      <c r="AF59" s="191">
        <f t="shared" si="20"/>
        <v>9.1616995614035091</v>
      </c>
      <c r="AG59" s="191">
        <f t="shared" si="20"/>
        <v>157.06785087719302</v>
      </c>
      <c r="AH59" s="191">
        <f t="shared" si="20"/>
        <v>3.3417697368421058</v>
      </c>
    </row>
    <row r="60" spans="1:34" ht="28.5" hidden="1" customHeight="1">
      <c r="A60" s="179"/>
      <c r="B60" s="191" t="s">
        <v>467</v>
      </c>
      <c r="C60" s="191" t="str">
        <f>ROUND( MIN(C5:C30)+(MIN(C31:C50)*2),0) &amp; " - " &amp; ROUND(MAX(C5:C30)+(MAX(C31:C50)*2),0)</f>
        <v>534 - 893</v>
      </c>
      <c r="D60" s="191"/>
      <c r="E60" s="191" t="str">
        <f>ROUND( MIN(E5:E30)+(MIN(E37:E55)*2),0) &amp; " - " &amp; ROUND(MAX(E5:E30)+(MAX(E37:E55)*2),0)</f>
        <v>157 - 568</v>
      </c>
      <c r="F60" s="191"/>
      <c r="G60" s="191" t="str">
        <f>ROUND( MIN(G5:G30)+(MIN(G37:G55)*2),0) &amp; " - " &amp; ROUND(MAX(G5:G30)+(MAX(G37:G55)*2),0)</f>
        <v>17 - 63</v>
      </c>
      <c r="H60" s="832"/>
      <c r="I60" s="191" t="str">
        <f>ROUND( MIN(I5:I30)+(MIN(I37:I55)*2),0) &amp; " - " &amp; ROUND(MAX(I5:I30)+(MAX(I37:I55)*2),0)</f>
        <v>11 - 33</v>
      </c>
      <c r="J60" s="191"/>
      <c r="K60" s="191" t="str">
        <f>ROUND( MIN(K5:K30)+(MIN(K37:K55)*2),0) &amp; " - " &amp; ROUND(MAX(K5:K30)+(MAX(K37:K55)*2),0)</f>
        <v>0 - 0</v>
      </c>
      <c r="L60" s="191"/>
      <c r="M60" s="191" t="str">
        <f>ROUND( MIN(M5:M30)+(MIN(M37:M55)*2),0) &amp; " - " &amp; ROUND(MAX(M5:M30)+(MAX(M37:M55)*2),0)</f>
        <v>103 - 162</v>
      </c>
      <c r="N60" s="191"/>
      <c r="O60" s="191" t="str">
        <f>ROUND( MIN(O5:O30)+(MIN(O37:O55)*2),0) &amp; " - " &amp; ROUND(MAX(O5:O30)+(MAX(O37:O55)*2),0)</f>
        <v>252 - 658</v>
      </c>
      <c r="P60" s="191"/>
      <c r="Q60" s="191" t="str">
        <f>ROUND( MIN(Q5:Q30)+(MIN(Q37:Q55)*2),0) &amp; " - " &amp; ROUND(MAX(Q5:Q30)+(MAX(Q37:Q55)*2),0)</f>
        <v>61 - 116</v>
      </c>
      <c r="R60" s="191"/>
      <c r="S60" s="191" t="str">
        <f>ROUND( MIN(S5:S30)+(MIN(S37:S55)*2),0) &amp; " - " &amp; ROUND(MAX(S5:S30)+(MAX(S37:S55)*2),0)</f>
        <v>0 - 4</v>
      </c>
      <c r="T60" s="191"/>
      <c r="U60" s="191" t="str">
        <f>ROUND( MIN(U5:U30)+(MIN(U37:U55)*2),0) &amp; " - " &amp; ROUND(MAX(U5:U30)+(MAX(U37:U55)*2),0)</f>
        <v>42 - 89</v>
      </c>
      <c r="V60" s="191"/>
      <c r="W60" s="191" t="str">
        <f>ROUND( MIN(W5:W30)+(MIN(W37:W55)*2),0) &amp; " - " &amp; ROUND(MAX(W5:W30)+(MAX(W37:W55)*2),0)</f>
        <v>0 - 59</v>
      </c>
      <c r="X60" s="191"/>
      <c r="Y60" s="191" t="str">
        <f>ROUND( MIN(Y5:Y30)+(MIN(Y37:Y55)*2),0) &amp; " - " &amp; ROUND(MAX(Y5:Y30)+(MAX(Y37:Y55)*2),0)</f>
        <v>6 - 23</v>
      </c>
      <c r="Z60" s="191"/>
      <c r="AA60" s="191" t="str">
        <f t="shared" ref="AA60:AH60" si="21">ROUND( MIN(AA5:AA30)+(MIN(AA37:AA55)*2),0) &amp; " - " &amp; ROUND(MAX(AA5:AA30)+(MAX(AA37:AA55)*2),0)</f>
        <v>0 - 1</v>
      </c>
      <c r="AB60" s="191" t="str">
        <f t="shared" si="21"/>
        <v>0 - 4</v>
      </c>
      <c r="AC60" s="191" t="str">
        <f t="shared" si="21"/>
        <v>282 - 521</v>
      </c>
      <c r="AD60" s="191" t="str">
        <f t="shared" si="21"/>
        <v>22 - 41</v>
      </c>
      <c r="AE60" s="191" t="str">
        <f t="shared" si="21"/>
        <v>0 - 6</v>
      </c>
      <c r="AF60" s="191" t="str">
        <f t="shared" si="21"/>
        <v>0 - 35</v>
      </c>
      <c r="AG60" s="191" t="str">
        <f t="shared" si="21"/>
        <v>0 - 364</v>
      </c>
      <c r="AH60" s="191" t="str">
        <f t="shared" si="21"/>
        <v>0 - 8</v>
      </c>
    </row>
    <row r="61" spans="1:34" ht="28.5" hidden="1" customHeight="1">
      <c r="A61" s="179"/>
      <c r="B61" s="191" t="s">
        <v>468</v>
      </c>
      <c r="C61" s="191" t="e">
        <f>SUM(AVERAGE(C5:C30),AVERAGE(C37:C50),AVERAGE(#REF!))</f>
        <v>#REF!</v>
      </c>
      <c r="D61" s="191"/>
      <c r="E61" s="191" t="e">
        <f>SUM(AVERAGE(E5:E30),AVERAGE(E37:E50),AVERAGE(#REF!))</f>
        <v>#REF!</v>
      </c>
      <c r="F61" s="191"/>
      <c r="G61" s="191" t="e">
        <f>SUM(AVERAGE(G5:G30),AVERAGE(G37:G50),AVERAGE(#REF!))</f>
        <v>#REF!</v>
      </c>
      <c r="H61" s="832"/>
      <c r="I61" s="191" t="e">
        <f>SUM(AVERAGE(I5:I30),AVERAGE(I37:I50),AVERAGE(#REF!))</f>
        <v>#REF!</v>
      </c>
      <c r="J61" s="191"/>
      <c r="K61" s="191" t="e">
        <f>SUM(AVERAGE(K5:K30),AVERAGE(K37:K50),AVERAGE(#REF!))</f>
        <v>#REF!</v>
      </c>
      <c r="L61" s="191"/>
      <c r="M61" s="191" t="e">
        <f>SUM(AVERAGE(M5:M30),AVERAGE(M37:M50),AVERAGE(#REF!))</f>
        <v>#REF!</v>
      </c>
      <c r="N61" s="191"/>
      <c r="O61" s="191" t="e">
        <f>SUM(AVERAGE(O5:O30),AVERAGE(O37:O50),AVERAGE(#REF!))</f>
        <v>#REF!</v>
      </c>
      <c r="P61" s="191"/>
      <c r="Q61" s="191" t="e">
        <f>SUM(AVERAGE(Q5:Q30),AVERAGE(Q37:Q50),AVERAGE(#REF!))</f>
        <v>#REF!</v>
      </c>
      <c r="R61" s="191"/>
      <c r="S61" s="191" t="e">
        <f>SUM(AVERAGE(S5:S30),AVERAGE(S37:S50),AVERAGE(#REF!))</f>
        <v>#REF!</v>
      </c>
      <c r="T61" s="191"/>
      <c r="U61" s="191" t="e">
        <f>SUM(AVERAGE(U5:U30),AVERAGE(U37:U50),AVERAGE(#REF!))</f>
        <v>#REF!</v>
      </c>
      <c r="V61" s="191"/>
      <c r="W61" s="191" t="e">
        <f>SUM(AVERAGE(W5:W30),AVERAGE(W37:W50),AVERAGE(#REF!))</f>
        <v>#REF!</v>
      </c>
      <c r="X61" s="191"/>
      <c r="Y61" s="191" t="e">
        <f>SUM(AVERAGE(Y5:Y30),AVERAGE(Y37:Y50),AVERAGE(#REF!))</f>
        <v>#REF!</v>
      </c>
      <c r="Z61" s="191"/>
      <c r="AA61" s="191" t="e">
        <f>SUM(AVERAGE(AA5:AA30),AVERAGE(AA37:AA50),AVERAGE(#REF!))</f>
        <v>#REF!</v>
      </c>
      <c r="AB61" s="191" t="e">
        <f>SUM(AVERAGE(AB5:AB30),AVERAGE(AB37:AB50),AVERAGE(#REF!))</f>
        <v>#REF!</v>
      </c>
      <c r="AC61" s="191" t="e">
        <f>SUM(AVERAGE(AC5:AC30),AVERAGE(AC37:AC50),AVERAGE(#REF!))</f>
        <v>#REF!</v>
      </c>
      <c r="AD61" s="191" t="e">
        <f>SUM(AVERAGE(AD5:AD30),AVERAGE(AD37:AD50),AVERAGE(#REF!))</f>
        <v>#REF!</v>
      </c>
      <c r="AE61" s="191" t="e">
        <f>SUM(AVERAGE(AE5:AE30),AVERAGE(AE37:AE50),AVERAGE(#REF!))</f>
        <v>#REF!</v>
      </c>
      <c r="AF61" s="191" t="e">
        <f>SUM(AVERAGE(AF5:AF30),AVERAGE(AF37:AF50),AVERAGE(#REF!))</f>
        <v>#REF!</v>
      </c>
      <c r="AG61" s="191" t="e">
        <f>SUM(AVERAGE(AG5:AG30),AVERAGE(AG37:AG50),AVERAGE(#REF!))</f>
        <v>#REF!</v>
      </c>
      <c r="AH61" s="191" t="e">
        <f>SUM(AVERAGE(AH5:AH30),AVERAGE(AH37:AH50),AVERAGE(#REF!))</f>
        <v>#REF!</v>
      </c>
    </row>
    <row r="62" spans="1:34" ht="28.5" hidden="1" customHeight="1">
      <c r="A62" s="272"/>
      <c r="B62" s="191" t="s">
        <v>469</v>
      </c>
      <c r="C62" s="191" t="e">
        <f xml:space="preserve"> ROUND(MIN(C5:C30)+MIN(C37:C50)+ MIN(#REF!),0) &amp; " - " &amp; ROUND(MAX(C5:C30)+MAX(C37:C50)+ MAX(#REF!),0)</f>
        <v>#REF!</v>
      </c>
      <c r="D62" s="191"/>
      <c r="E62" s="191" t="e">
        <f xml:space="preserve"> ROUND(MIN(E5:E30)+MIN(E37:E50)+ MIN(#REF!),0) &amp; " - " &amp; ROUND(MAX(E5:E30)+MAX(E37:E50)+ MAX(#REF!),0)</f>
        <v>#REF!</v>
      </c>
      <c r="F62" s="191"/>
      <c r="G62" s="191" t="e">
        <f xml:space="preserve"> ROUND(MIN(G5:G30)+MIN(G37:G50)+ MIN(#REF!),0) &amp; " - " &amp; ROUND(MAX(G5:G30)+MAX(G37:G50)+ MAX(#REF!),0)</f>
        <v>#REF!</v>
      </c>
      <c r="H62" s="832"/>
      <c r="I62" s="191" t="e">
        <f xml:space="preserve"> ROUND(MIN(I5:I30)+MIN(I37:I50)+ MIN(#REF!),0) &amp; " - " &amp; ROUND(MAX(I5:I30)+MAX(I37:I50)+ MAX(#REF!),0)</f>
        <v>#REF!</v>
      </c>
      <c r="J62" s="191"/>
      <c r="K62" s="191" t="e">
        <f xml:space="preserve"> ROUND(MIN(K5:K30)+MIN(K37:K50)+ MIN(#REF!),0) &amp; " - " &amp; ROUND(MAX(K5:K30)+MAX(K37:K50)+ MAX(#REF!),0)</f>
        <v>#REF!</v>
      </c>
      <c r="L62" s="191"/>
      <c r="M62" s="191" t="e">
        <f xml:space="preserve"> ROUND(MIN(M5:M30)+MIN(M37:M50)+ MIN(#REF!),0) &amp; " - " &amp; ROUND(MAX(M5:M30)+MAX(M37:M50)+ MAX(#REF!),0)</f>
        <v>#REF!</v>
      </c>
      <c r="N62" s="191"/>
      <c r="O62" s="191" t="e">
        <f xml:space="preserve"> ROUND(MIN(O5:O30)+MIN(O37:O50)+ MIN(#REF!),0) &amp; " - " &amp; ROUND(MAX(O5:O30)+MAX(O37:O50)+ MAX(#REF!),0)</f>
        <v>#REF!</v>
      </c>
      <c r="P62" s="191"/>
      <c r="Q62" s="191" t="e">
        <f xml:space="preserve"> ROUND(MIN(Q5:Q30)+MIN(Q37:Q50)+ MIN(#REF!),0) &amp; " - " &amp; ROUND(MAX(Q5:Q30)+MAX(Q37:Q50)+ MAX(#REF!),0)</f>
        <v>#REF!</v>
      </c>
      <c r="R62" s="191"/>
      <c r="S62" s="191" t="e">
        <f xml:space="preserve"> ROUND(MIN(S5:S30)+MIN(S37:S50)+ MIN(#REF!),0) &amp; " - " &amp; ROUND(MAX(S5:S30)+MAX(S37:S50)+ MAX(#REF!),0)</f>
        <v>#REF!</v>
      </c>
      <c r="T62" s="191"/>
      <c r="U62" s="191" t="e">
        <f xml:space="preserve"> ROUND(MIN(U5:U30)+MIN(U37:U50)+ MIN(#REF!),0) &amp; " - " &amp; ROUND(MAX(U5:U30)+MAX(U37:U50)+ MAX(#REF!),0)</f>
        <v>#REF!</v>
      </c>
      <c r="V62" s="191"/>
      <c r="W62" s="191" t="e">
        <f xml:space="preserve"> ROUND(MIN(W5:W30)+MIN(W37:W50)+ MIN(#REF!),0) &amp; " - " &amp; ROUND(MAX(W5:W30)+MAX(W37:W50)+ MAX(#REF!),0)</f>
        <v>#REF!</v>
      </c>
      <c r="X62" s="191"/>
      <c r="Y62" s="191" t="e">
        <f xml:space="preserve"> ROUND(MIN(Y5:Y30)+MIN(Y37:Y50)+ MIN(#REF!),0) &amp; " - " &amp; ROUND(MAX(Y5:Y30)+MAX(Y37:Y50)+ MAX(#REF!),0)</f>
        <v>#REF!</v>
      </c>
      <c r="Z62" s="191"/>
      <c r="AA62" s="191" t="e">
        <f xml:space="preserve"> ROUND(MIN(AA5:AA30)+MIN(AA37:AA50)+ MIN(#REF!),0) &amp; " - " &amp; ROUND(MAX(AA5:AA30)+MAX(AA37:AA50)+ MAX(#REF!),0)</f>
        <v>#REF!</v>
      </c>
      <c r="AB62" s="191" t="e">
        <f xml:space="preserve"> ROUND(MIN(AB5:AB30)+MIN(AB37:AB50)+ MIN(#REF!),0) &amp; " - " &amp; ROUND(MAX(AB5:AB30)+MAX(AB37:AB50)+ MAX(#REF!),0)</f>
        <v>#REF!</v>
      </c>
      <c r="AC62" s="191" t="e">
        <f xml:space="preserve"> ROUND(MIN(AC5:AC30)+MIN(AC37:AC50)+ MIN(#REF!),0) &amp; " - " &amp; ROUND(MAX(AC5:AC30)+MAX(AC37:AC50)+ MAX(#REF!),0)</f>
        <v>#REF!</v>
      </c>
      <c r="AD62" s="191" t="e">
        <f xml:space="preserve"> ROUND(MIN(AD5:AD30)+MIN(AD37:AD50)+ MIN(#REF!),0) &amp; " - " &amp; ROUND(MAX(AD5:AD30)+MAX(AD37:AD50)+ MAX(#REF!),0)</f>
        <v>#REF!</v>
      </c>
      <c r="AE62" s="191" t="e">
        <f xml:space="preserve"> ROUND(MIN(AE5:AE30)+MIN(AE37:AE50)+ MIN(#REF!),0) &amp; " - " &amp; ROUND(MAX(AE5:AE30)+MAX(AE37:AE50)+ MAX(#REF!),0)</f>
        <v>#REF!</v>
      </c>
      <c r="AF62" s="191" t="e">
        <f xml:space="preserve"> ROUND(MIN(AF5:AF30)+MIN(AF37:AF50)+ MIN(#REF!),0) &amp; " - " &amp; ROUND(MAX(AF5:AF30)+MAX(AF37:AF50)+ MAX(#REF!),0)</f>
        <v>#REF!</v>
      </c>
      <c r="AG62" s="191" t="e">
        <f xml:space="preserve"> ROUND(MIN(AG5:AG30)+MIN(AG37:AG50)+ MIN(#REF!),0) &amp; " - " &amp; ROUND(MAX(AG5:AG30)+MAX(AG37:AG50)+ MAX(#REF!),0)</f>
        <v>#REF!</v>
      </c>
      <c r="AH62" s="191" t="e">
        <f xml:space="preserve"> ROUND(MIN(AH5:AH30)+MIN(AH37:AH50)+ MIN(#REF!),0) &amp; " - " &amp; ROUND(MAX(AH5:AH30)+MAX(AH37:AH50)+ MAX(#REF!),0)</f>
        <v>#REF!</v>
      </c>
    </row>
    <row r="63" spans="1:34" hidden="1">
      <c r="B63" s="195"/>
      <c r="C63" s="195"/>
      <c r="D63" s="195"/>
      <c r="E63" s="195"/>
      <c r="F63" s="195"/>
      <c r="G63" s="195"/>
      <c r="H63" s="743"/>
      <c r="I63" s="195"/>
      <c r="J63" s="195"/>
      <c r="K63" s="195"/>
      <c r="L63" s="195"/>
      <c r="M63" s="195"/>
      <c r="N63" s="195"/>
      <c r="O63" s="195"/>
      <c r="P63" s="195"/>
      <c r="Q63" s="195"/>
      <c r="R63" s="195"/>
      <c r="S63" s="195"/>
      <c r="T63" s="195"/>
      <c r="U63" s="195"/>
      <c r="V63" s="195"/>
      <c r="W63" s="195"/>
      <c r="X63" s="195"/>
      <c r="Y63" s="195"/>
      <c r="Z63" s="195"/>
      <c r="AA63" s="195"/>
      <c r="AB63" s="195"/>
      <c r="AC63" s="195"/>
      <c r="AD63" s="195"/>
      <c r="AE63" s="195"/>
      <c r="AF63" s="195"/>
      <c r="AG63" s="195"/>
      <c r="AH63" s="195"/>
    </row>
    <row r="64" spans="1:34" hidden="1">
      <c r="A64" s="223"/>
      <c r="B64" s="222" t="s">
        <v>392</v>
      </c>
      <c r="C64" s="222" t="e">
        <f>AVERAGE(#REF!)</f>
        <v>#REF!</v>
      </c>
      <c r="D64" s="222"/>
      <c r="E64" s="222" t="e">
        <f>AVERAGE(#REF!)</f>
        <v>#REF!</v>
      </c>
      <c r="F64" s="222"/>
      <c r="G64" s="222" t="e">
        <f>AVERAGE(#REF!)</f>
        <v>#REF!</v>
      </c>
      <c r="H64" s="979"/>
      <c r="I64" s="222" t="e">
        <f>AVERAGE(#REF!)</f>
        <v>#REF!</v>
      </c>
      <c r="J64" s="222"/>
      <c r="K64" s="222" t="e">
        <f>AVERAGE(#REF!)</f>
        <v>#REF!</v>
      </c>
      <c r="L64" s="222"/>
      <c r="M64" s="222" t="e">
        <f>AVERAGE(#REF!)</f>
        <v>#REF!</v>
      </c>
      <c r="N64" s="222"/>
      <c r="O64" s="222" t="e">
        <f>AVERAGE(#REF!)</f>
        <v>#REF!</v>
      </c>
      <c r="P64" s="222"/>
      <c r="Q64" s="222" t="e">
        <f>AVERAGE(#REF!)</f>
        <v>#REF!</v>
      </c>
      <c r="R64" s="222"/>
      <c r="S64" s="222" t="e">
        <f>AVERAGE(#REF!)</f>
        <v>#REF!</v>
      </c>
      <c r="T64" s="222"/>
      <c r="U64" s="222" t="e">
        <f>AVERAGE(#REF!)</f>
        <v>#REF!</v>
      </c>
      <c r="V64" s="222"/>
      <c r="W64" s="222" t="e">
        <f>AVERAGE(#REF!)</f>
        <v>#REF!</v>
      </c>
      <c r="X64" s="222"/>
      <c r="Y64" s="222" t="e">
        <f>AVERAGE(#REF!)</f>
        <v>#REF!</v>
      </c>
      <c r="Z64" s="222"/>
      <c r="AA64" s="222" t="e">
        <f>AVERAGE(#REF!)</f>
        <v>#REF!</v>
      </c>
      <c r="AB64" s="222" t="e">
        <f>AVERAGE(#REF!)</f>
        <v>#REF!</v>
      </c>
      <c r="AC64" s="222" t="e">
        <f>AVERAGE(#REF!)</f>
        <v>#REF!</v>
      </c>
      <c r="AD64" s="222" t="e">
        <f>AVERAGE(#REF!)</f>
        <v>#REF!</v>
      </c>
      <c r="AE64" s="222" t="e">
        <f>AVERAGE(#REF!)</f>
        <v>#REF!</v>
      </c>
      <c r="AF64" s="222" t="e">
        <f>AVERAGE(#REF!)</f>
        <v>#REF!</v>
      </c>
      <c r="AG64" s="222" t="e">
        <f>AVERAGE(#REF!)</f>
        <v>#REF!</v>
      </c>
      <c r="AH64" s="222" t="e">
        <f>AVERAGE(#REF!)</f>
        <v>#REF!</v>
      </c>
    </row>
    <row r="65" spans="1:34" hidden="1">
      <c r="A65" s="179"/>
      <c r="B65" s="222" t="s">
        <v>393</v>
      </c>
      <c r="C65" s="222" t="e">
        <f>MIN(#REF!) &amp; " - " &amp;  MAX(#REF!)</f>
        <v>#REF!</v>
      </c>
      <c r="D65" s="222"/>
      <c r="E65" s="222" t="e">
        <f>MIN(#REF!) &amp; " - " &amp;  MAX(#REF!)</f>
        <v>#REF!</v>
      </c>
      <c r="F65" s="222"/>
      <c r="G65" s="222" t="e">
        <f>MIN(#REF!) &amp; " - " &amp;  MAX(#REF!)</f>
        <v>#REF!</v>
      </c>
      <c r="H65" s="979"/>
      <c r="I65" s="222" t="e">
        <f>MIN(#REF!) &amp; " - " &amp;  MAX(#REF!)</f>
        <v>#REF!</v>
      </c>
      <c r="J65" s="222"/>
      <c r="K65" s="222" t="e">
        <f>MIN(#REF!) &amp; " - " &amp;  MAX(#REF!)</f>
        <v>#REF!</v>
      </c>
      <c r="L65" s="222"/>
      <c r="M65" s="222" t="e">
        <f>MIN(#REF!) &amp; " - " &amp;  MAX(#REF!)</f>
        <v>#REF!</v>
      </c>
      <c r="N65" s="222"/>
      <c r="O65" s="222" t="e">
        <f>MIN(#REF!) &amp; " - " &amp;  MAX(#REF!)</f>
        <v>#REF!</v>
      </c>
      <c r="P65" s="222"/>
      <c r="Q65" s="222" t="e">
        <f>MIN(#REF!) &amp; " - " &amp;  MAX(#REF!)</f>
        <v>#REF!</v>
      </c>
      <c r="R65" s="222"/>
      <c r="S65" s="222" t="e">
        <f>MIN(#REF!) &amp; " - " &amp;  MAX(#REF!)</f>
        <v>#REF!</v>
      </c>
      <c r="T65" s="222"/>
      <c r="U65" s="222" t="e">
        <f>MIN(#REF!) &amp; " - " &amp;  MAX(#REF!)</f>
        <v>#REF!</v>
      </c>
      <c r="V65" s="222"/>
      <c r="W65" s="222" t="e">
        <f>MIN(#REF!) &amp; " - " &amp;  MAX(#REF!)</f>
        <v>#REF!</v>
      </c>
      <c r="X65" s="222"/>
      <c r="Y65" s="222" t="e">
        <f>MIN(#REF!) &amp; " - " &amp;  MAX(#REF!)</f>
        <v>#REF!</v>
      </c>
      <c r="Z65" s="222"/>
      <c r="AA65" s="222" t="e">
        <f>MIN(#REF!) &amp; " - " &amp;  MAX(#REF!)</f>
        <v>#REF!</v>
      </c>
      <c r="AB65" s="222" t="e">
        <f>MIN(#REF!) &amp; " - " &amp;  MAX(#REF!)</f>
        <v>#REF!</v>
      </c>
      <c r="AC65" s="222" t="e">
        <f>MIN(#REF!) &amp; " - " &amp;  MAX(#REF!)</f>
        <v>#REF!</v>
      </c>
      <c r="AD65" s="222" t="e">
        <f>MIN(#REF!) &amp; " - " &amp;  MAX(#REF!)</f>
        <v>#REF!</v>
      </c>
      <c r="AE65" s="222" t="e">
        <f>MIN(#REF!) &amp; " - " &amp;  MAX(#REF!)</f>
        <v>#REF!</v>
      </c>
      <c r="AF65" s="222" t="e">
        <f>MIN(#REF!) &amp; " - " &amp;  MAX(#REF!)</f>
        <v>#REF!</v>
      </c>
      <c r="AG65" s="222" t="e">
        <f>MIN(#REF!) &amp; " - " &amp;  MAX(#REF!)</f>
        <v>#REF!</v>
      </c>
      <c r="AH65" s="222" t="e">
        <f>MIN(#REF!) &amp; " - " &amp;  MAX(#REF!)</f>
        <v>#REF!</v>
      </c>
    </row>
  </sheetData>
  <autoFilter ref="A4:AH55" xr:uid="{00000000-0001-0000-0B00-000000000000}">
    <filterColumn colId="0">
      <filters>
        <filter val="Stuffed"/>
      </filters>
    </filterColumn>
  </autoFilter>
  <mergeCells count="4">
    <mergeCell ref="A57:AH57"/>
    <mergeCell ref="A1:AH1"/>
    <mergeCell ref="A2:AH2"/>
    <mergeCell ref="A3:AH3"/>
  </mergeCells>
  <pageMargins left="0.7" right="0.7" top="0.75" bottom="0.75" header="0.3" footer="0.3"/>
  <pageSetup scale="43" fitToHeight="0" orientation="landscape" r:id="rId1"/>
  <headerFooter>
    <oddHeader xml:space="preserve">&amp;R&amp;14 2024 Nutrition Information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D2EF7-D3B0-4B24-963F-8FFCB20C1853}">
  <dimension ref="A1:AI173"/>
  <sheetViews>
    <sheetView tabSelected="1" topLeftCell="A4" zoomScale="80" zoomScaleNormal="80" zoomScalePageLayoutView="98" workbookViewId="0">
      <selection activeCell="C5" sqref="C5"/>
    </sheetView>
    <sheetView zoomScale="80" zoomScaleNormal="80" workbookViewId="1">
      <pane xSplit="2" ySplit="4" topLeftCell="C110" activePane="bottomRight" state="frozen"/>
      <selection pane="topRight" activeCell="C1" sqref="C1"/>
      <selection pane="bottomLeft" activeCell="A5" sqref="A5"/>
      <selection pane="bottomRight" activeCell="C4" sqref="C4:Z4"/>
    </sheetView>
    <sheetView zoomScale="70" zoomScaleNormal="70" workbookViewId="2">
      <pane xSplit="2" ySplit="4" topLeftCell="C5" activePane="bottomRight" state="frozen"/>
      <selection pane="topRight" activeCell="H15" sqref="H15"/>
      <selection pane="bottomLeft" activeCell="H15" sqref="H15"/>
      <selection pane="bottomRight" activeCell="H15" sqref="H15"/>
    </sheetView>
  </sheetViews>
  <sheetFormatPr defaultColWidth="8.84375" defaultRowHeight="12.45"/>
  <cols>
    <col min="1" max="1" width="7" customWidth="1"/>
    <col min="2" max="2" width="35.53515625" customWidth="1"/>
    <col min="3" max="3" width="12.15234375" style="971" bestFit="1" customWidth="1"/>
    <col min="4" max="4" width="12.15234375" customWidth="1"/>
    <col min="5" max="5" width="13" style="971" customWidth="1"/>
    <col min="6" max="6" width="13" customWidth="1"/>
    <col min="7" max="7" width="9" style="971" customWidth="1"/>
    <col min="8" max="8" width="9" customWidth="1"/>
    <col min="9" max="9" width="11.53515625" style="971" customWidth="1"/>
    <col min="10" max="10" width="11.53515625" customWidth="1"/>
    <col min="11" max="11" width="8.53515625" style="971" customWidth="1"/>
    <col min="12" max="12" width="8.53515625" style="177" customWidth="1"/>
    <col min="13" max="13" width="13" style="971" customWidth="1"/>
    <col min="14" max="14" width="13" style="177" customWidth="1"/>
    <col min="15" max="15" width="9" style="971" customWidth="1"/>
    <col min="16" max="16" width="9" style="177" customWidth="1"/>
    <col min="17" max="17" width="19.3828125" style="971" customWidth="1"/>
    <col min="18" max="18" width="19.3828125" style="177" customWidth="1"/>
    <col min="19" max="19" width="13.15234375" style="971" customWidth="1"/>
    <col min="20" max="20" width="13.15234375" style="177" customWidth="1"/>
    <col min="21" max="21" width="11.15234375" style="971" customWidth="1"/>
    <col min="22" max="22" width="11.15234375" style="177" customWidth="1"/>
    <col min="23" max="23" width="10.53515625" style="971" customWidth="1"/>
    <col min="24" max="24" width="10.53515625" style="177" customWidth="1"/>
    <col min="25" max="25" width="11" style="971" customWidth="1"/>
    <col min="26" max="26" width="11" style="177" customWidth="1"/>
    <col min="27" max="27" width="11.53515625" customWidth="1"/>
    <col min="28" max="28" width="16" customWidth="1"/>
    <col min="29" max="29" width="10.53515625" customWidth="1"/>
    <col min="30" max="30" width="13.15234375" customWidth="1"/>
    <col min="31" max="31" width="8.15234375" customWidth="1"/>
    <col min="32" max="32" width="14.53515625" customWidth="1"/>
    <col min="33" max="33" width="13.53515625" customWidth="1"/>
    <col min="34" max="34" width="16" customWidth="1"/>
  </cols>
  <sheetData>
    <row r="1" spans="1:35" s="342" customFormat="1" ht="18" customHeight="1">
      <c r="A1" s="948" t="s">
        <v>381</v>
      </c>
      <c r="B1" s="949"/>
      <c r="C1" s="962"/>
      <c r="D1" s="949"/>
      <c r="E1" s="962"/>
      <c r="F1" s="949"/>
      <c r="G1" s="962"/>
      <c r="H1" s="949"/>
      <c r="I1" s="962"/>
      <c r="J1" s="949"/>
      <c r="K1" s="962"/>
      <c r="L1" s="949"/>
      <c r="M1" s="962"/>
      <c r="N1" s="949"/>
      <c r="O1" s="962"/>
      <c r="P1" s="949"/>
      <c r="Q1" s="962"/>
      <c r="R1" s="949"/>
      <c r="S1" s="962"/>
      <c r="T1" s="949"/>
      <c r="U1" s="962"/>
      <c r="V1" s="949"/>
      <c r="W1" s="962"/>
      <c r="X1" s="949"/>
      <c r="Y1" s="962"/>
      <c r="Z1" s="949"/>
      <c r="AA1" s="949"/>
      <c r="AB1" s="949"/>
      <c r="AC1" s="949"/>
      <c r="AD1" s="949"/>
      <c r="AE1" s="949"/>
      <c r="AF1" s="949"/>
      <c r="AG1" s="949"/>
      <c r="AH1" s="950"/>
    </row>
    <row r="2" spans="1:35" s="342" customFormat="1" ht="18" customHeight="1">
      <c r="A2" s="948" t="s">
        <v>382</v>
      </c>
      <c r="B2" s="949"/>
      <c r="C2" s="962"/>
      <c r="D2" s="949"/>
      <c r="E2" s="962"/>
      <c r="F2" s="949"/>
      <c r="G2" s="962"/>
      <c r="H2" s="949"/>
      <c r="I2" s="962"/>
      <c r="J2" s="949"/>
      <c r="K2" s="962"/>
      <c r="L2" s="949"/>
      <c r="M2" s="962"/>
      <c r="N2" s="949"/>
      <c r="O2" s="962"/>
      <c r="P2" s="949"/>
      <c r="Q2" s="962"/>
      <c r="R2" s="949"/>
      <c r="S2" s="962"/>
      <c r="T2" s="949"/>
      <c r="U2" s="962"/>
      <c r="V2" s="949"/>
      <c r="W2" s="962"/>
      <c r="X2" s="949"/>
      <c r="Y2" s="962"/>
      <c r="Z2" s="949"/>
      <c r="AA2" s="949"/>
      <c r="AB2" s="949"/>
      <c r="AC2" s="949"/>
      <c r="AD2" s="949"/>
      <c r="AE2" s="949"/>
      <c r="AF2" s="949"/>
      <c r="AG2" s="949"/>
      <c r="AH2" s="950"/>
    </row>
    <row r="3" spans="1:35" s="344" customFormat="1" ht="37.5" customHeight="1">
      <c r="A3" s="951" t="s">
        <v>383</v>
      </c>
      <c r="B3" s="951"/>
      <c r="C3" s="963"/>
      <c r="D3" s="951"/>
      <c r="E3" s="963"/>
      <c r="F3" s="951"/>
      <c r="G3" s="963"/>
      <c r="H3" s="951"/>
      <c r="I3" s="963"/>
      <c r="J3" s="951"/>
      <c r="K3" s="963"/>
      <c r="L3" s="951"/>
      <c r="M3" s="963"/>
      <c r="N3" s="951"/>
      <c r="O3" s="963"/>
      <c r="P3" s="951"/>
      <c r="Q3" s="963"/>
      <c r="R3" s="951"/>
      <c r="S3" s="963"/>
      <c r="T3" s="951"/>
      <c r="U3" s="963"/>
      <c r="V3" s="951"/>
      <c r="W3" s="963"/>
      <c r="X3" s="951"/>
      <c r="Y3" s="963"/>
      <c r="Z3" s="951"/>
      <c r="AA3" s="951"/>
      <c r="AB3" s="951"/>
      <c r="AC3" s="951"/>
      <c r="AD3" s="951"/>
      <c r="AE3" s="951"/>
      <c r="AF3" s="951"/>
      <c r="AG3" s="951"/>
      <c r="AH3" s="951"/>
    </row>
    <row r="4" spans="1:35" s="344" customFormat="1" ht="36.75" customHeight="1">
      <c r="A4" s="343"/>
      <c r="B4" s="343" t="s">
        <v>3</v>
      </c>
      <c r="C4" s="964" t="s">
        <v>4</v>
      </c>
      <c r="D4" s="499" t="s">
        <v>4</v>
      </c>
      <c r="E4" s="964" t="s">
        <v>5</v>
      </c>
      <c r="F4" s="499" t="s">
        <v>5</v>
      </c>
      <c r="G4" s="964" t="s">
        <v>6</v>
      </c>
      <c r="H4" s="499" t="s">
        <v>6</v>
      </c>
      <c r="I4" s="964" t="s">
        <v>7</v>
      </c>
      <c r="J4" s="499" t="s">
        <v>7</v>
      </c>
      <c r="K4" s="964" t="s">
        <v>8</v>
      </c>
      <c r="L4" s="499" t="s">
        <v>8</v>
      </c>
      <c r="M4" s="964" t="s">
        <v>9</v>
      </c>
      <c r="N4" s="499" t="s">
        <v>9</v>
      </c>
      <c r="O4" s="964" t="s">
        <v>10</v>
      </c>
      <c r="P4" s="499" t="s">
        <v>10</v>
      </c>
      <c r="Q4" s="964" t="s">
        <v>11</v>
      </c>
      <c r="R4" s="499" t="s">
        <v>11</v>
      </c>
      <c r="S4" s="964" t="s">
        <v>12</v>
      </c>
      <c r="T4" s="499" t="s">
        <v>12</v>
      </c>
      <c r="U4" s="964" t="s">
        <v>13</v>
      </c>
      <c r="V4" s="499" t="s">
        <v>13</v>
      </c>
      <c r="W4" s="964" t="s">
        <v>14</v>
      </c>
      <c r="X4" s="499" t="s">
        <v>14</v>
      </c>
      <c r="Y4" s="964" t="s">
        <v>15</v>
      </c>
      <c r="Z4" s="499" t="s">
        <v>15</v>
      </c>
      <c r="AA4" s="500" t="s">
        <v>16</v>
      </c>
      <c r="AB4" s="500" t="s">
        <v>17</v>
      </c>
      <c r="AC4" s="500" t="s">
        <v>18</v>
      </c>
      <c r="AD4" s="500" t="s">
        <v>19</v>
      </c>
      <c r="AE4" s="500" t="s">
        <v>20</v>
      </c>
      <c r="AF4" s="500" t="s">
        <v>21</v>
      </c>
      <c r="AG4" s="500" t="s">
        <v>22</v>
      </c>
      <c r="AH4" s="194" t="s">
        <v>23</v>
      </c>
    </row>
    <row r="5" spans="1:35" s="344" customFormat="1" ht="15" customHeight="1">
      <c r="A5" s="349" t="s">
        <v>143</v>
      </c>
      <c r="B5" s="186" t="s">
        <v>461</v>
      </c>
      <c r="C5" s="654">
        <v>100.05800000000001</v>
      </c>
      <c r="D5" s="727">
        <f t="shared" ref="D5:D36" si="0">MROUND(C5,10)</f>
        <v>100</v>
      </c>
      <c r="E5" s="654">
        <v>64.247</v>
      </c>
      <c r="F5" s="727">
        <f t="shared" ref="F5:F36" si="1">IF(E5&lt;5,0,(IF(E5&gt;50,MROUND(E5,10),MROUND(E5,5))))</f>
        <v>60</v>
      </c>
      <c r="G5" s="654">
        <v>7.1390000000000002</v>
      </c>
      <c r="H5" s="727">
        <f t="shared" ref="H5:H36" si="2">IF(G5&lt;0.5,0,IF(G5&gt;5,MROUND(G5,1),MROUND(G5,0.5)))</f>
        <v>7</v>
      </c>
      <c r="I5" s="654">
        <v>3.1589999999999998</v>
      </c>
      <c r="J5" s="727">
        <f t="shared" ref="J5:J36" si="3">IF(I5&lt;0.5,0,IF(I5&gt;5,MROUND(I5,1),MROUND(I5,0.5)))</f>
        <v>3</v>
      </c>
      <c r="K5" s="654">
        <v>0.1</v>
      </c>
      <c r="L5" s="799">
        <f t="shared" ref="L5:L32" si="4">IF(K5&lt;0.5,0,IF(K5&gt;5,MROUND(K5,1),MROUND(K4,0.5)))</f>
        <v>0</v>
      </c>
      <c r="M5" s="654">
        <v>7.242</v>
      </c>
      <c r="N5" s="799">
        <f t="shared" ref="N5:N36" si="5">IF(M5&lt;2,0,IF(M5&gt;5,MROUND(M5,5),"less than 5 mg"))</f>
        <v>5</v>
      </c>
      <c r="O5" s="654">
        <v>8.8729999999999993</v>
      </c>
      <c r="P5" s="799">
        <f t="shared" ref="P5:P36" si="6">IF(O5&lt;5,0,IF(O5&gt;140,MROUND(O5,10),MROUND(O5,5)))</f>
        <v>10</v>
      </c>
      <c r="Q5" s="654">
        <v>8.8729999999999993</v>
      </c>
      <c r="R5" s="799">
        <f t="shared" ref="R5:R36" si="7">IF(Q5&lt;0.5,0,IF(Q5&gt;1,MROUND(Q5,1),"less than 1 g"))</f>
        <v>9</v>
      </c>
      <c r="S5" s="739">
        <v>0.57899999999999996</v>
      </c>
      <c r="T5" s="799" t="str">
        <f t="shared" ref="T5:T36" si="8">IF(S5&lt;0.5,0,IF(S5&gt;1,MROUND(S5,1),"less than 1 g"))</f>
        <v>less than 1 g</v>
      </c>
      <c r="U5" s="654">
        <v>8.0549999999999997</v>
      </c>
      <c r="V5" s="799">
        <f t="shared" ref="V5:V36" si="9">IF(U5&lt;0.5,0,IF(U5&gt;1,MROUND(U5,1),"less than 1 g"))</f>
        <v>8</v>
      </c>
      <c r="W5" s="654">
        <v>7.7549999999999999</v>
      </c>
      <c r="X5" s="799">
        <f t="shared" ref="X5:X36" si="10">IF(W5&lt;0.5,0,IF(W5&gt;1,MROUND(W5,1),"less than 1 g"))</f>
        <v>8</v>
      </c>
      <c r="Y5" s="654">
        <v>0.95199999999999996</v>
      </c>
      <c r="Z5" s="799" t="str">
        <f t="shared" ref="Z5:Z36" si="11">IF(Y5&lt;0.5,0,IF(Y5&gt;1,MROUND(Y5,1),"less than 1 g"))</f>
        <v>less than 1 g</v>
      </c>
      <c r="AA5" s="654">
        <v>2.1000000000000001E-2</v>
      </c>
      <c r="AB5" s="654">
        <v>0.107</v>
      </c>
      <c r="AC5" s="654">
        <v>13.824</v>
      </c>
      <c r="AD5" s="654">
        <v>1.0629999999999999</v>
      </c>
      <c r="AE5" s="654">
        <v>0.246</v>
      </c>
      <c r="AF5" s="654">
        <v>1.369</v>
      </c>
      <c r="AG5" s="654">
        <v>42.262</v>
      </c>
      <c r="AH5" s="654">
        <v>0.89900000000000002</v>
      </c>
      <c r="AI5" s="342"/>
    </row>
    <row r="6" spans="1:35" s="342" customFormat="1" ht="31.75">
      <c r="A6" s="349" t="s">
        <v>143</v>
      </c>
      <c r="B6" s="186" t="s">
        <v>462</v>
      </c>
      <c r="C6" s="654">
        <v>153.042</v>
      </c>
      <c r="D6" s="727">
        <f t="shared" si="0"/>
        <v>150</v>
      </c>
      <c r="E6" s="654">
        <v>86.084999999999994</v>
      </c>
      <c r="F6" s="727">
        <f t="shared" si="1"/>
        <v>90</v>
      </c>
      <c r="G6" s="654">
        <v>9.5649999999999995</v>
      </c>
      <c r="H6" s="727">
        <f t="shared" si="2"/>
        <v>10</v>
      </c>
      <c r="I6" s="654">
        <v>8.6210000000000004</v>
      </c>
      <c r="J6" s="727">
        <f t="shared" si="3"/>
        <v>9</v>
      </c>
      <c r="K6" s="654">
        <v>1.7000000000000001E-2</v>
      </c>
      <c r="L6" s="799">
        <f t="shared" si="4"/>
        <v>0</v>
      </c>
      <c r="M6" s="654">
        <v>0.57799999999999996</v>
      </c>
      <c r="N6" s="799">
        <f t="shared" si="5"/>
        <v>0</v>
      </c>
      <c r="O6" s="654">
        <v>12.138999999999999</v>
      </c>
      <c r="P6" s="799">
        <f t="shared" si="6"/>
        <v>10</v>
      </c>
      <c r="Q6" s="654">
        <v>16.72</v>
      </c>
      <c r="R6" s="799">
        <f t="shared" si="7"/>
        <v>17</v>
      </c>
      <c r="S6" s="739">
        <v>1.0089999999999999</v>
      </c>
      <c r="T6" s="799">
        <f t="shared" si="8"/>
        <v>1</v>
      </c>
      <c r="U6" s="654">
        <v>15.186999999999999</v>
      </c>
      <c r="V6" s="799">
        <f t="shared" si="9"/>
        <v>15</v>
      </c>
      <c r="W6" s="654">
        <v>13.891</v>
      </c>
      <c r="X6" s="799">
        <f t="shared" si="10"/>
        <v>14</v>
      </c>
      <c r="Y6" s="654">
        <v>1.4430000000000001</v>
      </c>
      <c r="Z6" s="799">
        <f t="shared" si="11"/>
        <v>1</v>
      </c>
      <c r="AA6" s="654">
        <v>0.35699999999999998</v>
      </c>
      <c r="AB6" s="654">
        <v>1.786</v>
      </c>
      <c r="AC6" s="654">
        <v>32.036999999999999</v>
      </c>
      <c r="AD6" s="654">
        <v>2.464</v>
      </c>
      <c r="AE6" s="654">
        <v>1.157</v>
      </c>
      <c r="AF6" s="654">
        <v>6.4260000000000002</v>
      </c>
      <c r="AG6" s="654">
        <v>96.965000000000003</v>
      </c>
      <c r="AH6" s="654">
        <v>2.0630000000000002</v>
      </c>
    </row>
    <row r="7" spans="1:35" s="342" customFormat="1" ht="31.75">
      <c r="A7" s="349" t="s">
        <v>296</v>
      </c>
      <c r="B7" s="349" t="s">
        <v>25</v>
      </c>
      <c r="C7" s="727">
        <v>85.882000000000005</v>
      </c>
      <c r="D7" s="727">
        <f t="shared" si="0"/>
        <v>90</v>
      </c>
      <c r="E7" s="727">
        <v>0</v>
      </c>
      <c r="F7" s="727">
        <f t="shared" si="1"/>
        <v>0</v>
      </c>
      <c r="G7" s="727">
        <v>0</v>
      </c>
      <c r="H7" s="727">
        <f t="shared" si="2"/>
        <v>0</v>
      </c>
      <c r="I7" s="727">
        <v>0</v>
      </c>
      <c r="J7" s="727">
        <f t="shared" si="3"/>
        <v>0</v>
      </c>
      <c r="K7" s="727">
        <v>0</v>
      </c>
      <c r="L7" s="799">
        <f t="shared" si="4"/>
        <v>0</v>
      </c>
      <c r="M7" s="727">
        <v>0</v>
      </c>
      <c r="N7" s="799">
        <f t="shared" si="5"/>
        <v>0</v>
      </c>
      <c r="O7" s="727">
        <v>13.833</v>
      </c>
      <c r="P7" s="799">
        <f t="shared" si="6"/>
        <v>15</v>
      </c>
      <c r="Q7" s="727">
        <v>21.741</v>
      </c>
      <c r="R7" s="799">
        <f t="shared" si="7"/>
        <v>22</v>
      </c>
      <c r="S7" s="727">
        <v>7.0000000000000001E-3</v>
      </c>
      <c r="T7" s="799">
        <f t="shared" si="8"/>
        <v>0</v>
      </c>
      <c r="U7" s="727">
        <v>21.071999999999999</v>
      </c>
      <c r="V7" s="799">
        <f t="shared" si="9"/>
        <v>21</v>
      </c>
      <c r="W7" s="727">
        <v>20.381</v>
      </c>
      <c r="X7" s="799">
        <f t="shared" si="10"/>
        <v>20</v>
      </c>
      <c r="Y7" s="727">
        <v>0</v>
      </c>
      <c r="Z7" s="799">
        <f t="shared" si="11"/>
        <v>0</v>
      </c>
      <c r="AA7" s="727">
        <v>0</v>
      </c>
      <c r="AB7" s="727">
        <v>0</v>
      </c>
      <c r="AC7" s="727">
        <v>2.8220000000000001</v>
      </c>
      <c r="AD7" s="727">
        <v>0.217</v>
      </c>
      <c r="AE7" s="727">
        <v>1.2E-2</v>
      </c>
      <c r="AF7" s="727">
        <v>6.5000000000000002E-2</v>
      </c>
      <c r="AG7" s="727">
        <v>0.24</v>
      </c>
      <c r="AH7" s="727">
        <v>5.0000000000000001E-3</v>
      </c>
      <c r="AI7" s="344"/>
    </row>
    <row r="8" spans="1:35" s="342" customFormat="1" ht="15.9">
      <c r="A8" s="349" t="s">
        <v>470</v>
      </c>
      <c r="B8" s="186" t="s">
        <v>455</v>
      </c>
      <c r="C8" s="555">
        <v>100.735</v>
      </c>
      <c r="D8" s="727">
        <f t="shared" si="0"/>
        <v>100</v>
      </c>
      <c r="E8" s="555">
        <v>0.747</v>
      </c>
      <c r="F8" s="727">
        <f t="shared" si="1"/>
        <v>0</v>
      </c>
      <c r="G8" s="555">
        <v>8.3000000000000004E-2</v>
      </c>
      <c r="H8" s="727">
        <f t="shared" si="2"/>
        <v>0</v>
      </c>
      <c r="I8" s="555">
        <v>0</v>
      </c>
      <c r="J8" s="727">
        <f t="shared" si="3"/>
        <v>0</v>
      </c>
      <c r="K8" s="555">
        <v>0</v>
      </c>
      <c r="L8" s="799">
        <f t="shared" si="4"/>
        <v>0</v>
      </c>
      <c r="M8" s="555">
        <v>0</v>
      </c>
      <c r="N8" s="799">
        <f t="shared" si="5"/>
        <v>0</v>
      </c>
      <c r="O8" s="555">
        <v>22.035</v>
      </c>
      <c r="P8" s="799">
        <f t="shared" si="6"/>
        <v>20</v>
      </c>
      <c r="Q8" s="555">
        <v>25.366</v>
      </c>
      <c r="R8" s="799">
        <f t="shared" si="7"/>
        <v>25</v>
      </c>
      <c r="S8" s="555">
        <v>0.60399999999999998</v>
      </c>
      <c r="T8" s="799" t="str">
        <f t="shared" si="8"/>
        <v>less than 1 g</v>
      </c>
      <c r="U8" s="555">
        <v>19.568999999999999</v>
      </c>
      <c r="V8" s="799">
        <f t="shared" si="9"/>
        <v>20</v>
      </c>
      <c r="W8" s="555">
        <v>19.568000000000001</v>
      </c>
      <c r="X8" s="799">
        <f t="shared" si="10"/>
        <v>20</v>
      </c>
      <c r="Y8" s="555">
        <v>0</v>
      </c>
      <c r="Z8" s="799">
        <f t="shared" si="11"/>
        <v>0</v>
      </c>
      <c r="AA8" s="773">
        <v>0</v>
      </c>
      <c r="AB8" s="773">
        <v>0</v>
      </c>
      <c r="AC8" s="773">
        <v>0</v>
      </c>
      <c r="AD8" s="773">
        <v>0</v>
      </c>
      <c r="AE8" s="773">
        <v>9.5000000000000001E-2</v>
      </c>
      <c r="AF8" s="773">
        <v>0.52900000000000003</v>
      </c>
      <c r="AG8" s="773">
        <v>46.533999999999999</v>
      </c>
      <c r="AH8" s="773">
        <v>0.99</v>
      </c>
    </row>
    <row r="9" spans="1:35" s="342" customFormat="1" ht="31.75">
      <c r="A9" s="349" t="s">
        <v>143</v>
      </c>
      <c r="B9" s="186" t="s">
        <v>455</v>
      </c>
      <c r="C9" s="555">
        <v>100.735</v>
      </c>
      <c r="D9" s="727">
        <f t="shared" si="0"/>
        <v>100</v>
      </c>
      <c r="E9" s="555">
        <v>0.747</v>
      </c>
      <c r="F9" s="727">
        <f t="shared" si="1"/>
        <v>0</v>
      </c>
      <c r="G9" s="555">
        <v>8.3000000000000004E-2</v>
      </c>
      <c r="H9" s="727">
        <f t="shared" si="2"/>
        <v>0</v>
      </c>
      <c r="I9" s="555">
        <v>0</v>
      </c>
      <c r="J9" s="727">
        <f t="shared" si="3"/>
        <v>0</v>
      </c>
      <c r="K9" s="555">
        <v>0</v>
      </c>
      <c r="L9" s="799">
        <f t="shared" si="4"/>
        <v>0</v>
      </c>
      <c r="M9" s="555">
        <v>0</v>
      </c>
      <c r="N9" s="799">
        <f t="shared" si="5"/>
        <v>0</v>
      </c>
      <c r="O9" s="555">
        <v>22.035</v>
      </c>
      <c r="P9" s="799">
        <f t="shared" si="6"/>
        <v>20</v>
      </c>
      <c r="Q9" s="555">
        <v>25.366</v>
      </c>
      <c r="R9" s="799">
        <f t="shared" si="7"/>
        <v>25</v>
      </c>
      <c r="S9" s="555">
        <v>0.60399999999999998</v>
      </c>
      <c r="T9" s="799" t="str">
        <f t="shared" si="8"/>
        <v>less than 1 g</v>
      </c>
      <c r="U9" s="555">
        <v>19.568999999999999</v>
      </c>
      <c r="V9" s="799">
        <f t="shared" si="9"/>
        <v>20</v>
      </c>
      <c r="W9" s="555">
        <v>19.568000000000001</v>
      </c>
      <c r="X9" s="799">
        <f t="shared" si="10"/>
        <v>20</v>
      </c>
      <c r="Y9" s="555">
        <v>0</v>
      </c>
      <c r="Z9" s="799">
        <f t="shared" si="11"/>
        <v>0</v>
      </c>
      <c r="AA9" s="773">
        <v>0</v>
      </c>
      <c r="AB9" s="773">
        <v>0</v>
      </c>
      <c r="AC9" s="773">
        <v>0</v>
      </c>
      <c r="AD9" s="773">
        <v>0</v>
      </c>
      <c r="AE9" s="773">
        <v>9.5000000000000001E-2</v>
      </c>
      <c r="AF9" s="773">
        <v>0.52900000000000003</v>
      </c>
      <c r="AG9" s="773">
        <v>46.533999999999999</v>
      </c>
      <c r="AH9" s="773">
        <v>0.99</v>
      </c>
    </row>
    <row r="10" spans="1:35" s="342" customFormat="1" ht="31.75">
      <c r="A10" s="349" t="s">
        <v>143</v>
      </c>
      <c r="B10" s="246" t="s">
        <v>457</v>
      </c>
      <c r="C10" s="536">
        <v>101.43</v>
      </c>
      <c r="D10" s="727">
        <f t="shared" si="0"/>
        <v>100</v>
      </c>
      <c r="E10" s="536">
        <v>0.152</v>
      </c>
      <c r="F10" s="727">
        <f t="shared" si="1"/>
        <v>0</v>
      </c>
      <c r="G10" s="536">
        <v>1.7000000000000001E-2</v>
      </c>
      <c r="H10" s="727">
        <f t="shared" si="2"/>
        <v>0</v>
      </c>
      <c r="I10" s="536">
        <v>3.0000000000000001E-3</v>
      </c>
      <c r="J10" s="727">
        <f t="shared" si="3"/>
        <v>0</v>
      </c>
      <c r="K10" s="536">
        <v>0</v>
      </c>
      <c r="L10" s="799">
        <f t="shared" si="4"/>
        <v>0</v>
      </c>
      <c r="M10" s="536">
        <v>0.17</v>
      </c>
      <c r="N10" s="799">
        <f t="shared" si="5"/>
        <v>0</v>
      </c>
      <c r="O10" s="536">
        <v>1.206</v>
      </c>
      <c r="P10" s="799">
        <f t="shared" si="6"/>
        <v>0</v>
      </c>
      <c r="Q10" s="536">
        <v>24.928999999999998</v>
      </c>
      <c r="R10" s="799">
        <f t="shared" si="7"/>
        <v>25</v>
      </c>
      <c r="S10" s="536">
        <v>1.4999999999999999E-2</v>
      </c>
      <c r="T10" s="799">
        <f t="shared" si="8"/>
        <v>0</v>
      </c>
      <c r="U10" s="536">
        <v>24.684000000000001</v>
      </c>
      <c r="V10" s="799">
        <f t="shared" si="9"/>
        <v>25</v>
      </c>
      <c r="W10" s="536">
        <v>24.684000000000001</v>
      </c>
      <c r="X10" s="799">
        <f t="shared" si="10"/>
        <v>25</v>
      </c>
      <c r="Y10" s="536">
        <v>1.4E-2</v>
      </c>
      <c r="Z10" s="799">
        <f t="shared" si="11"/>
        <v>0</v>
      </c>
      <c r="AA10" s="536">
        <v>0</v>
      </c>
      <c r="AB10" s="536">
        <v>0</v>
      </c>
      <c r="AC10" s="536">
        <v>0.751</v>
      </c>
      <c r="AD10" s="536">
        <v>5.8000000000000003E-2</v>
      </c>
      <c r="AE10" s="536">
        <v>4.1000000000000002E-2</v>
      </c>
      <c r="AF10" s="536">
        <v>0.23</v>
      </c>
      <c r="AG10" s="536">
        <v>1.84</v>
      </c>
      <c r="AH10" s="536">
        <v>3.9E-2</v>
      </c>
    </row>
    <row r="11" spans="1:35" s="342" customFormat="1" ht="31.75">
      <c r="A11" s="349" t="s">
        <v>396</v>
      </c>
      <c r="B11" s="530" t="s">
        <v>26</v>
      </c>
      <c r="C11" s="747">
        <v>320.32299999999998</v>
      </c>
      <c r="D11" s="727">
        <f t="shared" si="0"/>
        <v>320</v>
      </c>
      <c r="E11" s="747">
        <v>154.31899999999999</v>
      </c>
      <c r="F11" s="727">
        <f t="shared" si="1"/>
        <v>150</v>
      </c>
      <c r="G11" s="747">
        <v>17.146999999999998</v>
      </c>
      <c r="H11" s="727">
        <f t="shared" si="2"/>
        <v>17</v>
      </c>
      <c r="I11" s="747">
        <v>10.911</v>
      </c>
      <c r="J11" s="727">
        <f t="shared" si="3"/>
        <v>11</v>
      </c>
      <c r="K11" s="747">
        <v>0</v>
      </c>
      <c r="L11" s="799">
        <f t="shared" si="4"/>
        <v>0</v>
      </c>
      <c r="M11" s="747">
        <v>101.321</v>
      </c>
      <c r="N11" s="799">
        <f t="shared" si="5"/>
        <v>100</v>
      </c>
      <c r="O11" s="747">
        <v>219.94300000000001</v>
      </c>
      <c r="P11" s="799">
        <f t="shared" si="6"/>
        <v>220</v>
      </c>
      <c r="Q11" s="747">
        <v>37.965000000000003</v>
      </c>
      <c r="R11" s="799">
        <f t="shared" si="7"/>
        <v>38</v>
      </c>
      <c r="S11" s="747">
        <v>0</v>
      </c>
      <c r="T11" s="799">
        <f t="shared" si="8"/>
        <v>0</v>
      </c>
      <c r="U11" s="747">
        <v>29.428999999999998</v>
      </c>
      <c r="V11" s="799">
        <f t="shared" si="9"/>
        <v>29</v>
      </c>
      <c r="W11" s="747">
        <v>1.371</v>
      </c>
      <c r="X11" s="799">
        <f t="shared" si="10"/>
        <v>1</v>
      </c>
      <c r="Y11" s="747">
        <v>6.2350000000000003</v>
      </c>
      <c r="Z11" s="799">
        <f t="shared" si="11"/>
        <v>6</v>
      </c>
      <c r="AA11" s="1131">
        <v>0</v>
      </c>
      <c r="AB11" s="1131">
        <v>0</v>
      </c>
      <c r="AC11" s="1131">
        <v>304.36200000000002</v>
      </c>
      <c r="AD11" s="761">
        <v>23.411999999999999</v>
      </c>
      <c r="AE11" s="761">
        <v>0</v>
      </c>
      <c r="AF11" s="761">
        <v>0</v>
      </c>
      <c r="AG11" s="761">
        <v>1.6559999999999999</v>
      </c>
      <c r="AH11" s="761">
        <v>3.5000000000000003E-2</v>
      </c>
    </row>
    <row r="12" spans="1:35" s="342" customFormat="1" ht="31.75">
      <c r="A12" s="349" t="s">
        <v>296</v>
      </c>
      <c r="B12" s="349" t="s">
        <v>26</v>
      </c>
      <c r="C12" s="730">
        <v>149.46700000000001</v>
      </c>
      <c r="D12" s="727">
        <f t="shared" si="0"/>
        <v>150</v>
      </c>
      <c r="E12" s="730">
        <v>0.36199999999999999</v>
      </c>
      <c r="F12" s="727">
        <f t="shared" si="1"/>
        <v>0</v>
      </c>
      <c r="G12" s="730">
        <v>0.04</v>
      </c>
      <c r="H12" s="727">
        <f t="shared" si="2"/>
        <v>0</v>
      </c>
      <c r="I12" s="730">
        <v>3.4000000000000002E-2</v>
      </c>
      <c r="J12" s="727">
        <f t="shared" si="3"/>
        <v>0</v>
      </c>
      <c r="K12" s="730">
        <v>1E-3</v>
      </c>
      <c r="L12" s="799">
        <f t="shared" si="4"/>
        <v>0</v>
      </c>
      <c r="M12" s="730">
        <v>0</v>
      </c>
      <c r="N12" s="799">
        <f t="shared" si="5"/>
        <v>0</v>
      </c>
      <c r="O12" s="730">
        <v>17.183</v>
      </c>
      <c r="P12" s="799">
        <f t="shared" si="6"/>
        <v>15</v>
      </c>
      <c r="Q12" s="730">
        <v>37.826000000000001</v>
      </c>
      <c r="R12" s="799">
        <f t="shared" si="7"/>
        <v>38</v>
      </c>
      <c r="S12" s="730">
        <v>0.16200000000000001</v>
      </c>
      <c r="T12" s="799">
        <f t="shared" si="8"/>
        <v>0</v>
      </c>
      <c r="U12" s="730">
        <v>36.122999999999998</v>
      </c>
      <c r="V12" s="799">
        <f t="shared" si="9"/>
        <v>36</v>
      </c>
      <c r="W12" s="730">
        <v>35.049999999999997</v>
      </c>
      <c r="X12" s="799">
        <f t="shared" si="10"/>
        <v>35</v>
      </c>
      <c r="Y12" s="730">
        <v>5.8000000000000003E-2</v>
      </c>
      <c r="Z12" s="799">
        <f t="shared" si="11"/>
        <v>0</v>
      </c>
      <c r="AA12" s="761">
        <v>0</v>
      </c>
      <c r="AB12" s="761">
        <v>0</v>
      </c>
      <c r="AC12" s="761">
        <v>3.8450000000000002</v>
      </c>
      <c r="AD12" s="761">
        <v>0.29599999999999999</v>
      </c>
      <c r="AE12" s="761">
        <v>2.9000000000000001E-2</v>
      </c>
      <c r="AF12" s="761">
        <v>0.16200000000000001</v>
      </c>
      <c r="AG12" s="761">
        <v>29.312000000000001</v>
      </c>
      <c r="AH12" s="761">
        <v>0.624</v>
      </c>
    </row>
    <row r="13" spans="1:35" s="342" customFormat="1" ht="31.75">
      <c r="A13" s="349" t="s">
        <v>92</v>
      </c>
      <c r="B13" s="349" t="s">
        <v>93</v>
      </c>
      <c r="C13" s="965">
        <v>107.209</v>
      </c>
      <c r="D13" s="727">
        <f t="shared" si="0"/>
        <v>110</v>
      </c>
      <c r="E13" s="965">
        <v>5.1870000000000003</v>
      </c>
      <c r="F13" s="727">
        <f t="shared" si="1"/>
        <v>5</v>
      </c>
      <c r="G13" s="965">
        <v>1.5880000000000001</v>
      </c>
      <c r="H13" s="727">
        <f t="shared" si="2"/>
        <v>1.5</v>
      </c>
      <c r="I13" s="965">
        <v>1.2310000000000001</v>
      </c>
      <c r="J13" s="727">
        <f t="shared" si="3"/>
        <v>1</v>
      </c>
      <c r="K13" s="965">
        <v>0.151</v>
      </c>
      <c r="L13" s="799">
        <f t="shared" si="4"/>
        <v>0</v>
      </c>
      <c r="M13" s="965">
        <v>0</v>
      </c>
      <c r="N13" s="799">
        <f t="shared" si="5"/>
        <v>0</v>
      </c>
      <c r="O13" s="965">
        <v>22.792000000000002</v>
      </c>
      <c r="P13" s="799">
        <f t="shared" si="6"/>
        <v>25</v>
      </c>
      <c r="Q13" s="965">
        <v>25.204999999999998</v>
      </c>
      <c r="R13" s="799">
        <f t="shared" si="7"/>
        <v>25</v>
      </c>
      <c r="S13" s="965">
        <v>0.215</v>
      </c>
      <c r="T13" s="799">
        <f t="shared" si="8"/>
        <v>0</v>
      </c>
      <c r="U13" s="965">
        <v>23.690999999999999</v>
      </c>
      <c r="V13" s="799">
        <f t="shared" si="9"/>
        <v>24</v>
      </c>
      <c r="W13" s="965">
        <v>21.491</v>
      </c>
      <c r="X13" s="799">
        <f t="shared" si="10"/>
        <v>21</v>
      </c>
      <c r="Y13" s="965">
        <v>0.19700000000000001</v>
      </c>
      <c r="Z13" s="799">
        <f t="shared" si="11"/>
        <v>0</v>
      </c>
      <c r="AA13" s="727">
        <v>4.0000000000000001E-3</v>
      </c>
      <c r="AB13" s="727">
        <v>1.9E-2</v>
      </c>
      <c r="AC13" s="727">
        <v>4.774</v>
      </c>
      <c r="AD13" s="727">
        <v>0.36699999999999999</v>
      </c>
      <c r="AE13" s="727">
        <v>0.17100000000000001</v>
      </c>
      <c r="AF13" s="727">
        <v>0.95099999999999996</v>
      </c>
      <c r="AG13" s="727">
        <v>22.719000000000001</v>
      </c>
      <c r="AH13" s="727">
        <v>0.48299999999999998</v>
      </c>
      <c r="AI13" s="347"/>
    </row>
    <row r="14" spans="1:35" s="342" customFormat="1" ht="31.75">
      <c r="A14" s="349" t="s">
        <v>92</v>
      </c>
      <c r="B14" s="349" t="s">
        <v>94</v>
      </c>
      <c r="C14" s="965">
        <v>113.666</v>
      </c>
      <c r="D14" s="727">
        <f t="shared" si="0"/>
        <v>110</v>
      </c>
      <c r="E14" s="965">
        <v>3.4169999999999998</v>
      </c>
      <c r="F14" s="727">
        <f t="shared" si="1"/>
        <v>0</v>
      </c>
      <c r="G14" s="965">
        <v>1.4019999999999999</v>
      </c>
      <c r="H14" s="727">
        <f t="shared" si="2"/>
        <v>1.5</v>
      </c>
      <c r="I14" s="965">
        <v>1.137</v>
      </c>
      <c r="J14" s="727">
        <f t="shared" si="3"/>
        <v>1</v>
      </c>
      <c r="K14" s="965">
        <v>0</v>
      </c>
      <c r="L14" s="799">
        <f t="shared" si="4"/>
        <v>0</v>
      </c>
      <c r="M14" s="965">
        <v>0</v>
      </c>
      <c r="N14" s="799">
        <f t="shared" si="5"/>
        <v>0</v>
      </c>
      <c r="O14" s="965">
        <v>58.954999999999998</v>
      </c>
      <c r="P14" s="799">
        <f t="shared" si="6"/>
        <v>60</v>
      </c>
      <c r="Q14" s="965">
        <v>25.274999999999999</v>
      </c>
      <c r="R14" s="799">
        <f t="shared" si="7"/>
        <v>25</v>
      </c>
      <c r="S14" s="965">
        <v>0.04</v>
      </c>
      <c r="T14" s="799">
        <f t="shared" si="8"/>
        <v>0</v>
      </c>
      <c r="U14" s="965">
        <v>22.651</v>
      </c>
      <c r="V14" s="799">
        <f t="shared" si="9"/>
        <v>23</v>
      </c>
      <c r="W14" s="965">
        <v>19.588000000000001</v>
      </c>
      <c r="X14" s="799">
        <f t="shared" si="10"/>
        <v>20</v>
      </c>
      <c r="Y14" s="965">
        <v>0.215</v>
      </c>
      <c r="Z14" s="799">
        <f t="shared" si="11"/>
        <v>0</v>
      </c>
      <c r="AA14" s="727">
        <v>0</v>
      </c>
      <c r="AB14" s="727">
        <v>0</v>
      </c>
      <c r="AC14" s="727">
        <v>12.552</v>
      </c>
      <c r="AD14" s="727">
        <v>0.96599999999999997</v>
      </c>
      <c r="AE14" s="727">
        <v>9.4E-2</v>
      </c>
      <c r="AF14" s="727">
        <v>0.52100000000000002</v>
      </c>
      <c r="AG14" s="727">
        <v>2.395</v>
      </c>
      <c r="AH14" s="727">
        <v>5.0999999999999997E-2</v>
      </c>
    </row>
    <row r="15" spans="1:35" s="342" customFormat="1" ht="31.75">
      <c r="A15" s="349" t="s">
        <v>92</v>
      </c>
      <c r="B15" s="349" t="s">
        <v>95</v>
      </c>
      <c r="C15" s="965">
        <v>121.852</v>
      </c>
      <c r="D15" s="727">
        <f t="shared" si="0"/>
        <v>120</v>
      </c>
      <c r="E15" s="965">
        <v>7.0810000000000004</v>
      </c>
      <c r="F15" s="727">
        <f t="shared" si="1"/>
        <v>5</v>
      </c>
      <c r="G15" s="965">
        <v>1.7969999999999999</v>
      </c>
      <c r="H15" s="727">
        <f t="shared" si="2"/>
        <v>2</v>
      </c>
      <c r="I15" s="965">
        <v>1.44</v>
      </c>
      <c r="J15" s="727">
        <f t="shared" si="3"/>
        <v>1.5</v>
      </c>
      <c r="K15" s="965">
        <v>0</v>
      </c>
      <c r="L15" s="799">
        <f t="shared" si="4"/>
        <v>0</v>
      </c>
      <c r="M15" s="965">
        <v>1.9550000000000001</v>
      </c>
      <c r="N15" s="799">
        <f t="shared" si="5"/>
        <v>0</v>
      </c>
      <c r="O15" s="965">
        <v>25.940999999999999</v>
      </c>
      <c r="P15" s="799">
        <f t="shared" si="6"/>
        <v>25</v>
      </c>
      <c r="Q15" s="965">
        <v>26.114999999999998</v>
      </c>
      <c r="R15" s="799">
        <f t="shared" si="7"/>
        <v>26</v>
      </c>
      <c r="S15" s="965">
        <v>8.0000000000000002E-3</v>
      </c>
      <c r="T15" s="799">
        <f t="shared" si="8"/>
        <v>0</v>
      </c>
      <c r="U15" s="965">
        <v>23.885999999999999</v>
      </c>
      <c r="V15" s="799">
        <f t="shared" si="9"/>
        <v>24</v>
      </c>
      <c r="W15" s="965">
        <v>23.74</v>
      </c>
      <c r="X15" s="799">
        <f t="shared" si="10"/>
        <v>24</v>
      </c>
      <c r="Y15" s="965">
        <v>0.224</v>
      </c>
      <c r="Z15" s="799">
        <f t="shared" si="11"/>
        <v>0</v>
      </c>
      <c r="AA15" s="669">
        <v>0</v>
      </c>
      <c r="AB15" s="669">
        <v>0</v>
      </c>
      <c r="AC15" s="669">
        <v>7.6120000000000001</v>
      </c>
      <c r="AD15" s="669">
        <v>0.58599999999999997</v>
      </c>
      <c r="AE15" s="669">
        <v>3.3000000000000002E-2</v>
      </c>
      <c r="AF15" s="669">
        <v>0.185</v>
      </c>
      <c r="AG15" s="669">
        <v>6.8170000000000002</v>
      </c>
      <c r="AH15" s="669">
        <v>0.14499999999999999</v>
      </c>
    </row>
    <row r="16" spans="1:35" s="342" customFormat="1" ht="31.75">
      <c r="A16" s="349" t="s">
        <v>396</v>
      </c>
      <c r="B16" s="785" t="s">
        <v>132</v>
      </c>
      <c r="C16" s="729">
        <v>321.7</v>
      </c>
      <c r="D16" s="727">
        <f t="shared" si="0"/>
        <v>320</v>
      </c>
      <c r="E16" s="729">
        <v>156.31299999999999</v>
      </c>
      <c r="F16" s="727">
        <f t="shared" si="1"/>
        <v>160</v>
      </c>
      <c r="G16" s="729">
        <v>17.367999999999999</v>
      </c>
      <c r="H16" s="727">
        <f t="shared" si="2"/>
        <v>17</v>
      </c>
      <c r="I16" s="729">
        <v>11.052</v>
      </c>
      <c r="J16" s="727">
        <f t="shared" si="3"/>
        <v>11</v>
      </c>
      <c r="K16" s="729">
        <v>0</v>
      </c>
      <c r="L16" s="799">
        <f t="shared" si="4"/>
        <v>0</v>
      </c>
      <c r="M16" s="729">
        <v>102.63</v>
      </c>
      <c r="N16" s="799">
        <f t="shared" si="5"/>
        <v>105</v>
      </c>
      <c r="O16" s="729">
        <v>222.71299999999999</v>
      </c>
      <c r="P16" s="799">
        <f t="shared" si="6"/>
        <v>220</v>
      </c>
      <c r="Q16" s="729">
        <v>37.683</v>
      </c>
      <c r="R16" s="799">
        <f t="shared" si="7"/>
        <v>38</v>
      </c>
      <c r="S16" s="729">
        <v>0</v>
      </c>
      <c r="T16" s="799">
        <f t="shared" si="8"/>
        <v>0</v>
      </c>
      <c r="U16" s="729">
        <v>29.344999999999999</v>
      </c>
      <c r="V16" s="799">
        <f t="shared" si="9"/>
        <v>29</v>
      </c>
      <c r="W16" s="729">
        <v>0.92400000000000004</v>
      </c>
      <c r="X16" s="799" t="str">
        <f t="shared" si="10"/>
        <v>less than 1 g</v>
      </c>
      <c r="Y16" s="729">
        <v>6.3159999999999998</v>
      </c>
      <c r="Z16" s="799">
        <f t="shared" si="11"/>
        <v>6</v>
      </c>
      <c r="AA16" s="1134">
        <v>0</v>
      </c>
      <c r="AB16" s="1134">
        <v>0</v>
      </c>
      <c r="AC16" s="1134">
        <v>308.149</v>
      </c>
      <c r="AD16" s="1134">
        <v>23.704000000000001</v>
      </c>
      <c r="AE16" s="1134">
        <v>0</v>
      </c>
      <c r="AF16" s="1134">
        <v>0</v>
      </c>
      <c r="AG16" s="1134">
        <v>1.109</v>
      </c>
      <c r="AH16" s="1134">
        <v>2.4E-2</v>
      </c>
      <c r="AI16" s="733"/>
    </row>
    <row r="17" spans="1:35" s="342" customFormat="1" ht="31.75">
      <c r="A17" s="349" t="s">
        <v>296</v>
      </c>
      <c r="B17" s="349" t="s">
        <v>29</v>
      </c>
      <c r="C17" s="696">
        <v>97.006</v>
      </c>
      <c r="D17" s="727">
        <f t="shared" si="0"/>
        <v>100</v>
      </c>
      <c r="E17" s="696">
        <v>0</v>
      </c>
      <c r="F17" s="727">
        <f t="shared" si="1"/>
        <v>0</v>
      </c>
      <c r="G17" s="696">
        <v>0</v>
      </c>
      <c r="H17" s="727">
        <f t="shared" si="2"/>
        <v>0</v>
      </c>
      <c r="I17" s="696">
        <v>0</v>
      </c>
      <c r="J17" s="727">
        <f t="shared" si="3"/>
        <v>0</v>
      </c>
      <c r="K17" s="696">
        <v>0</v>
      </c>
      <c r="L17" s="799">
        <f t="shared" si="4"/>
        <v>0</v>
      </c>
      <c r="M17" s="696">
        <v>0</v>
      </c>
      <c r="N17" s="799">
        <f t="shared" si="5"/>
        <v>0</v>
      </c>
      <c r="O17" s="696">
        <v>13.379</v>
      </c>
      <c r="P17" s="799">
        <f t="shared" si="6"/>
        <v>15</v>
      </c>
      <c r="Q17" s="696">
        <v>24.603000000000002</v>
      </c>
      <c r="R17" s="799">
        <f t="shared" si="7"/>
        <v>25</v>
      </c>
      <c r="S17" s="696">
        <v>0.01</v>
      </c>
      <c r="T17" s="799">
        <f t="shared" si="8"/>
        <v>0</v>
      </c>
      <c r="U17" s="696">
        <v>23.977</v>
      </c>
      <c r="V17" s="799">
        <f t="shared" si="9"/>
        <v>24</v>
      </c>
      <c r="W17" s="696">
        <v>23.977</v>
      </c>
      <c r="X17" s="799">
        <f t="shared" si="10"/>
        <v>24</v>
      </c>
      <c r="Y17" s="696">
        <v>0</v>
      </c>
      <c r="Z17" s="799">
        <f t="shared" si="11"/>
        <v>0</v>
      </c>
      <c r="AA17" s="696">
        <v>0</v>
      </c>
      <c r="AB17" s="696">
        <v>0</v>
      </c>
      <c r="AC17" s="696">
        <v>3.1349999999999998</v>
      </c>
      <c r="AD17" s="696">
        <v>0.24099999999999999</v>
      </c>
      <c r="AE17" s="696">
        <v>2.1000000000000001E-2</v>
      </c>
      <c r="AF17" s="696">
        <v>0.114</v>
      </c>
      <c r="AG17" s="696">
        <v>0.33200000000000002</v>
      </c>
      <c r="AH17" s="696">
        <v>7.0000000000000001E-3</v>
      </c>
    </row>
    <row r="18" spans="1:35" s="342" customFormat="1" ht="31.75">
      <c r="A18" s="349" t="s">
        <v>296</v>
      </c>
      <c r="B18" s="349" t="s">
        <v>30</v>
      </c>
      <c r="C18" s="696">
        <v>69.489999999999995</v>
      </c>
      <c r="D18" s="727">
        <f t="shared" si="0"/>
        <v>70</v>
      </c>
      <c r="E18" s="696">
        <v>0.23400000000000001</v>
      </c>
      <c r="F18" s="727">
        <f t="shared" si="1"/>
        <v>0</v>
      </c>
      <c r="G18" s="696">
        <v>2.5999999999999999E-2</v>
      </c>
      <c r="H18" s="727">
        <f t="shared" si="2"/>
        <v>0</v>
      </c>
      <c r="I18" s="696">
        <v>1E-3</v>
      </c>
      <c r="J18" s="727">
        <f t="shared" si="3"/>
        <v>0</v>
      </c>
      <c r="K18" s="696">
        <v>1E-3</v>
      </c>
      <c r="L18" s="799">
        <f t="shared" si="4"/>
        <v>0</v>
      </c>
      <c r="M18" s="696">
        <v>0</v>
      </c>
      <c r="N18" s="799">
        <f t="shared" si="5"/>
        <v>0</v>
      </c>
      <c r="O18" s="696">
        <v>11.367000000000001</v>
      </c>
      <c r="P18" s="799">
        <f t="shared" si="6"/>
        <v>10</v>
      </c>
      <c r="Q18" s="696">
        <v>18.061</v>
      </c>
      <c r="R18" s="799">
        <f t="shared" si="7"/>
        <v>18</v>
      </c>
      <c r="S18" s="696">
        <v>0.09</v>
      </c>
      <c r="T18" s="799">
        <f t="shared" si="8"/>
        <v>0</v>
      </c>
      <c r="U18" s="696">
        <v>16.686</v>
      </c>
      <c r="V18" s="799">
        <f t="shared" si="9"/>
        <v>17</v>
      </c>
      <c r="W18" s="696">
        <v>16.399999999999999</v>
      </c>
      <c r="X18" s="799">
        <f t="shared" si="10"/>
        <v>16</v>
      </c>
      <c r="Y18" s="696">
        <v>5.1999999999999998E-2</v>
      </c>
      <c r="Z18" s="799">
        <f t="shared" si="11"/>
        <v>0</v>
      </c>
      <c r="AA18" s="696">
        <v>0</v>
      </c>
      <c r="AB18" s="696">
        <v>0</v>
      </c>
      <c r="AC18" s="696">
        <v>4.0170000000000003</v>
      </c>
      <c r="AD18" s="696">
        <v>0.309</v>
      </c>
      <c r="AE18" s="696">
        <v>1.6E-2</v>
      </c>
      <c r="AF18" s="696">
        <v>8.8999999999999996E-2</v>
      </c>
      <c r="AG18" s="696">
        <v>12.615</v>
      </c>
      <c r="AH18" s="696">
        <v>0.26800000000000002</v>
      </c>
    </row>
    <row r="19" spans="1:35" s="342" customFormat="1" ht="31.75">
      <c r="A19" s="349" t="s">
        <v>296</v>
      </c>
      <c r="B19" s="349" t="s">
        <v>300</v>
      </c>
      <c r="C19" s="694">
        <v>69.489999999999995</v>
      </c>
      <c r="D19" s="727">
        <f t="shared" si="0"/>
        <v>70</v>
      </c>
      <c r="E19" s="694">
        <v>0.23400000000000001</v>
      </c>
      <c r="F19" s="727">
        <f t="shared" si="1"/>
        <v>0</v>
      </c>
      <c r="G19" s="694">
        <v>2.5999999999999999E-2</v>
      </c>
      <c r="H19" s="727">
        <f t="shared" si="2"/>
        <v>0</v>
      </c>
      <c r="I19" s="694">
        <v>1E-3</v>
      </c>
      <c r="J19" s="727">
        <f t="shared" si="3"/>
        <v>0</v>
      </c>
      <c r="K19" s="694">
        <v>1E-3</v>
      </c>
      <c r="L19" s="799">
        <f t="shared" si="4"/>
        <v>0</v>
      </c>
      <c r="M19" s="694">
        <v>0</v>
      </c>
      <c r="N19" s="799">
        <f t="shared" si="5"/>
        <v>0</v>
      </c>
      <c r="O19" s="694">
        <v>11.367000000000001</v>
      </c>
      <c r="P19" s="799">
        <f t="shared" si="6"/>
        <v>10</v>
      </c>
      <c r="Q19" s="694">
        <v>18.061</v>
      </c>
      <c r="R19" s="799">
        <f t="shared" si="7"/>
        <v>18</v>
      </c>
      <c r="S19" s="694">
        <v>0.09</v>
      </c>
      <c r="T19" s="799">
        <f t="shared" si="8"/>
        <v>0</v>
      </c>
      <c r="U19" s="694">
        <v>16.686</v>
      </c>
      <c r="V19" s="799">
        <f t="shared" si="9"/>
        <v>17</v>
      </c>
      <c r="W19" s="694">
        <v>16.399999999999999</v>
      </c>
      <c r="X19" s="799">
        <f t="shared" si="10"/>
        <v>16</v>
      </c>
      <c r="Y19" s="694">
        <v>5.1999999999999998E-2</v>
      </c>
      <c r="Z19" s="799">
        <f t="shared" si="11"/>
        <v>0</v>
      </c>
      <c r="AA19" s="694">
        <v>0</v>
      </c>
      <c r="AB19" s="694">
        <v>0</v>
      </c>
      <c r="AC19" s="694">
        <v>4.0170000000000003</v>
      </c>
      <c r="AD19" s="694">
        <v>0.309</v>
      </c>
      <c r="AE19" s="694">
        <v>1.6E-2</v>
      </c>
      <c r="AF19" s="694">
        <v>8.8999999999999996E-2</v>
      </c>
      <c r="AG19" s="694">
        <v>12.615</v>
      </c>
      <c r="AH19" s="694">
        <v>0.26800000000000002</v>
      </c>
    </row>
    <row r="20" spans="1:35" s="342" customFormat="1" ht="31.75">
      <c r="A20" s="349" t="s">
        <v>92</v>
      </c>
      <c r="B20" s="349" t="s">
        <v>96</v>
      </c>
      <c r="C20" s="965">
        <v>125.803</v>
      </c>
      <c r="D20" s="727">
        <f t="shared" si="0"/>
        <v>130</v>
      </c>
      <c r="E20" s="965">
        <v>8.4369999999999994</v>
      </c>
      <c r="F20" s="727">
        <f t="shared" si="1"/>
        <v>10</v>
      </c>
      <c r="G20" s="965">
        <v>1.962</v>
      </c>
      <c r="H20" s="727">
        <f t="shared" si="2"/>
        <v>2</v>
      </c>
      <c r="I20" s="965">
        <v>1.4870000000000001</v>
      </c>
      <c r="J20" s="727">
        <f t="shared" si="3"/>
        <v>1.5</v>
      </c>
      <c r="K20" s="965">
        <v>1.4E-2</v>
      </c>
      <c r="L20" s="799">
        <f t="shared" si="4"/>
        <v>0</v>
      </c>
      <c r="M20" s="965">
        <v>0.80300000000000005</v>
      </c>
      <c r="N20" s="799">
        <f t="shared" si="5"/>
        <v>0</v>
      </c>
      <c r="O20" s="965">
        <v>37.847999999999999</v>
      </c>
      <c r="P20" s="799">
        <f t="shared" si="6"/>
        <v>40</v>
      </c>
      <c r="Q20" s="965">
        <v>26.956</v>
      </c>
      <c r="R20" s="799">
        <f t="shared" si="7"/>
        <v>27</v>
      </c>
      <c r="S20" s="965">
        <v>0.17199999999999999</v>
      </c>
      <c r="T20" s="799">
        <f t="shared" si="8"/>
        <v>0</v>
      </c>
      <c r="U20" s="965">
        <v>24.027000000000001</v>
      </c>
      <c r="V20" s="799">
        <f t="shared" si="9"/>
        <v>24</v>
      </c>
      <c r="W20" s="965">
        <v>23.934999999999999</v>
      </c>
      <c r="X20" s="799">
        <f t="shared" si="10"/>
        <v>24</v>
      </c>
      <c r="Y20" s="965">
        <v>0.35299999999999998</v>
      </c>
      <c r="Z20" s="799">
        <f t="shared" si="11"/>
        <v>0</v>
      </c>
      <c r="AA20" s="669">
        <v>1.0999999999999999E-2</v>
      </c>
      <c r="AB20" s="669">
        <v>1E-3</v>
      </c>
      <c r="AC20" s="669">
        <v>5.2160000000000002</v>
      </c>
      <c r="AD20" s="669">
        <v>0.40100000000000002</v>
      </c>
      <c r="AE20" s="669">
        <v>0.184</v>
      </c>
      <c r="AF20" s="669">
        <v>1.0249999999999999</v>
      </c>
      <c r="AG20" s="669">
        <v>27.579000000000001</v>
      </c>
      <c r="AH20" s="669">
        <v>0.58699999999999997</v>
      </c>
    </row>
    <row r="21" spans="1:35" s="347" customFormat="1" ht="31.75">
      <c r="A21" s="349" t="s">
        <v>143</v>
      </c>
      <c r="B21" s="186" t="s">
        <v>145</v>
      </c>
      <c r="C21" s="555">
        <v>54.722999999999999</v>
      </c>
      <c r="D21" s="727">
        <f t="shared" si="0"/>
        <v>50</v>
      </c>
      <c r="E21" s="555">
        <v>17.059000000000001</v>
      </c>
      <c r="F21" s="727">
        <f t="shared" si="1"/>
        <v>15</v>
      </c>
      <c r="G21" s="555">
        <v>1.895</v>
      </c>
      <c r="H21" s="727">
        <f t="shared" si="2"/>
        <v>2</v>
      </c>
      <c r="I21" s="555">
        <v>0.77800000000000002</v>
      </c>
      <c r="J21" s="727">
        <f t="shared" si="3"/>
        <v>1</v>
      </c>
      <c r="K21" s="555">
        <v>3.9E-2</v>
      </c>
      <c r="L21" s="799">
        <f t="shared" si="4"/>
        <v>0</v>
      </c>
      <c r="M21" s="555">
        <v>2.306</v>
      </c>
      <c r="N21" s="799" t="str">
        <f t="shared" si="5"/>
        <v>less than 5 mg</v>
      </c>
      <c r="O21" s="555">
        <v>4.7809999999999997</v>
      </c>
      <c r="P21" s="799">
        <f t="shared" si="6"/>
        <v>0</v>
      </c>
      <c r="Q21" s="555">
        <v>9.1460000000000008</v>
      </c>
      <c r="R21" s="799">
        <f t="shared" si="7"/>
        <v>9</v>
      </c>
      <c r="S21" s="555">
        <v>0.45400000000000001</v>
      </c>
      <c r="T21" s="799">
        <f t="shared" si="8"/>
        <v>0</v>
      </c>
      <c r="U21" s="555">
        <v>4.7809999999999997</v>
      </c>
      <c r="V21" s="799">
        <f t="shared" si="9"/>
        <v>5</v>
      </c>
      <c r="W21" s="555">
        <v>4.7679999999999998</v>
      </c>
      <c r="X21" s="799">
        <f t="shared" si="10"/>
        <v>5</v>
      </c>
      <c r="Y21" s="555">
        <v>0.62</v>
      </c>
      <c r="Z21" s="799" t="str">
        <f t="shared" si="11"/>
        <v>less than 1 g</v>
      </c>
      <c r="AA21" s="773">
        <v>0</v>
      </c>
      <c r="AB21" s="773">
        <v>0</v>
      </c>
      <c r="AC21" s="773">
        <v>2.6960000000000002</v>
      </c>
      <c r="AD21" s="773">
        <v>0.20699999999999999</v>
      </c>
      <c r="AE21" s="773">
        <v>0.32800000000000001</v>
      </c>
      <c r="AF21" s="773">
        <v>1.823</v>
      </c>
      <c r="AG21" s="773">
        <v>40.585000000000001</v>
      </c>
      <c r="AH21" s="773">
        <v>0.86399999999999999</v>
      </c>
      <c r="AI21" s="342"/>
    </row>
    <row r="22" spans="1:35" s="342" customFormat="1" ht="31.75">
      <c r="A22" s="349" t="s">
        <v>396</v>
      </c>
      <c r="B22" s="530" t="s">
        <v>404</v>
      </c>
      <c r="C22" s="747">
        <v>322.65499999999997</v>
      </c>
      <c r="D22" s="727">
        <f t="shared" si="0"/>
        <v>320</v>
      </c>
      <c r="E22" s="747">
        <v>156.73599999999999</v>
      </c>
      <c r="F22" s="727">
        <f t="shared" si="1"/>
        <v>160</v>
      </c>
      <c r="G22" s="747">
        <v>17.414999999999999</v>
      </c>
      <c r="H22" s="727">
        <f t="shared" si="2"/>
        <v>17</v>
      </c>
      <c r="I22" s="747">
        <v>11.082000000000001</v>
      </c>
      <c r="J22" s="727">
        <f t="shared" si="3"/>
        <v>11</v>
      </c>
      <c r="K22" s="747">
        <v>0</v>
      </c>
      <c r="L22" s="799">
        <f t="shared" si="4"/>
        <v>0</v>
      </c>
      <c r="M22" s="747">
        <v>102.907</v>
      </c>
      <c r="N22" s="799">
        <f t="shared" si="5"/>
        <v>105</v>
      </c>
      <c r="O22" s="747">
        <v>223.7</v>
      </c>
      <c r="P22" s="799">
        <f t="shared" si="6"/>
        <v>220</v>
      </c>
      <c r="Q22" s="747">
        <v>37.948</v>
      </c>
      <c r="R22" s="799">
        <f t="shared" si="7"/>
        <v>38</v>
      </c>
      <c r="S22" s="747">
        <v>2.4E-2</v>
      </c>
      <c r="T22" s="799">
        <f t="shared" si="8"/>
        <v>0</v>
      </c>
      <c r="U22" s="747">
        <v>29.721</v>
      </c>
      <c r="V22" s="799">
        <f t="shared" si="9"/>
        <v>30</v>
      </c>
      <c r="W22" s="747">
        <v>0</v>
      </c>
      <c r="X22" s="799">
        <f t="shared" si="10"/>
        <v>0</v>
      </c>
      <c r="Y22" s="747">
        <v>6.3339999999999996</v>
      </c>
      <c r="Z22" s="799">
        <f t="shared" si="11"/>
        <v>6</v>
      </c>
      <c r="AA22" s="1131">
        <v>0</v>
      </c>
      <c r="AB22" s="1131">
        <v>0</v>
      </c>
      <c r="AC22" s="1131">
        <v>308.79500000000002</v>
      </c>
      <c r="AD22" s="1131">
        <v>23.753</v>
      </c>
      <c r="AE22" s="1131">
        <v>2E-3</v>
      </c>
      <c r="AF22" s="1131">
        <v>1.0999999999999999E-2</v>
      </c>
      <c r="AG22" s="1131">
        <v>1.2909999999999999</v>
      </c>
      <c r="AH22" s="1131">
        <v>2.7E-2</v>
      </c>
    </row>
    <row r="23" spans="1:35" s="342" customFormat="1" ht="31.75">
      <c r="A23" s="349" t="s">
        <v>396</v>
      </c>
      <c r="B23" s="530" t="s">
        <v>134</v>
      </c>
      <c r="C23" s="747">
        <v>308.55599999999998</v>
      </c>
      <c r="D23" s="727">
        <f t="shared" si="0"/>
        <v>310</v>
      </c>
      <c r="E23" s="747">
        <v>111.717</v>
      </c>
      <c r="F23" s="727">
        <f t="shared" si="1"/>
        <v>110</v>
      </c>
      <c r="G23" s="747">
        <v>12.413</v>
      </c>
      <c r="H23" s="727">
        <f t="shared" si="2"/>
        <v>12</v>
      </c>
      <c r="I23" s="747">
        <v>7.899</v>
      </c>
      <c r="J23" s="727">
        <f t="shared" si="3"/>
        <v>8</v>
      </c>
      <c r="K23" s="747">
        <v>0</v>
      </c>
      <c r="L23" s="799">
        <f t="shared" si="4"/>
        <v>0</v>
      </c>
      <c r="M23" s="747">
        <v>73.349999999999994</v>
      </c>
      <c r="N23" s="799">
        <f t="shared" si="5"/>
        <v>75</v>
      </c>
      <c r="O23" s="747">
        <v>192.10400000000001</v>
      </c>
      <c r="P23" s="799">
        <f t="shared" si="6"/>
        <v>190</v>
      </c>
      <c r="Q23" s="747">
        <v>44.476999999999997</v>
      </c>
      <c r="R23" s="799">
        <f t="shared" si="7"/>
        <v>44</v>
      </c>
      <c r="S23" s="747">
        <v>0</v>
      </c>
      <c r="T23" s="799">
        <f t="shared" si="8"/>
        <v>0</v>
      </c>
      <c r="U23" s="747">
        <v>33.472999999999999</v>
      </c>
      <c r="V23" s="799">
        <f t="shared" si="9"/>
        <v>33</v>
      </c>
      <c r="W23" s="747">
        <v>13.161</v>
      </c>
      <c r="X23" s="799">
        <f t="shared" si="10"/>
        <v>13</v>
      </c>
      <c r="Y23" s="747">
        <v>4.5140000000000002</v>
      </c>
      <c r="Z23" s="799">
        <f t="shared" si="11"/>
        <v>5</v>
      </c>
      <c r="AA23" s="1131">
        <v>0</v>
      </c>
      <c r="AB23" s="1131">
        <v>0</v>
      </c>
      <c r="AC23" s="1131">
        <v>222.97300000000001</v>
      </c>
      <c r="AD23" s="1131">
        <v>17.152000000000001</v>
      </c>
      <c r="AE23" s="1131">
        <v>0</v>
      </c>
      <c r="AF23" s="1131">
        <v>0</v>
      </c>
      <c r="AG23" s="1131">
        <v>14.622999999999999</v>
      </c>
      <c r="AH23" s="1131">
        <v>0.311</v>
      </c>
    </row>
    <row r="24" spans="1:35" s="342" customFormat="1" ht="31.75">
      <c r="A24" s="349" t="s">
        <v>396</v>
      </c>
      <c r="B24" s="530" t="s">
        <v>402</v>
      </c>
      <c r="C24" s="747">
        <v>322.31200000000001</v>
      </c>
      <c r="D24" s="727">
        <f t="shared" si="0"/>
        <v>320</v>
      </c>
      <c r="E24" s="747">
        <v>155.685</v>
      </c>
      <c r="F24" s="727">
        <f t="shared" si="1"/>
        <v>160</v>
      </c>
      <c r="G24" s="747">
        <v>17.297999999999998</v>
      </c>
      <c r="H24" s="727">
        <f t="shared" si="2"/>
        <v>17</v>
      </c>
      <c r="I24" s="747">
        <v>11.007999999999999</v>
      </c>
      <c r="J24" s="727">
        <f t="shared" si="3"/>
        <v>11</v>
      </c>
      <c r="K24" s="747">
        <v>0</v>
      </c>
      <c r="L24" s="799">
        <f t="shared" si="4"/>
        <v>0</v>
      </c>
      <c r="M24" s="747">
        <v>102.217</v>
      </c>
      <c r="N24" s="799">
        <f t="shared" si="5"/>
        <v>100</v>
      </c>
      <c r="O24" s="747">
        <v>223.19300000000001</v>
      </c>
      <c r="P24" s="799">
        <f t="shared" si="6"/>
        <v>220</v>
      </c>
      <c r="Q24" s="747">
        <v>38.161999999999999</v>
      </c>
      <c r="R24" s="799">
        <f t="shared" si="7"/>
        <v>38</v>
      </c>
      <c r="S24" s="747">
        <v>0</v>
      </c>
      <c r="T24" s="799">
        <f t="shared" si="8"/>
        <v>0</v>
      </c>
      <c r="U24" s="747">
        <v>29.649000000000001</v>
      </c>
      <c r="V24" s="799">
        <f t="shared" si="9"/>
        <v>30</v>
      </c>
      <c r="W24" s="747">
        <v>1.343</v>
      </c>
      <c r="X24" s="799">
        <f t="shared" si="10"/>
        <v>1</v>
      </c>
      <c r="Y24" s="747">
        <v>6.29</v>
      </c>
      <c r="Z24" s="799">
        <f t="shared" si="11"/>
        <v>6</v>
      </c>
      <c r="AA24" s="1131">
        <v>0</v>
      </c>
      <c r="AB24" s="1131">
        <v>0</v>
      </c>
      <c r="AC24" s="1131">
        <v>306.95499999999998</v>
      </c>
      <c r="AD24" s="1131">
        <v>23.611999999999998</v>
      </c>
      <c r="AE24" s="1131">
        <v>0</v>
      </c>
      <c r="AF24" s="1131">
        <v>0</v>
      </c>
      <c r="AG24" s="1131">
        <v>1.43</v>
      </c>
      <c r="AH24" s="1131">
        <v>0.03</v>
      </c>
    </row>
    <row r="25" spans="1:35" s="342" customFormat="1" ht="31.75">
      <c r="A25" s="349" t="s">
        <v>296</v>
      </c>
      <c r="B25" s="349" t="s">
        <v>301</v>
      </c>
      <c r="C25" s="694">
        <v>82.849000000000004</v>
      </c>
      <c r="D25" s="727">
        <f t="shared" si="0"/>
        <v>80</v>
      </c>
      <c r="E25" s="694">
        <v>3.5999999999999997E-2</v>
      </c>
      <c r="F25" s="727">
        <f t="shared" si="1"/>
        <v>0</v>
      </c>
      <c r="G25" s="694">
        <v>4.0000000000000001E-3</v>
      </c>
      <c r="H25" s="727">
        <f t="shared" si="2"/>
        <v>0</v>
      </c>
      <c r="I25" s="694">
        <v>1E-3</v>
      </c>
      <c r="J25" s="727">
        <f t="shared" si="3"/>
        <v>0</v>
      </c>
      <c r="K25" s="694">
        <v>0</v>
      </c>
      <c r="L25" s="799">
        <f t="shared" si="4"/>
        <v>0</v>
      </c>
      <c r="M25" s="694">
        <v>0</v>
      </c>
      <c r="N25" s="799">
        <f t="shared" si="5"/>
        <v>0</v>
      </c>
      <c r="O25" s="694">
        <v>13.654999999999999</v>
      </c>
      <c r="P25" s="799">
        <f t="shared" si="6"/>
        <v>15</v>
      </c>
      <c r="Q25" s="694">
        <v>21.044</v>
      </c>
      <c r="R25" s="799">
        <f t="shared" si="7"/>
        <v>21</v>
      </c>
      <c r="S25" s="694">
        <v>1.9E-2</v>
      </c>
      <c r="T25" s="799">
        <f t="shared" si="8"/>
        <v>0</v>
      </c>
      <c r="U25" s="694">
        <v>20.102</v>
      </c>
      <c r="V25" s="799">
        <f t="shared" si="9"/>
        <v>20</v>
      </c>
      <c r="W25" s="694">
        <v>19.937000000000001</v>
      </c>
      <c r="X25" s="799">
        <f t="shared" si="10"/>
        <v>20</v>
      </c>
      <c r="Y25" s="694">
        <v>0.02</v>
      </c>
      <c r="Z25" s="799">
        <f t="shared" si="11"/>
        <v>0</v>
      </c>
      <c r="AA25" s="694">
        <v>0</v>
      </c>
      <c r="AB25" s="694">
        <v>0</v>
      </c>
      <c r="AC25" s="694">
        <v>2.883</v>
      </c>
      <c r="AD25" s="694">
        <v>0.222</v>
      </c>
      <c r="AE25" s="694">
        <v>1.0999999999999999E-2</v>
      </c>
      <c r="AF25" s="694">
        <v>6.4000000000000001E-2</v>
      </c>
      <c r="AG25" s="694">
        <v>5.9660000000000002</v>
      </c>
      <c r="AH25" s="694">
        <v>0.127</v>
      </c>
    </row>
    <row r="26" spans="1:35" s="342" customFormat="1" ht="31.75">
      <c r="A26" s="349" t="s">
        <v>396</v>
      </c>
      <c r="B26" s="530" t="s">
        <v>135</v>
      </c>
      <c r="C26" s="747">
        <v>321.34399999999999</v>
      </c>
      <c r="D26" s="727">
        <f t="shared" si="0"/>
        <v>320</v>
      </c>
      <c r="E26" s="747">
        <v>153.92099999999999</v>
      </c>
      <c r="F26" s="727">
        <f t="shared" si="1"/>
        <v>150</v>
      </c>
      <c r="G26" s="747">
        <v>17.102</v>
      </c>
      <c r="H26" s="727">
        <f t="shared" si="2"/>
        <v>17</v>
      </c>
      <c r="I26" s="747">
        <v>10.882999999999999</v>
      </c>
      <c r="J26" s="727">
        <f t="shared" si="3"/>
        <v>11</v>
      </c>
      <c r="K26" s="747">
        <v>0</v>
      </c>
      <c r="L26" s="799">
        <f t="shared" si="4"/>
        <v>0</v>
      </c>
      <c r="M26" s="747">
        <v>101.059</v>
      </c>
      <c r="N26" s="799">
        <f t="shared" si="5"/>
        <v>100</v>
      </c>
      <c r="O26" s="747">
        <v>241.28100000000001</v>
      </c>
      <c r="P26" s="799">
        <f t="shared" si="6"/>
        <v>240</v>
      </c>
      <c r="Q26" s="747">
        <v>37.53</v>
      </c>
      <c r="R26" s="799">
        <f t="shared" si="7"/>
        <v>38</v>
      </c>
      <c r="S26" s="747">
        <v>0</v>
      </c>
      <c r="T26" s="799">
        <f t="shared" si="8"/>
        <v>0</v>
      </c>
      <c r="U26" s="747">
        <v>29.748000000000001</v>
      </c>
      <c r="V26" s="799">
        <f t="shared" si="9"/>
        <v>30</v>
      </c>
      <c r="W26" s="747">
        <v>1.7629999999999999</v>
      </c>
      <c r="X26" s="799">
        <f t="shared" si="10"/>
        <v>2</v>
      </c>
      <c r="Y26" s="747">
        <v>6.2190000000000003</v>
      </c>
      <c r="Z26" s="799">
        <f t="shared" si="11"/>
        <v>6</v>
      </c>
      <c r="AA26" s="1131">
        <v>0</v>
      </c>
      <c r="AB26" s="1131">
        <v>0</v>
      </c>
      <c r="AC26" s="1131">
        <v>303.69600000000003</v>
      </c>
      <c r="AD26" s="1131">
        <v>23.361000000000001</v>
      </c>
      <c r="AE26" s="1131">
        <v>4.4999999999999998E-2</v>
      </c>
      <c r="AF26" s="1131">
        <v>0.252</v>
      </c>
      <c r="AG26" s="1131">
        <v>5.3</v>
      </c>
      <c r="AH26" s="1131">
        <v>0.113</v>
      </c>
    </row>
    <row r="27" spans="1:35" s="342" customFormat="1" ht="31.75">
      <c r="A27" s="349" t="s">
        <v>296</v>
      </c>
      <c r="B27" s="349" t="s">
        <v>302</v>
      </c>
      <c r="C27" s="694">
        <v>88.992000000000004</v>
      </c>
      <c r="D27" s="727">
        <f t="shared" si="0"/>
        <v>90</v>
      </c>
      <c r="E27" s="694">
        <v>0</v>
      </c>
      <c r="F27" s="727">
        <f t="shared" si="1"/>
        <v>0</v>
      </c>
      <c r="G27" s="694">
        <v>0</v>
      </c>
      <c r="H27" s="727">
        <f t="shared" si="2"/>
        <v>0</v>
      </c>
      <c r="I27" s="694">
        <v>0</v>
      </c>
      <c r="J27" s="727">
        <f t="shared" si="3"/>
        <v>0</v>
      </c>
      <c r="K27" s="694">
        <v>0</v>
      </c>
      <c r="L27" s="799">
        <f t="shared" si="4"/>
        <v>0</v>
      </c>
      <c r="M27" s="694">
        <v>0</v>
      </c>
      <c r="N27" s="799">
        <f t="shared" si="5"/>
        <v>0</v>
      </c>
      <c r="O27" s="694">
        <v>10.099</v>
      </c>
      <c r="P27" s="799">
        <f t="shared" si="6"/>
        <v>10</v>
      </c>
      <c r="Q27" s="694">
        <v>22.495999999999999</v>
      </c>
      <c r="R27" s="799">
        <f t="shared" si="7"/>
        <v>22</v>
      </c>
      <c r="S27" s="694">
        <v>0</v>
      </c>
      <c r="T27" s="799">
        <f t="shared" si="8"/>
        <v>0</v>
      </c>
      <c r="U27" s="694">
        <v>21.77</v>
      </c>
      <c r="V27" s="799">
        <f t="shared" si="9"/>
        <v>22</v>
      </c>
      <c r="W27" s="694">
        <v>21.777000000000001</v>
      </c>
      <c r="X27" s="799">
        <f t="shared" si="10"/>
        <v>22</v>
      </c>
      <c r="Y27" s="694">
        <v>0</v>
      </c>
      <c r="Z27" s="799">
        <f t="shared" si="11"/>
        <v>0</v>
      </c>
      <c r="AA27" s="694">
        <v>0</v>
      </c>
      <c r="AB27" s="694">
        <v>0</v>
      </c>
      <c r="AC27" s="694">
        <v>2.5590000000000002</v>
      </c>
      <c r="AD27" s="694">
        <v>0.19700000000000001</v>
      </c>
      <c r="AE27" s="694">
        <v>4.0000000000000001E-3</v>
      </c>
      <c r="AF27" s="694">
        <v>2.4E-2</v>
      </c>
      <c r="AG27" s="694">
        <v>0.36099999999999999</v>
      </c>
      <c r="AH27" s="694">
        <v>8.0000000000000002E-3</v>
      </c>
    </row>
    <row r="28" spans="1:35" s="342" customFormat="1" ht="31.75">
      <c r="A28" s="349" t="s">
        <v>92</v>
      </c>
      <c r="B28" s="349" t="s">
        <v>98</v>
      </c>
      <c r="C28" s="965">
        <v>101.762</v>
      </c>
      <c r="D28" s="727">
        <f t="shared" si="0"/>
        <v>100</v>
      </c>
      <c r="E28" s="965">
        <v>3.5880000000000001</v>
      </c>
      <c r="F28" s="727">
        <f t="shared" si="1"/>
        <v>0</v>
      </c>
      <c r="G28" s="965">
        <v>1.42</v>
      </c>
      <c r="H28" s="727">
        <f t="shared" si="2"/>
        <v>1.5</v>
      </c>
      <c r="I28" s="965">
        <v>1.204</v>
      </c>
      <c r="J28" s="727">
        <f t="shared" si="3"/>
        <v>1</v>
      </c>
      <c r="K28" s="965">
        <v>0</v>
      </c>
      <c r="L28" s="799">
        <f t="shared" si="4"/>
        <v>0</v>
      </c>
      <c r="M28" s="965">
        <v>0.98799999999999999</v>
      </c>
      <c r="N28" s="799">
        <f t="shared" si="5"/>
        <v>0</v>
      </c>
      <c r="O28" s="965">
        <v>23.738</v>
      </c>
      <c r="P28" s="799">
        <f t="shared" si="6"/>
        <v>25</v>
      </c>
      <c r="Q28" s="965">
        <v>22.247</v>
      </c>
      <c r="R28" s="799">
        <f t="shared" si="7"/>
        <v>22</v>
      </c>
      <c r="S28" s="965">
        <v>0.155</v>
      </c>
      <c r="T28" s="799">
        <f t="shared" si="8"/>
        <v>0</v>
      </c>
      <c r="U28" s="965">
        <v>20.327000000000002</v>
      </c>
      <c r="V28" s="799">
        <f t="shared" si="9"/>
        <v>20</v>
      </c>
      <c r="W28" s="965">
        <v>20.091999999999999</v>
      </c>
      <c r="X28" s="799">
        <f t="shared" si="10"/>
        <v>20</v>
      </c>
      <c r="Y28" s="965">
        <v>0.20599999999999999</v>
      </c>
      <c r="Z28" s="799">
        <f t="shared" si="11"/>
        <v>0</v>
      </c>
      <c r="AA28" s="669">
        <v>0</v>
      </c>
      <c r="AB28" s="669">
        <v>0</v>
      </c>
      <c r="AC28" s="669">
        <v>6.0270000000000001</v>
      </c>
      <c r="AD28" s="669">
        <v>0.46400000000000002</v>
      </c>
      <c r="AE28" s="669">
        <v>7.6999999999999999E-2</v>
      </c>
      <c r="AF28" s="669">
        <v>0.42499999999999999</v>
      </c>
      <c r="AG28" s="669">
        <v>13.29</v>
      </c>
      <c r="AH28" s="669">
        <v>0.28299999999999997</v>
      </c>
    </row>
    <row r="29" spans="1:35" s="342" customFormat="1" ht="31.75">
      <c r="A29" s="349" t="s">
        <v>396</v>
      </c>
      <c r="B29" s="530" t="s">
        <v>98</v>
      </c>
      <c r="C29" s="747">
        <v>320.94400000000002</v>
      </c>
      <c r="D29" s="727">
        <f t="shared" si="0"/>
        <v>320</v>
      </c>
      <c r="E29" s="747">
        <v>154.44200000000001</v>
      </c>
      <c r="F29" s="727">
        <f t="shared" si="1"/>
        <v>150</v>
      </c>
      <c r="G29" s="747">
        <v>17.16</v>
      </c>
      <c r="H29" s="727">
        <f t="shared" si="2"/>
        <v>17</v>
      </c>
      <c r="I29" s="747">
        <v>10.92</v>
      </c>
      <c r="J29" s="727">
        <f t="shared" si="3"/>
        <v>11</v>
      </c>
      <c r="K29" s="747">
        <v>0</v>
      </c>
      <c r="L29" s="799">
        <f t="shared" si="4"/>
        <v>0</v>
      </c>
      <c r="M29" s="747">
        <v>101.402</v>
      </c>
      <c r="N29" s="799">
        <f t="shared" si="5"/>
        <v>100</v>
      </c>
      <c r="O29" s="747">
        <v>231.25299999999999</v>
      </c>
      <c r="P29" s="799">
        <f t="shared" si="6"/>
        <v>230</v>
      </c>
      <c r="Q29" s="747">
        <v>38.058999999999997</v>
      </c>
      <c r="R29" s="799">
        <f t="shared" si="7"/>
        <v>38</v>
      </c>
      <c r="S29" s="747">
        <v>0</v>
      </c>
      <c r="T29" s="799">
        <f t="shared" si="8"/>
        <v>0</v>
      </c>
      <c r="U29" s="747">
        <v>29.812000000000001</v>
      </c>
      <c r="V29" s="799">
        <f t="shared" si="9"/>
        <v>30</v>
      </c>
      <c r="W29" s="747">
        <v>1.732</v>
      </c>
      <c r="X29" s="799">
        <f t="shared" si="10"/>
        <v>2</v>
      </c>
      <c r="Y29" s="747">
        <v>6.24</v>
      </c>
      <c r="Z29" s="799">
        <f t="shared" si="11"/>
        <v>6</v>
      </c>
      <c r="AA29" s="1131">
        <v>0</v>
      </c>
      <c r="AB29" s="1131">
        <v>0</v>
      </c>
      <c r="AC29" s="1131">
        <v>320.12700000000001</v>
      </c>
      <c r="AD29" s="1131">
        <v>24.625</v>
      </c>
      <c r="AE29" s="1131">
        <v>0</v>
      </c>
      <c r="AF29" s="1131">
        <v>0</v>
      </c>
      <c r="AG29" s="1131">
        <v>1.5640000000000001</v>
      </c>
      <c r="AH29" s="1131">
        <v>3.3000000000000002E-2</v>
      </c>
    </row>
    <row r="30" spans="1:35" s="342" customFormat="1" ht="31.75">
      <c r="A30" s="349" t="s">
        <v>296</v>
      </c>
      <c r="B30" s="349" t="s">
        <v>31</v>
      </c>
      <c r="C30" s="727">
        <v>74.944999999999993</v>
      </c>
      <c r="D30" s="727">
        <f t="shared" si="0"/>
        <v>70</v>
      </c>
      <c r="E30" s="727">
        <v>0</v>
      </c>
      <c r="F30" s="727">
        <f t="shared" si="1"/>
        <v>0</v>
      </c>
      <c r="G30" s="727">
        <v>0</v>
      </c>
      <c r="H30" s="727">
        <f t="shared" si="2"/>
        <v>0</v>
      </c>
      <c r="I30" s="727">
        <v>0</v>
      </c>
      <c r="J30" s="727">
        <f t="shared" si="3"/>
        <v>0</v>
      </c>
      <c r="K30" s="727">
        <v>0</v>
      </c>
      <c r="L30" s="799">
        <f t="shared" si="4"/>
        <v>0</v>
      </c>
      <c r="M30" s="727">
        <v>0</v>
      </c>
      <c r="N30" s="799">
        <f t="shared" si="5"/>
        <v>0</v>
      </c>
      <c r="O30" s="727">
        <v>12.843999999999999</v>
      </c>
      <c r="P30" s="799">
        <f t="shared" si="6"/>
        <v>15</v>
      </c>
      <c r="Q30" s="727">
        <v>19.277999999999999</v>
      </c>
      <c r="R30" s="799">
        <f t="shared" si="7"/>
        <v>19</v>
      </c>
      <c r="S30" s="727">
        <v>3.7999999999999999E-2</v>
      </c>
      <c r="T30" s="799">
        <f t="shared" si="8"/>
        <v>0</v>
      </c>
      <c r="U30" s="727">
        <v>18.126000000000001</v>
      </c>
      <c r="V30" s="799">
        <f t="shared" si="9"/>
        <v>18</v>
      </c>
      <c r="W30" s="727">
        <v>17.521999999999998</v>
      </c>
      <c r="X30" s="799">
        <f t="shared" si="10"/>
        <v>18</v>
      </c>
      <c r="Y30" s="727">
        <v>0.01</v>
      </c>
      <c r="Z30" s="799">
        <f t="shared" si="11"/>
        <v>0</v>
      </c>
      <c r="AA30" s="727">
        <v>0</v>
      </c>
      <c r="AB30" s="727">
        <v>0</v>
      </c>
      <c r="AC30" s="727">
        <v>4.5439999999999996</v>
      </c>
      <c r="AD30" s="727">
        <v>0.35</v>
      </c>
      <c r="AE30" s="727">
        <v>0.01</v>
      </c>
      <c r="AF30" s="727">
        <v>5.5E-2</v>
      </c>
      <c r="AG30" s="727">
        <v>0.39500000000000002</v>
      </c>
      <c r="AH30" s="727">
        <v>8.0000000000000002E-3</v>
      </c>
    </row>
    <row r="31" spans="1:35" s="342" customFormat="1" ht="31.75">
      <c r="A31" s="349" t="s">
        <v>296</v>
      </c>
      <c r="B31" s="349" t="s">
        <v>32</v>
      </c>
      <c r="C31" s="727">
        <v>80.95</v>
      </c>
      <c r="D31" s="727">
        <f t="shared" si="0"/>
        <v>80</v>
      </c>
      <c r="E31" s="727">
        <v>0.115</v>
      </c>
      <c r="F31" s="727">
        <f t="shared" si="1"/>
        <v>0</v>
      </c>
      <c r="G31" s="727">
        <v>1.2999999999999999E-2</v>
      </c>
      <c r="H31" s="727">
        <f t="shared" si="2"/>
        <v>0</v>
      </c>
      <c r="I31" s="727">
        <v>0</v>
      </c>
      <c r="J31" s="727">
        <f t="shared" si="3"/>
        <v>0</v>
      </c>
      <c r="K31" s="727">
        <v>0</v>
      </c>
      <c r="L31" s="799">
        <f t="shared" si="4"/>
        <v>0</v>
      </c>
      <c r="M31" s="727">
        <v>0</v>
      </c>
      <c r="N31" s="799">
        <f t="shared" si="5"/>
        <v>0</v>
      </c>
      <c r="O31" s="727">
        <v>10.917999999999999</v>
      </c>
      <c r="P31" s="799">
        <f t="shared" si="6"/>
        <v>10</v>
      </c>
      <c r="Q31" s="727">
        <v>21.01</v>
      </c>
      <c r="R31" s="799">
        <f t="shared" si="7"/>
        <v>21</v>
      </c>
      <c r="S31" s="727">
        <v>0.02</v>
      </c>
      <c r="T31" s="799">
        <f t="shared" si="8"/>
        <v>0</v>
      </c>
      <c r="U31" s="727">
        <v>19.548999999999999</v>
      </c>
      <c r="V31" s="799">
        <f t="shared" si="9"/>
        <v>20</v>
      </c>
      <c r="W31" s="727">
        <v>19.416</v>
      </c>
      <c r="X31" s="799">
        <f t="shared" si="10"/>
        <v>19</v>
      </c>
      <c r="Y31" s="727">
        <v>3.5000000000000003E-2</v>
      </c>
      <c r="Z31" s="799">
        <f t="shared" si="11"/>
        <v>0</v>
      </c>
      <c r="AA31" s="727">
        <v>0</v>
      </c>
      <c r="AB31" s="727">
        <v>0</v>
      </c>
      <c r="AC31" s="727">
        <v>3.3809999999999998</v>
      </c>
      <c r="AD31" s="727">
        <v>0.26</v>
      </c>
      <c r="AE31" s="727">
        <v>8.9999999999999993E-3</v>
      </c>
      <c r="AF31" s="727">
        <v>5.0999999999999997E-2</v>
      </c>
      <c r="AG31" s="727">
        <v>9.2010000000000005</v>
      </c>
      <c r="AH31" s="727">
        <v>0.19600000000000001</v>
      </c>
    </row>
    <row r="32" spans="1:35" s="342" customFormat="1" ht="31.75">
      <c r="A32" s="349" t="s">
        <v>296</v>
      </c>
      <c r="B32" s="349" t="s">
        <v>33</v>
      </c>
      <c r="C32" s="727">
        <v>90.872</v>
      </c>
      <c r="D32" s="727">
        <f t="shared" si="0"/>
        <v>90</v>
      </c>
      <c r="E32" s="727">
        <v>1.7000000000000001E-2</v>
      </c>
      <c r="F32" s="727">
        <f t="shared" si="1"/>
        <v>0</v>
      </c>
      <c r="G32" s="727">
        <v>2E-3</v>
      </c>
      <c r="H32" s="727">
        <f t="shared" si="2"/>
        <v>0</v>
      </c>
      <c r="I32" s="727">
        <v>2E-3</v>
      </c>
      <c r="J32" s="727">
        <f t="shared" si="3"/>
        <v>0</v>
      </c>
      <c r="K32" s="727">
        <v>0</v>
      </c>
      <c r="L32" s="799">
        <f t="shared" si="4"/>
        <v>0</v>
      </c>
      <c r="M32" s="727">
        <v>0</v>
      </c>
      <c r="N32" s="799">
        <f t="shared" si="5"/>
        <v>0</v>
      </c>
      <c r="O32" s="727">
        <v>18.571999999999999</v>
      </c>
      <c r="P32" s="799">
        <f t="shared" si="6"/>
        <v>20</v>
      </c>
      <c r="Q32" s="727">
        <v>23.222000000000001</v>
      </c>
      <c r="R32" s="799">
        <f t="shared" si="7"/>
        <v>23</v>
      </c>
      <c r="S32" s="727">
        <v>4.2000000000000003E-2</v>
      </c>
      <c r="T32" s="799">
        <f t="shared" si="8"/>
        <v>0</v>
      </c>
      <c r="U32" s="727">
        <v>22.085999999999999</v>
      </c>
      <c r="V32" s="799">
        <f t="shared" si="9"/>
        <v>22</v>
      </c>
      <c r="W32" s="727">
        <v>22.07</v>
      </c>
      <c r="X32" s="799">
        <f t="shared" si="10"/>
        <v>22</v>
      </c>
      <c r="Y32" s="727">
        <v>1.0999999999999999E-2</v>
      </c>
      <c r="Z32" s="799">
        <f t="shared" si="11"/>
        <v>0</v>
      </c>
      <c r="AA32" s="727">
        <v>0</v>
      </c>
      <c r="AB32" s="727">
        <v>0</v>
      </c>
      <c r="AC32" s="727">
        <v>2.948</v>
      </c>
      <c r="AD32" s="727">
        <v>0.22700000000000001</v>
      </c>
      <c r="AE32" s="727">
        <v>1.2999999999999999E-2</v>
      </c>
      <c r="AF32" s="727">
        <v>7.0000000000000007E-2</v>
      </c>
      <c r="AG32" s="727">
        <v>1.238</v>
      </c>
      <c r="AH32" s="727">
        <v>2.5999999999999999E-2</v>
      </c>
    </row>
    <row r="33" spans="1:34" s="342" customFormat="1" ht="31.75">
      <c r="A33" s="349" t="s">
        <v>296</v>
      </c>
      <c r="B33" s="349" t="s">
        <v>34</v>
      </c>
      <c r="C33" s="727">
        <v>109.7</v>
      </c>
      <c r="D33" s="727">
        <f t="shared" si="0"/>
        <v>110</v>
      </c>
      <c r="E33" s="727">
        <v>1.2010000000000001</v>
      </c>
      <c r="F33" s="727">
        <f t="shared" si="1"/>
        <v>0</v>
      </c>
      <c r="G33" s="727">
        <v>0.13300000000000001</v>
      </c>
      <c r="H33" s="727">
        <f t="shared" si="2"/>
        <v>0</v>
      </c>
      <c r="I33" s="727">
        <v>7.9000000000000001E-2</v>
      </c>
      <c r="J33" s="727">
        <f t="shared" si="3"/>
        <v>0</v>
      </c>
      <c r="K33" s="727">
        <v>4.3999999999999997E-2</v>
      </c>
      <c r="L33" s="799">
        <f>IF(K33&lt;0.5,0,IF(K33&gt;5,MROUND(K33,1),MROUND(#REF!,0.5)))</f>
        <v>0</v>
      </c>
      <c r="M33" s="727">
        <v>0</v>
      </c>
      <c r="N33" s="799">
        <f t="shared" si="5"/>
        <v>0</v>
      </c>
      <c r="O33" s="727">
        <v>20.71</v>
      </c>
      <c r="P33" s="799">
        <f t="shared" si="6"/>
        <v>20</v>
      </c>
      <c r="Q33" s="727">
        <v>27.966000000000001</v>
      </c>
      <c r="R33" s="799">
        <f t="shared" si="7"/>
        <v>28</v>
      </c>
      <c r="S33" s="727">
        <v>0.39</v>
      </c>
      <c r="T33" s="799">
        <f t="shared" si="8"/>
        <v>0</v>
      </c>
      <c r="U33" s="727">
        <v>26.565999999999999</v>
      </c>
      <c r="V33" s="799">
        <f t="shared" si="9"/>
        <v>27</v>
      </c>
      <c r="W33" s="727">
        <v>26.457000000000001</v>
      </c>
      <c r="X33" s="799">
        <f t="shared" si="10"/>
        <v>26</v>
      </c>
      <c r="Y33" s="727">
        <v>0.23799999999999999</v>
      </c>
      <c r="Z33" s="799">
        <f t="shared" si="11"/>
        <v>0</v>
      </c>
      <c r="AA33" s="727">
        <v>2E-3</v>
      </c>
      <c r="AB33" s="727">
        <v>8.9999999999999993E-3</v>
      </c>
      <c r="AC33" s="727">
        <v>4.8920000000000003</v>
      </c>
      <c r="AD33" s="727">
        <v>0.376</v>
      </c>
      <c r="AE33" s="727">
        <v>0.20699999999999999</v>
      </c>
      <c r="AF33" s="727">
        <v>1.151</v>
      </c>
      <c r="AG33" s="727">
        <v>28.08</v>
      </c>
      <c r="AH33" s="727">
        <v>0.59699999999999998</v>
      </c>
    </row>
    <row r="34" spans="1:34" s="342" customFormat="1" ht="31.75">
      <c r="A34" s="349" t="s">
        <v>396</v>
      </c>
      <c r="B34" s="530" t="s">
        <v>129</v>
      </c>
      <c r="C34" s="729">
        <v>339.33800000000002</v>
      </c>
      <c r="D34" s="727">
        <f t="shared" si="0"/>
        <v>340</v>
      </c>
      <c r="E34" s="729">
        <v>145.43</v>
      </c>
      <c r="F34" s="727">
        <f t="shared" si="1"/>
        <v>150</v>
      </c>
      <c r="G34" s="729">
        <v>16.158999999999999</v>
      </c>
      <c r="H34" s="727">
        <f t="shared" si="2"/>
        <v>16</v>
      </c>
      <c r="I34" s="729">
        <v>9.6950000000000003</v>
      </c>
      <c r="J34" s="727">
        <f t="shared" si="3"/>
        <v>10</v>
      </c>
      <c r="K34" s="729">
        <v>0</v>
      </c>
      <c r="L34" s="799">
        <f t="shared" ref="L34:L43" si="12">IF(K34&lt;0.5,0,IF(K34&gt;5,MROUND(K34,1),MROUND(K33,0.5)))</f>
        <v>0</v>
      </c>
      <c r="M34" s="729">
        <v>43.628999999999998</v>
      </c>
      <c r="N34" s="799">
        <f t="shared" si="5"/>
        <v>45</v>
      </c>
      <c r="O34" s="729">
        <v>185.828</v>
      </c>
      <c r="P34" s="799">
        <f t="shared" si="6"/>
        <v>190</v>
      </c>
      <c r="Q34" s="729">
        <v>43.628999999999998</v>
      </c>
      <c r="R34" s="799">
        <f t="shared" si="7"/>
        <v>44</v>
      </c>
      <c r="S34" s="729">
        <v>0</v>
      </c>
      <c r="T34" s="799">
        <f t="shared" si="8"/>
        <v>0</v>
      </c>
      <c r="U34" s="729">
        <v>33.933999999999997</v>
      </c>
      <c r="V34" s="799">
        <f t="shared" si="9"/>
        <v>34</v>
      </c>
      <c r="W34" s="729">
        <v>0</v>
      </c>
      <c r="X34" s="799">
        <f t="shared" si="10"/>
        <v>0</v>
      </c>
      <c r="Y34" s="729">
        <v>6.4640000000000004</v>
      </c>
      <c r="Z34" s="799">
        <f t="shared" si="11"/>
        <v>6</v>
      </c>
      <c r="AA34" s="1134">
        <v>0</v>
      </c>
      <c r="AB34" s="1134">
        <v>0</v>
      </c>
      <c r="AC34" s="1134">
        <v>210.066</v>
      </c>
      <c r="AD34" s="1134">
        <v>16.158999999999999</v>
      </c>
      <c r="AE34" s="1134">
        <v>1.7450000000000001</v>
      </c>
      <c r="AF34" s="1134">
        <v>9.6950000000000003</v>
      </c>
      <c r="AG34" s="1134">
        <v>0</v>
      </c>
      <c r="AH34" s="1134">
        <v>0</v>
      </c>
    </row>
    <row r="35" spans="1:34" s="342" customFormat="1" ht="31.75">
      <c r="A35" s="349" t="s">
        <v>396</v>
      </c>
      <c r="B35" s="530" t="s">
        <v>399</v>
      </c>
      <c r="C35" s="747">
        <v>335.09199999999998</v>
      </c>
      <c r="D35" s="727">
        <f t="shared" si="0"/>
        <v>340</v>
      </c>
      <c r="E35" s="747">
        <v>139.06200000000001</v>
      </c>
      <c r="F35" s="727">
        <f t="shared" si="1"/>
        <v>140</v>
      </c>
      <c r="G35" s="747">
        <v>15.451000000000001</v>
      </c>
      <c r="H35" s="727">
        <f t="shared" si="2"/>
        <v>15</v>
      </c>
      <c r="I35" s="747">
        <v>9.2710000000000008</v>
      </c>
      <c r="J35" s="727">
        <f t="shared" si="3"/>
        <v>9</v>
      </c>
      <c r="K35" s="747">
        <v>0</v>
      </c>
      <c r="L35" s="799">
        <f t="shared" si="12"/>
        <v>0</v>
      </c>
      <c r="M35" s="747">
        <v>84.981999999999999</v>
      </c>
      <c r="N35" s="799">
        <f t="shared" si="5"/>
        <v>85</v>
      </c>
      <c r="O35" s="747">
        <v>179.81299999999999</v>
      </c>
      <c r="P35" s="799">
        <f t="shared" si="6"/>
        <v>180</v>
      </c>
      <c r="Q35" s="747">
        <v>44.337000000000003</v>
      </c>
      <c r="R35" s="799">
        <f t="shared" si="7"/>
        <v>44</v>
      </c>
      <c r="S35" s="747">
        <v>0</v>
      </c>
      <c r="T35" s="799">
        <f t="shared" si="8"/>
        <v>0</v>
      </c>
      <c r="U35" s="747">
        <v>34.146000000000001</v>
      </c>
      <c r="V35" s="799">
        <f t="shared" si="9"/>
        <v>34</v>
      </c>
      <c r="W35" s="747">
        <v>1.698</v>
      </c>
      <c r="X35" s="799">
        <f t="shared" si="10"/>
        <v>2</v>
      </c>
      <c r="Y35" s="747">
        <v>6.181</v>
      </c>
      <c r="Z35" s="799">
        <f t="shared" si="11"/>
        <v>6</v>
      </c>
      <c r="AA35" s="1131">
        <v>0</v>
      </c>
      <c r="AB35" s="1131">
        <v>0</v>
      </c>
      <c r="AC35" s="1131">
        <v>201.36199999999999</v>
      </c>
      <c r="AD35" s="1131">
        <v>15.489000000000001</v>
      </c>
      <c r="AE35" s="1131">
        <v>1.669</v>
      </c>
      <c r="AF35" s="1131">
        <v>9.2710000000000008</v>
      </c>
      <c r="AG35" s="1131">
        <v>2.052</v>
      </c>
      <c r="AH35" s="1131">
        <v>4.3999999999999997E-2</v>
      </c>
    </row>
    <row r="36" spans="1:34" s="342" customFormat="1" ht="15.9">
      <c r="A36" s="346"/>
      <c r="B36" s="530" t="s">
        <v>400</v>
      </c>
      <c r="C36" s="747">
        <v>336.822</v>
      </c>
      <c r="D36" s="727">
        <f t="shared" si="0"/>
        <v>340</v>
      </c>
      <c r="E36" s="747">
        <v>139.77000000000001</v>
      </c>
      <c r="F36" s="727">
        <f t="shared" si="1"/>
        <v>140</v>
      </c>
      <c r="G36" s="747">
        <v>15.53</v>
      </c>
      <c r="H36" s="727">
        <f t="shared" si="2"/>
        <v>16</v>
      </c>
      <c r="I36" s="747">
        <v>9.3179999999999996</v>
      </c>
      <c r="J36" s="727">
        <f t="shared" si="3"/>
        <v>9</v>
      </c>
      <c r="K36" s="747">
        <v>0</v>
      </c>
      <c r="L36" s="799">
        <f t="shared" si="12"/>
        <v>0</v>
      </c>
      <c r="M36" s="747">
        <v>85.415000000000006</v>
      </c>
      <c r="N36" s="799">
        <f t="shared" si="5"/>
        <v>85</v>
      </c>
      <c r="O36" s="747">
        <v>182.99799999999999</v>
      </c>
      <c r="P36" s="799">
        <f t="shared" si="6"/>
        <v>180</v>
      </c>
      <c r="Q36" s="747">
        <v>44.320999999999998</v>
      </c>
      <c r="R36" s="799">
        <f t="shared" si="7"/>
        <v>44</v>
      </c>
      <c r="S36" s="747">
        <v>0</v>
      </c>
      <c r="T36" s="799">
        <f t="shared" si="8"/>
        <v>0</v>
      </c>
      <c r="U36" s="747">
        <v>34.311</v>
      </c>
      <c r="V36" s="799">
        <f t="shared" si="9"/>
        <v>34</v>
      </c>
      <c r="W36" s="747">
        <v>1.698</v>
      </c>
      <c r="X36" s="799">
        <f t="shared" si="10"/>
        <v>2</v>
      </c>
      <c r="Y36" s="747">
        <v>6.2119999999999997</v>
      </c>
      <c r="Z36" s="799">
        <f t="shared" si="11"/>
        <v>6</v>
      </c>
      <c r="AA36" s="1131">
        <v>0</v>
      </c>
      <c r="AB36" s="1131">
        <v>0</v>
      </c>
      <c r="AC36" s="1131">
        <v>202.268</v>
      </c>
      <c r="AD36" s="1131">
        <v>15.558999999999999</v>
      </c>
      <c r="AE36" s="1131">
        <v>1.677</v>
      </c>
      <c r="AF36" s="1131">
        <v>9.3179999999999996</v>
      </c>
      <c r="AG36" s="1131">
        <v>1.887</v>
      </c>
      <c r="AH36" s="1131">
        <v>0.04</v>
      </c>
    </row>
    <row r="37" spans="1:34" s="342" customFormat="1" ht="31.75">
      <c r="A37" s="349" t="s">
        <v>92</v>
      </c>
      <c r="B37" s="349" t="s">
        <v>99</v>
      </c>
      <c r="C37" s="965">
        <v>117.732</v>
      </c>
      <c r="D37" s="727">
        <f t="shared" ref="D37:D68" si="13">MROUND(C37,10)</f>
        <v>120</v>
      </c>
      <c r="E37" s="965">
        <v>14.446</v>
      </c>
      <c r="F37" s="727">
        <f t="shared" ref="F37:F68" si="14">IF(E37&lt;5,0,(IF(E37&gt;50,MROUND(E37,10),MROUND(E37,5))))</f>
        <v>15</v>
      </c>
      <c r="G37" s="965">
        <v>2.6240000000000001</v>
      </c>
      <c r="H37" s="727">
        <f t="shared" ref="H37:H68" si="15">IF(G37&lt;0.5,0,IF(G37&gt;5,MROUND(G37,1),MROUND(G37,0.5)))</f>
        <v>2.5</v>
      </c>
      <c r="I37" s="965">
        <v>1.944</v>
      </c>
      <c r="J37" s="727">
        <f t="shared" ref="J37:J68" si="16">IF(I37&lt;0.5,0,IF(I37&gt;5,MROUND(I37,1),MROUND(I37,0.5)))</f>
        <v>2</v>
      </c>
      <c r="K37" s="965">
        <v>0.27100000000000002</v>
      </c>
      <c r="L37" s="799">
        <f t="shared" si="12"/>
        <v>0</v>
      </c>
      <c r="M37" s="965">
        <v>1.972</v>
      </c>
      <c r="N37" s="799">
        <f t="shared" ref="N37:N68" si="17">IF(M37&lt;2,0,IF(M37&gt;5,MROUND(M37,5),"less than 5 mg"))</f>
        <v>0</v>
      </c>
      <c r="O37" s="965">
        <v>26.173999999999999</v>
      </c>
      <c r="P37" s="799">
        <f t="shared" ref="P37:P68" si="18">IF(O37&lt;5,0,IF(O37&gt;140,MROUND(O37,10),MROUND(O37,5)))</f>
        <v>25</v>
      </c>
      <c r="Q37" s="965">
        <v>27.472999999999999</v>
      </c>
      <c r="R37" s="799">
        <f t="shared" ref="R37:R68" si="19">IF(Q37&lt;0.5,0,IF(Q37&gt;1,MROUND(Q37,1),"less than 1 g"))</f>
        <v>27</v>
      </c>
      <c r="S37" s="965">
        <v>0.23699999999999999</v>
      </c>
      <c r="T37" s="799">
        <f t="shared" ref="T37:T68" si="20">IF(S37&lt;0.5,0,IF(S37&gt;1,MROUND(S37,1),"less than 1 g"))</f>
        <v>0</v>
      </c>
      <c r="U37" s="965">
        <v>24.849</v>
      </c>
      <c r="V37" s="799">
        <f t="shared" ref="V37:V68" si="21">IF(U37&lt;0.5,0,IF(U37&gt;1,MROUND(U37,1),"less than 1 g"))</f>
        <v>25</v>
      </c>
      <c r="W37" s="965">
        <v>22.91</v>
      </c>
      <c r="X37" s="799">
        <f t="shared" ref="X37:X68" si="22">IF(W37&lt;0.5,0,IF(W37&gt;1,MROUND(W37,1),"less than 1 g"))</f>
        <v>23</v>
      </c>
      <c r="Y37" s="965">
        <v>0.373</v>
      </c>
      <c r="Z37" s="799">
        <f t="shared" ref="Z37:Z68" si="23">IF(Y37&lt;0.5,0,IF(Y37&gt;1,MROUND(Y37,1),"less than 1 g"))</f>
        <v>0</v>
      </c>
      <c r="AA37" s="669">
        <v>7.0000000000000001E-3</v>
      </c>
      <c r="AB37" s="669">
        <v>3.4000000000000002E-2</v>
      </c>
      <c r="AC37" s="669">
        <v>7.7560000000000002</v>
      </c>
      <c r="AD37" s="669">
        <v>0.59699999999999998</v>
      </c>
      <c r="AE37" s="669">
        <v>0.28399999999999997</v>
      </c>
      <c r="AF37" s="669">
        <v>1.577</v>
      </c>
      <c r="AG37" s="669">
        <v>18.620999999999999</v>
      </c>
      <c r="AH37" s="669">
        <v>0.39600000000000002</v>
      </c>
    </row>
    <row r="38" spans="1:34" s="342" customFormat="1" ht="16.2" customHeight="1">
      <c r="A38" s="349" t="s">
        <v>143</v>
      </c>
      <c r="B38" s="186" t="s">
        <v>144</v>
      </c>
      <c r="C38" s="555">
        <v>111.661</v>
      </c>
      <c r="D38" s="727">
        <f t="shared" si="13"/>
        <v>110</v>
      </c>
      <c r="E38" s="555">
        <v>55.951999999999998</v>
      </c>
      <c r="F38" s="727">
        <f t="shared" si="14"/>
        <v>60</v>
      </c>
      <c r="G38" s="555">
        <v>6.2169999999999996</v>
      </c>
      <c r="H38" s="727">
        <f t="shared" si="15"/>
        <v>6</v>
      </c>
      <c r="I38" s="555">
        <v>3.73</v>
      </c>
      <c r="J38" s="727">
        <f t="shared" si="16"/>
        <v>3.5</v>
      </c>
      <c r="K38" s="555">
        <v>0</v>
      </c>
      <c r="L38" s="799">
        <f t="shared" si="12"/>
        <v>0</v>
      </c>
      <c r="M38" s="555">
        <v>0</v>
      </c>
      <c r="N38" s="799">
        <f t="shared" si="17"/>
        <v>0</v>
      </c>
      <c r="O38" s="555">
        <v>4.9000000000000002E-2</v>
      </c>
      <c r="P38" s="799">
        <f t="shared" si="18"/>
        <v>0</v>
      </c>
      <c r="Q38" s="555">
        <v>16.603000000000002</v>
      </c>
      <c r="R38" s="799">
        <f t="shared" si="19"/>
        <v>17</v>
      </c>
      <c r="S38" s="555">
        <v>1.7549999999999999</v>
      </c>
      <c r="T38" s="799">
        <f t="shared" si="20"/>
        <v>2</v>
      </c>
      <c r="U38" s="555">
        <v>13.726000000000001</v>
      </c>
      <c r="V38" s="799">
        <f t="shared" si="21"/>
        <v>14</v>
      </c>
      <c r="W38" s="555">
        <v>0</v>
      </c>
      <c r="X38" s="799">
        <f t="shared" si="22"/>
        <v>0</v>
      </c>
      <c r="Y38" s="555">
        <v>1.121</v>
      </c>
      <c r="Z38" s="799">
        <f t="shared" si="23"/>
        <v>1</v>
      </c>
      <c r="AA38" s="773">
        <v>0</v>
      </c>
      <c r="AB38" s="773">
        <v>0</v>
      </c>
      <c r="AC38" s="773">
        <v>8.5329999999999995</v>
      </c>
      <c r="AD38" s="773">
        <v>0.65600000000000003</v>
      </c>
      <c r="AE38" s="773">
        <v>1.9159999999999999</v>
      </c>
      <c r="AF38" s="773">
        <v>10.646000000000001</v>
      </c>
      <c r="AG38" s="773">
        <v>97.911000000000001</v>
      </c>
      <c r="AH38" s="773">
        <v>2.0830000000000002</v>
      </c>
    </row>
    <row r="39" spans="1:34" s="342" customFormat="1" ht="31.75">
      <c r="A39" s="349" t="s">
        <v>296</v>
      </c>
      <c r="B39" s="349" t="s">
        <v>35</v>
      </c>
      <c r="C39" s="727">
        <v>124.29600000000001</v>
      </c>
      <c r="D39" s="727">
        <f t="shared" si="13"/>
        <v>120</v>
      </c>
      <c r="E39" s="727">
        <v>1.204</v>
      </c>
      <c r="F39" s="727">
        <f t="shared" si="14"/>
        <v>0</v>
      </c>
      <c r="G39" s="727">
        <v>0.94899999999999995</v>
      </c>
      <c r="H39" s="727">
        <f t="shared" si="15"/>
        <v>1</v>
      </c>
      <c r="I39" s="727">
        <v>0.56499999999999995</v>
      </c>
      <c r="J39" s="727">
        <f t="shared" si="16"/>
        <v>0.5</v>
      </c>
      <c r="K39" s="727">
        <v>4.3999999999999997E-2</v>
      </c>
      <c r="L39" s="799">
        <f t="shared" si="12"/>
        <v>0</v>
      </c>
      <c r="M39" s="727">
        <v>0</v>
      </c>
      <c r="N39" s="799">
        <f t="shared" si="17"/>
        <v>0</v>
      </c>
      <c r="O39" s="727">
        <v>20.635000000000002</v>
      </c>
      <c r="P39" s="799">
        <f t="shared" si="18"/>
        <v>20</v>
      </c>
      <c r="Q39" s="727">
        <v>30.146000000000001</v>
      </c>
      <c r="R39" s="799">
        <f t="shared" si="19"/>
        <v>30</v>
      </c>
      <c r="S39" s="727">
        <v>0.63900000000000001</v>
      </c>
      <c r="T39" s="799" t="str">
        <f t="shared" si="20"/>
        <v>less than 1 g</v>
      </c>
      <c r="U39" s="727">
        <v>28.338000000000001</v>
      </c>
      <c r="V39" s="799">
        <f t="shared" si="21"/>
        <v>28</v>
      </c>
      <c r="W39" s="727">
        <v>28.228000000000002</v>
      </c>
      <c r="X39" s="799">
        <f t="shared" si="22"/>
        <v>28</v>
      </c>
      <c r="Y39" s="727">
        <v>0.39500000000000002</v>
      </c>
      <c r="Z39" s="799">
        <f t="shared" si="23"/>
        <v>0</v>
      </c>
      <c r="AA39" s="727">
        <v>2E-3</v>
      </c>
      <c r="AB39" s="727">
        <v>8.9999999999999993E-3</v>
      </c>
      <c r="AC39" s="727">
        <v>5.9969999999999999</v>
      </c>
      <c r="AD39" s="727">
        <v>0.46100000000000002</v>
      </c>
      <c r="AE39" s="727">
        <v>0.47499999999999998</v>
      </c>
      <c r="AF39" s="727">
        <v>2.641</v>
      </c>
      <c r="AG39" s="727">
        <v>41.866</v>
      </c>
      <c r="AH39" s="727">
        <v>0.89100000000000001</v>
      </c>
    </row>
    <row r="40" spans="1:34" s="342" customFormat="1" ht="31.75">
      <c r="A40" s="349" t="s">
        <v>92</v>
      </c>
      <c r="B40" s="349" t="s">
        <v>100</v>
      </c>
      <c r="C40" s="965">
        <v>111.267</v>
      </c>
      <c r="D40" s="727">
        <f t="shared" si="13"/>
        <v>110</v>
      </c>
      <c r="E40" s="965">
        <v>6.3520000000000003</v>
      </c>
      <c r="F40" s="727">
        <f t="shared" si="14"/>
        <v>5</v>
      </c>
      <c r="G40" s="965">
        <v>1.724</v>
      </c>
      <c r="H40" s="727">
        <f t="shared" si="15"/>
        <v>1.5</v>
      </c>
      <c r="I40" s="965">
        <v>1.4750000000000001</v>
      </c>
      <c r="J40" s="727">
        <f t="shared" si="16"/>
        <v>1.5</v>
      </c>
      <c r="K40" s="965">
        <v>0.13600000000000001</v>
      </c>
      <c r="L40" s="799">
        <f t="shared" si="12"/>
        <v>0</v>
      </c>
      <c r="M40" s="965">
        <v>0</v>
      </c>
      <c r="N40" s="799">
        <f t="shared" si="17"/>
        <v>0</v>
      </c>
      <c r="O40" s="965">
        <v>28.637</v>
      </c>
      <c r="P40" s="799">
        <f t="shared" si="18"/>
        <v>30</v>
      </c>
      <c r="Q40" s="965">
        <v>26.084</v>
      </c>
      <c r="R40" s="799">
        <f t="shared" si="19"/>
        <v>26</v>
      </c>
      <c r="S40" s="965">
        <v>0.247</v>
      </c>
      <c r="T40" s="799">
        <f t="shared" si="20"/>
        <v>0</v>
      </c>
      <c r="U40" s="965">
        <v>24.065999999999999</v>
      </c>
      <c r="V40" s="799">
        <f t="shared" si="21"/>
        <v>24</v>
      </c>
      <c r="W40" s="965">
        <v>22.495999999999999</v>
      </c>
      <c r="X40" s="799">
        <f t="shared" si="22"/>
        <v>22</v>
      </c>
      <c r="Y40" s="965">
        <v>0.27200000000000002</v>
      </c>
      <c r="Z40" s="799">
        <f t="shared" si="23"/>
        <v>0</v>
      </c>
      <c r="AA40" s="669">
        <v>3.0000000000000001E-3</v>
      </c>
      <c r="AB40" s="669">
        <v>1.7000000000000001E-2</v>
      </c>
      <c r="AC40" s="669">
        <v>4.7699999999999996</v>
      </c>
      <c r="AD40" s="669">
        <v>0.36699999999999999</v>
      </c>
      <c r="AE40" s="669">
        <v>0.22600000000000001</v>
      </c>
      <c r="AF40" s="669">
        <v>1.258</v>
      </c>
      <c r="AG40" s="669">
        <v>34.308</v>
      </c>
      <c r="AH40" s="669">
        <v>0.73</v>
      </c>
    </row>
    <row r="41" spans="1:34" s="342" customFormat="1" ht="31.75">
      <c r="A41" s="349" t="s">
        <v>92</v>
      </c>
      <c r="B41" s="349" t="s">
        <v>101</v>
      </c>
      <c r="C41" s="965">
        <v>106.071</v>
      </c>
      <c r="D41" s="727">
        <f t="shared" si="13"/>
        <v>110</v>
      </c>
      <c r="E41" s="965">
        <v>9.9779999999999998</v>
      </c>
      <c r="F41" s="727">
        <f t="shared" si="14"/>
        <v>10</v>
      </c>
      <c r="G41" s="965">
        <v>2.1440000000000001</v>
      </c>
      <c r="H41" s="727">
        <f t="shared" si="15"/>
        <v>2</v>
      </c>
      <c r="I41" s="965">
        <v>1.7250000000000001</v>
      </c>
      <c r="J41" s="727">
        <f t="shared" si="16"/>
        <v>1.5</v>
      </c>
      <c r="K41" s="965">
        <v>0.27500000000000002</v>
      </c>
      <c r="L41" s="799">
        <f t="shared" si="12"/>
        <v>0</v>
      </c>
      <c r="M41" s="965">
        <v>0</v>
      </c>
      <c r="N41" s="799">
        <f t="shared" si="17"/>
        <v>0</v>
      </c>
      <c r="O41" s="965">
        <v>31.277999999999999</v>
      </c>
      <c r="P41" s="799">
        <f t="shared" si="18"/>
        <v>30</v>
      </c>
      <c r="Q41" s="965">
        <v>25.718</v>
      </c>
      <c r="R41" s="799">
        <f t="shared" si="19"/>
        <v>26</v>
      </c>
      <c r="S41" s="965">
        <v>0.35</v>
      </c>
      <c r="T41" s="799">
        <f t="shared" si="20"/>
        <v>0</v>
      </c>
      <c r="U41" s="965">
        <v>23.824000000000002</v>
      </c>
      <c r="V41" s="799">
        <f t="shared" si="21"/>
        <v>24</v>
      </c>
      <c r="W41" s="965">
        <v>21.606000000000002</v>
      </c>
      <c r="X41" s="799">
        <f t="shared" si="22"/>
        <v>22</v>
      </c>
      <c r="Y41" s="965">
        <v>0.38300000000000001</v>
      </c>
      <c r="Z41" s="799">
        <f t="shared" si="23"/>
        <v>0</v>
      </c>
      <c r="AA41" s="669">
        <v>7.0000000000000001E-3</v>
      </c>
      <c r="AB41" s="669">
        <v>3.5000000000000003E-2</v>
      </c>
      <c r="AC41" s="669">
        <v>5.8949999999999996</v>
      </c>
      <c r="AD41" s="669">
        <v>0.45300000000000001</v>
      </c>
      <c r="AE41" s="669">
        <v>0.38200000000000001</v>
      </c>
      <c r="AF41" s="669">
        <v>2.12</v>
      </c>
      <c r="AG41" s="669">
        <v>28.893999999999998</v>
      </c>
      <c r="AH41" s="669">
        <v>0.61499999999999999</v>
      </c>
    </row>
    <row r="42" spans="1:34" s="342" customFormat="1" ht="14.25" customHeight="1">
      <c r="A42" s="349" t="s">
        <v>296</v>
      </c>
      <c r="B42" s="349" t="s">
        <v>317</v>
      </c>
      <c r="C42" s="727">
        <v>132.495</v>
      </c>
      <c r="D42" s="727">
        <f t="shared" si="13"/>
        <v>130</v>
      </c>
      <c r="E42" s="727">
        <v>1.202</v>
      </c>
      <c r="F42" s="727">
        <f t="shared" si="14"/>
        <v>0</v>
      </c>
      <c r="G42" s="727">
        <v>2.3340000000000001</v>
      </c>
      <c r="H42" s="727">
        <f t="shared" si="15"/>
        <v>2.5</v>
      </c>
      <c r="I42" s="727">
        <v>0.44400000000000001</v>
      </c>
      <c r="J42" s="727">
        <f t="shared" si="16"/>
        <v>0</v>
      </c>
      <c r="K42" s="727">
        <v>4.3999999999999997E-2</v>
      </c>
      <c r="L42" s="799">
        <f t="shared" si="12"/>
        <v>0</v>
      </c>
      <c r="M42" s="727">
        <v>0</v>
      </c>
      <c r="N42" s="799">
        <f t="shared" si="17"/>
        <v>0</v>
      </c>
      <c r="O42" s="727">
        <v>30.350999999999999</v>
      </c>
      <c r="P42" s="799">
        <f t="shared" si="18"/>
        <v>30</v>
      </c>
      <c r="Q42" s="727">
        <v>28.341999999999999</v>
      </c>
      <c r="R42" s="799">
        <f t="shared" si="19"/>
        <v>28</v>
      </c>
      <c r="S42" s="727">
        <v>0.63</v>
      </c>
      <c r="T42" s="799" t="str">
        <f t="shared" si="20"/>
        <v>less than 1 g</v>
      </c>
      <c r="U42" s="727">
        <v>26.943000000000001</v>
      </c>
      <c r="V42" s="799">
        <f t="shared" si="21"/>
        <v>27</v>
      </c>
      <c r="W42" s="727">
        <v>26.721</v>
      </c>
      <c r="X42" s="799">
        <f t="shared" si="22"/>
        <v>27</v>
      </c>
      <c r="Y42" s="727">
        <v>0.96299999999999997</v>
      </c>
      <c r="Z42" s="799" t="str">
        <f t="shared" si="23"/>
        <v>less than 1 g</v>
      </c>
      <c r="AA42" s="727">
        <v>2E-3</v>
      </c>
      <c r="AB42" s="727">
        <v>8.9999999999999993E-3</v>
      </c>
      <c r="AC42" s="727">
        <v>7.4039999999999999</v>
      </c>
      <c r="AD42" s="727">
        <v>0.56999999999999995</v>
      </c>
      <c r="AE42" s="727">
        <v>0.33600000000000002</v>
      </c>
      <c r="AF42" s="727">
        <v>1.867</v>
      </c>
      <c r="AG42" s="727">
        <v>47.924999999999997</v>
      </c>
      <c r="AH42" s="727">
        <v>1.02</v>
      </c>
    </row>
    <row r="43" spans="1:34" s="342" customFormat="1" ht="14.25" customHeight="1">
      <c r="A43" s="349" t="s">
        <v>396</v>
      </c>
      <c r="B43" s="530" t="s">
        <v>397</v>
      </c>
      <c r="C43" s="747">
        <v>335.62200000000001</v>
      </c>
      <c r="D43" s="727">
        <f t="shared" si="13"/>
        <v>340</v>
      </c>
      <c r="E43" s="747">
        <v>138.74199999999999</v>
      </c>
      <c r="F43" s="727">
        <f t="shared" si="14"/>
        <v>140</v>
      </c>
      <c r="G43" s="747">
        <v>15.416</v>
      </c>
      <c r="H43" s="727">
        <f t="shared" si="15"/>
        <v>15</v>
      </c>
      <c r="I43" s="747">
        <v>9.2490000000000006</v>
      </c>
      <c r="J43" s="727">
        <f t="shared" si="16"/>
        <v>9</v>
      </c>
      <c r="K43" s="747">
        <v>0</v>
      </c>
      <c r="L43" s="799">
        <f t="shared" si="12"/>
        <v>0</v>
      </c>
      <c r="M43" s="747">
        <v>84.787000000000006</v>
      </c>
      <c r="N43" s="799">
        <f t="shared" si="17"/>
        <v>85</v>
      </c>
      <c r="O43" s="747">
        <v>179.511</v>
      </c>
      <c r="P43" s="799">
        <f t="shared" si="18"/>
        <v>180</v>
      </c>
      <c r="Q43" s="747">
        <v>44.67</v>
      </c>
      <c r="R43" s="799">
        <f t="shared" si="19"/>
        <v>45</v>
      </c>
      <c r="S43" s="747">
        <v>0</v>
      </c>
      <c r="T43" s="799">
        <f t="shared" si="20"/>
        <v>0</v>
      </c>
      <c r="U43" s="747">
        <v>34.380000000000003</v>
      </c>
      <c r="V43" s="799">
        <f t="shared" si="21"/>
        <v>34</v>
      </c>
      <c r="W43" s="747">
        <v>2.0070000000000001</v>
      </c>
      <c r="X43" s="799">
        <f t="shared" si="22"/>
        <v>2</v>
      </c>
      <c r="Y43" s="747">
        <v>6.1660000000000004</v>
      </c>
      <c r="Z43" s="799">
        <f t="shared" si="23"/>
        <v>6</v>
      </c>
      <c r="AA43" s="1131">
        <v>0</v>
      </c>
      <c r="AB43" s="1131">
        <v>0</v>
      </c>
      <c r="AC43" s="1131">
        <v>200.851</v>
      </c>
      <c r="AD43" s="1131">
        <v>15.45</v>
      </c>
      <c r="AE43" s="1131">
        <v>1.665</v>
      </c>
      <c r="AF43" s="1131">
        <v>0.92500000000000004</v>
      </c>
      <c r="AG43" s="1131">
        <v>2.23</v>
      </c>
      <c r="AH43" s="1131">
        <v>4.7E-2</v>
      </c>
    </row>
    <row r="44" spans="1:34" s="342" customFormat="1" ht="31.75">
      <c r="A44" s="349" t="s">
        <v>143</v>
      </c>
      <c r="B44" s="246" t="s">
        <v>147</v>
      </c>
      <c r="C44" s="536">
        <v>147.85400000000001</v>
      </c>
      <c r="D44" s="727">
        <f t="shared" si="13"/>
        <v>150</v>
      </c>
      <c r="E44" s="536">
        <v>116.727</v>
      </c>
      <c r="F44" s="727">
        <f t="shared" si="14"/>
        <v>120</v>
      </c>
      <c r="G44" s="536">
        <v>12.97</v>
      </c>
      <c r="H44" s="727">
        <f t="shared" si="15"/>
        <v>13</v>
      </c>
      <c r="I44" s="536">
        <v>1.8160000000000001</v>
      </c>
      <c r="J44" s="727">
        <f t="shared" si="16"/>
        <v>2</v>
      </c>
      <c r="K44" s="536">
        <v>0</v>
      </c>
      <c r="L44" s="799">
        <f>IF(K44&lt;0.5,0,IF(K44&gt;5,MROUND(K44,1),MROUND(K44,0.5)))</f>
        <v>0</v>
      </c>
      <c r="M44" s="536">
        <v>0</v>
      </c>
      <c r="N44" s="799">
        <f t="shared" si="17"/>
        <v>0</v>
      </c>
      <c r="O44" s="536">
        <v>1.2969999999999999</v>
      </c>
      <c r="P44" s="799">
        <f t="shared" si="18"/>
        <v>0</v>
      </c>
      <c r="Q44" s="536">
        <v>5.4470000000000001</v>
      </c>
      <c r="R44" s="799">
        <f t="shared" si="19"/>
        <v>5</v>
      </c>
      <c r="S44" s="536">
        <v>1.8160000000000001</v>
      </c>
      <c r="T44" s="799">
        <f t="shared" si="20"/>
        <v>2</v>
      </c>
      <c r="U44" s="536">
        <v>0.93400000000000005</v>
      </c>
      <c r="V44" s="799" t="str">
        <f t="shared" si="21"/>
        <v>less than 1 g</v>
      </c>
      <c r="W44" s="536">
        <v>0</v>
      </c>
      <c r="X44" s="799">
        <f t="shared" si="22"/>
        <v>0</v>
      </c>
      <c r="Y44" s="536">
        <v>6.4850000000000003</v>
      </c>
      <c r="Z44" s="799">
        <f t="shared" si="23"/>
        <v>6</v>
      </c>
      <c r="AA44" s="536">
        <v>0</v>
      </c>
      <c r="AB44" s="536">
        <v>0</v>
      </c>
      <c r="AC44" s="536">
        <v>15.045</v>
      </c>
      <c r="AD44" s="536">
        <v>1.157</v>
      </c>
      <c r="AE44" s="536">
        <v>0.41</v>
      </c>
      <c r="AF44" s="536">
        <v>2.2770000000000001</v>
      </c>
      <c r="AG44" s="536">
        <v>168.60599999999999</v>
      </c>
      <c r="AH44" s="536">
        <v>3.5870000000000002</v>
      </c>
    </row>
    <row r="45" spans="1:34" s="342" customFormat="1" ht="31.75">
      <c r="A45" s="349" t="s">
        <v>296</v>
      </c>
      <c r="B45" s="349" t="s">
        <v>304</v>
      </c>
      <c r="C45" s="727">
        <v>76.546999999999997</v>
      </c>
      <c r="D45" s="727">
        <f t="shared" si="13"/>
        <v>80</v>
      </c>
      <c r="E45" s="727">
        <v>1.4E-2</v>
      </c>
      <c r="F45" s="727">
        <f t="shared" si="14"/>
        <v>0</v>
      </c>
      <c r="G45" s="727">
        <v>2E-3</v>
      </c>
      <c r="H45" s="727">
        <f t="shared" si="15"/>
        <v>0</v>
      </c>
      <c r="I45" s="727">
        <v>0</v>
      </c>
      <c r="J45" s="727">
        <f t="shared" si="16"/>
        <v>0</v>
      </c>
      <c r="K45" s="727">
        <v>0</v>
      </c>
      <c r="L45" s="799">
        <f t="shared" ref="L45:L51" si="24">IF(K45&lt;0.5,0,IF(K45&gt;5,MROUND(K45,1),MROUND(K44,0.5)))</f>
        <v>0</v>
      </c>
      <c r="M45" s="727">
        <v>0</v>
      </c>
      <c r="N45" s="799">
        <f t="shared" si="17"/>
        <v>0</v>
      </c>
      <c r="O45" s="727">
        <v>10.715</v>
      </c>
      <c r="P45" s="799">
        <f t="shared" si="18"/>
        <v>10</v>
      </c>
      <c r="Q45" s="727">
        <v>19.350999999999999</v>
      </c>
      <c r="R45" s="799">
        <f t="shared" si="19"/>
        <v>19</v>
      </c>
      <c r="S45" s="727">
        <v>2.3E-2</v>
      </c>
      <c r="T45" s="799">
        <f t="shared" si="20"/>
        <v>0</v>
      </c>
      <c r="U45" s="727">
        <v>18.419</v>
      </c>
      <c r="V45" s="799">
        <f t="shared" si="21"/>
        <v>18</v>
      </c>
      <c r="W45" s="727">
        <v>18.373000000000001</v>
      </c>
      <c r="X45" s="799">
        <f t="shared" si="22"/>
        <v>18</v>
      </c>
      <c r="Y45" s="727">
        <v>7.0000000000000001E-3</v>
      </c>
      <c r="Z45" s="799">
        <f t="shared" si="23"/>
        <v>0</v>
      </c>
      <c r="AA45" s="727">
        <v>0</v>
      </c>
      <c r="AB45" s="727">
        <v>0</v>
      </c>
      <c r="AC45" s="727">
        <v>2.9289999999999998</v>
      </c>
      <c r="AD45" s="727">
        <v>0.22500000000000001</v>
      </c>
      <c r="AE45" s="727">
        <v>8.0000000000000002E-3</v>
      </c>
      <c r="AF45" s="727">
        <v>4.2999999999999997E-2</v>
      </c>
      <c r="AG45" s="727">
        <v>1.139</v>
      </c>
      <c r="AH45" s="727">
        <v>2.4E-2</v>
      </c>
    </row>
    <row r="46" spans="1:34" s="342" customFormat="1" ht="31.75">
      <c r="A46" s="349" t="s">
        <v>92</v>
      </c>
      <c r="B46" s="349" t="s">
        <v>102</v>
      </c>
      <c r="C46" s="967">
        <v>115.187</v>
      </c>
      <c r="D46" s="727">
        <f t="shared" si="13"/>
        <v>120</v>
      </c>
      <c r="E46" s="967">
        <v>6.2590000000000003</v>
      </c>
      <c r="F46" s="727">
        <f t="shared" si="14"/>
        <v>5</v>
      </c>
      <c r="G46" s="967">
        <v>1.724</v>
      </c>
      <c r="H46" s="727">
        <f t="shared" si="15"/>
        <v>1.5</v>
      </c>
      <c r="I46" s="967">
        <v>1.5069999999999999</v>
      </c>
      <c r="J46" s="727">
        <f t="shared" si="16"/>
        <v>1.5</v>
      </c>
      <c r="K46" s="967">
        <v>0</v>
      </c>
      <c r="L46" s="799">
        <f t="shared" si="24"/>
        <v>0</v>
      </c>
      <c r="M46" s="967">
        <v>0</v>
      </c>
      <c r="N46" s="799">
        <f t="shared" si="17"/>
        <v>0</v>
      </c>
      <c r="O46" s="967">
        <v>25.446000000000002</v>
      </c>
      <c r="P46" s="799">
        <f t="shared" si="18"/>
        <v>25</v>
      </c>
      <c r="Q46" s="967">
        <v>25.024000000000001</v>
      </c>
      <c r="R46" s="799">
        <f t="shared" si="19"/>
        <v>25</v>
      </c>
      <c r="S46" s="967">
        <v>0.16800000000000001</v>
      </c>
      <c r="T46" s="799">
        <f t="shared" si="20"/>
        <v>0</v>
      </c>
      <c r="U46" s="967">
        <v>23.417000000000002</v>
      </c>
      <c r="V46" s="799">
        <f t="shared" si="21"/>
        <v>23</v>
      </c>
      <c r="W46" s="967">
        <v>21.003</v>
      </c>
      <c r="X46" s="799">
        <f t="shared" si="22"/>
        <v>21</v>
      </c>
      <c r="Y46" s="967">
        <v>9.4E-2</v>
      </c>
      <c r="Z46" s="799">
        <f t="shared" si="23"/>
        <v>0</v>
      </c>
      <c r="AA46" s="761">
        <v>0</v>
      </c>
      <c r="AB46" s="761">
        <v>0</v>
      </c>
      <c r="AC46" s="761">
        <v>3.47</v>
      </c>
      <c r="AD46" s="761">
        <v>0.26700000000000002</v>
      </c>
      <c r="AE46" s="761">
        <v>4.9000000000000002E-2</v>
      </c>
      <c r="AF46" s="761">
        <v>0.27100000000000002</v>
      </c>
      <c r="AG46" s="761">
        <v>3.4590000000000001</v>
      </c>
      <c r="AH46" s="761">
        <v>7.3999999999999996E-2</v>
      </c>
    </row>
    <row r="47" spans="1:34" s="342" customFormat="1" ht="31.75">
      <c r="A47" s="349" t="s">
        <v>92</v>
      </c>
      <c r="B47" s="349" t="s">
        <v>104</v>
      </c>
      <c r="C47" s="965">
        <v>123.949</v>
      </c>
      <c r="D47" s="727">
        <f t="shared" si="13"/>
        <v>120</v>
      </c>
      <c r="E47" s="965">
        <v>7.78</v>
      </c>
      <c r="F47" s="727">
        <f t="shared" si="14"/>
        <v>10</v>
      </c>
      <c r="G47" s="965">
        <v>1.891</v>
      </c>
      <c r="H47" s="727">
        <f t="shared" si="15"/>
        <v>2</v>
      </c>
      <c r="I47" s="965">
        <v>1.345</v>
      </c>
      <c r="J47" s="727">
        <f t="shared" si="16"/>
        <v>1.5</v>
      </c>
      <c r="K47" s="965">
        <v>1.4E-2</v>
      </c>
      <c r="L47" s="799">
        <f t="shared" si="24"/>
        <v>0</v>
      </c>
      <c r="M47" s="965">
        <v>0.80300000000000005</v>
      </c>
      <c r="N47" s="799">
        <f t="shared" si="17"/>
        <v>0</v>
      </c>
      <c r="O47" s="965">
        <v>36.216000000000001</v>
      </c>
      <c r="P47" s="799">
        <f t="shared" si="18"/>
        <v>35</v>
      </c>
      <c r="Q47" s="965">
        <v>26.707000000000001</v>
      </c>
      <c r="R47" s="799">
        <f t="shared" si="19"/>
        <v>27</v>
      </c>
      <c r="S47" s="965">
        <v>0.13200000000000001</v>
      </c>
      <c r="T47" s="799">
        <f t="shared" si="20"/>
        <v>0</v>
      </c>
      <c r="U47" s="965">
        <v>23.937999999999999</v>
      </c>
      <c r="V47" s="799">
        <f t="shared" si="21"/>
        <v>24</v>
      </c>
      <c r="W47" s="965">
        <v>23.4</v>
      </c>
      <c r="X47" s="799">
        <f t="shared" si="22"/>
        <v>23</v>
      </c>
      <c r="Y47" s="965">
        <v>0.27900000000000003</v>
      </c>
      <c r="Z47" s="799">
        <f t="shared" si="23"/>
        <v>0</v>
      </c>
      <c r="AA47" s="669">
        <v>9.1999999999999998E-2</v>
      </c>
      <c r="AB47" s="669">
        <v>2E-3</v>
      </c>
      <c r="AC47" s="669">
        <v>3.851</v>
      </c>
      <c r="AD47" s="669">
        <v>0.29599999999999999</v>
      </c>
      <c r="AE47" s="669">
        <v>0.14499999999999999</v>
      </c>
      <c r="AF47" s="669">
        <v>0.80800000000000005</v>
      </c>
      <c r="AG47" s="669">
        <v>16.937999999999999</v>
      </c>
      <c r="AH47" s="669">
        <v>0.36</v>
      </c>
    </row>
    <row r="48" spans="1:34" s="342" customFormat="1" ht="31.75">
      <c r="A48" s="349" t="s">
        <v>143</v>
      </c>
      <c r="B48" s="186" t="s">
        <v>146</v>
      </c>
      <c r="C48" s="555">
        <v>73.915999999999997</v>
      </c>
      <c r="D48" s="727">
        <f t="shared" si="13"/>
        <v>70</v>
      </c>
      <c r="E48" s="555">
        <v>22.012</v>
      </c>
      <c r="F48" s="727">
        <f t="shared" si="14"/>
        <v>20</v>
      </c>
      <c r="G48" s="555">
        <v>2.4460000000000002</v>
      </c>
      <c r="H48" s="727">
        <f t="shared" si="15"/>
        <v>2.5</v>
      </c>
      <c r="I48" s="555">
        <v>1.002</v>
      </c>
      <c r="J48" s="727">
        <f t="shared" si="16"/>
        <v>1</v>
      </c>
      <c r="K48" s="555">
        <v>5.0999999999999997E-2</v>
      </c>
      <c r="L48" s="799">
        <f t="shared" si="24"/>
        <v>0</v>
      </c>
      <c r="M48" s="555">
        <v>2.9769999999999999</v>
      </c>
      <c r="N48" s="799" t="str">
        <f t="shared" si="17"/>
        <v>less than 5 mg</v>
      </c>
      <c r="O48" s="555">
        <v>45.311</v>
      </c>
      <c r="P48" s="799">
        <f t="shared" si="18"/>
        <v>45</v>
      </c>
      <c r="Q48" s="555">
        <v>12.352</v>
      </c>
      <c r="R48" s="799">
        <f t="shared" si="19"/>
        <v>12</v>
      </c>
      <c r="S48" s="555">
        <v>0.223</v>
      </c>
      <c r="T48" s="799">
        <f t="shared" si="20"/>
        <v>0</v>
      </c>
      <c r="U48" s="555">
        <v>6.9580000000000002</v>
      </c>
      <c r="V48" s="799">
        <f t="shared" si="21"/>
        <v>7</v>
      </c>
      <c r="W48" s="555">
        <v>6.9420000000000002</v>
      </c>
      <c r="X48" s="799">
        <f t="shared" si="22"/>
        <v>7</v>
      </c>
      <c r="Y48" s="555">
        <v>0.55200000000000005</v>
      </c>
      <c r="Z48" s="799" t="str">
        <f t="shared" si="23"/>
        <v>less than 1 g</v>
      </c>
      <c r="AA48" s="773">
        <v>2E-3</v>
      </c>
      <c r="AB48" s="773">
        <v>8.9999999999999993E-3</v>
      </c>
      <c r="AC48" s="773">
        <v>3.0369999999999999</v>
      </c>
      <c r="AD48" s="773">
        <v>0.23400000000000001</v>
      </c>
      <c r="AE48" s="773">
        <v>0.161</v>
      </c>
      <c r="AF48" s="773">
        <v>0.89700000000000002</v>
      </c>
      <c r="AG48" s="773">
        <v>17.439</v>
      </c>
      <c r="AH48" s="773">
        <v>0.371</v>
      </c>
    </row>
    <row r="49" spans="1:35" s="342" customFormat="1" ht="31.75">
      <c r="A49" s="349" t="s">
        <v>92</v>
      </c>
      <c r="B49" s="349" t="s">
        <v>103</v>
      </c>
      <c r="C49" s="967">
        <v>129.25399999999999</v>
      </c>
      <c r="D49" s="727">
        <f t="shared" si="13"/>
        <v>130</v>
      </c>
      <c r="E49" s="967">
        <v>2.718</v>
      </c>
      <c r="F49" s="727">
        <f t="shared" si="14"/>
        <v>0</v>
      </c>
      <c r="G49" s="967">
        <v>1.3049999999999999</v>
      </c>
      <c r="H49" s="727">
        <f t="shared" si="15"/>
        <v>1.5</v>
      </c>
      <c r="I49" s="967">
        <v>1.024</v>
      </c>
      <c r="J49" s="727">
        <f t="shared" si="16"/>
        <v>1</v>
      </c>
      <c r="K49" s="967">
        <v>0</v>
      </c>
      <c r="L49" s="799">
        <f t="shared" si="24"/>
        <v>0</v>
      </c>
      <c r="M49" s="967">
        <v>0.01</v>
      </c>
      <c r="N49" s="799">
        <f t="shared" si="17"/>
        <v>0</v>
      </c>
      <c r="O49" s="967">
        <v>24.821000000000002</v>
      </c>
      <c r="P49" s="799">
        <f t="shared" si="18"/>
        <v>25</v>
      </c>
      <c r="Q49" s="967">
        <v>29.58</v>
      </c>
      <c r="R49" s="799">
        <f t="shared" si="19"/>
        <v>30</v>
      </c>
      <c r="S49" s="967">
        <v>3.5000000000000003E-2</v>
      </c>
      <c r="T49" s="799">
        <f t="shared" si="20"/>
        <v>0</v>
      </c>
      <c r="U49" s="967">
        <v>27.902000000000001</v>
      </c>
      <c r="V49" s="799">
        <f t="shared" si="21"/>
        <v>28</v>
      </c>
      <c r="W49" s="967">
        <v>27.832999999999998</v>
      </c>
      <c r="X49" s="799">
        <f t="shared" si="22"/>
        <v>28</v>
      </c>
      <c r="Y49" s="967">
        <v>0.157</v>
      </c>
      <c r="Z49" s="799">
        <f t="shared" si="23"/>
        <v>0</v>
      </c>
      <c r="AA49" s="761">
        <v>0</v>
      </c>
      <c r="AB49" s="761">
        <v>0</v>
      </c>
      <c r="AC49" s="761">
        <v>3.1219999999999999</v>
      </c>
      <c r="AD49" s="761">
        <v>0.24</v>
      </c>
      <c r="AE49" s="761">
        <v>0.09</v>
      </c>
      <c r="AF49" s="761">
        <v>0.503</v>
      </c>
      <c r="AG49" s="761">
        <v>4.8410000000000002</v>
      </c>
      <c r="AH49" s="761">
        <v>0.10299999999999999</v>
      </c>
    </row>
    <row r="50" spans="1:35" s="342" customFormat="1" ht="31.75">
      <c r="A50" s="349" t="s">
        <v>396</v>
      </c>
      <c r="B50" s="530" t="s">
        <v>36</v>
      </c>
      <c r="C50" s="747">
        <v>326.589</v>
      </c>
      <c r="D50" s="727">
        <f t="shared" si="13"/>
        <v>330</v>
      </c>
      <c r="E50" s="747">
        <v>153.22</v>
      </c>
      <c r="F50" s="727">
        <f t="shared" si="14"/>
        <v>150</v>
      </c>
      <c r="G50" s="747">
        <v>17.024000000000001</v>
      </c>
      <c r="H50" s="727">
        <f t="shared" si="15"/>
        <v>17</v>
      </c>
      <c r="I50" s="747">
        <v>10.834</v>
      </c>
      <c r="J50" s="727">
        <f t="shared" si="16"/>
        <v>11</v>
      </c>
      <c r="K50" s="747">
        <v>0</v>
      </c>
      <c r="L50" s="799">
        <f t="shared" si="24"/>
        <v>0</v>
      </c>
      <c r="M50" s="747">
        <v>100.599</v>
      </c>
      <c r="N50" s="799">
        <f t="shared" si="17"/>
        <v>100</v>
      </c>
      <c r="O50" s="747">
        <v>216.67500000000001</v>
      </c>
      <c r="P50" s="799">
        <f t="shared" si="18"/>
        <v>220</v>
      </c>
      <c r="Q50" s="747">
        <v>39.69</v>
      </c>
      <c r="R50" s="799">
        <f t="shared" si="19"/>
        <v>40</v>
      </c>
      <c r="S50" s="747">
        <v>0</v>
      </c>
      <c r="T50" s="799">
        <f t="shared" si="20"/>
        <v>0</v>
      </c>
      <c r="U50" s="747">
        <v>31.542000000000002</v>
      </c>
      <c r="V50" s="799">
        <f t="shared" si="21"/>
        <v>32</v>
      </c>
      <c r="W50" s="747">
        <v>3.6840000000000002</v>
      </c>
      <c r="X50" s="799">
        <f t="shared" si="22"/>
        <v>4</v>
      </c>
      <c r="Y50" s="747">
        <v>6.1909999999999998</v>
      </c>
      <c r="Z50" s="799">
        <f t="shared" si="23"/>
        <v>6</v>
      </c>
      <c r="AA50" s="1131">
        <v>0</v>
      </c>
      <c r="AB50" s="1131">
        <v>0</v>
      </c>
      <c r="AC50" s="1131">
        <v>302.13799999999998</v>
      </c>
      <c r="AD50" s="1131">
        <v>23.241</v>
      </c>
      <c r="AE50" s="1131">
        <v>0</v>
      </c>
      <c r="AF50" s="1131">
        <v>0</v>
      </c>
      <c r="AG50" s="1131">
        <v>2.8650000000000002</v>
      </c>
      <c r="AH50" s="1131">
        <v>6.0999999999999999E-2</v>
      </c>
    </row>
    <row r="51" spans="1:35" s="350" customFormat="1" ht="31.75">
      <c r="A51" s="349" t="s">
        <v>296</v>
      </c>
      <c r="B51" s="349" t="s">
        <v>36</v>
      </c>
      <c r="C51" s="669">
        <v>93.061999999999998</v>
      </c>
      <c r="D51" s="727">
        <f t="shared" si="13"/>
        <v>90</v>
      </c>
      <c r="E51" s="669">
        <v>0</v>
      </c>
      <c r="F51" s="727">
        <f t="shared" si="14"/>
        <v>0</v>
      </c>
      <c r="G51" s="669">
        <v>0</v>
      </c>
      <c r="H51" s="727">
        <f t="shared" si="15"/>
        <v>0</v>
      </c>
      <c r="I51" s="669">
        <v>0</v>
      </c>
      <c r="J51" s="727">
        <f t="shared" si="16"/>
        <v>0</v>
      </c>
      <c r="K51" s="669">
        <v>0</v>
      </c>
      <c r="L51" s="799">
        <f t="shared" si="24"/>
        <v>0</v>
      </c>
      <c r="M51" s="669">
        <v>0</v>
      </c>
      <c r="N51" s="799">
        <f t="shared" si="17"/>
        <v>0</v>
      </c>
      <c r="O51" s="669">
        <v>10.08</v>
      </c>
      <c r="P51" s="799">
        <f t="shared" si="18"/>
        <v>10</v>
      </c>
      <c r="Q51" s="669">
        <v>23.516999999999999</v>
      </c>
      <c r="R51" s="799">
        <f t="shared" si="19"/>
        <v>24</v>
      </c>
      <c r="S51" s="669">
        <v>0</v>
      </c>
      <c r="T51" s="799">
        <f t="shared" si="20"/>
        <v>0</v>
      </c>
      <c r="U51" s="669">
        <v>22.780999999999999</v>
      </c>
      <c r="V51" s="799">
        <f t="shared" si="21"/>
        <v>23</v>
      </c>
      <c r="W51" s="669">
        <v>22.780999999999999</v>
      </c>
      <c r="X51" s="799">
        <f t="shared" si="22"/>
        <v>23</v>
      </c>
      <c r="Y51" s="669">
        <v>0</v>
      </c>
      <c r="Z51" s="799">
        <f t="shared" si="23"/>
        <v>0</v>
      </c>
      <c r="AA51" s="669">
        <v>0</v>
      </c>
      <c r="AB51" s="669">
        <v>0</v>
      </c>
      <c r="AC51" s="669">
        <v>2.5760000000000001</v>
      </c>
      <c r="AD51" s="669">
        <v>0.19800000000000001</v>
      </c>
      <c r="AE51" s="669">
        <v>4.0000000000000001E-3</v>
      </c>
      <c r="AF51" s="669">
        <v>2.4E-2</v>
      </c>
      <c r="AG51" s="669">
        <v>0.499</v>
      </c>
      <c r="AH51" s="669">
        <v>1.0999999999999999E-2</v>
      </c>
      <c r="AI51" s="342"/>
    </row>
    <row r="52" spans="1:35" s="344" customFormat="1" ht="31.75">
      <c r="A52" s="349" t="s">
        <v>296</v>
      </c>
      <c r="B52" s="349" t="s">
        <v>37</v>
      </c>
      <c r="C52" s="669">
        <v>46.74</v>
      </c>
      <c r="D52" s="727">
        <f t="shared" si="13"/>
        <v>50</v>
      </c>
      <c r="E52" s="669">
        <v>0</v>
      </c>
      <c r="F52" s="727">
        <f t="shared" si="14"/>
        <v>0</v>
      </c>
      <c r="G52" s="669">
        <v>0</v>
      </c>
      <c r="H52" s="727">
        <f t="shared" si="15"/>
        <v>0</v>
      </c>
      <c r="I52" s="669">
        <v>0</v>
      </c>
      <c r="J52" s="727">
        <f t="shared" si="16"/>
        <v>0</v>
      </c>
      <c r="K52" s="669">
        <v>0</v>
      </c>
      <c r="L52" s="799">
        <f>IF(K52&lt;0.5,0,IF(K52&gt;5,MROUND(K52,1),MROUND(#REF!,0.5)))</f>
        <v>0</v>
      </c>
      <c r="M52" s="669">
        <v>0</v>
      </c>
      <c r="N52" s="799">
        <f t="shared" si="17"/>
        <v>0</v>
      </c>
      <c r="O52" s="669">
        <v>12.305999999999999</v>
      </c>
      <c r="P52" s="799">
        <f t="shared" si="18"/>
        <v>10</v>
      </c>
      <c r="Q52" s="669">
        <v>12.196999999999999</v>
      </c>
      <c r="R52" s="799">
        <f t="shared" si="19"/>
        <v>12</v>
      </c>
      <c r="S52" s="669">
        <v>0</v>
      </c>
      <c r="T52" s="799">
        <f t="shared" si="20"/>
        <v>0</v>
      </c>
      <c r="U52" s="669">
        <v>11.835000000000001</v>
      </c>
      <c r="V52" s="799">
        <f t="shared" si="21"/>
        <v>12</v>
      </c>
      <c r="W52" s="669">
        <v>8.9580000000000002</v>
      </c>
      <c r="X52" s="799">
        <f t="shared" si="22"/>
        <v>9</v>
      </c>
      <c r="Y52" s="669">
        <v>0</v>
      </c>
      <c r="Z52" s="799">
        <f t="shared" si="23"/>
        <v>0</v>
      </c>
      <c r="AA52" s="669">
        <v>0</v>
      </c>
      <c r="AB52" s="669">
        <v>0</v>
      </c>
      <c r="AC52" s="669">
        <v>2.34</v>
      </c>
      <c r="AD52" s="669">
        <v>0.18</v>
      </c>
      <c r="AE52" s="669">
        <v>4.0000000000000001E-3</v>
      </c>
      <c r="AF52" s="669">
        <v>2.4E-2</v>
      </c>
      <c r="AG52" s="669">
        <v>0.17899999999999999</v>
      </c>
      <c r="AH52" s="669">
        <v>4.0000000000000001E-3</v>
      </c>
      <c r="AI52" s="342"/>
    </row>
    <row r="53" spans="1:35" s="344" customFormat="1" ht="31.75">
      <c r="A53" s="349" t="s">
        <v>92</v>
      </c>
      <c r="B53" s="349" t="s">
        <v>318</v>
      </c>
      <c r="C53" s="968">
        <v>113.866</v>
      </c>
      <c r="D53" s="727">
        <f t="shared" si="13"/>
        <v>110</v>
      </c>
      <c r="E53" s="968">
        <v>0.91100000000000003</v>
      </c>
      <c r="F53" s="727">
        <f t="shared" si="14"/>
        <v>0</v>
      </c>
      <c r="G53" s="968">
        <v>1.0680000000000001</v>
      </c>
      <c r="H53" s="727">
        <f t="shared" si="15"/>
        <v>1</v>
      </c>
      <c r="I53" s="968">
        <v>0.95599999999999996</v>
      </c>
      <c r="J53" s="727">
        <f t="shared" si="16"/>
        <v>1</v>
      </c>
      <c r="K53" s="968">
        <v>3.3000000000000002E-2</v>
      </c>
      <c r="L53" s="799">
        <f>IF(K53&lt;0.5,0,IF(K53&gt;5,MROUND(K53,1),MROUND(#REF!,0.5)))</f>
        <v>0</v>
      </c>
      <c r="M53" s="968">
        <v>0</v>
      </c>
      <c r="N53" s="799">
        <f t="shared" si="17"/>
        <v>0</v>
      </c>
      <c r="O53" s="968">
        <v>27.78</v>
      </c>
      <c r="P53" s="799">
        <f t="shared" si="18"/>
        <v>30</v>
      </c>
      <c r="Q53" s="968">
        <v>26.666</v>
      </c>
      <c r="R53" s="799">
        <f t="shared" si="19"/>
        <v>27</v>
      </c>
      <c r="S53" s="968">
        <v>0.29599999999999999</v>
      </c>
      <c r="T53" s="799">
        <f t="shared" si="20"/>
        <v>0</v>
      </c>
      <c r="U53" s="968">
        <v>25.01</v>
      </c>
      <c r="V53" s="799">
        <f t="shared" si="21"/>
        <v>25</v>
      </c>
      <c r="W53" s="968">
        <v>24.876000000000001</v>
      </c>
      <c r="X53" s="799">
        <f t="shared" si="22"/>
        <v>25</v>
      </c>
      <c r="Y53" s="968">
        <v>0.26800000000000002</v>
      </c>
      <c r="Z53" s="799">
        <f t="shared" si="23"/>
        <v>0</v>
      </c>
      <c r="AA53" s="557">
        <v>1E-3</v>
      </c>
      <c r="AB53" s="557">
        <v>7.0000000000000001E-3</v>
      </c>
      <c r="AC53" s="557">
        <v>4.5289999999999999</v>
      </c>
      <c r="AD53" s="557">
        <v>0.34799999999999998</v>
      </c>
      <c r="AE53" s="557">
        <v>0.19800000000000001</v>
      </c>
      <c r="AF53" s="557">
        <v>1.1000000000000001</v>
      </c>
      <c r="AG53" s="557">
        <v>24.117999999999999</v>
      </c>
      <c r="AH53" s="557">
        <v>0.51300000000000001</v>
      </c>
      <c r="AI53" s="342"/>
    </row>
    <row r="54" spans="1:35" s="350" customFormat="1" ht="15" customHeight="1">
      <c r="A54" s="349" t="s">
        <v>92</v>
      </c>
      <c r="B54" s="349" t="s">
        <v>105</v>
      </c>
      <c r="C54" s="965">
        <v>140.76400000000001</v>
      </c>
      <c r="D54" s="727">
        <f t="shared" si="13"/>
        <v>140</v>
      </c>
      <c r="E54" s="965">
        <v>0</v>
      </c>
      <c r="F54" s="727">
        <f t="shared" si="14"/>
        <v>0</v>
      </c>
      <c r="G54" s="965">
        <v>1.9610000000000001</v>
      </c>
      <c r="H54" s="727">
        <f t="shared" si="15"/>
        <v>2</v>
      </c>
      <c r="I54" s="965">
        <v>1.373</v>
      </c>
      <c r="J54" s="727">
        <f t="shared" si="16"/>
        <v>1.5</v>
      </c>
      <c r="K54" s="965">
        <v>0.20100000000000001</v>
      </c>
      <c r="L54" s="799">
        <f t="shared" ref="L54:L65" si="25">IF(K54&lt;0.5,0,IF(K54&gt;5,MROUND(K54,1),MROUND(K53,0.5)))</f>
        <v>0</v>
      </c>
      <c r="M54" s="965">
        <v>0.77300000000000002</v>
      </c>
      <c r="N54" s="799">
        <f t="shared" si="17"/>
        <v>0</v>
      </c>
      <c r="O54" s="965">
        <v>37.984999999999999</v>
      </c>
      <c r="P54" s="799">
        <f t="shared" si="18"/>
        <v>40</v>
      </c>
      <c r="Q54" s="965">
        <v>31.577000000000002</v>
      </c>
      <c r="R54" s="799">
        <f t="shared" si="19"/>
        <v>32</v>
      </c>
      <c r="S54" s="965">
        <v>0.55600000000000005</v>
      </c>
      <c r="T54" s="799" t="str">
        <f t="shared" si="20"/>
        <v>less than 1 g</v>
      </c>
      <c r="U54" s="965">
        <v>28.071000000000002</v>
      </c>
      <c r="V54" s="799">
        <f t="shared" si="21"/>
        <v>28</v>
      </c>
      <c r="W54" s="965">
        <v>27.905000000000001</v>
      </c>
      <c r="X54" s="799">
        <f t="shared" si="22"/>
        <v>28</v>
      </c>
      <c r="Y54" s="965">
        <v>0.57099999999999995</v>
      </c>
      <c r="Z54" s="799" t="str">
        <f t="shared" si="23"/>
        <v>less than 1 g</v>
      </c>
      <c r="AA54" s="669">
        <v>1E-3</v>
      </c>
      <c r="AB54" s="669">
        <v>5.0000000000000001E-3</v>
      </c>
      <c r="AC54" s="669">
        <v>5.9790000000000001</v>
      </c>
      <c r="AD54" s="669">
        <v>0.46</v>
      </c>
      <c r="AE54" s="669">
        <v>0.40100000000000002</v>
      </c>
      <c r="AF54" s="669">
        <v>2.226</v>
      </c>
      <c r="AG54" s="669">
        <v>46.371000000000002</v>
      </c>
      <c r="AH54" s="669">
        <v>0.98699999999999999</v>
      </c>
      <c r="AI54" s="342"/>
    </row>
    <row r="55" spans="1:35" s="350" customFormat="1" ht="31.75">
      <c r="A55" s="349" t="s">
        <v>296</v>
      </c>
      <c r="B55" s="349" t="s">
        <v>39</v>
      </c>
      <c r="C55" s="669">
        <v>86.748000000000005</v>
      </c>
      <c r="D55" s="727">
        <f t="shared" si="13"/>
        <v>90</v>
      </c>
      <c r="E55" s="669">
        <v>0</v>
      </c>
      <c r="F55" s="727">
        <f t="shared" si="14"/>
        <v>0</v>
      </c>
      <c r="G55" s="669">
        <v>0</v>
      </c>
      <c r="H55" s="727">
        <f t="shared" si="15"/>
        <v>0</v>
      </c>
      <c r="I55" s="669">
        <v>0</v>
      </c>
      <c r="J55" s="727">
        <f t="shared" si="16"/>
        <v>0</v>
      </c>
      <c r="K55" s="669">
        <v>0</v>
      </c>
      <c r="L55" s="799">
        <f t="shared" si="25"/>
        <v>0</v>
      </c>
      <c r="M55" s="669">
        <v>0</v>
      </c>
      <c r="N55" s="799">
        <f t="shared" si="17"/>
        <v>0</v>
      </c>
      <c r="O55" s="669">
        <v>10.183999999999999</v>
      </c>
      <c r="P55" s="799">
        <f t="shared" si="18"/>
        <v>10</v>
      </c>
      <c r="Q55" s="669">
        <v>21.850999999999999</v>
      </c>
      <c r="R55" s="799">
        <f t="shared" si="19"/>
        <v>22</v>
      </c>
      <c r="S55" s="669">
        <v>8.5000000000000006E-2</v>
      </c>
      <c r="T55" s="799">
        <f t="shared" si="20"/>
        <v>0</v>
      </c>
      <c r="U55" s="669">
        <v>21.172999999999998</v>
      </c>
      <c r="V55" s="799">
        <f t="shared" si="21"/>
        <v>21</v>
      </c>
      <c r="W55" s="669">
        <v>20.696999999999999</v>
      </c>
      <c r="X55" s="799">
        <f t="shared" si="22"/>
        <v>21</v>
      </c>
      <c r="Y55" s="669">
        <v>5.2999999999999999E-2</v>
      </c>
      <c r="Z55" s="799">
        <f t="shared" si="23"/>
        <v>0</v>
      </c>
      <c r="AA55" s="669">
        <v>0</v>
      </c>
      <c r="AB55" s="669">
        <v>0</v>
      </c>
      <c r="AC55" s="669">
        <v>2.95</v>
      </c>
      <c r="AD55" s="669">
        <v>0.22700000000000001</v>
      </c>
      <c r="AE55" s="669">
        <v>1.9E-2</v>
      </c>
      <c r="AF55" s="669">
        <v>0.10299999999999999</v>
      </c>
      <c r="AG55" s="669">
        <v>0.35599999999999998</v>
      </c>
      <c r="AH55" s="669">
        <v>8.0000000000000002E-3</v>
      </c>
      <c r="AI55" s="347"/>
    </row>
    <row r="56" spans="1:35" s="350" customFormat="1" ht="31.75">
      <c r="A56" s="349" t="s">
        <v>296</v>
      </c>
      <c r="B56" s="349" t="s">
        <v>40</v>
      </c>
      <c r="C56" s="536">
        <v>91.522999999999996</v>
      </c>
      <c r="D56" s="727">
        <f t="shared" si="13"/>
        <v>90</v>
      </c>
      <c r="E56" s="536">
        <v>0</v>
      </c>
      <c r="F56" s="727">
        <f t="shared" si="14"/>
        <v>0</v>
      </c>
      <c r="G56" s="536">
        <v>0</v>
      </c>
      <c r="H56" s="727">
        <f t="shared" si="15"/>
        <v>0</v>
      </c>
      <c r="I56" s="536">
        <v>0</v>
      </c>
      <c r="J56" s="727">
        <f t="shared" si="16"/>
        <v>0</v>
      </c>
      <c r="K56" s="536">
        <v>0</v>
      </c>
      <c r="L56" s="799">
        <f t="shared" si="25"/>
        <v>0</v>
      </c>
      <c r="M56" s="536">
        <v>0</v>
      </c>
      <c r="N56" s="799">
        <f t="shared" si="17"/>
        <v>0</v>
      </c>
      <c r="O56" s="536">
        <v>14.85</v>
      </c>
      <c r="P56" s="799">
        <f t="shared" si="18"/>
        <v>15</v>
      </c>
      <c r="Q56" s="536">
        <v>23.375</v>
      </c>
      <c r="R56" s="799">
        <f t="shared" si="19"/>
        <v>23</v>
      </c>
      <c r="S56" s="536">
        <v>0</v>
      </c>
      <c r="T56" s="799">
        <f t="shared" si="20"/>
        <v>0</v>
      </c>
      <c r="U56" s="536">
        <v>22.277999999999999</v>
      </c>
      <c r="V56" s="799">
        <f t="shared" si="21"/>
        <v>22</v>
      </c>
      <c r="W56" s="536">
        <v>20.96</v>
      </c>
      <c r="X56" s="799">
        <f t="shared" si="22"/>
        <v>21</v>
      </c>
      <c r="Y56" s="536">
        <v>1.0999999999999999E-2</v>
      </c>
      <c r="Z56" s="799">
        <f t="shared" si="23"/>
        <v>0</v>
      </c>
      <c r="AA56" s="536">
        <v>0.42</v>
      </c>
      <c r="AB56" s="536">
        <v>2.101</v>
      </c>
      <c r="AC56" s="536">
        <v>3.0680000000000001</v>
      </c>
      <c r="AD56" s="536">
        <v>0.23599999999999999</v>
      </c>
      <c r="AE56" s="536">
        <v>3.6999999999999998E-2</v>
      </c>
      <c r="AF56" s="536">
        <v>0.20599999999999999</v>
      </c>
      <c r="AG56" s="536">
        <v>14.458</v>
      </c>
      <c r="AH56" s="536">
        <v>0.308</v>
      </c>
      <c r="AI56" s="342"/>
    </row>
    <row r="57" spans="1:35" s="350" customFormat="1" ht="31.75">
      <c r="A57" s="349" t="s">
        <v>296</v>
      </c>
      <c r="B57" s="349" t="s">
        <v>306</v>
      </c>
      <c r="C57" s="669">
        <v>111.622</v>
      </c>
      <c r="D57" s="727">
        <f t="shared" si="13"/>
        <v>110</v>
      </c>
      <c r="E57" s="669">
        <v>0.22500000000000001</v>
      </c>
      <c r="F57" s="727">
        <f t="shared" si="14"/>
        <v>0</v>
      </c>
      <c r="G57" s="669">
        <v>2.5000000000000001E-2</v>
      </c>
      <c r="H57" s="727">
        <f t="shared" si="15"/>
        <v>0</v>
      </c>
      <c r="I57" s="669">
        <v>0</v>
      </c>
      <c r="J57" s="727">
        <f t="shared" si="16"/>
        <v>0</v>
      </c>
      <c r="K57" s="669">
        <v>0</v>
      </c>
      <c r="L57" s="799">
        <f t="shared" si="25"/>
        <v>0</v>
      </c>
      <c r="M57" s="669">
        <v>0</v>
      </c>
      <c r="N57" s="799">
        <f t="shared" si="17"/>
        <v>0</v>
      </c>
      <c r="O57" s="669">
        <v>11.391</v>
      </c>
      <c r="P57" s="799">
        <f t="shared" si="18"/>
        <v>10</v>
      </c>
      <c r="Q57" s="669">
        <v>27.882999999999999</v>
      </c>
      <c r="R57" s="799">
        <f t="shared" si="19"/>
        <v>28</v>
      </c>
      <c r="S57" s="669">
        <v>0</v>
      </c>
      <c r="T57" s="799">
        <f t="shared" si="20"/>
        <v>0</v>
      </c>
      <c r="U57" s="669">
        <v>25.675999999999998</v>
      </c>
      <c r="V57" s="799">
        <f t="shared" si="21"/>
        <v>26</v>
      </c>
      <c r="W57" s="669">
        <v>25.675999999999998</v>
      </c>
      <c r="X57" s="799">
        <f t="shared" si="22"/>
        <v>26</v>
      </c>
      <c r="Y57" s="669">
        <v>0.2</v>
      </c>
      <c r="Z57" s="799">
        <f t="shared" si="23"/>
        <v>0</v>
      </c>
      <c r="AA57" s="669">
        <v>0</v>
      </c>
      <c r="AB57" s="669">
        <v>0</v>
      </c>
      <c r="AC57" s="669">
        <v>2.415</v>
      </c>
      <c r="AD57" s="669">
        <v>0.186</v>
      </c>
      <c r="AE57" s="669">
        <v>5.0000000000000001E-3</v>
      </c>
      <c r="AF57" s="669">
        <v>2.8000000000000001E-2</v>
      </c>
      <c r="AG57" s="669">
        <v>0.44700000000000001</v>
      </c>
      <c r="AH57" s="669">
        <v>0.01</v>
      </c>
      <c r="AI57" s="342"/>
    </row>
    <row r="58" spans="1:35" s="350" customFormat="1" ht="31.75">
      <c r="A58" s="349" t="s">
        <v>143</v>
      </c>
      <c r="B58" s="246" t="s">
        <v>150</v>
      </c>
      <c r="C58" s="536">
        <v>127.224</v>
      </c>
      <c r="D58" s="727">
        <f t="shared" si="13"/>
        <v>130</v>
      </c>
      <c r="E58" s="536">
        <v>17.951000000000001</v>
      </c>
      <c r="F58" s="727">
        <f t="shared" si="14"/>
        <v>20</v>
      </c>
      <c r="G58" s="536">
        <v>1.9950000000000001</v>
      </c>
      <c r="H58" s="727">
        <f t="shared" si="15"/>
        <v>2</v>
      </c>
      <c r="I58" s="536">
        <v>1.228</v>
      </c>
      <c r="J58" s="727">
        <f t="shared" si="16"/>
        <v>1</v>
      </c>
      <c r="K58" s="536">
        <v>0</v>
      </c>
      <c r="L58" s="799">
        <f t="shared" si="25"/>
        <v>0</v>
      </c>
      <c r="M58" s="536">
        <v>5.2210000000000001</v>
      </c>
      <c r="N58" s="799">
        <f t="shared" si="17"/>
        <v>5</v>
      </c>
      <c r="O58" s="536">
        <v>102.91200000000001</v>
      </c>
      <c r="P58" s="799">
        <f t="shared" si="18"/>
        <v>105</v>
      </c>
      <c r="Q58" s="536">
        <v>26.513000000000002</v>
      </c>
      <c r="R58" s="799">
        <f t="shared" si="19"/>
        <v>27</v>
      </c>
      <c r="S58" s="536">
        <v>2.8000000000000001E-2</v>
      </c>
      <c r="T58" s="799">
        <f t="shared" si="20"/>
        <v>0</v>
      </c>
      <c r="U58" s="536">
        <v>20.395</v>
      </c>
      <c r="V58" s="799">
        <f t="shared" si="21"/>
        <v>20</v>
      </c>
      <c r="W58" s="536">
        <v>20.390999999999998</v>
      </c>
      <c r="X58" s="799">
        <f t="shared" si="22"/>
        <v>20</v>
      </c>
      <c r="Y58" s="536">
        <v>1.0009999999999999</v>
      </c>
      <c r="Z58" s="799">
        <f t="shared" si="23"/>
        <v>1</v>
      </c>
      <c r="AA58" s="536">
        <v>1.6E-2</v>
      </c>
      <c r="AB58" s="536">
        <v>8.1000000000000003E-2</v>
      </c>
      <c r="AC58" s="536">
        <v>29.184000000000001</v>
      </c>
      <c r="AD58" s="536">
        <v>2.2450000000000001</v>
      </c>
      <c r="AE58" s="536">
        <v>2.4E-2</v>
      </c>
      <c r="AF58" s="536">
        <v>0.13500000000000001</v>
      </c>
      <c r="AG58" s="536">
        <v>41.162999999999997</v>
      </c>
      <c r="AH58" s="611">
        <v>0.876</v>
      </c>
      <c r="AI58" s="342"/>
    </row>
    <row r="59" spans="1:35" s="350" customFormat="1" ht="15.9">
      <c r="A59" s="349" t="s">
        <v>470</v>
      </c>
      <c r="B59" s="246" t="s">
        <v>166</v>
      </c>
      <c r="C59" s="536">
        <v>127.224</v>
      </c>
      <c r="D59" s="727">
        <f t="shared" si="13"/>
        <v>130</v>
      </c>
      <c r="E59" s="536">
        <v>17.951000000000001</v>
      </c>
      <c r="F59" s="727">
        <f t="shared" si="14"/>
        <v>20</v>
      </c>
      <c r="G59" s="536">
        <v>1.9950000000000001</v>
      </c>
      <c r="H59" s="727">
        <f t="shared" si="15"/>
        <v>2</v>
      </c>
      <c r="I59" s="536">
        <v>1.228</v>
      </c>
      <c r="J59" s="727">
        <f t="shared" si="16"/>
        <v>1</v>
      </c>
      <c r="K59" s="536">
        <v>0</v>
      </c>
      <c r="L59" s="799">
        <f t="shared" si="25"/>
        <v>0</v>
      </c>
      <c r="M59" s="536">
        <v>5.2210000000000001</v>
      </c>
      <c r="N59" s="799">
        <f t="shared" si="17"/>
        <v>5</v>
      </c>
      <c r="O59" s="536">
        <v>102.91200000000001</v>
      </c>
      <c r="P59" s="799">
        <f t="shared" si="18"/>
        <v>105</v>
      </c>
      <c r="Q59" s="536">
        <v>26.513000000000002</v>
      </c>
      <c r="R59" s="799">
        <f t="shared" si="19"/>
        <v>27</v>
      </c>
      <c r="S59" s="536">
        <v>2.8000000000000001E-2</v>
      </c>
      <c r="T59" s="799">
        <f t="shared" si="20"/>
        <v>0</v>
      </c>
      <c r="U59" s="536">
        <v>20.395</v>
      </c>
      <c r="V59" s="799">
        <f t="shared" si="21"/>
        <v>20</v>
      </c>
      <c r="W59" s="536">
        <v>20.390999999999998</v>
      </c>
      <c r="X59" s="799">
        <f t="shared" si="22"/>
        <v>20</v>
      </c>
      <c r="Y59" s="536">
        <v>1.0009999999999999</v>
      </c>
      <c r="Z59" s="799">
        <f t="shared" si="23"/>
        <v>1</v>
      </c>
      <c r="AA59" s="536">
        <v>0</v>
      </c>
      <c r="AB59" s="536">
        <v>0</v>
      </c>
      <c r="AC59" s="536">
        <v>29.184000000000001</v>
      </c>
      <c r="AD59" s="536">
        <v>2.2450000000000001</v>
      </c>
      <c r="AE59" s="536">
        <v>2.4E-2</v>
      </c>
      <c r="AF59" s="536">
        <v>0.13500000000000001</v>
      </c>
      <c r="AG59" s="536">
        <v>41.162999999999997</v>
      </c>
      <c r="AH59" s="536">
        <v>0.876</v>
      </c>
      <c r="AI59" s="342"/>
    </row>
    <row r="60" spans="1:35" s="342" customFormat="1" ht="31.75">
      <c r="A60" s="349" t="s">
        <v>143</v>
      </c>
      <c r="B60" s="246" t="s">
        <v>151</v>
      </c>
      <c r="C60" s="536">
        <v>117.709</v>
      </c>
      <c r="D60" s="727">
        <f t="shared" si="13"/>
        <v>120</v>
      </c>
      <c r="E60" s="536">
        <v>36.851999999999997</v>
      </c>
      <c r="F60" s="727">
        <f t="shared" si="14"/>
        <v>35</v>
      </c>
      <c r="G60" s="536">
        <v>4.0949999999999998</v>
      </c>
      <c r="H60" s="727">
        <f t="shared" si="15"/>
        <v>4</v>
      </c>
      <c r="I60" s="536">
        <v>3.9359999999999999</v>
      </c>
      <c r="J60" s="727">
        <f t="shared" si="16"/>
        <v>4</v>
      </c>
      <c r="K60" s="536">
        <v>0</v>
      </c>
      <c r="L60" s="799">
        <f t="shared" si="25"/>
        <v>0</v>
      </c>
      <c r="M60" s="536">
        <v>4.0000000000000001E-3</v>
      </c>
      <c r="N60" s="799">
        <f t="shared" si="17"/>
        <v>0</v>
      </c>
      <c r="O60" s="536">
        <v>105.624</v>
      </c>
      <c r="P60" s="799">
        <f t="shared" si="18"/>
        <v>105</v>
      </c>
      <c r="Q60" s="536">
        <v>20.123000000000001</v>
      </c>
      <c r="R60" s="799">
        <f t="shared" si="19"/>
        <v>20</v>
      </c>
      <c r="S60" s="536">
        <v>0.71599999999999997</v>
      </c>
      <c r="T60" s="799" t="str">
        <f t="shared" si="20"/>
        <v>less than 1 g</v>
      </c>
      <c r="U60" s="536">
        <v>16.646000000000001</v>
      </c>
      <c r="V60" s="799">
        <f t="shared" si="21"/>
        <v>17</v>
      </c>
      <c r="W60" s="536">
        <v>16.547999999999998</v>
      </c>
      <c r="X60" s="799">
        <f t="shared" si="22"/>
        <v>17</v>
      </c>
      <c r="Y60" s="536">
        <v>1.1459999999999999</v>
      </c>
      <c r="Z60" s="799">
        <f t="shared" si="23"/>
        <v>1</v>
      </c>
      <c r="AA60" s="536">
        <v>0</v>
      </c>
      <c r="AB60" s="536">
        <v>0</v>
      </c>
      <c r="AC60" s="536">
        <v>24.055</v>
      </c>
      <c r="AD60" s="536">
        <v>1.85</v>
      </c>
      <c r="AE60" s="536">
        <v>0.99199999999999999</v>
      </c>
      <c r="AF60" s="536">
        <v>5.5090000000000003</v>
      </c>
      <c r="AG60" s="536">
        <v>138.608</v>
      </c>
      <c r="AH60" s="536">
        <v>2.9489999999999998</v>
      </c>
    </row>
    <row r="61" spans="1:35" s="347" customFormat="1" ht="15.9">
      <c r="A61" s="349" t="s">
        <v>470</v>
      </c>
      <c r="B61" s="246" t="s">
        <v>165</v>
      </c>
      <c r="C61" s="536">
        <v>117.709</v>
      </c>
      <c r="D61" s="727">
        <f t="shared" si="13"/>
        <v>120</v>
      </c>
      <c r="E61" s="536">
        <v>36.851999999999997</v>
      </c>
      <c r="F61" s="727">
        <f t="shared" si="14"/>
        <v>35</v>
      </c>
      <c r="G61" s="536">
        <v>4.0949999999999998</v>
      </c>
      <c r="H61" s="727">
        <f t="shared" si="15"/>
        <v>4</v>
      </c>
      <c r="I61" s="536">
        <v>3.9359999999999999</v>
      </c>
      <c r="J61" s="727">
        <f t="shared" si="16"/>
        <v>4</v>
      </c>
      <c r="K61" s="536">
        <v>0</v>
      </c>
      <c r="L61" s="799">
        <f t="shared" si="25"/>
        <v>0</v>
      </c>
      <c r="M61" s="536">
        <v>4.0000000000000001E-3</v>
      </c>
      <c r="N61" s="799">
        <f t="shared" si="17"/>
        <v>0</v>
      </c>
      <c r="O61" s="536">
        <v>105.624</v>
      </c>
      <c r="P61" s="799">
        <f t="shared" si="18"/>
        <v>105</v>
      </c>
      <c r="Q61" s="536">
        <v>20.123000000000001</v>
      </c>
      <c r="R61" s="799">
        <f t="shared" si="19"/>
        <v>20</v>
      </c>
      <c r="S61" s="536">
        <v>0.71599999999999997</v>
      </c>
      <c r="T61" s="799" t="str">
        <f t="shared" si="20"/>
        <v>less than 1 g</v>
      </c>
      <c r="U61" s="536">
        <v>16.646000000000001</v>
      </c>
      <c r="V61" s="799">
        <f t="shared" si="21"/>
        <v>17</v>
      </c>
      <c r="W61" s="536">
        <v>16.547999999999998</v>
      </c>
      <c r="X61" s="799">
        <f t="shared" si="22"/>
        <v>17</v>
      </c>
      <c r="Y61" s="536">
        <v>1.1459999999999999</v>
      </c>
      <c r="Z61" s="799">
        <f t="shared" si="23"/>
        <v>1</v>
      </c>
      <c r="AA61" s="536">
        <v>0</v>
      </c>
      <c r="AB61" s="536">
        <v>0</v>
      </c>
      <c r="AC61" s="536">
        <v>24.055</v>
      </c>
      <c r="AD61" s="536">
        <v>1.85</v>
      </c>
      <c r="AE61" s="536">
        <v>0.99199999999999999</v>
      </c>
      <c r="AF61" s="536">
        <v>5.5090000000000003</v>
      </c>
      <c r="AG61" s="536">
        <v>138.608</v>
      </c>
      <c r="AH61" s="536">
        <v>2.9489999999999998</v>
      </c>
      <c r="AI61" s="342"/>
    </row>
    <row r="62" spans="1:35" s="342" customFormat="1" ht="31.75">
      <c r="A62" s="349" t="s">
        <v>296</v>
      </c>
      <c r="B62" s="349" t="s">
        <v>42</v>
      </c>
      <c r="C62" s="669">
        <v>99.575000000000003</v>
      </c>
      <c r="D62" s="727">
        <f t="shared" si="13"/>
        <v>100</v>
      </c>
      <c r="E62" s="669">
        <v>3.9E-2</v>
      </c>
      <c r="F62" s="727">
        <f t="shared" si="14"/>
        <v>0</v>
      </c>
      <c r="G62" s="669">
        <v>4.0000000000000001E-3</v>
      </c>
      <c r="H62" s="727">
        <f t="shared" si="15"/>
        <v>0</v>
      </c>
      <c r="I62" s="669">
        <v>2E-3</v>
      </c>
      <c r="J62" s="727">
        <f t="shared" si="16"/>
        <v>0</v>
      </c>
      <c r="K62" s="669">
        <v>2E-3</v>
      </c>
      <c r="L62" s="799">
        <f t="shared" si="25"/>
        <v>0</v>
      </c>
      <c r="M62" s="669">
        <v>0</v>
      </c>
      <c r="N62" s="799">
        <f t="shared" si="17"/>
        <v>0</v>
      </c>
      <c r="O62" s="669">
        <v>10.436</v>
      </c>
      <c r="P62" s="799">
        <f t="shared" si="18"/>
        <v>10</v>
      </c>
      <c r="Q62" s="669">
        <v>25.155999999999999</v>
      </c>
      <c r="R62" s="799">
        <f t="shared" si="19"/>
        <v>25</v>
      </c>
      <c r="S62" s="669">
        <v>6.6000000000000003E-2</v>
      </c>
      <c r="T62" s="799">
        <f t="shared" si="20"/>
        <v>0</v>
      </c>
      <c r="U62" s="669">
        <v>24.111000000000001</v>
      </c>
      <c r="V62" s="799">
        <f t="shared" si="21"/>
        <v>24</v>
      </c>
      <c r="W62" s="669">
        <v>23.67</v>
      </c>
      <c r="X62" s="799">
        <f t="shared" si="22"/>
        <v>24</v>
      </c>
      <c r="Y62" s="669">
        <v>5.8000000000000003E-2</v>
      </c>
      <c r="Z62" s="799">
        <f t="shared" si="23"/>
        <v>0</v>
      </c>
      <c r="AA62" s="669">
        <v>0.26100000000000001</v>
      </c>
      <c r="AB62" s="669">
        <v>1.306</v>
      </c>
      <c r="AC62" s="669">
        <v>2.9369999999999998</v>
      </c>
      <c r="AD62" s="669">
        <v>0.22600000000000001</v>
      </c>
      <c r="AE62" s="669">
        <v>2.1000000000000001E-2</v>
      </c>
      <c r="AF62" s="669">
        <v>0.114</v>
      </c>
      <c r="AG62" s="669">
        <v>14.797000000000001</v>
      </c>
      <c r="AH62" s="669">
        <v>0.315</v>
      </c>
    </row>
    <row r="63" spans="1:35" s="342" customFormat="1" ht="31.75">
      <c r="A63" s="349" t="s">
        <v>296</v>
      </c>
      <c r="B63" s="349" t="s">
        <v>45</v>
      </c>
      <c r="C63" s="669">
        <v>85.171999999999997</v>
      </c>
      <c r="D63" s="727">
        <f t="shared" si="13"/>
        <v>90</v>
      </c>
      <c r="E63" s="669">
        <v>0</v>
      </c>
      <c r="F63" s="727">
        <f t="shared" si="14"/>
        <v>0</v>
      </c>
      <c r="G63" s="669">
        <v>0</v>
      </c>
      <c r="H63" s="727">
        <f t="shared" si="15"/>
        <v>0</v>
      </c>
      <c r="I63" s="669">
        <v>0</v>
      </c>
      <c r="J63" s="727">
        <f t="shared" si="16"/>
        <v>0</v>
      </c>
      <c r="K63" s="669">
        <v>0</v>
      </c>
      <c r="L63" s="799">
        <f t="shared" si="25"/>
        <v>0</v>
      </c>
      <c r="M63" s="669">
        <v>0</v>
      </c>
      <c r="N63" s="799">
        <f t="shared" si="17"/>
        <v>0</v>
      </c>
      <c r="O63" s="669">
        <v>10.348000000000001</v>
      </c>
      <c r="P63" s="799">
        <f t="shared" si="18"/>
        <v>10</v>
      </c>
      <c r="Q63" s="669">
        <v>21.466000000000001</v>
      </c>
      <c r="R63" s="799">
        <f t="shared" si="19"/>
        <v>21</v>
      </c>
      <c r="S63" s="669">
        <v>0</v>
      </c>
      <c r="T63" s="799">
        <f t="shared" si="20"/>
        <v>0</v>
      </c>
      <c r="U63" s="669">
        <v>20.6</v>
      </c>
      <c r="V63" s="799">
        <f t="shared" si="21"/>
        <v>21</v>
      </c>
      <c r="W63" s="669">
        <v>20.518999999999998</v>
      </c>
      <c r="X63" s="799">
        <f t="shared" si="22"/>
        <v>21</v>
      </c>
      <c r="Y63" s="669">
        <v>2E-3</v>
      </c>
      <c r="Z63" s="799">
        <f t="shared" si="23"/>
        <v>0</v>
      </c>
      <c r="AA63" s="669">
        <v>0</v>
      </c>
      <c r="AB63" s="669">
        <v>0</v>
      </c>
      <c r="AC63" s="669">
        <v>2.6349999999999998</v>
      </c>
      <c r="AD63" s="669">
        <v>0.20300000000000001</v>
      </c>
      <c r="AE63" s="669">
        <v>8.0000000000000002E-3</v>
      </c>
      <c r="AF63" s="669">
        <v>4.7E-2</v>
      </c>
      <c r="AG63" s="669">
        <v>3.052</v>
      </c>
      <c r="AH63" s="669">
        <v>6.5000000000000002E-2</v>
      </c>
    </row>
    <row r="64" spans="1:35" s="342" customFormat="1" ht="31.75">
      <c r="A64" s="349" t="s">
        <v>296</v>
      </c>
      <c r="B64" s="349" t="s">
        <v>46</v>
      </c>
      <c r="C64" s="669">
        <v>82.808000000000007</v>
      </c>
      <c r="D64" s="727">
        <f t="shared" si="13"/>
        <v>80</v>
      </c>
      <c r="E64" s="669">
        <v>0</v>
      </c>
      <c r="F64" s="727">
        <f t="shared" si="14"/>
        <v>0</v>
      </c>
      <c r="G64" s="669">
        <v>0</v>
      </c>
      <c r="H64" s="727">
        <f t="shared" si="15"/>
        <v>0</v>
      </c>
      <c r="I64" s="669">
        <v>0</v>
      </c>
      <c r="J64" s="727">
        <f t="shared" si="16"/>
        <v>0</v>
      </c>
      <c r="K64" s="669">
        <v>0</v>
      </c>
      <c r="L64" s="799">
        <f t="shared" si="25"/>
        <v>0</v>
      </c>
      <c r="M64" s="669">
        <v>0</v>
      </c>
      <c r="N64" s="799">
        <f t="shared" si="17"/>
        <v>0</v>
      </c>
      <c r="O64" s="669">
        <v>21.009</v>
      </c>
      <c r="P64" s="799">
        <f t="shared" si="18"/>
        <v>20</v>
      </c>
      <c r="Q64" s="669">
        <v>20.998000000000001</v>
      </c>
      <c r="R64" s="799">
        <f t="shared" si="19"/>
        <v>21</v>
      </c>
      <c r="S64" s="669">
        <v>1.2E-2</v>
      </c>
      <c r="T64" s="799">
        <f t="shared" si="20"/>
        <v>0</v>
      </c>
      <c r="U64" s="669">
        <v>20.021000000000001</v>
      </c>
      <c r="V64" s="799">
        <f t="shared" si="21"/>
        <v>20</v>
      </c>
      <c r="W64" s="669">
        <v>20.021000000000001</v>
      </c>
      <c r="X64" s="799">
        <f t="shared" si="22"/>
        <v>20</v>
      </c>
      <c r="Y64" s="669">
        <v>2E-3</v>
      </c>
      <c r="Z64" s="799">
        <f t="shared" si="23"/>
        <v>0</v>
      </c>
      <c r="AA64" s="669">
        <v>0</v>
      </c>
      <c r="AB64" s="669">
        <v>0</v>
      </c>
      <c r="AC64" s="669">
        <v>2.915</v>
      </c>
      <c r="AD64" s="669">
        <v>0.224</v>
      </c>
      <c r="AE64" s="669">
        <v>1.9E-2</v>
      </c>
      <c r="AF64" s="669">
        <v>0.10299999999999999</v>
      </c>
      <c r="AG64" s="669">
        <v>0.97</v>
      </c>
      <c r="AH64" s="669">
        <v>2.1000000000000001E-2</v>
      </c>
    </row>
    <row r="65" spans="1:35" s="342" customFormat="1" ht="31.75">
      <c r="A65" s="349" t="s">
        <v>296</v>
      </c>
      <c r="B65" s="349" t="s">
        <v>307</v>
      </c>
      <c r="C65" s="669">
        <v>93.433000000000007</v>
      </c>
      <c r="D65" s="727">
        <f t="shared" si="13"/>
        <v>90</v>
      </c>
      <c r="E65" s="669">
        <v>0</v>
      </c>
      <c r="F65" s="727">
        <f t="shared" si="14"/>
        <v>0</v>
      </c>
      <c r="G65" s="669">
        <v>0</v>
      </c>
      <c r="H65" s="727">
        <f t="shared" si="15"/>
        <v>0</v>
      </c>
      <c r="I65" s="669">
        <v>0</v>
      </c>
      <c r="J65" s="727">
        <f t="shared" si="16"/>
        <v>0</v>
      </c>
      <c r="K65" s="669">
        <v>0</v>
      </c>
      <c r="L65" s="799">
        <f t="shared" si="25"/>
        <v>0</v>
      </c>
      <c r="M65" s="669">
        <v>0</v>
      </c>
      <c r="N65" s="799">
        <f t="shared" si="17"/>
        <v>0</v>
      </c>
      <c r="O65" s="669">
        <v>10.553000000000001</v>
      </c>
      <c r="P65" s="799">
        <f t="shared" si="18"/>
        <v>10</v>
      </c>
      <c r="Q65" s="669">
        <v>23.684000000000001</v>
      </c>
      <c r="R65" s="799">
        <f t="shared" si="19"/>
        <v>24</v>
      </c>
      <c r="S65" s="669">
        <v>0</v>
      </c>
      <c r="T65" s="799">
        <f t="shared" si="20"/>
        <v>0</v>
      </c>
      <c r="U65" s="669">
        <v>22.731000000000002</v>
      </c>
      <c r="V65" s="799">
        <f t="shared" si="21"/>
        <v>23</v>
      </c>
      <c r="W65" s="669">
        <v>22.731000000000002</v>
      </c>
      <c r="X65" s="799">
        <f t="shared" si="22"/>
        <v>23</v>
      </c>
      <c r="Y65" s="669">
        <v>0</v>
      </c>
      <c r="Z65" s="799">
        <f t="shared" si="23"/>
        <v>0</v>
      </c>
      <c r="AA65" s="669">
        <v>0</v>
      </c>
      <c r="AB65" s="669">
        <v>0</v>
      </c>
      <c r="AC65" s="669">
        <v>2.4750000000000001</v>
      </c>
      <c r="AD65" s="669">
        <v>0.19</v>
      </c>
      <c r="AE65" s="669">
        <v>5.0000000000000001E-3</v>
      </c>
      <c r="AF65" s="669">
        <v>0.03</v>
      </c>
      <c r="AG65" s="669">
        <v>2.2410000000000001</v>
      </c>
      <c r="AH65" s="669">
        <v>4.8000000000000001E-2</v>
      </c>
    </row>
    <row r="66" spans="1:35" s="342" customFormat="1" ht="31.75">
      <c r="A66" s="349" t="s">
        <v>296</v>
      </c>
      <c r="B66" s="349" t="s">
        <v>308</v>
      </c>
      <c r="C66" s="554">
        <v>87.802999999999997</v>
      </c>
      <c r="D66" s="727">
        <f t="shared" si="13"/>
        <v>90</v>
      </c>
      <c r="E66" s="554">
        <v>0</v>
      </c>
      <c r="F66" s="727">
        <f t="shared" si="14"/>
        <v>0</v>
      </c>
      <c r="G66" s="554">
        <v>0</v>
      </c>
      <c r="H66" s="727">
        <f t="shared" si="15"/>
        <v>0</v>
      </c>
      <c r="I66" s="554">
        <v>0</v>
      </c>
      <c r="J66" s="727">
        <f t="shared" si="16"/>
        <v>0</v>
      </c>
      <c r="K66" s="554">
        <v>0</v>
      </c>
      <c r="L66" s="799">
        <f>IF(K66&lt;0.5,0,IF(K66&gt;5,MROUND(K66,1),MROUND(#REF!,0.5)))</f>
        <v>0</v>
      </c>
      <c r="M66" s="554">
        <v>0</v>
      </c>
      <c r="N66" s="799">
        <f t="shared" si="17"/>
        <v>0</v>
      </c>
      <c r="O66" s="554">
        <v>10.791</v>
      </c>
      <c r="P66" s="799">
        <f t="shared" si="18"/>
        <v>10</v>
      </c>
      <c r="Q66" s="554">
        <v>21.812000000000001</v>
      </c>
      <c r="R66" s="799">
        <f t="shared" si="19"/>
        <v>22</v>
      </c>
      <c r="S66" s="554">
        <v>0</v>
      </c>
      <c r="T66" s="799">
        <f t="shared" si="20"/>
        <v>0</v>
      </c>
      <c r="U66" s="554">
        <v>21.661000000000001</v>
      </c>
      <c r="V66" s="799">
        <f t="shared" si="21"/>
        <v>22</v>
      </c>
      <c r="W66" s="554">
        <v>21.661000000000001</v>
      </c>
      <c r="X66" s="799">
        <f t="shared" si="22"/>
        <v>22</v>
      </c>
      <c r="Y66" s="554">
        <v>0</v>
      </c>
      <c r="Z66" s="799">
        <f t="shared" si="23"/>
        <v>0</v>
      </c>
      <c r="AA66" s="554">
        <v>0</v>
      </c>
      <c r="AB66" s="554">
        <v>0</v>
      </c>
      <c r="AC66" s="554">
        <v>2.4980000000000002</v>
      </c>
      <c r="AD66" s="554">
        <v>0.192</v>
      </c>
      <c r="AE66" s="554">
        <v>5.0000000000000001E-3</v>
      </c>
      <c r="AF66" s="554">
        <v>2.5000000000000001E-2</v>
      </c>
      <c r="AG66" s="554">
        <v>1.6259999999999999</v>
      </c>
      <c r="AH66" s="554">
        <v>3.5000000000000003E-2</v>
      </c>
    </row>
    <row r="67" spans="1:35" s="342" customFormat="1" ht="31.75">
      <c r="A67" s="349" t="s">
        <v>296</v>
      </c>
      <c r="B67" s="349" t="s">
        <v>48</v>
      </c>
      <c r="C67" s="669">
        <v>72.168999999999997</v>
      </c>
      <c r="D67" s="727">
        <f t="shared" si="13"/>
        <v>70</v>
      </c>
      <c r="E67" s="669">
        <v>2.1999999999999999E-2</v>
      </c>
      <c r="F67" s="727">
        <f t="shared" si="14"/>
        <v>0</v>
      </c>
      <c r="G67" s="669">
        <v>5.0000000000000001E-3</v>
      </c>
      <c r="H67" s="727">
        <f t="shared" si="15"/>
        <v>0</v>
      </c>
      <c r="I67" s="669">
        <v>0</v>
      </c>
      <c r="J67" s="727">
        <f t="shared" si="16"/>
        <v>0</v>
      </c>
      <c r="K67" s="669">
        <v>0</v>
      </c>
      <c r="L67" s="799">
        <f t="shared" ref="L67:L74" si="26">IF(K67&lt;0.5,0,IF(K67&gt;5,MROUND(K67,1),MROUND(K66,0.5)))</f>
        <v>0</v>
      </c>
      <c r="M67" s="669">
        <v>0</v>
      </c>
      <c r="N67" s="799">
        <f t="shared" si="17"/>
        <v>0</v>
      </c>
      <c r="O67" s="669">
        <v>11.278</v>
      </c>
      <c r="P67" s="799">
        <f t="shared" si="18"/>
        <v>10</v>
      </c>
      <c r="Q67" s="669">
        <v>18.684999999999999</v>
      </c>
      <c r="R67" s="799">
        <f t="shared" si="19"/>
        <v>19</v>
      </c>
      <c r="S67" s="669">
        <v>4.5999999999999999E-2</v>
      </c>
      <c r="T67" s="799">
        <f t="shared" si="20"/>
        <v>0</v>
      </c>
      <c r="U67" s="669">
        <v>17.803000000000001</v>
      </c>
      <c r="V67" s="799">
        <f t="shared" si="21"/>
        <v>18</v>
      </c>
      <c r="W67" s="669">
        <v>17.754999999999999</v>
      </c>
      <c r="X67" s="799">
        <f t="shared" si="22"/>
        <v>18</v>
      </c>
      <c r="Y67" s="669">
        <v>1.7000000000000001E-2</v>
      </c>
      <c r="Z67" s="799">
        <f t="shared" si="23"/>
        <v>0</v>
      </c>
      <c r="AA67" s="669">
        <v>8.0000000000000002E-3</v>
      </c>
      <c r="AB67" s="669">
        <v>3.9E-2</v>
      </c>
      <c r="AC67" s="669">
        <v>3.6269999999999998</v>
      </c>
      <c r="AD67" s="669">
        <v>0.27900000000000003</v>
      </c>
      <c r="AE67" s="669">
        <v>1.9E-2</v>
      </c>
      <c r="AF67" s="669">
        <v>0.108</v>
      </c>
      <c r="AG67" s="669">
        <v>3.4340000000000002</v>
      </c>
      <c r="AH67" s="669">
        <v>7.2999999999999995E-2</v>
      </c>
    </row>
    <row r="68" spans="1:35" s="342" customFormat="1" ht="31.75">
      <c r="A68" s="349" t="s">
        <v>143</v>
      </c>
      <c r="B68" s="246" t="s">
        <v>152</v>
      </c>
      <c r="C68" s="536">
        <v>133.96600000000001</v>
      </c>
      <c r="D68" s="727">
        <f t="shared" si="13"/>
        <v>130</v>
      </c>
      <c r="E68" s="536">
        <v>51.131</v>
      </c>
      <c r="F68" s="727">
        <f t="shared" si="14"/>
        <v>50</v>
      </c>
      <c r="G68" s="536">
        <v>5.681</v>
      </c>
      <c r="H68" s="727">
        <f t="shared" si="15"/>
        <v>6</v>
      </c>
      <c r="I68" s="536">
        <v>3.492</v>
      </c>
      <c r="J68" s="727">
        <f t="shared" si="16"/>
        <v>3.5</v>
      </c>
      <c r="K68" s="536">
        <v>0</v>
      </c>
      <c r="L68" s="799">
        <f t="shared" si="26"/>
        <v>0</v>
      </c>
      <c r="M68" s="536">
        <v>2.4140000000000001</v>
      </c>
      <c r="N68" s="799" t="str">
        <f t="shared" si="17"/>
        <v>less than 5 mg</v>
      </c>
      <c r="O68" s="536">
        <v>21.251000000000001</v>
      </c>
      <c r="P68" s="799">
        <f t="shared" si="18"/>
        <v>20</v>
      </c>
      <c r="Q68" s="536">
        <v>19.190999999999999</v>
      </c>
      <c r="R68" s="799">
        <f t="shared" si="19"/>
        <v>19</v>
      </c>
      <c r="S68" s="536">
        <v>0.76700000000000002</v>
      </c>
      <c r="T68" s="799" t="str">
        <f t="shared" si="20"/>
        <v>less than 1 g</v>
      </c>
      <c r="U68" s="536">
        <v>17.629000000000001</v>
      </c>
      <c r="V68" s="799">
        <f t="shared" si="21"/>
        <v>18</v>
      </c>
      <c r="W68" s="536">
        <v>16.303999999999998</v>
      </c>
      <c r="X68" s="799">
        <f t="shared" si="22"/>
        <v>16</v>
      </c>
      <c r="Y68" s="536">
        <v>1.4490000000000001</v>
      </c>
      <c r="Z68" s="799">
        <f t="shared" si="23"/>
        <v>1</v>
      </c>
      <c r="AA68" s="536">
        <v>0</v>
      </c>
      <c r="AB68" s="536">
        <v>0</v>
      </c>
      <c r="AC68" s="536">
        <v>36.003999999999998</v>
      </c>
      <c r="AD68" s="536">
        <v>2.77</v>
      </c>
      <c r="AE68" s="536">
        <v>0.36</v>
      </c>
      <c r="AF68" s="536">
        <v>2.0009999999999999</v>
      </c>
      <c r="AG68" s="536">
        <v>87.786000000000001</v>
      </c>
      <c r="AH68" s="536">
        <v>1.8680000000000001</v>
      </c>
    </row>
    <row r="69" spans="1:35" s="342" customFormat="1" ht="31.75">
      <c r="A69" s="349" t="s">
        <v>296</v>
      </c>
      <c r="B69" s="349" t="s">
        <v>50</v>
      </c>
      <c r="C69" s="669">
        <v>94.123000000000005</v>
      </c>
      <c r="D69" s="727">
        <f t="shared" ref="D69:D100" si="27">MROUND(C69,10)</f>
        <v>90</v>
      </c>
      <c r="E69" s="669">
        <v>0</v>
      </c>
      <c r="F69" s="727">
        <f t="shared" ref="F69:F100" si="28">IF(E69&lt;5,0,(IF(E69&gt;50,MROUND(E69,10),MROUND(E69,5))))</f>
        <v>0</v>
      </c>
      <c r="G69" s="669">
        <v>7.0000000000000001E-3</v>
      </c>
      <c r="H69" s="727">
        <f t="shared" ref="H69:H100" si="29">IF(G69&lt;0.5,0,IF(G69&gt;5,MROUND(G69,1),MROUND(G69,0.5)))</f>
        <v>0</v>
      </c>
      <c r="I69" s="669">
        <v>2E-3</v>
      </c>
      <c r="J69" s="727">
        <f t="shared" ref="J69:J100" si="30">IF(I69&lt;0.5,0,IF(I69&gt;5,MROUND(I69,1),MROUND(I69,0.5)))</f>
        <v>0</v>
      </c>
      <c r="K69" s="669">
        <v>0</v>
      </c>
      <c r="L69" s="799">
        <f t="shared" si="26"/>
        <v>0</v>
      </c>
      <c r="M69" s="669">
        <v>0</v>
      </c>
      <c r="N69" s="799">
        <f t="shared" ref="N69:N100" si="31">IF(M69&lt;2,0,IF(M69&gt;5,MROUND(M69,5),"less than 5 mg"))</f>
        <v>0</v>
      </c>
      <c r="O69" s="669">
        <v>14.127000000000001</v>
      </c>
      <c r="P69" s="799">
        <f t="shared" ref="P69:P100" si="32">IF(O69&lt;5,0,IF(O69&gt;140,MROUND(O69,10),MROUND(O69,5)))</f>
        <v>15</v>
      </c>
      <c r="Q69" s="669">
        <v>23.936</v>
      </c>
      <c r="R69" s="799">
        <f t="shared" ref="R69:R100" si="33">IF(Q69&lt;0.5,0,IF(Q69&gt;1,MROUND(Q69,1),"less than 1 g"))</f>
        <v>24</v>
      </c>
      <c r="S69" s="669">
        <v>4.3999999999999997E-2</v>
      </c>
      <c r="T69" s="799">
        <f t="shared" ref="T69:T100" si="34">IF(S69&lt;0.5,0,IF(S69&gt;1,MROUND(S69,1),"less than 1 g"))</f>
        <v>0</v>
      </c>
      <c r="U69" s="669">
        <v>22.844999999999999</v>
      </c>
      <c r="V69" s="799">
        <f t="shared" ref="V69:V100" si="35">IF(U69&lt;0.5,0,IF(U69&gt;1,MROUND(U69,1),"less than 1 g"))</f>
        <v>23</v>
      </c>
      <c r="W69" s="669">
        <v>22.495000000000001</v>
      </c>
      <c r="X69" s="799">
        <f t="shared" ref="X69:X100" si="36">IF(W69&lt;0.5,0,IF(W69&gt;1,MROUND(W69,1),"less than 1 g"))</f>
        <v>22</v>
      </c>
      <c r="Y69" s="669">
        <v>1.2999999999999999E-2</v>
      </c>
      <c r="Z69" s="799">
        <f t="shared" ref="Z69:Z100" si="37">IF(Y69&lt;0.5,0,IF(Y69&gt;1,MROUND(Y69,1),"less than 1 g"))</f>
        <v>0</v>
      </c>
      <c r="AA69" s="669">
        <v>0</v>
      </c>
      <c r="AB69" s="669">
        <v>0</v>
      </c>
      <c r="AC69" s="669">
        <v>3.1429999999999998</v>
      </c>
      <c r="AD69" s="669">
        <v>0.24199999999999999</v>
      </c>
      <c r="AE69" s="669">
        <v>2.9000000000000001E-2</v>
      </c>
      <c r="AF69" s="669">
        <v>0.16300000000000001</v>
      </c>
      <c r="AG69" s="669">
        <v>6.84</v>
      </c>
      <c r="AH69" s="669">
        <v>0.14599999999999999</v>
      </c>
    </row>
    <row r="70" spans="1:35" s="342" customFormat="1" ht="31.75">
      <c r="A70" s="349" t="s">
        <v>296</v>
      </c>
      <c r="B70" s="349" t="s">
        <v>51</v>
      </c>
      <c r="C70" s="669">
        <v>93.149000000000001</v>
      </c>
      <c r="D70" s="727">
        <f t="shared" si="27"/>
        <v>90</v>
      </c>
      <c r="E70" s="669">
        <v>0</v>
      </c>
      <c r="F70" s="727">
        <f t="shared" si="28"/>
        <v>0</v>
      </c>
      <c r="G70" s="669">
        <v>8.0000000000000002E-3</v>
      </c>
      <c r="H70" s="727">
        <f t="shared" si="29"/>
        <v>0</v>
      </c>
      <c r="I70" s="669">
        <v>1E-3</v>
      </c>
      <c r="J70" s="727">
        <f t="shared" si="30"/>
        <v>0</v>
      </c>
      <c r="K70" s="669">
        <v>0</v>
      </c>
      <c r="L70" s="799">
        <f t="shared" si="26"/>
        <v>0</v>
      </c>
      <c r="M70" s="669">
        <v>0</v>
      </c>
      <c r="N70" s="799">
        <f t="shared" si="31"/>
        <v>0</v>
      </c>
      <c r="O70" s="669">
        <v>12.569000000000001</v>
      </c>
      <c r="P70" s="799">
        <f t="shared" si="32"/>
        <v>15</v>
      </c>
      <c r="Q70" s="669">
        <v>23.38</v>
      </c>
      <c r="R70" s="799">
        <f t="shared" si="33"/>
        <v>23</v>
      </c>
      <c r="S70" s="669">
        <v>8.8999999999999996E-2</v>
      </c>
      <c r="T70" s="799">
        <f t="shared" si="34"/>
        <v>0</v>
      </c>
      <c r="U70" s="669">
        <v>21.67</v>
      </c>
      <c r="V70" s="799">
        <f t="shared" si="35"/>
        <v>22</v>
      </c>
      <c r="W70" s="669">
        <v>17.146999999999998</v>
      </c>
      <c r="X70" s="799">
        <f t="shared" si="36"/>
        <v>17</v>
      </c>
      <c r="Y70" s="669">
        <v>4.1000000000000002E-2</v>
      </c>
      <c r="Z70" s="799">
        <f t="shared" si="37"/>
        <v>0</v>
      </c>
      <c r="AA70" s="669">
        <v>0</v>
      </c>
      <c r="AB70" s="669">
        <v>0</v>
      </c>
      <c r="AC70" s="669">
        <v>2.9249999999999998</v>
      </c>
      <c r="AD70" s="669">
        <v>0.22500000000000001</v>
      </c>
      <c r="AE70" s="669">
        <v>2.3E-2</v>
      </c>
      <c r="AF70" s="669">
        <v>0.13</v>
      </c>
      <c r="AG70" s="669">
        <v>3.552</v>
      </c>
      <c r="AH70" s="669">
        <v>7.5999999999999998E-2</v>
      </c>
    </row>
    <row r="71" spans="1:35" s="342" customFormat="1" ht="31.75">
      <c r="A71" s="349" t="s">
        <v>296</v>
      </c>
      <c r="B71" s="349" t="s">
        <v>53</v>
      </c>
      <c r="C71" s="669">
        <v>94.363</v>
      </c>
      <c r="D71" s="727">
        <f t="shared" si="27"/>
        <v>90</v>
      </c>
      <c r="E71" s="669">
        <v>0</v>
      </c>
      <c r="F71" s="727">
        <f t="shared" si="28"/>
        <v>0</v>
      </c>
      <c r="G71" s="669">
        <v>3.0000000000000001E-3</v>
      </c>
      <c r="H71" s="727">
        <f t="shared" si="29"/>
        <v>0</v>
      </c>
      <c r="I71" s="669">
        <v>1E-3</v>
      </c>
      <c r="J71" s="727">
        <f t="shared" si="30"/>
        <v>0</v>
      </c>
      <c r="K71" s="669">
        <v>0</v>
      </c>
      <c r="L71" s="799">
        <f t="shared" si="26"/>
        <v>0</v>
      </c>
      <c r="M71" s="669">
        <v>0</v>
      </c>
      <c r="N71" s="799">
        <f t="shared" si="31"/>
        <v>0</v>
      </c>
      <c r="O71" s="669">
        <v>13.518000000000001</v>
      </c>
      <c r="P71" s="799">
        <f t="shared" si="32"/>
        <v>15</v>
      </c>
      <c r="Q71" s="669">
        <v>23.800999999999998</v>
      </c>
      <c r="R71" s="799">
        <f t="shared" si="33"/>
        <v>24</v>
      </c>
      <c r="S71" s="669">
        <v>0.03</v>
      </c>
      <c r="T71" s="799">
        <f t="shared" si="34"/>
        <v>0</v>
      </c>
      <c r="U71" s="669">
        <v>22.922000000000001</v>
      </c>
      <c r="V71" s="799">
        <f t="shared" si="35"/>
        <v>23</v>
      </c>
      <c r="W71" s="669">
        <v>22.574000000000002</v>
      </c>
      <c r="X71" s="799">
        <f t="shared" si="36"/>
        <v>23</v>
      </c>
      <c r="Y71" s="669">
        <v>1.4E-2</v>
      </c>
      <c r="Z71" s="799">
        <f t="shared" si="37"/>
        <v>0</v>
      </c>
      <c r="AA71" s="669">
        <v>0</v>
      </c>
      <c r="AB71" s="669">
        <v>0</v>
      </c>
      <c r="AC71" s="669">
        <v>3.08</v>
      </c>
      <c r="AD71" s="669">
        <v>0.23699999999999999</v>
      </c>
      <c r="AE71" s="669">
        <v>7.2999999999999995E-2</v>
      </c>
      <c r="AF71" s="669">
        <v>0.40600000000000003</v>
      </c>
      <c r="AG71" s="669">
        <v>5.601</v>
      </c>
      <c r="AH71" s="669">
        <v>0.11899999999999999</v>
      </c>
    </row>
    <row r="72" spans="1:35" s="342" customFormat="1" ht="31.75">
      <c r="A72" s="349" t="s">
        <v>296</v>
      </c>
      <c r="B72" s="349" t="s">
        <v>54</v>
      </c>
      <c r="C72" s="669">
        <v>95.938000000000002</v>
      </c>
      <c r="D72" s="727">
        <f t="shared" si="27"/>
        <v>100</v>
      </c>
      <c r="E72" s="669">
        <v>0</v>
      </c>
      <c r="F72" s="727">
        <f t="shared" si="28"/>
        <v>0</v>
      </c>
      <c r="G72" s="669">
        <v>4.0000000000000001E-3</v>
      </c>
      <c r="H72" s="727">
        <f t="shared" si="29"/>
        <v>0</v>
      </c>
      <c r="I72" s="669">
        <v>1E-3</v>
      </c>
      <c r="J72" s="727">
        <f t="shared" si="30"/>
        <v>0</v>
      </c>
      <c r="K72" s="669">
        <v>0</v>
      </c>
      <c r="L72" s="799">
        <f t="shared" si="26"/>
        <v>0</v>
      </c>
      <c r="M72" s="669">
        <v>0</v>
      </c>
      <c r="N72" s="799">
        <f t="shared" si="31"/>
        <v>0</v>
      </c>
      <c r="O72" s="669">
        <v>14.053000000000001</v>
      </c>
      <c r="P72" s="799">
        <f t="shared" si="32"/>
        <v>15</v>
      </c>
      <c r="Q72" s="669">
        <v>24.286999999999999</v>
      </c>
      <c r="R72" s="799">
        <f t="shared" si="33"/>
        <v>24</v>
      </c>
      <c r="S72" s="669">
        <v>5.6000000000000001E-2</v>
      </c>
      <c r="T72" s="799">
        <f t="shared" si="34"/>
        <v>0</v>
      </c>
      <c r="U72" s="669">
        <v>23.379000000000001</v>
      </c>
      <c r="V72" s="799">
        <f t="shared" si="35"/>
        <v>23</v>
      </c>
      <c r="W72" s="669">
        <v>23.042999999999999</v>
      </c>
      <c r="X72" s="799">
        <f t="shared" si="36"/>
        <v>23</v>
      </c>
      <c r="Y72" s="669">
        <v>3.9E-2</v>
      </c>
      <c r="Z72" s="799">
        <f t="shared" si="37"/>
        <v>0</v>
      </c>
      <c r="AA72" s="669">
        <v>0</v>
      </c>
      <c r="AB72" s="669">
        <v>0</v>
      </c>
      <c r="AC72" s="669">
        <v>3.1360000000000001</v>
      </c>
      <c r="AD72" s="669">
        <v>0.24099999999999999</v>
      </c>
      <c r="AE72" s="669">
        <v>3.5000000000000003E-2</v>
      </c>
      <c r="AF72" s="669">
        <v>0.19500000000000001</v>
      </c>
      <c r="AG72" s="669">
        <v>4.0789999999999997</v>
      </c>
      <c r="AH72" s="669">
        <v>8.6999999999999994E-2</v>
      </c>
    </row>
    <row r="73" spans="1:35" s="342" customFormat="1" ht="31.75">
      <c r="A73" s="349" t="s">
        <v>296</v>
      </c>
      <c r="B73" s="349" t="s">
        <v>52</v>
      </c>
      <c r="C73" s="669">
        <v>85.665000000000006</v>
      </c>
      <c r="D73" s="727">
        <f t="shared" si="27"/>
        <v>90</v>
      </c>
      <c r="E73" s="669">
        <v>2.7E-2</v>
      </c>
      <c r="F73" s="727">
        <f t="shared" si="28"/>
        <v>0</v>
      </c>
      <c r="G73" s="669">
        <v>3.0000000000000001E-3</v>
      </c>
      <c r="H73" s="727">
        <f t="shared" si="29"/>
        <v>0</v>
      </c>
      <c r="I73" s="669">
        <v>1E-3</v>
      </c>
      <c r="J73" s="727">
        <f t="shared" si="30"/>
        <v>0</v>
      </c>
      <c r="K73" s="669">
        <v>3.0000000000000001E-3</v>
      </c>
      <c r="L73" s="799">
        <f t="shared" si="26"/>
        <v>0</v>
      </c>
      <c r="M73" s="669">
        <v>0</v>
      </c>
      <c r="N73" s="799">
        <f t="shared" si="31"/>
        <v>0</v>
      </c>
      <c r="O73" s="669">
        <v>12.097</v>
      </c>
      <c r="P73" s="799">
        <f t="shared" si="32"/>
        <v>10</v>
      </c>
      <c r="Q73" s="669">
        <v>21.652000000000001</v>
      </c>
      <c r="R73" s="799">
        <f t="shared" si="33"/>
        <v>22</v>
      </c>
      <c r="S73" s="669">
        <v>6.6000000000000003E-2</v>
      </c>
      <c r="T73" s="799">
        <f t="shared" si="34"/>
        <v>0</v>
      </c>
      <c r="U73" s="669">
        <v>20.779</v>
      </c>
      <c r="V73" s="799">
        <f t="shared" si="35"/>
        <v>21</v>
      </c>
      <c r="W73" s="669">
        <v>20.359000000000002</v>
      </c>
      <c r="X73" s="799">
        <f t="shared" si="36"/>
        <v>20</v>
      </c>
      <c r="Y73" s="669">
        <v>3.5000000000000003E-2</v>
      </c>
      <c r="Z73" s="799">
        <f t="shared" si="37"/>
        <v>0</v>
      </c>
      <c r="AA73" s="669">
        <v>0</v>
      </c>
      <c r="AB73" s="669">
        <v>0</v>
      </c>
      <c r="AC73" s="669">
        <v>3.0640000000000001</v>
      </c>
      <c r="AD73" s="669">
        <v>0.23599999999999999</v>
      </c>
      <c r="AE73" s="669">
        <v>2.3E-2</v>
      </c>
      <c r="AF73" s="669">
        <v>0.128</v>
      </c>
      <c r="AG73" s="669">
        <v>3.3519999999999999</v>
      </c>
      <c r="AH73" s="669">
        <v>7.0999999999999994E-2</v>
      </c>
    </row>
    <row r="74" spans="1:35" s="342" customFormat="1" ht="31.75">
      <c r="A74" s="349" t="s">
        <v>296</v>
      </c>
      <c r="B74" s="349" t="s">
        <v>55</v>
      </c>
      <c r="C74" s="669">
        <v>81.346999999999994</v>
      </c>
      <c r="D74" s="727">
        <f t="shared" si="27"/>
        <v>80</v>
      </c>
      <c r="E74" s="669">
        <v>6.0000000000000001E-3</v>
      </c>
      <c r="F74" s="727">
        <f t="shared" si="28"/>
        <v>0</v>
      </c>
      <c r="G74" s="669">
        <v>1.0999999999999999E-2</v>
      </c>
      <c r="H74" s="727">
        <f t="shared" si="29"/>
        <v>0</v>
      </c>
      <c r="I74" s="669">
        <v>0</v>
      </c>
      <c r="J74" s="727">
        <f t="shared" si="30"/>
        <v>0</v>
      </c>
      <c r="K74" s="669">
        <v>0</v>
      </c>
      <c r="L74" s="799">
        <f t="shared" si="26"/>
        <v>0</v>
      </c>
      <c r="M74" s="669">
        <v>0</v>
      </c>
      <c r="N74" s="799">
        <f t="shared" si="31"/>
        <v>0</v>
      </c>
      <c r="O74" s="669">
        <v>17.954999999999998</v>
      </c>
      <c r="P74" s="799">
        <f t="shared" si="32"/>
        <v>20</v>
      </c>
      <c r="Q74" s="669">
        <v>20.786999999999999</v>
      </c>
      <c r="R74" s="799">
        <f t="shared" si="33"/>
        <v>21</v>
      </c>
      <c r="S74" s="669">
        <v>3.5999999999999997E-2</v>
      </c>
      <c r="T74" s="799">
        <f t="shared" si="34"/>
        <v>0</v>
      </c>
      <c r="U74" s="669">
        <v>19.329999999999998</v>
      </c>
      <c r="V74" s="799">
        <f t="shared" si="35"/>
        <v>19</v>
      </c>
      <c r="W74" s="669">
        <v>19.193000000000001</v>
      </c>
      <c r="X74" s="799">
        <f t="shared" si="36"/>
        <v>19</v>
      </c>
      <c r="Y74" s="669">
        <v>3.6999999999999998E-2</v>
      </c>
      <c r="Z74" s="799">
        <f t="shared" si="37"/>
        <v>0</v>
      </c>
      <c r="AA74" s="669">
        <v>5.0000000000000001E-3</v>
      </c>
      <c r="AB74" s="669">
        <v>2.4E-2</v>
      </c>
      <c r="AC74" s="669">
        <v>3.4340000000000002</v>
      </c>
      <c r="AD74" s="669">
        <v>0.26400000000000001</v>
      </c>
      <c r="AE74" s="669">
        <v>2.3E-2</v>
      </c>
      <c r="AF74" s="669">
        <v>0.13</v>
      </c>
      <c r="AG74" s="669">
        <v>6.7510000000000003</v>
      </c>
      <c r="AH74" s="669">
        <v>0.14399999999999999</v>
      </c>
    </row>
    <row r="75" spans="1:35" s="350" customFormat="1" ht="31.75">
      <c r="A75" s="349" t="s">
        <v>92</v>
      </c>
      <c r="B75" s="349" t="s">
        <v>319</v>
      </c>
      <c r="C75" s="965">
        <v>139.63900000000001</v>
      </c>
      <c r="D75" s="727">
        <f t="shared" si="27"/>
        <v>140</v>
      </c>
      <c r="E75" s="965">
        <v>0</v>
      </c>
      <c r="F75" s="727">
        <f t="shared" si="28"/>
        <v>0</v>
      </c>
      <c r="G75" s="965">
        <v>3.1960000000000002</v>
      </c>
      <c r="H75" s="727">
        <f t="shared" si="29"/>
        <v>3</v>
      </c>
      <c r="I75" s="965">
        <v>1.292</v>
      </c>
      <c r="J75" s="727">
        <f t="shared" si="30"/>
        <v>1.5</v>
      </c>
      <c r="K75" s="965">
        <v>0</v>
      </c>
      <c r="L75" s="799">
        <f>IF(K75&lt;0.5,0,IF(K75&gt;5,MROUND(K75,1),MROUND(#REF!,0.5)))</f>
        <v>0</v>
      </c>
      <c r="M75" s="965">
        <v>0</v>
      </c>
      <c r="N75" s="799">
        <f t="shared" si="31"/>
        <v>0</v>
      </c>
      <c r="O75" s="965">
        <v>39.743000000000002</v>
      </c>
      <c r="P75" s="799">
        <f t="shared" si="32"/>
        <v>40</v>
      </c>
      <c r="Q75" s="965">
        <v>27.515000000000001</v>
      </c>
      <c r="R75" s="799">
        <f t="shared" si="33"/>
        <v>28</v>
      </c>
      <c r="S75" s="965">
        <v>0.255</v>
      </c>
      <c r="T75" s="799">
        <f t="shared" si="34"/>
        <v>0</v>
      </c>
      <c r="U75" s="965">
        <v>26.103000000000002</v>
      </c>
      <c r="V75" s="799">
        <f t="shared" si="35"/>
        <v>26</v>
      </c>
      <c r="W75" s="965">
        <v>25.937000000000001</v>
      </c>
      <c r="X75" s="799">
        <f t="shared" si="36"/>
        <v>26</v>
      </c>
      <c r="Y75" s="965">
        <v>0.81399999999999995</v>
      </c>
      <c r="Z75" s="799" t="str">
        <f t="shared" si="37"/>
        <v>less than 1 g</v>
      </c>
      <c r="AA75" s="669">
        <v>0</v>
      </c>
      <c r="AB75" s="669">
        <v>0</v>
      </c>
      <c r="AC75" s="669">
        <v>5.6890000000000001</v>
      </c>
      <c r="AD75" s="669">
        <v>0.438</v>
      </c>
      <c r="AE75" s="669">
        <v>0.248</v>
      </c>
      <c r="AF75" s="669">
        <v>1.3759999999999999</v>
      </c>
      <c r="AG75" s="669">
        <v>27.085000000000001</v>
      </c>
      <c r="AH75" s="669">
        <v>0.57599999999999996</v>
      </c>
      <c r="AI75" s="342"/>
    </row>
    <row r="76" spans="1:35" s="342" customFormat="1" ht="15" customHeight="1">
      <c r="A76" s="349" t="s">
        <v>143</v>
      </c>
      <c r="B76" s="246" t="s">
        <v>153</v>
      </c>
      <c r="C76" s="536">
        <v>101.59099999999999</v>
      </c>
      <c r="D76" s="727">
        <f t="shared" si="27"/>
        <v>100</v>
      </c>
      <c r="E76" s="536">
        <v>1.7999999999999999E-2</v>
      </c>
      <c r="F76" s="727">
        <f t="shared" si="28"/>
        <v>0</v>
      </c>
      <c r="G76" s="536">
        <v>2E-3</v>
      </c>
      <c r="H76" s="727">
        <f t="shared" si="29"/>
        <v>0</v>
      </c>
      <c r="I76" s="536">
        <v>0</v>
      </c>
      <c r="J76" s="727">
        <f t="shared" si="30"/>
        <v>0</v>
      </c>
      <c r="K76" s="536">
        <v>0</v>
      </c>
      <c r="L76" s="799">
        <f t="shared" ref="L76:L84" si="38">IF(K76&lt;0.5,0,IF(K76&gt;5,MROUND(K76,1),MROUND(K75,0.5)))</f>
        <v>0</v>
      </c>
      <c r="M76" s="536">
        <v>0</v>
      </c>
      <c r="N76" s="799">
        <f t="shared" si="31"/>
        <v>0</v>
      </c>
      <c r="O76" s="536">
        <v>10.077999999999999</v>
      </c>
      <c r="P76" s="799">
        <f t="shared" si="32"/>
        <v>10</v>
      </c>
      <c r="Q76" s="536">
        <v>24.859000000000002</v>
      </c>
      <c r="R76" s="799">
        <f t="shared" si="33"/>
        <v>25</v>
      </c>
      <c r="S76" s="536">
        <v>0</v>
      </c>
      <c r="T76" s="799">
        <f t="shared" si="34"/>
        <v>0</v>
      </c>
      <c r="U76" s="536">
        <v>16.257999999999999</v>
      </c>
      <c r="V76" s="799">
        <f t="shared" si="35"/>
        <v>16</v>
      </c>
      <c r="W76" s="536">
        <v>14.445</v>
      </c>
      <c r="X76" s="799">
        <f t="shared" si="36"/>
        <v>14</v>
      </c>
      <c r="Y76" s="536">
        <v>1.8740000000000001</v>
      </c>
      <c r="Z76" s="799">
        <f t="shared" si="37"/>
        <v>2</v>
      </c>
      <c r="AA76" s="536">
        <v>0</v>
      </c>
      <c r="AB76" s="536">
        <v>0</v>
      </c>
      <c r="AC76" s="536">
        <v>0.376</v>
      </c>
      <c r="AD76" s="536">
        <v>2.9000000000000001E-2</v>
      </c>
      <c r="AE76" s="536">
        <v>1.4999999999999999E-2</v>
      </c>
      <c r="AF76" s="536">
        <v>8.2000000000000003E-2</v>
      </c>
      <c r="AG76" s="536">
        <v>0</v>
      </c>
      <c r="AH76" s="536">
        <v>0</v>
      </c>
    </row>
    <row r="77" spans="1:35" s="733" customFormat="1" ht="31.75">
      <c r="A77" s="349" t="s">
        <v>396</v>
      </c>
      <c r="B77" s="530" t="s">
        <v>137</v>
      </c>
      <c r="C77" s="747">
        <v>325.46899999999999</v>
      </c>
      <c r="D77" s="727">
        <f t="shared" si="27"/>
        <v>330</v>
      </c>
      <c r="E77" s="747">
        <v>152.416</v>
      </c>
      <c r="F77" s="727">
        <f t="shared" si="28"/>
        <v>150</v>
      </c>
      <c r="G77" s="747">
        <v>16.934999999999999</v>
      </c>
      <c r="H77" s="727">
        <f t="shared" si="29"/>
        <v>17</v>
      </c>
      <c r="I77" s="747">
        <v>10.77</v>
      </c>
      <c r="J77" s="727">
        <f t="shared" si="30"/>
        <v>11</v>
      </c>
      <c r="K77" s="747">
        <v>0</v>
      </c>
      <c r="L77" s="799">
        <f t="shared" si="38"/>
        <v>0</v>
      </c>
      <c r="M77" s="747">
        <v>100.071</v>
      </c>
      <c r="N77" s="799">
        <f t="shared" si="31"/>
        <v>100</v>
      </c>
      <c r="O77" s="747">
        <v>217.828</v>
      </c>
      <c r="P77" s="799">
        <f t="shared" si="32"/>
        <v>220</v>
      </c>
      <c r="Q77" s="747">
        <v>39.15</v>
      </c>
      <c r="R77" s="799">
        <f t="shared" si="33"/>
        <v>39</v>
      </c>
      <c r="S77" s="747">
        <v>0</v>
      </c>
      <c r="T77" s="799">
        <f t="shared" si="34"/>
        <v>0</v>
      </c>
      <c r="U77" s="747">
        <v>29.62</v>
      </c>
      <c r="V77" s="799">
        <f t="shared" si="35"/>
        <v>30</v>
      </c>
      <c r="W77" s="747">
        <v>1.9079999999999999</v>
      </c>
      <c r="X77" s="799">
        <f t="shared" si="36"/>
        <v>2</v>
      </c>
      <c r="Y77" s="747">
        <v>6.1580000000000004</v>
      </c>
      <c r="Z77" s="799">
        <f t="shared" si="37"/>
        <v>6</v>
      </c>
      <c r="AA77" s="1131">
        <v>0</v>
      </c>
      <c r="AB77" s="1131">
        <v>0</v>
      </c>
      <c r="AC77" s="1131">
        <v>300.44200000000001</v>
      </c>
      <c r="AD77" s="1131">
        <v>23.111000000000001</v>
      </c>
      <c r="AE77" s="1131">
        <v>0</v>
      </c>
      <c r="AF77" s="1131">
        <v>0</v>
      </c>
      <c r="AG77" s="1131">
        <v>3.0539999999999998</v>
      </c>
      <c r="AH77" s="1131">
        <v>6.5000000000000002E-2</v>
      </c>
      <c r="AI77" s="342"/>
    </row>
    <row r="78" spans="1:35" s="342" customFormat="1" ht="31.75">
      <c r="A78" s="349" t="s">
        <v>92</v>
      </c>
      <c r="B78" s="349" t="s">
        <v>108</v>
      </c>
      <c r="C78" s="965">
        <v>98.727000000000004</v>
      </c>
      <c r="D78" s="727">
        <f t="shared" si="27"/>
        <v>100</v>
      </c>
      <c r="E78" s="965">
        <v>7.327</v>
      </c>
      <c r="F78" s="727">
        <f t="shared" si="28"/>
        <v>5</v>
      </c>
      <c r="G78" s="965">
        <v>1.8360000000000001</v>
      </c>
      <c r="H78" s="727">
        <f t="shared" si="29"/>
        <v>2</v>
      </c>
      <c r="I78" s="965">
        <v>1.4359999999999999</v>
      </c>
      <c r="J78" s="727">
        <f t="shared" si="30"/>
        <v>1.5</v>
      </c>
      <c r="K78" s="965">
        <v>0.27100000000000002</v>
      </c>
      <c r="L78" s="799">
        <f t="shared" si="38"/>
        <v>0</v>
      </c>
      <c r="M78" s="965">
        <v>0</v>
      </c>
      <c r="N78" s="799">
        <f t="shared" si="31"/>
        <v>0</v>
      </c>
      <c r="O78" s="965">
        <v>20.152999999999999</v>
      </c>
      <c r="P78" s="799">
        <f t="shared" si="32"/>
        <v>20</v>
      </c>
      <c r="Q78" s="965">
        <v>24.891999999999999</v>
      </c>
      <c r="R78" s="799">
        <f t="shared" si="33"/>
        <v>25</v>
      </c>
      <c r="S78" s="965">
        <v>0.23</v>
      </c>
      <c r="T78" s="799">
        <f t="shared" si="34"/>
        <v>0</v>
      </c>
      <c r="U78" s="965">
        <v>23.463000000000001</v>
      </c>
      <c r="V78" s="799">
        <f t="shared" si="35"/>
        <v>23</v>
      </c>
      <c r="W78" s="965">
        <v>21.609000000000002</v>
      </c>
      <c r="X78" s="799">
        <f t="shared" si="36"/>
        <v>22</v>
      </c>
      <c r="Y78" s="965">
        <v>0.24</v>
      </c>
      <c r="Z78" s="799">
        <f t="shared" si="37"/>
        <v>0</v>
      </c>
      <c r="AA78" s="669">
        <v>7.0000000000000001E-3</v>
      </c>
      <c r="AB78" s="669">
        <v>3.4000000000000002E-2</v>
      </c>
      <c r="AC78" s="669">
        <v>3.7690000000000001</v>
      </c>
      <c r="AD78" s="669">
        <v>0.28999999999999998</v>
      </c>
      <c r="AE78" s="669">
        <v>0.27700000000000002</v>
      </c>
      <c r="AF78" s="669">
        <v>1.538</v>
      </c>
      <c r="AG78" s="669">
        <v>15.442</v>
      </c>
      <c r="AH78" s="669">
        <v>0.32900000000000001</v>
      </c>
      <c r="AI78" s="350"/>
    </row>
    <row r="79" spans="1:35" s="342" customFormat="1" ht="31.75">
      <c r="A79" s="349" t="s">
        <v>92</v>
      </c>
      <c r="B79" s="349" t="s">
        <v>109</v>
      </c>
      <c r="C79" s="965">
        <v>107.02500000000001</v>
      </c>
      <c r="D79" s="727">
        <f t="shared" si="27"/>
        <v>110</v>
      </c>
      <c r="E79" s="965">
        <v>2.7869999999999999</v>
      </c>
      <c r="F79" s="727">
        <f t="shared" si="28"/>
        <v>0</v>
      </c>
      <c r="G79" s="965">
        <v>1.339</v>
      </c>
      <c r="H79" s="727">
        <f t="shared" si="29"/>
        <v>1.5</v>
      </c>
      <c r="I79" s="965">
        <v>1.05</v>
      </c>
      <c r="J79" s="727">
        <f t="shared" si="30"/>
        <v>1</v>
      </c>
      <c r="K79" s="965">
        <v>0</v>
      </c>
      <c r="L79" s="799">
        <f t="shared" si="38"/>
        <v>0</v>
      </c>
      <c r="M79" s="965">
        <v>1.0999999999999999E-2</v>
      </c>
      <c r="N79" s="799">
        <f t="shared" si="31"/>
        <v>0</v>
      </c>
      <c r="O79" s="965">
        <v>25.798999999999999</v>
      </c>
      <c r="P79" s="799">
        <f t="shared" si="32"/>
        <v>25</v>
      </c>
      <c r="Q79" s="965">
        <v>24.029</v>
      </c>
      <c r="R79" s="799">
        <f t="shared" si="33"/>
        <v>24</v>
      </c>
      <c r="S79" s="965">
        <v>3.2000000000000001E-2</v>
      </c>
      <c r="T79" s="799">
        <f t="shared" si="34"/>
        <v>0</v>
      </c>
      <c r="U79" s="965">
        <v>22.445</v>
      </c>
      <c r="V79" s="799">
        <f t="shared" si="35"/>
        <v>22</v>
      </c>
      <c r="W79" s="965">
        <v>22.382999999999999</v>
      </c>
      <c r="X79" s="799">
        <f t="shared" si="36"/>
        <v>22</v>
      </c>
      <c r="Y79" s="965">
        <v>0.161</v>
      </c>
      <c r="Z79" s="799">
        <f t="shared" si="37"/>
        <v>0</v>
      </c>
      <c r="AA79" s="669">
        <v>0</v>
      </c>
      <c r="AB79" s="669">
        <v>0</v>
      </c>
      <c r="AC79" s="669">
        <v>3.387</v>
      </c>
      <c r="AD79" s="669">
        <v>0.26100000000000001</v>
      </c>
      <c r="AE79" s="669">
        <v>9.2999999999999999E-2</v>
      </c>
      <c r="AF79" s="669">
        <v>0.51600000000000001</v>
      </c>
      <c r="AG79" s="669">
        <v>4.8849999999999998</v>
      </c>
      <c r="AH79" s="669">
        <v>0.104</v>
      </c>
    </row>
    <row r="80" spans="1:35" s="342" customFormat="1" ht="14.25" customHeight="1">
      <c r="A80" s="349" t="s">
        <v>296</v>
      </c>
      <c r="B80" s="349" t="s">
        <v>309</v>
      </c>
      <c r="C80" s="554">
        <v>89.162999999999997</v>
      </c>
      <c r="D80" s="727">
        <f t="shared" si="27"/>
        <v>90</v>
      </c>
      <c r="E80" s="554">
        <v>0</v>
      </c>
      <c r="F80" s="727">
        <f t="shared" si="28"/>
        <v>0</v>
      </c>
      <c r="G80" s="554">
        <v>0</v>
      </c>
      <c r="H80" s="727">
        <f t="shared" si="29"/>
        <v>0</v>
      </c>
      <c r="I80" s="554">
        <v>0</v>
      </c>
      <c r="J80" s="727">
        <f t="shared" si="30"/>
        <v>0</v>
      </c>
      <c r="K80" s="554">
        <v>0</v>
      </c>
      <c r="L80" s="799">
        <f t="shared" si="38"/>
        <v>0</v>
      </c>
      <c r="M80" s="554">
        <v>0</v>
      </c>
      <c r="N80" s="799">
        <f t="shared" si="31"/>
        <v>0</v>
      </c>
      <c r="O80" s="554">
        <v>10.89</v>
      </c>
      <c r="P80" s="799">
        <f t="shared" si="32"/>
        <v>10</v>
      </c>
      <c r="Q80" s="554">
        <v>22.15</v>
      </c>
      <c r="R80" s="799">
        <f t="shared" si="33"/>
        <v>22</v>
      </c>
      <c r="S80" s="554">
        <v>0</v>
      </c>
      <c r="T80" s="799">
        <f t="shared" si="34"/>
        <v>0</v>
      </c>
      <c r="U80" s="554">
        <v>21.581</v>
      </c>
      <c r="V80" s="799">
        <f t="shared" si="35"/>
        <v>22</v>
      </c>
      <c r="W80" s="554">
        <v>21.581</v>
      </c>
      <c r="X80" s="799">
        <f t="shared" si="36"/>
        <v>22</v>
      </c>
      <c r="Y80" s="554">
        <v>0</v>
      </c>
      <c r="Z80" s="799">
        <f t="shared" si="37"/>
        <v>0</v>
      </c>
      <c r="AA80" s="554">
        <v>0</v>
      </c>
      <c r="AB80" s="554">
        <v>0</v>
      </c>
      <c r="AC80" s="554">
        <v>2.4849999999999999</v>
      </c>
      <c r="AD80" s="554">
        <v>0.191</v>
      </c>
      <c r="AE80" s="554">
        <v>5.0000000000000001E-3</v>
      </c>
      <c r="AF80" s="554">
        <v>2.5999999999999999E-2</v>
      </c>
      <c r="AG80" s="554">
        <v>0.19500000000000001</v>
      </c>
      <c r="AH80" s="554">
        <v>4.0000000000000001E-3</v>
      </c>
      <c r="AI80" s="346"/>
    </row>
    <row r="81" spans="1:35" s="342" customFormat="1" ht="31.75">
      <c r="A81" s="349" t="s">
        <v>396</v>
      </c>
      <c r="B81" s="530" t="s">
        <v>359</v>
      </c>
      <c r="C81" s="747">
        <v>323.17899999999997</v>
      </c>
      <c r="D81" s="727">
        <f t="shared" si="27"/>
        <v>320</v>
      </c>
      <c r="E81" s="747">
        <v>156.471</v>
      </c>
      <c r="F81" s="727">
        <f t="shared" si="28"/>
        <v>160</v>
      </c>
      <c r="G81" s="747">
        <v>17.385999999999999</v>
      </c>
      <c r="H81" s="727">
        <f t="shared" si="29"/>
        <v>17</v>
      </c>
      <c r="I81" s="747">
        <v>11.064</v>
      </c>
      <c r="J81" s="727">
        <f t="shared" si="30"/>
        <v>11</v>
      </c>
      <c r="K81" s="747">
        <v>0</v>
      </c>
      <c r="L81" s="799">
        <f t="shared" si="38"/>
        <v>0</v>
      </c>
      <c r="M81" s="747">
        <v>102.73399999999999</v>
      </c>
      <c r="N81" s="799">
        <f t="shared" si="31"/>
        <v>105</v>
      </c>
      <c r="O81" s="747">
        <v>221.27199999999999</v>
      </c>
      <c r="P81" s="799">
        <f t="shared" si="32"/>
        <v>220</v>
      </c>
      <c r="Q81" s="747">
        <v>37.838000000000001</v>
      </c>
      <c r="R81" s="799">
        <f t="shared" si="33"/>
        <v>38</v>
      </c>
      <c r="S81" s="747">
        <v>0</v>
      </c>
      <c r="T81" s="799">
        <f t="shared" si="34"/>
        <v>0</v>
      </c>
      <c r="U81" s="747">
        <v>29.617000000000001</v>
      </c>
      <c r="V81" s="799">
        <f t="shared" si="35"/>
        <v>30</v>
      </c>
      <c r="W81" s="747">
        <v>1.167</v>
      </c>
      <c r="X81" s="799">
        <f t="shared" si="36"/>
        <v>1</v>
      </c>
      <c r="Y81" s="747">
        <v>6.3220000000000001</v>
      </c>
      <c r="Z81" s="799">
        <f t="shared" si="37"/>
        <v>6</v>
      </c>
      <c r="AA81" s="1131">
        <v>0</v>
      </c>
      <c r="AB81" s="1131">
        <v>0</v>
      </c>
      <c r="AC81" s="1131">
        <v>308.37799999999999</v>
      </c>
      <c r="AD81" s="1131">
        <v>23.721</v>
      </c>
      <c r="AE81" s="1131">
        <v>0</v>
      </c>
      <c r="AF81" s="1131">
        <v>0</v>
      </c>
      <c r="AG81" s="1131">
        <v>1.5209999999999999</v>
      </c>
      <c r="AH81" s="1131">
        <v>3.2000000000000001E-2</v>
      </c>
    </row>
    <row r="82" spans="1:35" s="342" customFormat="1" ht="31.75">
      <c r="A82" s="349" t="s">
        <v>92</v>
      </c>
      <c r="B82" s="349" t="s">
        <v>320</v>
      </c>
      <c r="C82" s="966">
        <v>93.245000000000005</v>
      </c>
      <c r="D82" s="727">
        <f t="shared" si="27"/>
        <v>90</v>
      </c>
      <c r="E82" s="966">
        <v>0</v>
      </c>
      <c r="F82" s="727">
        <f t="shared" si="28"/>
        <v>0</v>
      </c>
      <c r="G82" s="966">
        <v>1.006</v>
      </c>
      <c r="H82" s="727">
        <f t="shared" si="29"/>
        <v>1</v>
      </c>
      <c r="I82" s="966">
        <v>0.93300000000000005</v>
      </c>
      <c r="J82" s="727">
        <f t="shared" si="30"/>
        <v>1</v>
      </c>
      <c r="K82" s="966">
        <v>0</v>
      </c>
      <c r="L82" s="799">
        <f t="shared" si="38"/>
        <v>0</v>
      </c>
      <c r="M82" s="966">
        <v>0</v>
      </c>
      <c r="N82" s="799">
        <f t="shared" si="31"/>
        <v>0</v>
      </c>
      <c r="O82" s="966">
        <v>20.21</v>
      </c>
      <c r="P82" s="799">
        <f t="shared" si="32"/>
        <v>20</v>
      </c>
      <c r="Q82" s="966">
        <v>21.151</v>
      </c>
      <c r="R82" s="799">
        <f t="shared" si="33"/>
        <v>21</v>
      </c>
      <c r="S82" s="966">
        <v>2E-3</v>
      </c>
      <c r="T82" s="799">
        <f t="shared" si="34"/>
        <v>0</v>
      </c>
      <c r="U82" s="966">
        <v>19.843</v>
      </c>
      <c r="V82" s="799">
        <f t="shared" si="35"/>
        <v>20</v>
      </c>
      <c r="W82" s="966">
        <v>19.783999999999999</v>
      </c>
      <c r="X82" s="799">
        <f t="shared" si="36"/>
        <v>20</v>
      </c>
      <c r="Y82" s="966">
        <v>9.0999999999999998E-2</v>
      </c>
      <c r="Z82" s="799">
        <f t="shared" si="37"/>
        <v>0</v>
      </c>
      <c r="AA82" s="554">
        <v>0</v>
      </c>
      <c r="AB82" s="554">
        <v>0</v>
      </c>
      <c r="AC82" s="554">
        <v>2.6419999999999999</v>
      </c>
      <c r="AD82" s="554">
        <v>0.20300000000000001</v>
      </c>
      <c r="AE82" s="554">
        <v>2.3E-2</v>
      </c>
      <c r="AF82" s="554">
        <v>0.125</v>
      </c>
      <c r="AG82" s="554">
        <v>2.4169999999999998</v>
      </c>
      <c r="AH82" s="554">
        <v>5.0999999999999997E-2</v>
      </c>
      <c r="AI82" s="733"/>
    </row>
    <row r="83" spans="1:35" s="342" customFormat="1" ht="31.75">
      <c r="A83" s="349" t="s">
        <v>143</v>
      </c>
      <c r="B83" s="246" t="s">
        <v>460</v>
      </c>
      <c r="C83" s="536">
        <v>101.495</v>
      </c>
      <c r="D83" s="727">
        <f t="shared" si="27"/>
        <v>100</v>
      </c>
      <c r="E83" s="536">
        <v>37.008000000000003</v>
      </c>
      <c r="F83" s="727">
        <f t="shared" si="28"/>
        <v>35</v>
      </c>
      <c r="G83" s="536">
        <v>4.1120000000000001</v>
      </c>
      <c r="H83" s="727">
        <f t="shared" si="29"/>
        <v>4</v>
      </c>
      <c r="I83" s="536">
        <v>1.2689999999999999</v>
      </c>
      <c r="J83" s="727">
        <f t="shared" si="30"/>
        <v>1.5</v>
      </c>
      <c r="K83" s="536">
        <v>0</v>
      </c>
      <c r="L83" s="799">
        <f t="shared" si="38"/>
        <v>0</v>
      </c>
      <c r="M83" s="536">
        <v>0.14000000000000001</v>
      </c>
      <c r="N83" s="799">
        <f t="shared" si="31"/>
        <v>0</v>
      </c>
      <c r="O83" s="536">
        <v>72.807000000000002</v>
      </c>
      <c r="P83" s="799">
        <f t="shared" si="32"/>
        <v>75</v>
      </c>
      <c r="Q83" s="536">
        <v>15.414999999999999</v>
      </c>
      <c r="R83" s="799">
        <f t="shared" si="33"/>
        <v>15</v>
      </c>
      <c r="S83" s="536">
        <v>0.42499999999999999</v>
      </c>
      <c r="T83" s="799">
        <f t="shared" si="34"/>
        <v>0</v>
      </c>
      <c r="U83" s="536">
        <v>8.4429999999999996</v>
      </c>
      <c r="V83" s="799">
        <f t="shared" si="35"/>
        <v>8</v>
      </c>
      <c r="W83" s="536">
        <v>8.3710000000000004</v>
      </c>
      <c r="X83" s="799">
        <f t="shared" si="36"/>
        <v>8</v>
      </c>
      <c r="Y83" s="536">
        <v>0.89300000000000002</v>
      </c>
      <c r="Z83" s="799" t="str">
        <f t="shared" si="37"/>
        <v>less than 1 g</v>
      </c>
      <c r="AA83" s="536">
        <v>0</v>
      </c>
      <c r="AB83" s="536">
        <v>0</v>
      </c>
      <c r="AC83" s="536">
        <v>9.1910000000000007</v>
      </c>
      <c r="AD83" s="536">
        <v>0.70699999999999996</v>
      </c>
      <c r="AE83" s="536">
        <v>0.88700000000000001</v>
      </c>
      <c r="AF83" s="536">
        <v>4.9260000000000002</v>
      </c>
      <c r="AG83" s="536">
        <v>29.843</v>
      </c>
      <c r="AH83" s="536">
        <v>0.63500000000000001</v>
      </c>
    </row>
    <row r="84" spans="1:35" s="342" customFormat="1" ht="15" customHeight="1">
      <c r="A84" s="349" t="s">
        <v>296</v>
      </c>
      <c r="B84" s="349" t="s">
        <v>310</v>
      </c>
      <c r="C84" s="554">
        <v>96.659000000000006</v>
      </c>
      <c r="D84" s="727">
        <f t="shared" si="27"/>
        <v>100</v>
      </c>
      <c r="E84" s="554">
        <v>0</v>
      </c>
      <c r="F84" s="727">
        <f t="shared" si="28"/>
        <v>0</v>
      </c>
      <c r="G84" s="554">
        <v>0</v>
      </c>
      <c r="H84" s="727">
        <f t="shared" si="29"/>
        <v>0</v>
      </c>
      <c r="I84" s="554">
        <v>0</v>
      </c>
      <c r="J84" s="727">
        <f t="shared" si="30"/>
        <v>0</v>
      </c>
      <c r="K84" s="554">
        <v>0</v>
      </c>
      <c r="L84" s="799">
        <f t="shared" si="38"/>
        <v>0</v>
      </c>
      <c r="M84" s="554">
        <v>0</v>
      </c>
      <c r="N84" s="799">
        <f t="shared" si="31"/>
        <v>0</v>
      </c>
      <c r="O84" s="554">
        <v>10.778</v>
      </c>
      <c r="P84" s="799">
        <f t="shared" si="32"/>
        <v>10</v>
      </c>
      <c r="Q84" s="554">
        <v>24.503</v>
      </c>
      <c r="R84" s="799">
        <f t="shared" si="33"/>
        <v>25</v>
      </c>
      <c r="S84" s="554">
        <v>0</v>
      </c>
      <c r="T84" s="799">
        <f t="shared" si="34"/>
        <v>0</v>
      </c>
      <c r="U84" s="554">
        <v>23.516999999999999</v>
      </c>
      <c r="V84" s="799">
        <f t="shared" si="35"/>
        <v>24</v>
      </c>
      <c r="W84" s="554">
        <v>23.516999999999999</v>
      </c>
      <c r="X84" s="799">
        <f t="shared" si="36"/>
        <v>24</v>
      </c>
      <c r="Y84" s="554">
        <v>0</v>
      </c>
      <c r="Z84" s="799">
        <f t="shared" si="37"/>
        <v>0</v>
      </c>
      <c r="AA84" s="554">
        <v>0</v>
      </c>
      <c r="AB84" s="554">
        <v>0</v>
      </c>
      <c r="AC84" s="554">
        <v>2.4460000000000002</v>
      </c>
      <c r="AD84" s="554">
        <v>0.188</v>
      </c>
      <c r="AE84" s="554">
        <v>6.0000000000000001E-3</v>
      </c>
      <c r="AF84" s="554">
        <v>3.1E-2</v>
      </c>
      <c r="AG84" s="554">
        <v>0.23400000000000001</v>
      </c>
      <c r="AH84" s="554">
        <v>5.0000000000000001E-3</v>
      </c>
    </row>
    <row r="85" spans="1:35" s="342" customFormat="1" ht="31.75">
      <c r="A85" s="349" t="s">
        <v>396</v>
      </c>
      <c r="B85" s="530" t="s">
        <v>431</v>
      </c>
      <c r="C85" s="747">
        <v>322.505</v>
      </c>
      <c r="D85" s="727">
        <f t="shared" si="27"/>
        <v>320</v>
      </c>
      <c r="E85" s="747">
        <v>156.63999999999999</v>
      </c>
      <c r="F85" s="727">
        <f t="shared" si="28"/>
        <v>160</v>
      </c>
      <c r="G85" s="747">
        <v>17.404</v>
      </c>
      <c r="H85" s="727">
        <f t="shared" si="29"/>
        <v>17</v>
      </c>
      <c r="I85" s="747">
        <v>11.076000000000001</v>
      </c>
      <c r="J85" s="727">
        <f t="shared" si="30"/>
        <v>11</v>
      </c>
      <c r="K85" s="747">
        <v>0</v>
      </c>
      <c r="L85" s="799">
        <f>IF(K85&lt;0.5,0,IF(K85&gt;5,MROUND(K85,1),MROUND(#REF!,0.5)))</f>
        <v>0</v>
      </c>
      <c r="M85" s="747">
        <v>102.84399999999999</v>
      </c>
      <c r="N85" s="799">
        <f t="shared" si="31"/>
        <v>105</v>
      </c>
      <c r="O85" s="747">
        <v>222.52099999999999</v>
      </c>
      <c r="P85" s="799">
        <f t="shared" si="32"/>
        <v>220</v>
      </c>
      <c r="Q85" s="747">
        <v>37.536000000000001</v>
      </c>
      <c r="R85" s="799">
        <f t="shared" si="33"/>
        <v>38</v>
      </c>
      <c r="S85" s="747">
        <v>0</v>
      </c>
      <c r="T85" s="799">
        <f t="shared" si="34"/>
        <v>0</v>
      </c>
      <c r="U85" s="747">
        <v>29.355</v>
      </c>
      <c r="V85" s="799">
        <f t="shared" si="35"/>
        <v>29</v>
      </c>
      <c r="W85" s="747">
        <v>0.80800000000000005</v>
      </c>
      <c r="X85" s="799" t="str">
        <f t="shared" si="36"/>
        <v>less than 1 g</v>
      </c>
      <c r="Y85" s="747">
        <v>6.3289999999999997</v>
      </c>
      <c r="Z85" s="799">
        <f t="shared" si="37"/>
        <v>6</v>
      </c>
      <c r="AA85" s="1131">
        <v>0</v>
      </c>
      <c r="AB85" s="1131">
        <v>0</v>
      </c>
      <c r="AC85" s="1131">
        <v>308.76900000000001</v>
      </c>
      <c r="AD85" s="1131">
        <v>23.751000000000001</v>
      </c>
      <c r="AE85" s="1131">
        <v>0</v>
      </c>
      <c r="AF85" s="1131">
        <v>0</v>
      </c>
      <c r="AG85" s="1131">
        <v>2.1549999999999998</v>
      </c>
      <c r="AH85" s="1131">
        <v>4.5999999999999999E-2</v>
      </c>
    </row>
    <row r="86" spans="1:35" s="342" customFormat="1" ht="31.75">
      <c r="A86" s="349" t="s">
        <v>296</v>
      </c>
      <c r="B86" s="349" t="s">
        <v>311</v>
      </c>
      <c r="C86" s="669">
        <v>80.382000000000005</v>
      </c>
      <c r="D86" s="727">
        <f t="shared" si="27"/>
        <v>80</v>
      </c>
      <c r="E86" s="669">
        <v>0</v>
      </c>
      <c r="F86" s="727">
        <f t="shared" si="28"/>
        <v>0</v>
      </c>
      <c r="G86" s="669">
        <v>0</v>
      </c>
      <c r="H86" s="727">
        <f t="shared" si="29"/>
        <v>0</v>
      </c>
      <c r="I86" s="669">
        <v>0</v>
      </c>
      <c r="J86" s="727">
        <f t="shared" si="30"/>
        <v>0</v>
      </c>
      <c r="K86" s="669">
        <v>0</v>
      </c>
      <c r="L86" s="799">
        <f t="shared" ref="L86:L101" si="39">IF(K86&lt;0.5,0,IF(K86&gt;5,MROUND(K86,1),MROUND(K85,0.5)))</f>
        <v>0</v>
      </c>
      <c r="M86" s="669">
        <v>0</v>
      </c>
      <c r="N86" s="799">
        <f t="shared" si="31"/>
        <v>0</v>
      </c>
      <c r="O86" s="669">
        <v>12.48</v>
      </c>
      <c r="P86" s="799">
        <f t="shared" si="32"/>
        <v>10</v>
      </c>
      <c r="Q86" s="669">
        <v>20.533000000000001</v>
      </c>
      <c r="R86" s="799">
        <f t="shared" si="33"/>
        <v>21</v>
      </c>
      <c r="S86" s="669">
        <v>5.2999999999999999E-2</v>
      </c>
      <c r="T86" s="799">
        <f t="shared" si="34"/>
        <v>0</v>
      </c>
      <c r="U86" s="669">
        <v>19.946999999999999</v>
      </c>
      <c r="V86" s="799">
        <f t="shared" si="35"/>
        <v>20</v>
      </c>
      <c r="W86" s="669">
        <v>19.760000000000002</v>
      </c>
      <c r="X86" s="799">
        <f t="shared" si="36"/>
        <v>20</v>
      </c>
      <c r="Y86" s="669">
        <v>3.6999999999999998E-2</v>
      </c>
      <c r="Z86" s="799">
        <f t="shared" si="37"/>
        <v>0</v>
      </c>
      <c r="AA86" s="669">
        <v>0</v>
      </c>
      <c r="AB86" s="669">
        <v>0</v>
      </c>
      <c r="AC86" s="669">
        <v>2.6659999999999999</v>
      </c>
      <c r="AD86" s="669">
        <v>0.20499999999999999</v>
      </c>
      <c r="AE86" s="669">
        <v>0.02</v>
      </c>
      <c r="AF86" s="669">
        <v>0.112</v>
      </c>
      <c r="AG86" s="669">
        <v>0.33500000000000002</v>
      </c>
      <c r="AH86" s="669">
        <v>7.0000000000000001E-3</v>
      </c>
    </row>
    <row r="87" spans="1:35" s="342" customFormat="1" ht="31.75">
      <c r="A87" s="349" t="s">
        <v>143</v>
      </c>
      <c r="B87" s="246" t="s">
        <v>463</v>
      </c>
      <c r="C87" s="536">
        <v>208.47900000000001</v>
      </c>
      <c r="D87" s="727">
        <f t="shared" si="27"/>
        <v>210</v>
      </c>
      <c r="E87" s="536">
        <v>171.55</v>
      </c>
      <c r="F87" s="727">
        <f t="shared" si="28"/>
        <v>170</v>
      </c>
      <c r="G87" s="536">
        <v>19.061</v>
      </c>
      <c r="H87" s="727">
        <f t="shared" si="29"/>
        <v>19</v>
      </c>
      <c r="I87" s="536">
        <v>3.1640000000000001</v>
      </c>
      <c r="J87" s="727">
        <f t="shared" si="30"/>
        <v>3</v>
      </c>
      <c r="K87" s="536">
        <v>0</v>
      </c>
      <c r="L87" s="799">
        <f t="shared" si="39"/>
        <v>0</v>
      </c>
      <c r="M87" s="536">
        <v>0</v>
      </c>
      <c r="N87" s="799">
        <f t="shared" si="31"/>
        <v>0</v>
      </c>
      <c r="O87" s="536">
        <v>141.21299999999999</v>
      </c>
      <c r="P87" s="799">
        <f t="shared" si="32"/>
        <v>140</v>
      </c>
      <c r="Q87" s="536">
        <v>5.9530000000000003</v>
      </c>
      <c r="R87" s="799">
        <f t="shared" si="33"/>
        <v>6</v>
      </c>
      <c r="S87" s="536">
        <v>2.0680000000000001</v>
      </c>
      <c r="T87" s="799">
        <f t="shared" si="34"/>
        <v>2</v>
      </c>
      <c r="U87" s="536">
        <v>2.9929999999999999</v>
      </c>
      <c r="V87" s="799">
        <f t="shared" si="35"/>
        <v>3</v>
      </c>
      <c r="W87" s="536">
        <v>2.0259999999999998</v>
      </c>
      <c r="X87" s="799">
        <f t="shared" si="36"/>
        <v>2</v>
      </c>
      <c r="Y87" s="536">
        <v>6.2789999999999999</v>
      </c>
      <c r="Z87" s="799">
        <f t="shared" si="37"/>
        <v>6</v>
      </c>
      <c r="AA87" s="536">
        <v>0</v>
      </c>
      <c r="AB87" s="536">
        <v>0</v>
      </c>
      <c r="AC87" s="536">
        <v>22.6</v>
      </c>
      <c r="AD87" s="536">
        <v>1.738</v>
      </c>
      <c r="AE87" s="536">
        <v>1.115</v>
      </c>
      <c r="AF87" s="536">
        <v>6.194</v>
      </c>
      <c r="AG87" s="536">
        <v>171.601</v>
      </c>
      <c r="AH87" s="536">
        <v>3.6509999999999998</v>
      </c>
    </row>
    <row r="88" spans="1:35" s="342" customFormat="1" ht="15.75" customHeight="1">
      <c r="A88" s="349" t="s">
        <v>470</v>
      </c>
      <c r="B88" s="246" t="s">
        <v>465</v>
      </c>
      <c r="C88" s="536">
        <v>208.47900000000001</v>
      </c>
      <c r="D88" s="727">
        <f t="shared" si="27"/>
        <v>210</v>
      </c>
      <c r="E88" s="536">
        <v>171.55</v>
      </c>
      <c r="F88" s="727">
        <f t="shared" si="28"/>
        <v>170</v>
      </c>
      <c r="G88" s="536">
        <v>19.061</v>
      </c>
      <c r="H88" s="727">
        <f t="shared" si="29"/>
        <v>19</v>
      </c>
      <c r="I88" s="536">
        <v>3.1640000000000001</v>
      </c>
      <c r="J88" s="727">
        <f t="shared" si="30"/>
        <v>3</v>
      </c>
      <c r="K88" s="536">
        <v>0</v>
      </c>
      <c r="L88" s="799">
        <f t="shared" si="39"/>
        <v>0</v>
      </c>
      <c r="M88" s="536">
        <v>0</v>
      </c>
      <c r="N88" s="799">
        <f t="shared" si="31"/>
        <v>0</v>
      </c>
      <c r="O88" s="536">
        <v>141.21299999999999</v>
      </c>
      <c r="P88" s="799">
        <f t="shared" si="32"/>
        <v>140</v>
      </c>
      <c r="Q88" s="536">
        <v>5.9530000000000003</v>
      </c>
      <c r="R88" s="799">
        <f t="shared" si="33"/>
        <v>6</v>
      </c>
      <c r="S88" s="536">
        <v>2.0680000000000001</v>
      </c>
      <c r="T88" s="799">
        <f t="shared" si="34"/>
        <v>2</v>
      </c>
      <c r="U88" s="536">
        <v>2.9929999999999999</v>
      </c>
      <c r="V88" s="799">
        <f t="shared" si="35"/>
        <v>3</v>
      </c>
      <c r="W88" s="536">
        <v>2.0259999999999998</v>
      </c>
      <c r="X88" s="799">
        <f t="shared" si="36"/>
        <v>2</v>
      </c>
      <c r="Y88" s="536">
        <v>6.2789999999999999</v>
      </c>
      <c r="Z88" s="799">
        <f t="shared" si="37"/>
        <v>6</v>
      </c>
      <c r="AA88" s="536">
        <v>0</v>
      </c>
      <c r="AB88" s="536">
        <v>0</v>
      </c>
      <c r="AC88" s="536">
        <v>22.6</v>
      </c>
      <c r="AD88" s="536">
        <v>1.738</v>
      </c>
      <c r="AE88" s="536">
        <v>1.115</v>
      </c>
      <c r="AF88" s="536">
        <v>6.194</v>
      </c>
      <c r="AG88" s="536">
        <v>171.601</v>
      </c>
      <c r="AH88" s="536">
        <v>3.6509999999999998</v>
      </c>
    </row>
    <row r="89" spans="1:35" s="342" customFormat="1" ht="31.75">
      <c r="A89" s="349" t="s">
        <v>143</v>
      </c>
      <c r="B89" s="246" t="s">
        <v>459</v>
      </c>
      <c r="C89" s="536">
        <v>50.241</v>
      </c>
      <c r="D89" s="727">
        <f t="shared" si="27"/>
        <v>50</v>
      </c>
      <c r="E89" s="536">
        <v>22.099</v>
      </c>
      <c r="F89" s="727">
        <f t="shared" si="28"/>
        <v>20</v>
      </c>
      <c r="G89" s="536">
        <v>2.4550000000000001</v>
      </c>
      <c r="H89" s="727">
        <f t="shared" si="29"/>
        <v>2.5</v>
      </c>
      <c r="I89" s="536">
        <v>1.2410000000000001</v>
      </c>
      <c r="J89" s="727">
        <f t="shared" si="30"/>
        <v>1</v>
      </c>
      <c r="K89" s="536">
        <v>5.0999999999999997E-2</v>
      </c>
      <c r="L89" s="799">
        <f t="shared" si="39"/>
        <v>0</v>
      </c>
      <c r="M89" s="536">
        <v>3.1749999999999998</v>
      </c>
      <c r="N89" s="799" t="str">
        <f t="shared" si="31"/>
        <v>less than 5 mg</v>
      </c>
      <c r="O89" s="536">
        <v>12.585000000000001</v>
      </c>
      <c r="P89" s="799">
        <f t="shared" si="32"/>
        <v>15</v>
      </c>
      <c r="Q89" s="536">
        <v>6.6509999999999998</v>
      </c>
      <c r="R89" s="799">
        <f t="shared" si="33"/>
        <v>7</v>
      </c>
      <c r="S89" s="536">
        <v>0.15</v>
      </c>
      <c r="T89" s="799">
        <f t="shared" si="34"/>
        <v>0</v>
      </c>
      <c r="U89" s="536">
        <v>2.121</v>
      </c>
      <c r="V89" s="799">
        <f t="shared" si="35"/>
        <v>2</v>
      </c>
      <c r="W89" s="536">
        <v>2.12</v>
      </c>
      <c r="X89" s="799">
        <f t="shared" si="36"/>
        <v>2</v>
      </c>
      <c r="Y89" s="536">
        <v>0.52900000000000003</v>
      </c>
      <c r="Z89" s="799" t="str">
        <f t="shared" si="37"/>
        <v>less than 1 g</v>
      </c>
      <c r="AA89" s="536">
        <v>1.4999999999999999E-2</v>
      </c>
      <c r="AB89" s="536">
        <v>7.6999999999999999E-2</v>
      </c>
      <c r="AC89" s="536">
        <v>1.2330000000000001</v>
      </c>
      <c r="AD89" s="536">
        <v>9.5000000000000001E-2</v>
      </c>
      <c r="AE89" s="536">
        <v>0.26800000000000002</v>
      </c>
      <c r="AF89" s="536">
        <v>1.4910000000000001</v>
      </c>
      <c r="AG89" s="536">
        <v>6.8330000000000002</v>
      </c>
      <c r="AH89" s="536">
        <v>0.14499999999999999</v>
      </c>
    </row>
    <row r="90" spans="1:35" s="342" customFormat="1" ht="31.75">
      <c r="A90" s="349" t="s">
        <v>296</v>
      </c>
      <c r="B90" s="349" t="s">
        <v>58</v>
      </c>
      <c r="C90" s="669">
        <v>92.203999999999994</v>
      </c>
      <c r="D90" s="727">
        <f t="shared" si="27"/>
        <v>90</v>
      </c>
      <c r="E90" s="669">
        <v>0</v>
      </c>
      <c r="F90" s="727">
        <f t="shared" si="28"/>
        <v>0</v>
      </c>
      <c r="G90" s="669">
        <v>0.22500000000000001</v>
      </c>
      <c r="H90" s="727">
        <f t="shared" si="29"/>
        <v>0</v>
      </c>
      <c r="I90" s="669">
        <v>0</v>
      </c>
      <c r="J90" s="727">
        <f t="shared" si="30"/>
        <v>0</v>
      </c>
      <c r="K90" s="669">
        <v>0</v>
      </c>
      <c r="L90" s="799">
        <f t="shared" si="39"/>
        <v>0</v>
      </c>
      <c r="M90" s="669">
        <v>0</v>
      </c>
      <c r="N90" s="799">
        <f t="shared" si="31"/>
        <v>0</v>
      </c>
      <c r="O90" s="669">
        <v>13.747999999999999</v>
      </c>
      <c r="P90" s="799">
        <f t="shared" si="32"/>
        <v>15</v>
      </c>
      <c r="Q90" s="669">
        <v>23.372</v>
      </c>
      <c r="R90" s="799">
        <f t="shared" si="33"/>
        <v>23</v>
      </c>
      <c r="S90" s="669">
        <v>4.3999999999999997E-2</v>
      </c>
      <c r="T90" s="799">
        <f t="shared" si="34"/>
        <v>0</v>
      </c>
      <c r="U90" s="669">
        <v>22.457000000000001</v>
      </c>
      <c r="V90" s="799">
        <f t="shared" si="35"/>
        <v>22</v>
      </c>
      <c r="W90" s="669">
        <v>22.234999999999999</v>
      </c>
      <c r="X90" s="799">
        <f t="shared" si="36"/>
        <v>22</v>
      </c>
      <c r="Y90" s="669">
        <v>1.4999999999999999E-2</v>
      </c>
      <c r="Z90" s="799">
        <f t="shared" si="37"/>
        <v>0</v>
      </c>
      <c r="AA90" s="669">
        <v>0</v>
      </c>
      <c r="AB90" s="669">
        <v>0</v>
      </c>
      <c r="AC90" s="669">
        <v>3.6269999999999998</v>
      </c>
      <c r="AD90" s="669">
        <v>0.27900000000000003</v>
      </c>
      <c r="AE90" s="669">
        <v>2.8000000000000001E-2</v>
      </c>
      <c r="AF90" s="669">
        <v>0.157</v>
      </c>
      <c r="AG90" s="669">
        <v>0.53600000000000003</v>
      </c>
      <c r="AH90" s="669">
        <v>1.0999999999999999E-2</v>
      </c>
    </row>
    <row r="91" spans="1:35" s="342" customFormat="1" ht="31.75">
      <c r="A91" s="349" t="s">
        <v>296</v>
      </c>
      <c r="B91" s="349" t="s">
        <v>59</v>
      </c>
      <c r="C91" s="669">
        <v>84.724999999999994</v>
      </c>
      <c r="D91" s="727">
        <f t="shared" si="27"/>
        <v>80</v>
      </c>
      <c r="E91" s="669">
        <v>0</v>
      </c>
      <c r="F91" s="727">
        <f t="shared" si="28"/>
        <v>0</v>
      </c>
      <c r="G91" s="669">
        <v>0</v>
      </c>
      <c r="H91" s="727">
        <f t="shared" si="29"/>
        <v>0</v>
      </c>
      <c r="I91" s="669">
        <v>0</v>
      </c>
      <c r="J91" s="727">
        <f t="shared" si="30"/>
        <v>0</v>
      </c>
      <c r="K91" s="669">
        <v>0</v>
      </c>
      <c r="L91" s="799">
        <f t="shared" si="39"/>
        <v>0</v>
      </c>
      <c r="M91" s="669">
        <v>0</v>
      </c>
      <c r="N91" s="799">
        <f t="shared" si="31"/>
        <v>0</v>
      </c>
      <c r="O91" s="669">
        <v>13.269</v>
      </c>
      <c r="P91" s="799">
        <f t="shared" si="32"/>
        <v>15</v>
      </c>
      <c r="Q91" s="669">
        <v>21.15</v>
      </c>
      <c r="R91" s="799">
        <f t="shared" si="33"/>
        <v>21</v>
      </c>
      <c r="S91" s="669">
        <v>0.02</v>
      </c>
      <c r="T91" s="799">
        <f t="shared" si="34"/>
        <v>0</v>
      </c>
      <c r="U91" s="669">
        <v>20.427</v>
      </c>
      <c r="V91" s="799">
        <f t="shared" si="35"/>
        <v>20</v>
      </c>
      <c r="W91" s="669">
        <v>20.074999999999999</v>
      </c>
      <c r="X91" s="799">
        <f t="shared" si="36"/>
        <v>20</v>
      </c>
      <c r="Y91" s="669">
        <v>1.4999999999999999E-2</v>
      </c>
      <c r="Z91" s="799">
        <f t="shared" si="37"/>
        <v>0</v>
      </c>
      <c r="AA91" s="669">
        <v>0</v>
      </c>
      <c r="AB91" s="669">
        <v>0</v>
      </c>
      <c r="AC91" s="669">
        <v>3.0859999999999999</v>
      </c>
      <c r="AD91" s="669">
        <v>0.23699999999999999</v>
      </c>
      <c r="AE91" s="669">
        <v>0.106</v>
      </c>
      <c r="AF91" s="669">
        <v>0.59</v>
      </c>
      <c r="AG91" s="669">
        <v>4.6719999999999997</v>
      </c>
      <c r="AH91" s="669">
        <v>9.9000000000000005E-2</v>
      </c>
    </row>
    <row r="92" spans="1:35" s="342" customFormat="1" ht="31.75">
      <c r="A92" s="349" t="s">
        <v>396</v>
      </c>
      <c r="B92" s="530" t="s">
        <v>417</v>
      </c>
      <c r="C92" s="747">
        <v>323.17899999999997</v>
      </c>
      <c r="D92" s="727">
        <f t="shared" si="27"/>
        <v>320</v>
      </c>
      <c r="E92" s="747">
        <v>151.22499999999999</v>
      </c>
      <c r="F92" s="727">
        <f t="shared" si="28"/>
        <v>150</v>
      </c>
      <c r="G92" s="747">
        <v>16.803000000000001</v>
      </c>
      <c r="H92" s="727">
        <f t="shared" si="29"/>
        <v>17</v>
      </c>
      <c r="I92" s="747">
        <v>10.693</v>
      </c>
      <c r="J92" s="727">
        <f t="shared" si="30"/>
        <v>11</v>
      </c>
      <c r="K92" s="747">
        <v>0</v>
      </c>
      <c r="L92" s="799">
        <f t="shared" si="39"/>
        <v>0</v>
      </c>
      <c r="M92" s="747">
        <v>99.289000000000001</v>
      </c>
      <c r="N92" s="799">
        <f t="shared" si="31"/>
        <v>100</v>
      </c>
      <c r="O92" s="747">
        <v>216.946</v>
      </c>
      <c r="P92" s="799">
        <f t="shared" si="32"/>
        <v>220</v>
      </c>
      <c r="Q92" s="747">
        <v>38.491</v>
      </c>
      <c r="R92" s="799">
        <f t="shared" si="33"/>
        <v>38</v>
      </c>
      <c r="S92" s="747">
        <v>0</v>
      </c>
      <c r="T92" s="799">
        <f t="shared" si="34"/>
        <v>0</v>
      </c>
      <c r="U92" s="747">
        <v>29.527999999999999</v>
      </c>
      <c r="V92" s="799">
        <f t="shared" si="35"/>
        <v>30</v>
      </c>
      <c r="W92" s="747">
        <v>2.032</v>
      </c>
      <c r="X92" s="799">
        <f t="shared" si="36"/>
        <v>2</v>
      </c>
      <c r="Y92" s="747">
        <v>6.11</v>
      </c>
      <c r="Z92" s="799">
        <f t="shared" si="37"/>
        <v>6</v>
      </c>
      <c r="AA92" s="1131">
        <v>0</v>
      </c>
      <c r="AB92" s="1131">
        <v>0</v>
      </c>
      <c r="AC92" s="1131">
        <v>298.39800000000002</v>
      </c>
      <c r="AD92" s="1131">
        <v>22.954000000000001</v>
      </c>
      <c r="AE92" s="1131">
        <v>0</v>
      </c>
      <c r="AF92" s="1131">
        <v>0</v>
      </c>
      <c r="AG92" s="1131">
        <v>2.621</v>
      </c>
      <c r="AH92" s="1131">
        <v>5.6000000000000001E-2</v>
      </c>
    </row>
    <row r="93" spans="1:35" s="342" customFormat="1" ht="15" customHeight="1">
      <c r="A93" s="349" t="s">
        <v>396</v>
      </c>
      <c r="B93" s="530" t="s">
        <v>140</v>
      </c>
      <c r="C93" s="747">
        <v>321.255</v>
      </c>
      <c r="D93" s="727">
        <f t="shared" si="27"/>
        <v>320</v>
      </c>
      <c r="E93" s="747">
        <v>153.625</v>
      </c>
      <c r="F93" s="727">
        <f t="shared" si="28"/>
        <v>150</v>
      </c>
      <c r="G93" s="747">
        <v>17.07</v>
      </c>
      <c r="H93" s="727">
        <f t="shared" si="29"/>
        <v>17</v>
      </c>
      <c r="I93" s="747">
        <v>10.862</v>
      </c>
      <c r="J93" s="727">
        <f t="shared" si="30"/>
        <v>11</v>
      </c>
      <c r="K93" s="747">
        <v>0</v>
      </c>
      <c r="L93" s="799">
        <f t="shared" si="39"/>
        <v>0</v>
      </c>
      <c r="M93" s="747">
        <v>100.86499999999999</v>
      </c>
      <c r="N93" s="799">
        <f t="shared" si="31"/>
        <v>100</v>
      </c>
      <c r="O93" s="747">
        <v>224.30099999999999</v>
      </c>
      <c r="P93" s="799">
        <f t="shared" si="32"/>
        <v>220</v>
      </c>
      <c r="Q93" s="747">
        <v>36.524000000000001</v>
      </c>
      <c r="R93" s="799">
        <f t="shared" si="33"/>
        <v>37</v>
      </c>
      <c r="S93" s="747">
        <v>0</v>
      </c>
      <c r="T93" s="799">
        <f t="shared" si="34"/>
        <v>0</v>
      </c>
      <c r="U93" s="747">
        <v>29.599</v>
      </c>
      <c r="V93" s="799">
        <f t="shared" si="35"/>
        <v>30</v>
      </c>
      <c r="W93" s="747">
        <v>1.667</v>
      </c>
      <c r="X93" s="799">
        <f t="shared" si="36"/>
        <v>2</v>
      </c>
      <c r="Y93" s="747">
        <v>6.2069999999999999</v>
      </c>
      <c r="Z93" s="799">
        <f t="shared" si="37"/>
        <v>6</v>
      </c>
      <c r="AA93" s="1131">
        <v>0</v>
      </c>
      <c r="AB93" s="1131">
        <v>0</v>
      </c>
      <c r="AC93" s="1131">
        <v>302.98</v>
      </c>
      <c r="AD93" s="1131">
        <v>23.306000000000001</v>
      </c>
      <c r="AE93" s="1131">
        <v>0</v>
      </c>
      <c r="AF93" s="1131">
        <v>0</v>
      </c>
      <c r="AG93" s="1131">
        <v>1.988</v>
      </c>
      <c r="AH93" s="1131">
        <v>4.2000000000000003E-2</v>
      </c>
    </row>
    <row r="94" spans="1:35" s="342" customFormat="1" ht="15.65" customHeight="1">
      <c r="A94" s="349" t="s">
        <v>92</v>
      </c>
      <c r="B94" s="349" t="s">
        <v>111</v>
      </c>
      <c r="C94" s="965">
        <v>101.762</v>
      </c>
      <c r="D94" s="727">
        <f t="shared" si="27"/>
        <v>100</v>
      </c>
      <c r="E94" s="965">
        <v>3.5880000000000001</v>
      </c>
      <c r="F94" s="727">
        <f t="shared" si="28"/>
        <v>0</v>
      </c>
      <c r="G94" s="965">
        <v>1.42</v>
      </c>
      <c r="H94" s="727">
        <f t="shared" si="29"/>
        <v>1.5</v>
      </c>
      <c r="I94" s="965">
        <v>1.204</v>
      </c>
      <c r="J94" s="727">
        <f t="shared" si="30"/>
        <v>1</v>
      </c>
      <c r="K94" s="965">
        <v>8.0000000000000002E-3</v>
      </c>
      <c r="L94" s="799">
        <f t="shared" si="39"/>
        <v>0</v>
      </c>
      <c r="M94" s="965">
        <v>0.98799999999999999</v>
      </c>
      <c r="N94" s="799">
        <f t="shared" si="31"/>
        <v>0</v>
      </c>
      <c r="O94" s="965">
        <v>23.738</v>
      </c>
      <c r="P94" s="799">
        <f t="shared" si="32"/>
        <v>25</v>
      </c>
      <c r="Q94" s="965">
        <v>22.247</v>
      </c>
      <c r="R94" s="799">
        <f t="shared" si="33"/>
        <v>22</v>
      </c>
      <c r="S94" s="965">
        <v>0.155</v>
      </c>
      <c r="T94" s="799">
        <f t="shared" si="34"/>
        <v>0</v>
      </c>
      <c r="U94" s="965">
        <v>20.327000000000002</v>
      </c>
      <c r="V94" s="799">
        <f t="shared" si="35"/>
        <v>20</v>
      </c>
      <c r="W94" s="965">
        <v>20.091999999999999</v>
      </c>
      <c r="X94" s="799">
        <f t="shared" si="36"/>
        <v>20</v>
      </c>
      <c r="Y94" s="965">
        <v>0.20599999999999999</v>
      </c>
      <c r="Z94" s="799">
        <f t="shared" si="37"/>
        <v>0</v>
      </c>
      <c r="AA94" s="669">
        <v>0</v>
      </c>
      <c r="AB94" s="669">
        <v>0</v>
      </c>
      <c r="AC94" s="669">
        <v>6.0270000000000001</v>
      </c>
      <c r="AD94" s="669">
        <v>0.46400000000000002</v>
      </c>
      <c r="AE94" s="669">
        <v>7.6999999999999999E-2</v>
      </c>
      <c r="AF94" s="669">
        <v>0.42499999999999999</v>
      </c>
      <c r="AG94" s="669">
        <v>13.29</v>
      </c>
      <c r="AH94" s="669">
        <v>0.28299999999999997</v>
      </c>
    </row>
    <row r="95" spans="1:35" s="342" customFormat="1" ht="31.75">
      <c r="A95" s="349" t="s">
        <v>396</v>
      </c>
      <c r="B95" s="530" t="s">
        <v>398</v>
      </c>
      <c r="C95" s="747">
        <v>320.97199999999998</v>
      </c>
      <c r="D95" s="727">
        <f t="shared" si="27"/>
        <v>320</v>
      </c>
      <c r="E95" s="747">
        <v>152.69</v>
      </c>
      <c r="F95" s="727">
        <f t="shared" si="28"/>
        <v>150</v>
      </c>
      <c r="G95" s="747">
        <v>16.966000000000001</v>
      </c>
      <c r="H95" s="727">
        <f t="shared" si="29"/>
        <v>17</v>
      </c>
      <c r="I95" s="747">
        <v>10.795999999999999</v>
      </c>
      <c r="J95" s="727">
        <f t="shared" si="30"/>
        <v>11</v>
      </c>
      <c r="K95" s="747">
        <v>0</v>
      </c>
      <c r="L95" s="799">
        <f t="shared" si="39"/>
        <v>0</v>
      </c>
      <c r="M95" s="747">
        <v>100.251</v>
      </c>
      <c r="N95" s="799">
        <f t="shared" si="31"/>
        <v>100</v>
      </c>
      <c r="O95" s="747">
        <v>226.04400000000001</v>
      </c>
      <c r="P95" s="799">
        <f t="shared" si="32"/>
        <v>230</v>
      </c>
      <c r="Q95" s="747">
        <v>37.308</v>
      </c>
      <c r="R95" s="799">
        <f t="shared" si="33"/>
        <v>37</v>
      </c>
      <c r="S95" s="747">
        <v>0</v>
      </c>
      <c r="T95" s="799">
        <f t="shared" si="34"/>
        <v>0</v>
      </c>
      <c r="U95" s="747">
        <v>29.675000000000001</v>
      </c>
      <c r="V95" s="799">
        <f t="shared" si="35"/>
        <v>30</v>
      </c>
      <c r="W95" s="747">
        <v>1.913</v>
      </c>
      <c r="X95" s="799">
        <f t="shared" si="36"/>
        <v>2</v>
      </c>
      <c r="Y95" s="747">
        <v>6.1689999999999996</v>
      </c>
      <c r="Z95" s="799">
        <f t="shared" si="37"/>
        <v>6</v>
      </c>
      <c r="AA95" s="1131">
        <v>0</v>
      </c>
      <c r="AB95" s="1131">
        <v>0</v>
      </c>
      <c r="AC95" s="1131">
        <v>301.29599999999999</v>
      </c>
      <c r="AD95" s="1131">
        <v>23.177</v>
      </c>
      <c r="AE95" s="1131">
        <v>3.4000000000000002E-2</v>
      </c>
      <c r="AF95" s="1131">
        <v>0.187</v>
      </c>
      <c r="AG95" s="1131">
        <v>4.8129999999999997</v>
      </c>
      <c r="AH95" s="1131">
        <v>0.10199999999999999</v>
      </c>
    </row>
    <row r="96" spans="1:35" s="342" customFormat="1" ht="31.75">
      <c r="A96" s="349" t="s">
        <v>92</v>
      </c>
      <c r="B96" s="349" t="s">
        <v>112</v>
      </c>
      <c r="C96" s="965">
        <v>89.028999999999996</v>
      </c>
      <c r="D96" s="727">
        <f t="shared" si="27"/>
        <v>90</v>
      </c>
      <c r="E96" s="965">
        <v>1.7999999999999999E-2</v>
      </c>
      <c r="F96" s="727">
        <f t="shared" si="28"/>
        <v>0</v>
      </c>
      <c r="G96" s="965">
        <v>1.0269999999999999</v>
      </c>
      <c r="H96" s="727">
        <f t="shared" si="29"/>
        <v>1</v>
      </c>
      <c r="I96" s="965">
        <v>0.95199999999999996</v>
      </c>
      <c r="J96" s="727">
        <f t="shared" si="30"/>
        <v>1</v>
      </c>
      <c r="K96" s="965">
        <v>0</v>
      </c>
      <c r="L96" s="799">
        <f t="shared" si="39"/>
        <v>0</v>
      </c>
      <c r="M96" s="965">
        <v>0</v>
      </c>
      <c r="N96" s="799">
        <f t="shared" si="31"/>
        <v>0</v>
      </c>
      <c r="O96" s="965">
        <v>21.167000000000002</v>
      </c>
      <c r="P96" s="799">
        <f t="shared" si="32"/>
        <v>20</v>
      </c>
      <c r="Q96" s="965">
        <v>20.024999999999999</v>
      </c>
      <c r="R96" s="799">
        <f t="shared" si="33"/>
        <v>20</v>
      </c>
      <c r="S96" s="965">
        <v>0.30399999999999999</v>
      </c>
      <c r="T96" s="799">
        <f t="shared" si="34"/>
        <v>0</v>
      </c>
      <c r="U96" s="965">
        <v>18.431999999999999</v>
      </c>
      <c r="V96" s="799">
        <f t="shared" si="35"/>
        <v>18</v>
      </c>
      <c r="W96" s="965">
        <v>18.109000000000002</v>
      </c>
      <c r="X96" s="799">
        <f t="shared" si="36"/>
        <v>18</v>
      </c>
      <c r="Y96" s="965">
        <v>0.186</v>
      </c>
      <c r="Z96" s="799">
        <f t="shared" si="37"/>
        <v>0</v>
      </c>
      <c r="AA96" s="669">
        <v>0</v>
      </c>
      <c r="AB96" s="669">
        <v>0</v>
      </c>
      <c r="AC96" s="669">
        <v>5.298</v>
      </c>
      <c r="AD96" s="669">
        <v>0.40799999999999997</v>
      </c>
      <c r="AE96" s="669">
        <v>0</v>
      </c>
      <c r="AF96" s="669">
        <v>0</v>
      </c>
      <c r="AG96" s="669">
        <v>0</v>
      </c>
      <c r="AH96" s="669">
        <v>0</v>
      </c>
    </row>
    <row r="97" spans="1:35" s="733" customFormat="1" ht="31.75">
      <c r="A97" s="349" t="s">
        <v>92</v>
      </c>
      <c r="B97" s="349" t="s">
        <v>321</v>
      </c>
      <c r="C97" s="965">
        <v>90.141000000000005</v>
      </c>
      <c r="D97" s="727">
        <f t="shared" si="27"/>
        <v>90</v>
      </c>
      <c r="E97" s="965">
        <v>0.216</v>
      </c>
      <c r="F97" s="727">
        <f t="shared" si="28"/>
        <v>0</v>
      </c>
      <c r="G97" s="965">
        <v>1.0169999999999999</v>
      </c>
      <c r="H97" s="727">
        <f t="shared" si="29"/>
        <v>1</v>
      </c>
      <c r="I97" s="965">
        <v>0.92300000000000004</v>
      </c>
      <c r="J97" s="727">
        <f t="shared" si="30"/>
        <v>1</v>
      </c>
      <c r="K97" s="965">
        <v>0</v>
      </c>
      <c r="L97" s="799">
        <f t="shared" si="39"/>
        <v>0</v>
      </c>
      <c r="M97" s="965">
        <v>0</v>
      </c>
      <c r="N97" s="799">
        <f t="shared" si="31"/>
        <v>0</v>
      </c>
      <c r="O97" s="965">
        <v>20.603999999999999</v>
      </c>
      <c r="P97" s="799">
        <f t="shared" si="32"/>
        <v>20</v>
      </c>
      <c r="Q97" s="965">
        <v>20.277000000000001</v>
      </c>
      <c r="R97" s="799">
        <f t="shared" si="33"/>
        <v>20</v>
      </c>
      <c r="S97" s="965">
        <v>0.224</v>
      </c>
      <c r="T97" s="799">
        <f t="shared" si="34"/>
        <v>0</v>
      </c>
      <c r="U97" s="965">
        <v>18.786000000000001</v>
      </c>
      <c r="V97" s="799">
        <f t="shared" si="35"/>
        <v>19</v>
      </c>
      <c r="W97" s="965">
        <v>18.47</v>
      </c>
      <c r="X97" s="799">
        <f t="shared" si="36"/>
        <v>18</v>
      </c>
      <c r="Y97" s="965">
        <v>0.157</v>
      </c>
      <c r="Z97" s="799">
        <f t="shared" si="37"/>
        <v>0</v>
      </c>
      <c r="AA97" s="669">
        <v>0</v>
      </c>
      <c r="AB97" s="669">
        <v>0</v>
      </c>
      <c r="AC97" s="669">
        <v>3.6419999999999999</v>
      </c>
      <c r="AD97" s="669">
        <v>0.28000000000000003</v>
      </c>
      <c r="AE97" s="669">
        <v>5.3999999999999999E-2</v>
      </c>
      <c r="AF97" s="669">
        <v>0.29899999999999999</v>
      </c>
      <c r="AG97" s="669">
        <v>10.475</v>
      </c>
      <c r="AH97" s="669">
        <v>0.223</v>
      </c>
      <c r="AI97" s="956"/>
    </row>
    <row r="98" spans="1:35" s="342" customFormat="1" ht="31.75">
      <c r="A98" s="349" t="s">
        <v>296</v>
      </c>
      <c r="B98" s="349" t="s">
        <v>60</v>
      </c>
      <c r="C98" s="669">
        <v>90.721999999999994</v>
      </c>
      <c r="D98" s="727">
        <f t="shared" si="27"/>
        <v>90</v>
      </c>
      <c r="E98" s="669">
        <v>8.9999999999999993E-3</v>
      </c>
      <c r="F98" s="727">
        <f t="shared" si="28"/>
        <v>0</v>
      </c>
      <c r="G98" s="669">
        <v>1E-3</v>
      </c>
      <c r="H98" s="727">
        <f t="shared" si="29"/>
        <v>0</v>
      </c>
      <c r="I98" s="669">
        <v>1E-3</v>
      </c>
      <c r="J98" s="727">
        <f t="shared" si="30"/>
        <v>0</v>
      </c>
      <c r="K98" s="669">
        <v>0</v>
      </c>
      <c r="L98" s="799">
        <f t="shared" si="39"/>
        <v>0</v>
      </c>
      <c r="M98" s="669">
        <v>0</v>
      </c>
      <c r="N98" s="799">
        <f t="shared" si="31"/>
        <v>0</v>
      </c>
      <c r="O98" s="669">
        <v>13.379</v>
      </c>
      <c r="P98" s="799">
        <f t="shared" si="32"/>
        <v>15</v>
      </c>
      <c r="Q98" s="669">
        <v>23.033999999999999</v>
      </c>
      <c r="R98" s="799">
        <f t="shared" si="33"/>
        <v>23</v>
      </c>
      <c r="S98" s="669">
        <v>0.318</v>
      </c>
      <c r="T98" s="799">
        <f t="shared" si="34"/>
        <v>0</v>
      </c>
      <c r="U98" s="669">
        <v>21.838000000000001</v>
      </c>
      <c r="V98" s="799">
        <f t="shared" si="35"/>
        <v>22</v>
      </c>
      <c r="W98" s="669">
        <v>21.622</v>
      </c>
      <c r="X98" s="799">
        <f t="shared" si="36"/>
        <v>22</v>
      </c>
      <c r="Y98" s="669">
        <v>0.111</v>
      </c>
      <c r="Z98" s="799">
        <f t="shared" si="37"/>
        <v>0</v>
      </c>
      <c r="AA98" s="669">
        <v>0</v>
      </c>
      <c r="AB98" s="669">
        <v>0</v>
      </c>
      <c r="AC98" s="669">
        <v>3.7559999999999998</v>
      </c>
      <c r="AD98" s="669">
        <v>0.28899999999999998</v>
      </c>
      <c r="AE98" s="669">
        <v>0.04</v>
      </c>
      <c r="AF98" s="669">
        <v>0.221</v>
      </c>
      <c r="AG98" s="669">
        <v>9.18</v>
      </c>
      <c r="AH98" s="669">
        <v>0.19500000000000001</v>
      </c>
    </row>
    <row r="99" spans="1:35" s="342" customFormat="1" ht="31.75">
      <c r="A99" s="349" t="s">
        <v>296</v>
      </c>
      <c r="B99" s="349" t="s">
        <v>61</v>
      </c>
      <c r="C99" s="730">
        <v>62.475999999999999</v>
      </c>
      <c r="D99" s="727">
        <f t="shared" si="27"/>
        <v>60</v>
      </c>
      <c r="E99" s="730">
        <v>0.17799999999999999</v>
      </c>
      <c r="F99" s="727">
        <f t="shared" si="28"/>
        <v>0</v>
      </c>
      <c r="G99" s="730">
        <v>0.02</v>
      </c>
      <c r="H99" s="727">
        <f t="shared" si="29"/>
        <v>0</v>
      </c>
      <c r="I99" s="730">
        <v>1E-3</v>
      </c>
      <c r="J99" s="727">
        <f t="shared" si="30"/>
        <v>0</v>
      </c>
      <c r="K99" s="730">
        <v>0</v>
      </c>
      <c r="L99" s="799">
        <f t="shared" si="39"/>
        <v>0</v>
      </c>
      <c r="M99" s="730">
        <v>0</v>
      </c>
      <c r="N99" s="799">
        <f t="shared" si="31"/>
        <v>0</v>
      </c>
      <c r="O99" s="730">
        <v>11.241</v>
      </c>
      <c r="P99" s="799">
        <f t="shared" si="32"/>
        <v>10</v>
      </c>
      <c r="Q99" s="730">
        <v>16.114999999999998</v>
      </c>
      <c r="R99" s="799">
        <f t="shared" si="33"/>
        <v>16</v>
      </c>
      <c r="S99" s="730">
        <v>7.5999999999999998E-2</v>
      </c>
      <c r="T99" s="799">
        <f t="shared" si="34"/>
        <v>0</v>
      </c>
      <c r="U99" s="730">
        <v>15.27</v>
      </c>
      <c r="V99" s="799">
        <f t="shared" si="35"/>
        <v>15</v>
      </c>
      <c r="W99" s="730">
        <v>15.069000000000001</v>
      </c>
      <c r="X99" s="799">
        <f t="shared" si="36"/>
        <v>15</v>
      </c>
      <c r="Y99" s="730">
        <v>4.7E-2</v>
      </c>
      <c r="Z99" s="799">
        <f t="shared" si="37"/>
        <v>0</v>
      </c>
      <c r="AA99" s="761">
        <v>0</v>
      </c>
      <c r="AB99" s="761">
        <v>0</v>
      </c>
      <c r="AC99" s="761">
        <v>3.669</v>
      </c>
      <c r="AD99" s="761">
        <v>0.28199999999999997</v>
      </c>
      <c r="AE99" s="761">
        <v>1.7999999999999999E-2</v>
      </c>
      <c r="AF99" s="761">
        <v>0.1</v>
      </c>
      <c r="AG99" s="761">
        <v>10.430999999999999</v>
      </c>
      <c r="AH99" s="761">
        <v>0.222</v>
      </c>
    </row>
    <row r="100" spans="1:35" s="342" customFormat="1" ht="31.75">
      <c r="A100" s="349" t="s">
        <v>143</v>
      </c>
      <c r="B100" s="246" t="s">
        <v>157</v>
      </c>
      <c r="C100" s="536">
        <v>100.864</v>
      </c>
      <c r="D100" s="727">
        <f t="shared" si="27"/>
        <v>100</v>
      </c>
      <c r="E100" s="536">
        <v>52.262</v>
      </c>
      <c r="F100" s="727">
        <f t="shared" si="28"/>
        <v>50</v>
      </c>
      <c r="G100" s="536">
        <v>5.8070000000000004</v>
      </c>
      <c r="H100" s="727">
        <f t="shared" si="29"/>
        <v>6</v>
      </c>
      <c r="I100" s="536">
        <v>2.1440000000000001</v>
      </c>
      <c r="J100" s="727">
        <f t="shared" si="30"/>
        <v>2</v>
      </c>
      <c r="K100" s="536">
        <v>0</v>
      </c>
      <c r="L100" s="799">
        <f t="shared" si="39"/>
        <v>0</v>
      </c>
      <c r="M100" s="536">
        <v>1.4890000000000001</v>
      </c>
      <c r="N100" s="799">
        <f t="shared" si="31"/>
        <v>0</v>
      </c>
      <c r="O100" s="536">
        <v>62.076000000000001</v>
      </c>
      <c r="P100" s="799">
        <f t="shared" si="32"/>
        <v>60</v>
      </c>
      <c r="Q100" s="536">
        <v>11.651999999999999</v>
      </c>
      <c r="R100" s="799">
        <f t="shared" si="33"/>
        <v>12</v>
      </c>
      <c r="S100" s="536">
        <v>0.73299999999999998</v>
      </c>
      <c r="T100" s="799" t="str">
        <f t="shared" si="34"/>
        <v>less than 1 g</v>
      </c>
      <c r="U100" s="536">
        <v>10.629</v>
      </c>
      <c r="V100" s="799">
        <f t="shared" si="35"/>
        <v>11</v>
      </c>
      <c r="W100" s="536">
        <v>9.8260000000000005</v>
      </c>
      <c r="X100" s="799">
        <f t="shared" si="36"/>
        <v>10</v>
      </c>
      <c r="Y100" s="536">
        <v>2.121</v>
      </c>
      <c r="Z100" s="799">
        <f t="shared" si="37"/>
        <v>2</v>
      </c>
      <c r="AA100" s="536">
        <v>0</v>
      </c>
      <c r="AB100" s="536">
        <v>0</v>
      </c>
      <c r="AC100" s="536">
        <v>18.925999999999998</v>
      </c>
      <c r="AD100" s="536">
        <v>1.456</v>
      </c>
      <c r="AE100" s="536">
        <v>0.57799999999999996</v>
      </c>
      <c r="AF100" s="536">
        <v>3.2090000000000001</v>
      </c>
      <c r="AG100" s="536">
        <v>71.394999999999996</v>
      </c>
      <c r="AH100" s="536">
        <v>1.5189999999999999</v>
      </c>
    </row>
    <row r="101" spans="1:35" s="342" customFormat="1" ht="31.75">
      <c r="A101" s="349" t="s">
        <v>296</v>
      </c>
      <c r="B101" s="349" t="s">
        <v>312</v>
      </c>
      <c r="C101" s="730">
        <v>78.956999999999994</v>
      </c>
      <c r="D101" s="727">
        <f t="shared" ref="D101:D132" si="40">MROUND(C101,10)</f>
        <v>80</v>
      </c>
      <c r="E101" s="730">
        <v>4.7E-2</v>
      </c>
      <c r="F101" s="727">
        <f t="shared" ref="F101:F132" si="41">IF(E101&lt;5,0,(IF(E101&gt;50,MROUND(E101,10),MROUND(E101,5))))</f>
        <v>0</v>
      </c>
      <c r="G101" s="730">
        <v>5.0000000000000001E-3</v>
      </c>
      <c r="H101" s="727">
        <f t="shared" ref="H101:H132" si="42">IF(G101&lt;0.5,0,IF(G101&gt;5,MROUND(G101,1),MROUND(G101,0.5)))</f>
        <v>0</v>
      </c>
      <c r="I101" s="730">
        <v>0</v>
      </c>
      <c r="J101" s="727">
        <f t="shared" ref="J101:J132" si="43">IF(I101&lt;0.5,0,IF(I101&gt;5,MROUND(I101,1),MROUND(I101,0.5)))</f>
        <v>0</v>
      </c>
      <c r="K101" s="730">
        <v>0</v>
      </c>
      <c r="L101" s="799">
        <f t="shared" si="39"/>
        <v>0</v>
      </c>
      <c r="M101" s="730">
        <v>0</v>
      </c>
      <c r="N101" s="799">
        <f t="shared" ref="N101:N132" si="44">IF(M101&lt;2,0,IF(M101&gt;5,MROUND(M101,5),"less than 5 mg"))</f>
        <v>0</v>
      </c>
      <c r="O101" s="730">
        <v>12.379</v>
      </c>
      <c r="P101" s="799">
        <f t="shared" ref="P101:P132" si="45">IF(O101&lt;5,0,IF(O101&gt;140,MROUND(O101,10),MROUND(O101,5)))</f>
        <v>10</v>
      </c>
      <c r="Q101" s="730">
        <v>20.166</v>
      </c>
      <c r="R101" s="799">
        <f t="shared" ref="R101:R132" si="46">IF(Q101&lt;0.5,0,IF(Q101&gt;1,MROUND(Q101,1),"less than 1 g"))</f>
        <v>20</v>
      </c>
      <c r="S101" s="730">
        <v>0.01</v>
      </c>
      <c r="T101" s="799">
        <f t="shared" ref="T101:T132" si="47">IF(S101&lt;0.5,0,IF(S101&gt;1,MROUND(S101,1),"less than 1 g"))</f>
        <v>0</v>
      </c>
      <c r="U101" s="730">
        <v>19.356999999999999</v>
      </c>
      <c r="V101" s="799">
        <f t="shared" ref="V101:V132" si="48">IF(U101&lt;0.5,0,IF(U101&gt;1,MROUND(U101,1),"less than 1 g"))</f>
        <v>19</v>
      </c>
      <c r="W101" s="730">
        <v>19.303000000000001</v>
      </c>
      <c r="X101" s="799">
        <f t="shared" ref="X101:X132" si="49">IF(W101&lt;0.5,0,IF(W101&gt;1,MROUND(W101,1),"less than 1 g"))</f>
        <v>19</v>
      </c>
      <c r="Y101" s="730">
        <v>1.4E-2</v>
      </c>
      <c r="Z101" s="799">
        <f t="shared" ref="Z101:Z132" si="50">IF(Y101&lt;0.5,0,IF(Y101&gt;1,MROUND(Y101,1),"less than 1 g"))</f>
        <v>0</v>
      </c>
      <c r="AA101" s="761">
        <v>0</v>
      </c>
      <c r="AB101" s="761">
        <v>0</v>
      </c>
      <c r="AC101" s="761">
        <v>3.282</v>
      </c>
      <c r="AD101" s="761">
        <v>0.252</v>
      </c>
      <c r="AE101" s="761">
        <v>1.4E-2</v>
      </c>
      <c r="AF101" s="761">
        <v>0.08</v>
      </c>
      <c r="AG101" s="761">
        <v>3.9039999999999999</v>
      </c>
      <c r="AH101" s="761">
        <v>8.3000000000000004E-2</v>
      </c>
    </row>
    <row r="102" spans="1:35" s="342" customFormat="1" ht="31.75">
      <c r="A102" s="349" t="s">
        <v>296</v>
      </c>
      <c r="B102" s="349" t="s">
        <v>64</v>
      </c>
      <c r="C102" s="669">
        <v>87.997</v>
      </c>
      <c r="D102" s="727">
        <f t="shared" si="40"/>
        <v>90</v>
      </c>
      <c r="E102" s="669">
        <v>0</v>
      </c>
      <c r="F102" s="727">
        <f t="shared" si="41"/>
        <v>0</v>
      </c>
      <c r="G102" s="669">
        <v>0</v>
      </c>
      <c r="H102" s="727">
        <f t="shared" si="42"/>
        <v>0</v>
      </c>
      <c r="I102" s="669">
        <v>0</v>
      </c>
      <c r="J102" s="727">
        <f t="shared" si="43"/>
        <v>0</v>
      </c>
      <c r="K102" s="669">
        <v>0</v>
      </c>
      <c r="L102" s="799">
        <f>IF(K102&lt;0.5,0,IF(K102&gt;5,MROUND(K102,1),MROUND(#REF!,0.5)))</f>
        <v>0</v>
      </c>
      <c r="M102" s="669">
        <v>0</v>
      </c>
      <c r="N102" s="799">
        <f t="shared" si="44"/>
        <v>0</v>
      </c>
      <c r="O102" s="669">
        <v>13.688000000000001</v>
      </c>
      <c r="P102" s="799">
        <f t="shared" si="45"/>
        <v>15</v>
      </c>
      <c r="Q102" s="669">
        <v>22.233000000000001</v>
      </c>
      <c r="R102" s="799">
        <f t="shared" si="46"/>
        <v>22</v>
      </c>
      <c r="S102" s="669">
        <v>7.0000000000000001E-3</v>
      </c>
      <c r="T102" s="799">
        <f t="shared" si="47"/>
        <v>0</v>
      </c>
      <c r="U102" s="669">
        <v>21.597000000000001</v>
      </c>
      <c r="V102" s="799">
        <f t="shared" si="48"/>
        <v>22</v>
      </c>
      <c r="W102" s="669">
        <v>21.597000000000001</v>
      </c>
      <c r="X102" s="799">
        <f t="shared" si="49"/>
        <v>22</v>
      </c>
      <c r="Y102" s="669">
        <v>0</v>
      </c>
      <c r="Z102" s="799">
        <f t="shared" si="50"/>
        <v>0</v>
      </c>
      <c r="AA102" s="669">
        <v>0</v>
      </c>
      <c r="AB102" s="669">
        <v>0</v>
      </c>
      <c r="AC102" s="669">
        <v>3.1749999999999998</v>
      </c>
      <c r="AD102" s="669">
        <v>0.24399999999999999</v>
      </c>
      <c r="AE102" s="669">
        <v>0.02</v>
      </c>
      <c r="AF102" s="669">
        <v>0.112</v>
      </c>
      <c r="AG102" s="669">
        <v>6.8959999999999999</v>
      </c>
      <c r="AH102" s="669">
        <v>0.14699999999999999</v>
      </c>
    </row>
    <row r="103" spans="1:35" s="342" customFormat="1" ht="31.75">
      <c r="A103" s="954" t="s">
        <v>92</v>
      </c>
      <c r="B103" s="349" t="s">
        <v>115</v>
      </c>
      <c r="C103" s="965">
        <v>93.747</v>
      </c>
      <c r="D103" s="727">
        <f t="shared" si="40"/>
        <v>90</v>
      </c>
      <c r="E103" s="965">
        <v>0</v>
      </c>
      <c r="F103" s="727">
        <f t="shared" si="41"/>
        <v>0</v>
      </c>
      <c r="G103" s="965">
        <v>0.48199999999999998</v>
      </c>
      <c r="H103" s="727">
        <f t="shared" si="42"/>
        <v>0</v>
      </c>
      <c r="I103" s="965">
        <v>0.44700000000000001</v>
      </c>
      <c r="J103" s="727">
        <f t="shared" si="43"/>
        <v>0</v>
      </c>
      <c r="K103" s="965">
        <v>0</v>
      </c>
      <c r="L103" s="799">
        <f>IF(K103&lt;0.5,0,IF(K103&gt;5,MROUND(K103,1),MROUND(K102,0.5)))</f>
        <v>0</v>
      </c>
      <c r="M103" s="965">
        <v>0</v>
      </c>
      <c r="N103" s="799">
        <f t="shared" si="44"/>
        <v>0</v>
      </c>
      <c r="O103" s="965">
        <v>18.625</v>
      </c>
      <c r="P103" s="799">
        <f t="shared" si="45"/>
        <v>20</v>
      </c>
      <c r="Q103" s="965">
        <v>17.268000000000001</v>
      </c>
      <c r="R103" s="799">
        <f t="shared" si="46"/>
        <v>17</v>
      </c>
      <c r="S103" s="965">
        <v>5.1159999999999997</v>
      </c>
      <c r="T103" s="799">
        <f t="shared" si="47"/>
        <v>5</v>
      </c>
      <c r="U103" s="965">
        <v>16.488</v>
      </c>
      <c r="V103" s="799">
        <f t="shared" si="48"/>
        <v>16</v>
      </c>
      <c r="W103" s="965">
        <v>21.562000000000001</v>
      </c>
      <c r="X103" s="799">
        <f t="shared" si="49"/>
        <v>22</v>
      </c>
      <c r="Y103" s="965">
        <v>4.3999999999999997E-2</v>
      </c>
      <c r="Z103" s="799">
        <f t="shared" si="50"/>
        <v>0</v>
      </c>
      <c r="AA103" s="727">
        <v>0</v>
      </c>
      <c r="AB103" s="727">
        <v>0</v>
      </c>
      <c r="AC103" s="727">
        <v>3.0720000000000001</v>
      </c>
      <c r="AD103" s="727">
        <v>0.23599999999999999</v>
      </c>
      <c r="AE103" s="727">
        <v>2.9000000000000001E-2</v>
      </c>
      <c r="AF103" s="727">
        <v>0.16</v>
      </c>
      <c r="AG103" s="727">
        <v>7.85</v>
      </c>
      <c r="AH103" s="727">
        <v>0.16700000000000001</v>
      </c>
    </row>
    <row r="104" spans="1:35" s="342" customFormat="1" ht="47.6">
      <c r="A104" s="349" t="s">
        <v>325</v>
      </c>
      <c r="B104" s="349" t="s">
        <v>122</v>
      </c>
      <c r="C104" s="669">
        <v>42.015999999999998</v>
      </c>
      <c r="D104" s="727">
        <f t="shared" si="40"/>
        <v>40</v>
      </c>
      <c r="E104" s="669">
        <v>2.5000000000000001E-2</v>
      </c>
      <c r="F104" s="727">
        <f t="shared" si="41"/>
        <v>0</v>
      </c>
      <c r="G104" s="669">
        <v>3.0000000000000001E-3</v>
      </c>
      <c r="H104" s="727">
        <f t="shared" si="42"/>
        <v>0</v>
      </c>
      <c r="I104" s="669">
        <v>3.0000000000000001E-3</v>
      </c>
      <c r="J104" s="727">
        <f t="shared" si="43"/>
        <v>0</v>
      </c>
      <c r="K104" s="669">
        <v>0</v>
      </c>
      <c r="L104" s="799">
        <f>IF(K104&lt;0.5,0,IF(K104&gt;5,MROUND(K104,1),MROUND(K103,0.5)))</f>
        <v>0</v>
      </c>
      <c r="M104" s="669">
        <v>0</v>
      </c>
      <c r="N104" s="799">
        <f t="shared" si="44"/>
        <v>0</v>
      </c>
      <c r="O104" s="669">
        <v>8.52</v>
      </c>
      <c r="P104" s="799">
        <f t="shared" si="45"/>
        <v>10</v>
      </c>
      <c r="Q104" s="669">
        <v>14.747999999999999</v>
      </c>
      <c r="R104" s="799">
        <f t="shared" si="46"/>
        <v>15</v>
      </c>
      <c r="S104" s="669">
        <v>1.0999999999999999E-2</v>
      </c>
      <c r="T104" s="799">
        <f t="shared" si="47"/>
        <v>0</v>
      </c>
      <c r="U104" s="669">
        <v>2.9000000000000001E-2</v>
      </c>
      <c r="V104" s="799">
        <f t="shared" si="48"/>
        <v>0</v>
      </c>
      <c r="W104" s="669">
        <v>0</v>
      </c>
      <c r="X104" s="799">
        <f t="shared" si="49"/>
        <v>0</v>
      </c>
      <c r="Y104" s="669">
        <v>0.11899999999999999</v>
      </c>
      <c r="Z104" s="799">
        <f t="shared" si="50"/>
        <v>0</v>
      </c>
      <c r="AA104" s="669">
        <v>0</v>
      </c>
      <c r="AB104" s="669">
        <v>0</v>
      </c>
      <c r="AC104" s="669">
        <v>4.4669999999999996</v>
      </c>
      <c r="AD104" s="669">
        <v>0.34399999999999997</v>
      </c>
      <c r="AE104" s="669">
        <v>1.9E-2</v>
      </c>
      <c r="AF104" s="669">
        <v>0.104</v>
      </c>
      <c r="AG104" s="669">
        <v>6.0389999999999997</v>
      </c>
      <c r="AH104" s="669">
        <v>0.128</v>
      </c>
    </row>
    <row r="105" spans="1:35" s="342" customFormat="1" ht="14.25" customHeight="1">
      <c r="A105" s="349" t="s">
        <v>325</v>
      </c>
      <c r="B105" s="349" t="s">
        <v>123</v>
      </c>
      <c r="C105" s="728">
        <v>42.061</v>
      </c>
      <c r="D105" s="727">
        <f t="shared" si="40"/>
        <v>40</v>
      </c>
      <c r="E105" s="728">
        <v>2.5000000000000001E-2</v>
      </c>
      <c r="F105" s="727">
        <f t="shared" si="41"/>
        <v>0</v>
      </c>
      <c r="G105" s="728">
        <v>3.0000000000000001E-3</v>
      </c>
      <c r="H105" s="727">
        <f t="shared" si="42"/>
        <v>0</v>
      </c>
      <c r="I105" s="728">
        <v>3.0000000000000001E-3</v>
      </c>
      <c r="J105" s="727">
        <f t="shared" si="43"/>
        <v>0</v>
      </c>
      <c r="K105" s="728">
        <v>0</v>
      </c>
      <c r="L105" s="799">
        <f>IF(K105&lt;0.5,0,IF(K105&gt;5,MROUND(K105,1),MROUND(K104,0.5)))</f>
        <v>0</v>
      </c>
      <c r="M105" s="728">
        <v>0</v>
      </c>
      <c r="N105" s="799">
        <f t="shared" si="44"/>
        <v>0</v>
      </c>
      <c r="O105" s="728">
        <v>9.0030000000000001</v>
      </c>
      <c r="P105" s="799">
        <f t="shared" si="45"/>
        <v>10</v>
      </c>
      <c r="Q105" s="728">
        <v>14.722</v>
      </c>
      <c r="R105" s="799">
        <f t="shared" si="46"/>
        <v>15</v>
      </c>
      <c r="S105" s="728">
        <v>3.0000000000000001E-3</v>
      </c>
      <c r="T105" s="799">
        <f t="shared" si="47"/>
        <v>0</v>
      </c>
      <c r="U105" s="728">
        <v>0.03</v>
      </c>
      <c r="V105" s="799">
        <f t="shared" si="48"/>
        <v>0</v>
      </c>
      <c r="W105" s="728">
        <v>0</v>
      </c>
      <c r="X105" s="799">
        <f t="shared" si="49"/>
        <v>0</v>
      </c>
      <c r="Y105" s="728">
        <v>8.9999999999999993E-3</v>
      </c>
      <c r="Z105" s="799">
        <f t="shared" si="50"/>
        <v>0</v>
      </c>
      <c r="AA105" s="728">
        <v>0</v>
      </c>
      <c r="AB105" s="728">
        <v>0</v>
      </c>
      <c r="AC105" s="728">
        <v>4.468</v>
      </c>
      <c r="AD105" s="728">
        <v>0.34399999999999997</v>
      </c>
      <c r="AE105" s="728">
        <v>1.9E-2</v>
      </c>
      <c r="AF105" s="728">
        <v>0.104</v>
      </c>
      <c r="AG105" s="728">
        <v>8.3770000000000007</v>
      </c>
      <c r="AH105" s="728">
        <v>0.17799999999999999</v>
      </c>
    </row>
    <row r="106" spans="1:35" s="342" customFormat="1" ht="47.6">
      <c r="A106" s="349" t="s">
        <v>325</v>
      </c>
      <c r="B106" s="349" t="s">
        <v>395</v>
      </c>
      <c r="C106" s="728">
        <v>41.731999999999999</v>
      </c>
      <c r="D106" s="727">
        <f t="shared" si="40"/>
        <v>40</v>
      </c>
      <c r="E106" s="728">
        <v>0.03</v>
      </c>
      <c r="F106" s="727">
        <f t="shared" si="41"/>
        <v>0</v>
      </c>
      <c r="G106" s="728">
        <v>3.0000000000000001E-3</v>
      </c>
      <c r="H106" s="727">
        <f t="shared" si="42"/>
        <v>0</v>
      </c>
      <c r="I106" s="728">
        <v>3.0000000000000001E-3</v>
      </c>
      <c r="J106" s="727">
        <f t="shared" si="43"/>
        <v>0</v>
      </c>
      <c r="K106" s="728">
        <v>0</v>
      </c>
      <c r="L106" s="799">
        <f>IF(K106&lt;0.5,0,IF(K106&gt;5,MROUND(K106,1),MROUND(#REF!,0.5)))</f>
        <v>0</v>
      </c>
      <c r="M106" s="728">
        <v>0</v>
      </c>
      <c r="N106" s="799">
        <f t="shared" si="44"/>
        <v>0</v>
      </c>
      <c r="O106" s="728">
        <v>8.7240000000000002</v>
      </c>
      <c r="P106" s="799">
        <f t="shared" si="45"/>
        <v>10</v>
      </c>
      <c r="Q106" s="728">
        <v>14.55</v>
      </c>
      <c r="R106" s="799">
        <f t="shared" si="46"/>
        <v>15</v>
      </c>
      <c r="S106" s="728">
        <v>6.0000000000000001E-3</v>
      </c>
      <c r="T106" s="799">
        <f t="shared" si="47"/>
        <v>0</v>
      </c>
      <c r="U106" s="728">
        <v>5.1999999999999998E-2</v>
      </c>
      <c r="V106" s="799">
        <f t="shared" si="48"/>
        <v>0</v>
      </c>
      <c r="W106" s="728">
        <v>0</v>
      </c>
      <c r="X106" s="799">
        <f t="shared" si="49"/>
        <v>0</v>
      </c>
      <c r="Y106" s="728">
        <v>4.0000000000000001E-3</v>
      </c>
      <c r="Z106" s="799">
        <f t="shared" si="50"/>
        <v>0</v>
      </c>
      <c r="AA106" s="728">
        <v>0</v>
      </c>
      <c r="AB106" s="728">
        <v>0</v>
      </c>
      <c r="AC106" s="728">
        <v>4.46</v>
      </c>
      <c r="AD106" s="728">
        <v>0.34300000000000003</v>
      </c>
      <c r="AE106" s="728">
        <v>2.3E-2</v>
      </c>
      <c r="AF106" s="728">
        <v>0.126</v>
      </c>
      <c r="AG106" s="728">
        <v>7.95</v>
      </c>
      <c r="AH106" s="728">
        <v>0.16900000000000001</v>
      </c>
    </row>
    <row r="107" spans="1:35" s="342" customFormat="1" ht="47.6">
      <c r="A107" s="349" t="s">
        <v>325</v>
      </c>
      <c r="B107" s="349" t="s">
        <v>124</v>
      </c>
      <c r="C107" s="669">
        <v>40.222999999999999</v>
      </c>
      <c r="D107" s="727">
        <f t="shared" si="40"/>
        <v>40</v>
      </c>
      <c r="E107" s="669">
        <v>3.4000000000000002E-2</v>
      </c>
      <c r="F107" s="727">
        <f t="shared" si="41"/>
        <v>0</v>
      </c>
      <c r="G107" s="669">
        <v>4.0000000000000001E-3</v>
      </c>
      <c r="H107" s="727">
        <f t="shared" si="42"/>
        <v>0</v>
      </c>
      <c r="I107" s="669">
        <v>3.0000000000000001E-3</v>
      </c>
      <c r="J107" s="727">
        <f t="shared" si="43"/>
        <v>0</v>
      </c>
      <c r="K107" s="669">
        <v>0</v>
      </c>
      <c r="L107" s="799">
        <f t="shared" ref="L107:L121" si="51">IF(K107&lt;0.5,0,IF(K107&gt;5,MROUND(K107,1),MROUND(K106,0.5)))</f>
        <v>0</v>
      </c>
      <c r="M107" s="669">
        <v>0</v>
      </c>
      <c r="N107" s="799">
        <f t="shared" si="44"/>
        <v>0</v>
      </c>
      <c r="O107" s="669">
        <v>8.3290000000000006</v>
      </c>
      <c r="P107" s="799">
        <f t="shared" si="45"/>
        <v>10</v>
      </c>
      <c r="Q107" s="669">
        <v>13.968</v>
      </c>
      <c r="R107" s="799">
        <f t="shared" si="46"/>
        <v>14</v>
      </c>
      <c r="S107" s="669">
        <v>8.0000000000000002E-3</v>
      </c>
      <c r="T107" s="799">
        <f t="shared" si="47"/>
        <v>0</v>
      </c>
      <c r="U107" s="669">
        <v>7.1999999999999995E-2</v>
      </c>
      <c r="V107" s="799">
        <f t="shared" si="48"/>
        <v>0</v>
      </c>
      <c r="W107" s="669">
        <v>0</v>
      </c>
      <c r="X107" s="799">
        <f t="shared" si="49"/>
        <v>0</v>
      </c>
      <c r="Y107" s="669">
        <v>0</v>
      </c>
      <c r="Z107" s="799">
        <f t="shared" si="50"/>
        <v>0</v>
      </c>
      <c r="AA107" s="669">
        <v>0</v>
      </c>
      <c r="AB107" s="669">
        <v>0</v>
      </c>
      <c r="AC107" s="669">
        <v>4.42</v>
      </c>
      <c r="AD107" s="669">
        <v>0.34</v>
      </c>
      <c r="AE107" s="669">
        <v>2.5999999999999999E-2</v>
      </c>
      <c r="AF107" s="669">
        <v>0.14399999999999999</v>
      </c>
      <c r="AG107" s="669">
        <v>7.3090000000000002</v>
      </c>
      <c r="AH107" s="669">
        <v>0.156</v>
      </c>
    </row>
    <row r="108" spans="1:35" s="342" customFormat="1" ht="47.6">
      <c r="A108" s="349" t="s">
        <v>325</v>
      </c>
      <c r="B108" s="349" t="s">
        <v>335</v>
      </c>
      <c r="C108" s="728">
        <v>55.283999999999999</v>
      </c>
      <c r="D108" s="727">
        <f t="shared" si="40"/>
        <v>60</v>
      </c>
      <c r="E108" s="728">
        <v>0</v>
      </c>
      <c r="F108" s="727">
        <f t="shared" si="41"/>
        <v>0</v>
      </c>
      <c r="G108" s="728">
        <v>0</v>
      </c>
      <c r="H108" s="727">
        <f t="shared" si="42"/>
        <v>0</v>
      </c>
      <c r="I108" s="728">
        <v>0</v>
      </c>
      <c r="J108" s="727">
        <f t="shared" si="43"/>
        <v>0</v>
      </c>
      <c r="K108" s="728">
        <v>0</v>
      </c>
      <c r="L108" s="799">
        <f t="shared" si="51"/>
        <v>0</v>
      </c>
      <c r="M108" s="728">
        <v>0</v>
      </c>
      <c r="N108" s="799">
        <f t="shared" si="44"/>
        <v>0</v>
      </c>
      <c r="O108" s="728">
        <v>8.5890000000000004</v>
      </c>
      <c r="P108" s="799">
        <f t="shared" si="45"/>
        <v>10</v>
      </c>
      <c r="Q108" s="728">
        <v>14.462999999999999</v>
      </c>
      <c r="R108" s="799">
        <f t="shared" si="46"/>
        <v>14</v>
      </c>
      <c r="S108" s="728">
        <v>9.8000000000000004E-2</v>
      </c>
      <c r="T108" s="799">
        <f t="shared" si="47"/>
        <v>0</v>
      </c>
      <c r="U108" s="728">
        <v>0</v>
      </c>
      <c r="V108" s="799">
        <f t="shared" si="48"/>
        <v>0</v>
      </c>
      <c r="W108" s="728">
        <v>0</v>
      </c>
      <c r="X108" s="799">
        <f t="shared" si="49"/>
        <v>0</v>
      </c>
      <c r="Y108" s="728">
        <v>8.9999999999999993E-3</v>
      </c>
      <c r="Z108" s="799">
        <f t="shared" si="50"/>
        <v>0</v>
      </c>
      <c r="AA108" s="728">
        <v>0</v>
      </c>
      <c r="AB108" s="728">
        <v>0</v>
      </c>
      <c r="AC108" s="728">
        <v>3.45</v>
      </c>
      <c r="AD108" s="728">
        <v>0.23400000000000001</v>
      </c>
      <c r="AE108" s="728">
        <v>1.2999999999999999E-2</v>
      </c>
      <c r="AF108" s="728">
        <v>7.0000000000000007E-2</v>
      </c>
      <c r="AG108" s="728">
        <v>1.8380000000000001</v>
      </c>
      <c r="AH108" s="728">
        <v>3.9E-2</v>
      </c>
    </row>
    <row r="109" spans="1:35" s="342" customFormat="1" ht="47.6">
      <c r="A109" s="349" t="s">
        <v>325</v>
      </c>
      <c r="B109" s="349" t="s">
        <v>127</v>
      </c>
      <c r="C109" s="669">
        <v>42.49</v>
      </c>
      <c r="D109" s="727">
        <f t="shared" si="40"/>
        <v>40</v>
      </c>
      <c r="E109" s="669">
        <v>2.5000000000000001E-2</v>
      </c>
      <c r="F109" s="727">
        <f t="shared" si="41"/>
        <v>0</v>
      </c>
      <c r="G109" s="669">
        <v>3.0000000000000001E-3</v>
      </c>
      <c r="H109" s="727">
        <f t="shared" si="42"/>
        <v>0</v>
      </c>
      <c r="I109" s="669">
        <v>0</v>
      </c>
      <c r="J109" s="727">
        <f t="shared" si="43"/>
        <v>0</v>
      </c>
      <c r="K109" s="669">
        <v>0</v>
      </c>
      <c r="L109" s="799">
        <f t="shared" si="51"/>
        <v>0</v>
      </c>
      <c r="M109" s="669">
        <v>0</v>
      </c>
      <c r="N109" s="799">
        <f t="shared" si="44"/>
        <v>0</v>
      </c>
      <c r="O109" s="669">
        <v>12.743</v>
      </c>
      <c r="P109" s="799">
        <f t="shared" si="45"/>
        <v>15</v>
      </c>
      <c r="Q109" s="669">
        <v>14.675000000000001</v>
      </c>
      <c r="R109" s="799">
        <f t="shared" si="46"/>
        <v>15</v>
      </c>
      <c r="S109" s="669">
        <v>0</v>
      </c>
      <c r="T109" s="799">
        <f t="shared" si="47"/>
        <v>0</v>
      </c>
      <c r="U109" s="669">
        <v>2.9000000000000001E-2</v>
      </c>
      <c r="V109" s="799">
        <f t="shared" si="48"/>
        <v>0</v>
      </c>
      <c r="W109" s="669">
        <v>0</v>
      </c>
      <c r="X109" s="799">
        <f t="shared" si="49"/>
        <v>0</v>
      </c>
      <c r="Y109" s="669">
        <v>5.0000000000000001E-3</v>
      </c>
      <c r="Z109" s="799">
        <f t="shared" si="50"/>
        <v>0</v>
      </c>
      <c r="AA109" s="669">
        <v>0</v>
      </c>
      <c r="AB109" s="669">
        <v>0</v>
      </c>
      <c r="AC109" s="669">
        <v>2.847</v>
      </c>
      <c r="AD109" s="669">
        <v>0.219</v>
      </c>
      <c r="AE109" s="669">
        <v>1.9E-2</v>
      </c>
      <c r="AF109" s="669">
        <v>0.104</v>
      </c>
      <c r="AG109" s="669">
        <v>8.1750000000000007</v>
      </c>
      <c r="AH109" s="669">
        <v>0.17399999999999999</v>
      </c>
    </row>
    <row r="110" spans="1:35" s="342" customFormat="1" ht="31.75">
      <c r="A110" s="349" t="s">
        <v>396</v>
      </c>
      <c r="B110" s="530" t="s">
        <v>141</v>
      </c>
      <c r="C110" s="747">
        <v>321.75</v>
      </c>
      <c r="D110" s="727">
        <f t="shared" si="40"/>
        <v>320</v>
      </c>
      <c r="E110" s="747">
        <v>155.25800000000001</v>
      </c>
      <c r="F110" s="727">
        <f t="shared" si="41"/>
        <v>160</v>
      </c>
      <c r="G110" s="747">
        <v>17.251000000000001</v>
      </c>
      <c r="H110" s="727">
        <f t="shared" si="42"/>
        <v>17</v>
      </c>
      <c r="I110" s="747">
        <v>10.978</v>
      </c>
      <c r="J110" s="727">
        <f t="shared" si="43"/>
        <v>11</v>
      </c>
      <c r="K110" s="747">
        <v>0</v>
      </c>
      <c r="L110" s="799">
        <f t="shared" si="51"/>
        <v>0</v>
      </c>
      <c r="M110" s="747">
        <v>101.937</v>
      </c>
      <c r="N110" s="799">
        <f t="shared" si="44"/>
        <v>100</v>
      </c>
      <c r="O110" s="747">
        <v>267.66300000000001</v>
      </c>
      <c r="P110" s="799">
        <f t="shared" si="45"/>
        <v>270</v>
      </c>
      <c r="Q110" s="747">
        <v>36.07</v>
      </c>
      <c r="R110" s="799">
        <f t="shared" si="46"/>
        <v>36</v>
      </c>
      <c r="S110" s="747">
        <v>0</v>
      </c>
      <c r="T110" s="799">
        <f t="shared" si="47"/>
        <v>0</v>
      </c>
      <c r="U110" s="747">
        <v>29.991</v>
      </c>
      <c r="V110" s="799">
        <f t="shared" si="48"/>
        <v>30</v>
      </c>
      <c r="W110" s="747">
        <v>1.762</v>
      </c>
      <c r="X110" s="799">
        <f t="shared" si="49"/>
        <v>2</v>
      </c>
      <c r="Y110" s="747">
        <v>6.2729999999999997</v>
      </c>
      <c r="Z110" s="799">
        <f t="shared" si="50"/>
        <v>6</v>
      </c>
      <c r="AA110" s="1131">
        <v>0</v>
      </c>
      <c r="AB110" s="1131">
        <v>0</v>
      </c>
      <c r="AC110" s="1131">
        <v>306.14499999999998</v>
      </c>
      <c r="AD110" s="1131">
        <v>23.55</v>
      </c>
      <c r="AE110" s="1131">
        <v>0</v>
      </c>
      <c r="AF110" s="1131">
        <v>0</v>
      </c>
      <c r="AG110" s="1131">
        <v>1.4770000000000001</v>
      </c>
      <c r="AH110" s="1131">
        <v>3.1E-2</v>
      </c>
    </row>
    <row r="111" spans="1:35" s="342" customFormat="1" ht="31.75">
      <c r="A111" s="349" t="s">
        <v>396</v>
      </c>
      <c r="B111" s="530" t="s">
        <v>142</v>
      </c>
      <c r="C111" s="747">
        <v>337.43200000000002</v>
      </c>
      <c r="D111" s="727">
        <f t="shared" si="40"/>
        <v>340</v>
      </c>
      <c r="E111" s="747">
        <v>141.14400000000001</v>
      </c>
      <c r="F111" s="727">
        <f t="shared" si="41"/>
        <v>140</v>
      </c>
      <c r="G111" s="747">
        <v>15.683</v>
      </c>
      <c r="H111" s="727">
        <f t="shared" si="42"/>
        <v>16</v>
      </c>
      <c r="I111" s="747">
        <v>9.41</v>
      </c>
      <c r="J111" s="727">
        <f t="shared" si="43"/>
        <v>9</v>
      </c>
      <c r="K111" s="747">
        <v>0</v>
      </c>
      <c r="L111" s="799">
        <f t="shared" si="51"/>
        <v>0</v>
      </c>
      <c r="M111" s="747">
        <v>86.254000000000005</v>
      </c>
      <c r="N111" s="799">
        <f t="shared" si="44"/>
        <v>85</v>
      </c>
      <c r="O111" s="747">
        <v>228.45699999999999</v>
      </c>
      <c r="P111" s="799">
        <f t="shared" si="45"/>
        <v>230</v>
      </c>
      <c r="Q111" s="747">
        <v>42.343000000000004</v>
      </c>
      <c r="R111" s="799">
        <f t="shared" si="46"/>
        <v>42</v>
      </c>
      <c r="S111" s="747">
        <v>0</v>
      </c>
      <c r="T111" s="799">
        <f t="shared" si="47"/>
        <v>0</v>
      </c>
      <c r="U111" s="747">
        <v>34.695999999999998</v>
      </c>
      <c r="V111" s="799">
        <f t="shared" si="48"/>
        <v>35</v>
      </c>
      <c r="W111" s="747">
        <v>1.762</v>
      </c>
      <c r="X111" s="799">
        <f t="shared" si="49"/>
        <v>2</v>
      </c>
      <c r="Y111" s="747">
        <v>6.2729999999999997</v>
      </c>
      <c r="Z111" s="799">
        <f t="shared" si="50"/>
        <v>6</v>
      </c>
      <c r="AA111" s="1131">
        <v>0</v>
      </c>
      <c r="AB111" s="1131">
        <v>0</v>
      </c>
      <c r="AC111" s="1131">
        <v>204.208</v>
      </c>
      <c r="AD111" s="1131">
        <v>15.708</v>
      </c>
      <c r="AE111" s="1131">
        <v>1.694</v>
      </c>
      <c r="AF111" s="1131">
        <v>9.41</v>
      </c>
      <c r="AG111" s="1131">
        <v>1.4770000000000001</v>
      </c>
      <c r="AH111" s="1131">
        <v>3.1E-2</v>
      </c>
    </row>
    <row r="112" spans="1:35" s="342" customFormat="1" ht="31.75">
      <c r="A112" s="349" t="s">
        <v>92</v>
      </c>
      <c r="B112" s="349" t="s">
        <v>322</v>
      </c>
      <c r="C112" s="966">
        <v>109.964</v>
      </c>
      <c r="D112" s="727">
        <f t="shared" si="40"/>
        <v>110</v>
      </c>
      <c r="E112" s="966">
        <v>0</v>
      </c>
      <c r="F112" s="727">
        <f t="shared" si="41"/>
        <v>0</v>
      </c>
      <c r="G112" s="966">
        <v>0.995</v>
      </c>
      <c r="H112" s="727">
        <f t="shared" si="42"/>
        <v>1</v>
      </c>
      <c r="I112" s="966">
        <v>0.92200000000000004</v>
      </c>
      <c r="J112" s="727">
        <f t="shared" si="43"/>
        <v>1</v>
      </c>
      <c r="K112" s="966">
        <v>0</v>
      </c>
      <c r="L112" s="799">
        <f t="shared" si="51"/>
        <v>0</v>
      </c>
      <c r="M112" s="966">
        <v>0</v>
      </c>
      <c r="N112" s="799">
        <f t="shared" si="44"/>
        <v>0</v>
      </c>
      <c r="O112" s="966">
        <v>19.545000000000002</v>
      </c>
      <c r="P112" s="799">
        <f t="shared" si="45"/>
        <v>20</v>
      </c>
      <c r="Q112" s="966">
        <v>25.456</v>
      </c>
      <c r="R112" s="799">
        <f t="shared" si="46"/>
        <v>25</v>
      </c>
      <c r="S112" s="966">
        <v>3.0000000000000001E-3</v>
      </c>
      <c r="T112" s="799">
        <f t="shared" si="47"/>
        <v>0</v>
      </c>
      <c r="U112" s="966">
        <v>24.32</v>
      </c>
      <c r="V112" s="799">
        <f t="shared" si="48"/>
        <v>24</v>
      </c>
      <c r="W112" s="966">
        <v>24.259</v>
      </c>
      <c r="X112" s="799">
        <f t="shared" si="49"/>
        <v>24</v>
      </c>
      <c r="Y112" s="966">
        <v>0.09</v>
      </c>
      <c r="Z112" s="799">
        <f t="shared" si="50"/>
        <v>0</v>
      </c>
      <c r="AA112" s="694">
        <v>0</v>
      </c>
      <c r="AB112" s="694">
        <v>0</v>
      </c>
      <c r="AC112" s="694">
        <v>2.57</v>
      </c>
      <c r="AD112" s="694">
        <v>0.19800000000000001</v>
      </c>
      <c r="AE112" s="694">
        <v>2.4E-2</v>
      </c>
      <c r="AF112" s="694">
        <v>0.13400000000000001</v>
      </c>
      <c r="AG112" s="694">
        <v>2.58</v>
      </c>
      <c r="AH112" s="694">
        <v>5.5E-2</v>
      </c>
    </row>
    <row r="113" spans="1:35" s="342" customFormat="1" ht="31.75">
      <c r="A113" s="349" t="s">
        <v>296</v>
      </c>
      <c r="B113" s="349" t="s">
        <v>313</v>
      </c>
      <c r="C113" s="669">
        <v>74.923000000000002</v>
      </c>
      <c r="D113" s="727">
        <f t="shared" si="40"/>
        <v>70</v>
      </c>
      <c r="E113" s="669">
        <v>0</v>
      </c>
      <c r="F113" s="727">
        <f t="shared" si="41"/>
        <v>0</v>
      </c>
      <c r="G113" s="669">
        <v>0</v>
      </c>
      <c r="H113" s="727">
        <f t="shared" si="42"/>
        <v>0</v>
      </c>
      <c r="I113" s="669">
        <v>0</v>
      </c>
      <c r="J113" s="727">
        <f t="shared" si="43"/>
        <v>0</v>
      </c>
      <c r="K113" s="669">
        <v>0</v>
      </c>
      <c r="L113" s="799">
        <f t="shared" si="51"/>
        <v>0</v>
      </c>
      <c r="M113" s="669">
        <v>0</v>
      </c>
      <c r="N113" s="799">
        <f t="shared" si="44"/>
        <v>0</v>
      </c>
      <c r="O113" s="669">
        <v>10.936999999999999</v>
      </c>
      <c r="P113" s="799">
        <f t="shared" si="45"/>
        <v>10</v>
      </c>
      <c r="Q113" s="669">
        <v>18.913</v>
      </c>
      <c r="R113" s="799">
        <f t="shared" si="46"/>
        <v>19</v>
      </c>
      <c r="S113" s="669">
        <v>0</v>
      </c>
      <c r="T113" s="799">
        <f t="shared" si="47"/>
        <v>0</v>
      </c>
      <c r="U113" s="669">
        <v>18.167999999999999</v>
      </c>
      <c r="V113" s="799">
        <f t="shared" si="48"/>
        <v>18</v>
      </c>
      <c r="W113" s="669">
        <v>18.167999999999999</v>
      </c>
      <c r="X113" s="799">
        <f t="shared" si="49"/>
        <v>18</v>
      </c>
      <c r="Y113" s="669">
        <v>0</v>
      </c>
      <c r="Z113" s="799">
        <f t="shared" si="50"/>
        <v>0</v>
      </c>
      <c r="AA113" s="669">
        <v>0</v>
      </c>
      <c r="AB113" s="669">
        <v>0</v>
      </c>
      <c r="AC113" s="669">
        <v>2.5819999999999999</v>
      </c>
      <c r="AD113" s="669">
        <v>0.19900000000000001</v>
      </c>
      <c r="AE113" s="669">
        <v>3.0000000000000001E-3</v>
      </c>
      <c r="AF113" s="669">
        <v>1.7999999999999999E-2</v>
      </c>
      <c r="AG113" s="669">
        <v>0.13700000000000001</v>
      </c>
      <c r="AH113" s="669">
        <v>3.0000000000000001E-3</v>
      </c>
    </row>
    <row r="114" spans="1:35" s="342" customFormat="1" ht="31.75">
      <c r="A114" s="349" t="s">
        <v>92</v>
      </c>
      <c r="B114" s="349" t="s">
        <v>116</v>
      </c>
      <c r="C114" s="965">
        <v>124.946</v>
      </c>
      <c r="D114" s="727">
        <f t="shared" si="40"/>
        <v>120</v>
      </c>
      <c r="E114" s="965">
        <v>0</v>
      </c>
      <c r="F114" s="727">
        <f t="shared" si="41"/>
        <v>0</v>
      </c>
      <c r="G114" s="965">
        <v>1.5149999999999999</v>
      </c>
      <c r="H114" s="727">
        <f t="shared" si="42"/>
        <v>1.5</v>
      </c>
      <c r="I114" s="965">
        <v>1.236</v>
      </c>
      <c r="J114" s="727">
        <f t="shared" si="43"/>
        <v>1</v>
      </c>
      <c r="K114" s="965">
        <v>0</v>
      </c>
      <c r="L114" s="799">
        <f t="shared" si="51"/>
        <v>0</v>
      </c>
      <c r="M114" s="965">
        <v>0</v>
      </c>
      <c r="N114" s="799">
        <f t="shared" si="44"/>
        <v>0</v>
      </c>
      <c r="O114" s="965">
        <v>23.632999999999999</v>
      </c>
      <c r="P114" s="799">
        <f t="shared" si="45"/>
        <v>25</v>
      </c>
      <c r="Q114" s="965">
        <v>28.263999999999999</v>
      </c>
      <c r="R114" s="799">
        <f t="shared" si="46"/>
        <v>28</v>
      </c>
      <c r="S114" s="965">
        <v>0.17199999999999999</v>
      </c>
      <c r="T114" s="799">
        <f t="shared" si="47"/>
        <v>0</v>
      </c>
      <c r="U114" s="965">
        <v>26.934999999999999</v>
      </c>
      <c r="V114" s="799">
        <f t="shared" si="48"/>
        <v>27</v>
      </c>
      <c r="W114" s="965">
        <v>26.881</v>
      </c>
      <c r="X114" s="799">
        <f t="shared" si="49"/>
        <v>27</v>
      </c>
      <c r="Y114" s="965">
        <v>0.189</v>
      </c>
      <c r="Z114" s="799">
        <f t="shared" si="50"/>
        <v>0</v>
      </c>
      <c r="AA114" s="727">
        <v>0</v>
      </c>
      <c r="AB114" s="727">
        <v>0</v>
      </c>
      <c r="AC114" s="727">
        <v>3.8849999999999998</v>
      </c>
      <c r="AD114" s="727">
        <v>0.29899999999999999</v>
      </c>
      <c r="AE114" s="727">
        <v>0.28799999999999998</v>
      </c>
      <c r="AF114" s="727">
        <v>1.5980000000000001</v>
      </c>
      <c r="AG114" s="727">
        <v>15.922000000000001</v>
      </c>
      <c r="AH114" s="727">
        <v>0.33900000000000002</v>
      </c>
    </row>
    <row r="115" spans="1:35" s="342" customFormat="1" ht="31.75">
      <c r="A115" s="349" t="s">
        <v>296</v>
      </c>
      <c r="B115" s="349" t="s">
        <v>65</v>
      </c>
      <c r="C115" s="669">
        <v>96.488</v>
      </c>
      <c r="D115" s="727">
        <f t="shared" si="40"/>
        <v>100</v>
      </c>
      <c r="E115" s="669">
        <v>0</v>
      </c>
      <c r="F115" s="727">
        <f t="shared" si="41"/>
        <v>0</v>
      </c>
      <c r="G115" s="669">
        <v>0</v>
      </c>
      <c r="H115" s="727">
        <f t="shared" si="42"/>
        <v>0</v>
      </c>
      <c r="I115" s="669">
        <v>0</v>
      </c>
      <c r="J115" s="727">
        <f t="shared" si="43"/>
        <v>0</v>
      </c>
      <c r="K115" s="669">
        <v>0</v>
      </c>
      <c r="L115" s="799">
        <f t="shared" si="51"/>
        <v>0</v>
      </c>
      <c r="M115" s="669">
        <v>0</v>
      </c>
      <c r="N115" s="799">
        <f t="shared" si="44"/>
        <v>0</v>
      </c>
      <c r="O115" s="669">
        <v>13.804</v>
      </c>
      <c r="P115" s="799">
        <f t="shared" si="45"/>
        <v>15</v>
      </c>
      <c r="Q115" s="669">
        <v>24.382999999999999</v>
      </c>
      <c r="R115" s="799">
        <f t="shared" si="46"/>
        <v>24</v>
      </c>
      <c r="S115" s="669">
        <v>0</v>
      </c>
      <c r="T115" s="799">
        <f t="shared" si="47"/>
        <v>0</v>
      </c>
      <c r="U115" s="669">
        <v>22.952000000000002</v>
      </c>
      <c r="V115" s="799">
        <f t="shared" si="48"/>
        <v>23</v>
      </c>
      <c r="W115" s="669">
        <v>22.952000000000002</v>
      </c>
      <c r="X115" s="799">
        <f t="shared" si="49"/>
        <v>23</v>
      </c>
      <c r="Y115" s="669">
        <v>0</v>
      </c>
      <c r="Z115" s="799">
        <f t="shared" si="50"/>
        <v>0</v>
      </c>
      <c r="AA115" s="669">
        <v>0</v>
      </c>
      <c r="AB115" s="669">
        <v>0</v>
      </c>
      <c r="AC115" s="669">
        <v>2.4889999999999999</v>
      </c>
      <c r="AD115" s="669">
        <v>0.191</v>
      </c>
      <c r="AE115" s="669">
        <v>8.0000000000000002E-3</v>
      </c>
      <c r="AF115" s="669">
        <v>4.2000000000000003E-2</v>
      </c>
      <c r="AG115" s="669">
        <v>0.314</v>
      </c>
      <c r="AH115" s="669">
        <v>7.0000000000000001E-3</v>
      </c>
    </row>
    <row r="116" spans="1:35" s="342" customFormat="1" ht="31.75">
      <c r="A116" s="349" t="s">
        <v>296</v>
      </c>
      <c r="B116" s="349" t="s">
        <v>314</v>
      </c>
      <c r="C116" s="554">
        <v>97.465999999999994</v>
      </c>
      <c r="D116" s="727">
        <f t="shared" si="40"/>
        <v>100</v>
      </c>
      <c r="E116" s="554">
        <v>0</v>
      </c>
      <c r="F116" s="727">
        <f t="shared" si="41"/>
        <v>0</v>
      </c>
      <c r="G116" s="554">
        <v>0</v>
      </c>
      <c r="H116" s="727">
        <f t="shared" si="42"/>
        <v>0</v>
      </c>
      <c r="I116" s="554">
        <v>0</v>
      </c>
      <c r="J116" s="727">
        <f t="shared" si="43"/>
        <v>0</v>
      </c>
      <c r="K116" s="554">
        <v>0</v>
      </c>
      <c r="L116" s="799">
        <f t="shared" si="51"/>
        <v>0</v>
      </c>
      <c r="M116" s="554">
        <v>0</v>
      </c>
      <c r="N116" s="799">
        <f t="shared" si="44"/>
        <v>0</v>
      </c>
      <c r="O116" s="554">
        <v>10.763999999999999</v>
      </c>
      <c r="P116" s="799">
        <f t="shared" si="45"/>
        <v>10</v>
      </c>
      <c r="Q116" s="554">
        <v>24.338999999999999</v>
      </c>
      <c r="R116" s="799">
        <f t="shared" si="46"/>
        <v>24</v>
      </c>
      <c r="S116" s="554">
        <v>1.7999999999999999E-2</v>
      </c>
      <c r="T116" s="799">
        <f t="shared" si="47"/>
        <v>0</v>
      </c>
      <c r="U116" s="554">
        <v>22.946999999999999</v>
      </c>
      <c r="V116" s="799">
        <f t="shared" si="48"/>
        <v>23</v>
      </c>
      <c r="W116" s="554">
        <v>22.946999999999999</v>
      </c>
      <c r="X116" s="799">
        <f t="shared" si="49"/>
        <v>23</v>
      </c>
      <c r="Y116" s="554">
        <v>2E-3</v>
      </c>
      <c r="Z116" s="799">
        <f t="shared" si="50"/>
        <v>0</v>
      </c>
      <c r="AA116" s="554">
        <v>0</v>
      </c>
      <c r="AB116" s="554">
        <v>0</v>
      </c>
      <c r="AC116" s="554">
        <v>2.5089999999999999</v>
      </c>
      <c r="AD116" s="554">
        <v>0.193</v>
      </c>
      <c r="AE116" s="554">
        <v>6.0000000000000001E-3</v>
      </c>
      <c r="AF116" s="554">
        <v>3.1E-2</v>
      </c>
      <c r="AG116" s="554">
        <v>0.38900000000000001</v>
      </c>
      <c r="AH116" s="554">
        <v>8.0000000000000002E-3</v>
      </c>
    </row>
    <row r="117" spans="1:35" s="342" customFormat="1" ht="31.75">
      <c r="A117" s="349" t="s">
        <v>143</v>
      </c>
      <c r="B117" s="937" t="s">
        <v>160</v>
      </c>
      <c r="C117" s="938">
        <v>118.566</v>
      </c>
      <c r="D117" s="727">
        <f t="shared" si="40"/>
        <v>120</v>
      </c>
      <c r="E117" s="938">
        <v>40.506</v>
      </c>
      <c r="F117" s="727">
        <f t="shared" si="41"/>
        <v>40</v>
      </c>
      <c r="G117" s="938">
        <v>4.5010000000000003</v>
      </c>
      <c r="H117" s="727">
        <f t="shared" si="42"/>
        <v>4.5</v>
      </c>
      <c r="I117" s="938">
        <v>3.8149999999999999</v>
      </c>
      <c r="J117" s="727">
        <f t="shared" si="43"/>
        <v>4</v>
      </c>
      <c r="K117" s="938">
        <v>0</v>
      </c>
      <c r="L117" s="799">
        <f t="shared" si="51"/>
        <v>0</v>
      </c>
      <c r="M117" s="938">
        <v>0.11899999999999999</v>
      </c>
      <c r="N117" s="799">
        <f t="shared" si="44"/>
        <v>0</v>
      </c>
      <c r="O117" s="938">
        <v>2.024</v>
      </c>
      <c r="P117" s="799">
        <f t="shared" si="45"/>
        <v>0</v>
      </c>
      <c r="Q117" s="938">
        <v>18.789000000000001</v>
      </c>
      <c r="R117" s="799">
        <f t="shared" si="46"/>
        <v>19</v>
      </c>
      <c r="S117" s="938">
        <v>4.8000000000000001E-2</v>
      </c>
      <c r="T117" s="799">
        <f t="shared" si="47"/>
        <v>0</v>
      </c>
      <c r="U117" s="938">
        <v>11.454000000000001</v>
      </c>
      <c r="V117" s="799">
        <f t="shared" si="48"/>
        <v>11</v>
      </c>
      <c r="W117" s="938">
        <v>0</v>
      </c>
      <c r="X117" s="799">
        <f t="shared" si="49"/>
        <v>0</v>
      </c>
      <c r="Y117" s="938">
        <v>0</v>
      </c>
      <c r="Z117" s="799">
        <f t="shared" si="50"/>
        <v>0</v>
      </c>
      <c r="AA117" s="938">
        <v>0</v>
      </c>
      <c r="AB117" s="938">
        <v>0</v>
      </c>
      <c r="AC117" s="938">
        <v>0.47599999999999998</v>
      </c>
      <c r="AD117" s="938">
        <v>3.6999999999999998E-2</v>
      </c>
      <c r="AE117" s="938">
        <v>0</v>
      </c>
      <c r="AF117" s="938">
        <v>0</v>
      </c>
      <c r="AG117" s="938">
        <v>0</v>
      </c>
      <c r="AH117" s="939">
        <v>0</v>
      </c>
    </row>
    <row r="118" spans="1:35" s="342" customFormat="1" ht="31.75">
      <c r="A118" s="349" t="s">
        <v>143</v>
      </c>
      <c r="B118" s="937" t="s">
        <v>161</v>
      </c>
      <c r="C118" s="536">
        <v>119.82</v>
      </c>
      <c r="D118" s="727">
        <f t="shared" si="40"/>
        <v>120</v>
      </c>
      <c r="E118" s="536">
        <v>42.917000000000002</v>
      </c>
      <c r="F118" s="727">
        <f t="shared" si="41"/>
        <v>45</v>
      </c>
      <c r="G118" s="536">
        <v>4.7690000000000001</v>
      </c>
      <c r="H118" s="727">
        <f t="shared" si="42"/>
        <v>5</v>
      </c>
      <c r="I118" s="536">
        <v>4.0419999999999998</v>
      </c>
      <c r="J118" s="727">
        <f t="shared" si="43"/>
        <v>4</v>
      </c>
      <c r="K118" s="536">
        <v>0</v>
      </c>
      <c r="L118" s="799">
        <f t="shared" si="51"/>
        <v>0</v>
      </c>
      <c r="M118" s="536">
        <v>0.126</v>
      </c>
      <c r="N118" s="799">
        <f t="shared" si="44"/>
        <v>0</v>
      </c>
      <c r="O118" s="536">
        <v>2.145</v>
      </c>
      <c r="P118" s="799">
        <f t="shared" si="45"/>
        <v>0</v>
      </c>
      <c r="Q118" s="536">
        <v>19.68</v>
      </c>
      <c r="R118" s="799">
        <f t="shared" si="46"/>
        <v>20</v>
      </c>
      <c r="S118" s="536">
        <v>0.05</v>
      </c>
      <c r="T118" s="799">
        <f t="shared" si="47"/>
        <v>0</v>
      </c>
      <c r="U118" s="536">
        <v>12.135999999999999</v>
      </c>
      <c r="V118" s="799">
        <f t="shared" si="48"/>
        <v>12</v>
      </c>
      <c r="W118" s="536">
        <v>12.135999999999999</v>
      </c>
      <c r="X118" s="799">
        <f t="shared" si="49"/>
        <v>12</v>
      </c>
      <c r="Y118" s="536">
        <v>0</v>
      </c>
      <c r="Z118" s="799">
        <f t="shared" si="50"/>
        <v>0</v>
      </c>
      <c r="AA118" s="536">
        <v>0</v>
      </c>
      <c r="AB118" s="536">
        <v>0</v>
      </c>
      <c r="AC118" s="536">
        <v>0.505</v>
      </c>
      <c r="AD118" s="536">
        <v>3.9E-2</v>
      </c>
      <c r="AE118" s="536">
        <v>0</v>
      </c>
      <c r="AF118" s="536">
        <v>0</v>
      </c>
      <c r="AG118" s="536">
        <v>0.27800000000000002</v>
      </c>
      <c r="AH118" s="536">
        <v>6.0000000000000001E-3</v>
      </c>
    </row>
    <row r="119" spans="1:35" s="342" customFormat="1" ht="31.75">
      <c r="A119" s="349" t="s">
        <v>92</v>
      </c>
      <c r="B119" s="958" t="s">
        <v>323</v>
      </c>
      <c r="C119" s="966">
        <v>107.11799999999999</v>
      </c>
      <c r="D119" s="727">
        <f t="shared" si="40"/>
        <v>110</v>
      </c>
      <c r="E119" s="966">
        <v>1.7000000000000001E-2</v>
      </c>
      <c r="F119" s="727">
        <f t="shared" si="41"/>
        <v>0</v>
      </c>
      <c r="G119" s="966">
        <v>1.026</v>
      </c>
      <c r="H119" s="727">
        <f t="shared" si="42"/>
        <v>1</v>
      </c>
      <c r="I119" s="966">
        <v>0.95</v>
      </c>
      <c r="J119" s="727">
        <f t="shared" si="43"/>
        <v>1</v>
      </c>
      <c r="K119" s="966">
        <v>0</v>
      </c>
      <c r="L119" s="799">
        <f t="shared" si="51"/>
        <v>0</v>
      </c>
      <c r="M119" s="966">
        <v>0</v>
      </c>
      <c r="N119" s="799">
        <f t="shared" si="44"/>
        <v>0</v>
      </c>
      <c r="O119" s="966">
        <v>21</v>
      </c>
      <c r="P119" s="799">
        <f t="shared" si="45"/>
        <v>20</v>
      </c>
      <c r="Q119" s="966">
        <v>24.667999999999999</v>
      </c>
      <c r="R119" s="799">
        <f t="shared" si="46"/>
        <v>25</v>
      </c>
      <c r="S119" s="966">
        <v>3.9E-2</v>
      </c>
      <c r="T119" s="799">
        <f t="shared" si="47"/>
        <v>0</v>
      </c>
      <c r="U119" s="966">
        <v>23.350999999999999</v>
      </c>
      <c r="V119" s="799">
        <f t="shared" si="48"/>
        <v>23</v>
      </c>
      <c r="W119" s="966">
        <v>22.94</v>
      </c>
      <c r="X119" s="799">
        <f t="shared" si="49"/>
        <v>23</v>
      </c>
      <c r="Y119" s="966">
        <v>0.109</v>
      </c>
      <c r="Z119" s="799">
        <f t="shared" si="50"/>
        <v>0</v>
      </c>
      <c r="AA119" s="554">
        <v>0</v>
      </c>
      <c r="AB119" s="554">
        <v>0</v>
      </c>
      <c r="AC119" s="554">
        <v>2.847</v>
      </c>
      <c r="AD119" s="554">
        <v>0.219</v>
      </c>
      <c r="AE119" s="554">
        <v>3.7999999999999999E-2</v>
      </c>
      <c r="AF119" s="554">
        <v>0.21199999999999999</v>
      </c>
      <c r="AG119" s="554">
        <v>5.2619999999999996</v>
      </c>
      <c r="AH119" s="615">
        <v>0.112</v>
      </c>
    </row>
    <row r="120" spans="1:35" s="342" customFormat="1" ht="15.75" customHeight="1">
      <c r="A120" s="349" t="s">
        <v>396</v>
      </c>
      <c r="B120" s="955" t="s">
        <v>66</v>
      </c>
      <c r="C120" s="729">
        <v>321.36200000000002</v>
      </c>
      <c r="D120" s="727">
        <f t="shared" si="40"/>
        <v>320</v>
      </c>
      <c r="E120" s="729">
        <v>155.476</v>
      </c>
      <c r="F120" s="727">
        <f t="shared" si="41"/>
        <v>160</v>
      </c>
      <c r="G120" s="729">
        <v>17.274999999999999</v>
      </c>
      <c r="H120" s="727">
        <f t="shared" si="42"/>
        <v>17</v>
      </c>
      <c r="I120" s="729">
        <v>10.993</v>
      </c>
      <c r="J120" s="727">
        <f t="shared" si="43"/>
        <v>11</v>
      </c>
      <c r="K120" s="729">
        <v>0</v>
      </c>
      <c r="L120" s="799">
        <f t="shared" si="51"/>
        <v>0</v>
      </c>
      <c r="M120" s="729">
        <v>102.08</v>
      </c>
      <c r="N120" s="799">
        <f t="shared" si="44"/>
        <v>100</v>
      </c>
      <c r="O120" s="729">
        <v>221.22800000000001</v>
      </c>
      <c r="P120" s="799">
        <f t="shared" si="45"/>
        <v>220</v>
      </c>
      <c r="Q120" s="729">
        <v>37.982999999999997</v>
      </c>
      <c r="R120" s="799">
        <f t="shared" si="46"/>
        <v>38</v>
      </c>
      <c r="S120" s="729">
        <v>0</v>
      </c>
      <c r="T120" s="799">
        <f t="shared" si="47"/>
        <v>0</v>
      </c>
      <c r="U120" s="729">
        <v>29.495000000000001</v>
      </c>
      <c r="V120" s="799">
        <f t="shared" si="48"/>
        <v>29</v>
      </c>
      <c r="W120" s="729">
        <v>1.2270000000000001</v>
      </c>
      <c r="X120" s="799">
        <f t="shared" si="49"/>
        <v>1</v>
      </c>
      <c r="Y120" s="729">
        <v>6.282</v>
      </c>
      <c r="Z120" s="799">
        <f t="shared" si="50"/>
        <v>6</v>
      </c>
      <c r="AA120" s="1134">
        <v>0</v>
      </c>
      <c r="AB120" s="1134">
        <v>0</v>
      </c>
      <c r="AC120" s="1134">
        <v>306.51400000000001</v>
      </c>
      <c r="AD120" s="1134">
        <v>23.577999999999999</v>
      </c>
      <c r="AE120" s="1134">
        <v>0</v>
      </c>
      <c r="AF120" s="1134">
        <v>0</v>
      </c>
      <c r="AG120" s="1134">
        <v>1.363</v>
      </c>
      <c r="AH120" s="1173">
        <v>2.9000000000000001E-2</v>
      </c>
    </row>
    <row r="121" spans="1:35" s="342" customFormat="1" ht="14.25" customHeight="1">
      <c r="A121" s="349" t="s">
        <v>296</v>
      </c>
      <c r="B121" s="957" t="s">
        <v>66</v>
      </c>
      <c r="C121" s="669">
        <v>97.75</v>
      </c>
      <c r="D121" s="727">
        <f t="shared" si="40"/>
        <v>100</v>
      </c>
      <c r="E121" s="669">
        <v>3.1E-2</v>
      </c>
      <c r="F121" s="727">
        <f t="shared" si="41"/>
        <v>0</v>
      </c>
      <c r="G121" s="669">
        <v>3.0000000000000001E-3</v>
      </c>
      <c r="H121" s="727">
        <f t="shared" si="42"/>
        <v>0</v>
      </c>
      <c r="I121" s="669">
        <v>0</v>
      </c>
      <c r="J121" s="727">
        <f t="shared" si="43"/>
        <v>0</v>
      </c>
      <c r="K121" s="669">
        <v>0</v>
      </c>
      <c r="L121" s="799">
        <f t="shared" si="51"/>
        <v>0</v>
      </c>
      <c r="M121" s="669">
        <v>0</v>
      </c>
      <c r="N121" s="799">
        <f t="shared" si="44"/>
        <v>0</v>
      </c>
      <c r="O121" s="669">
        <v>14.016999999999999</v>
      </c>
      <c r="P121" s="799">
        <f t="shared" si="45"/>
        <v>15</v>
      </c>
      <c r="Q121" s="669">
        <v>24.635999999999999</v>
      </c>
      <c r="R121" s="799">
        <f t="shared" si="46"/>
        <v>25</v>
      </c>
      <c r="S121" s="669">
        <v>6.7000000000000004E-2</v>
      </c>
      <c r="T121" s="799">
        <f t="shared" si="47"/>
        <v>0</v>
      </c>
      <c r="U121" s="669">
        <v>23.92</v>
      </c>
      <c r="V121" s="799">
        <f t="shared" si="48"/>
        <v>24</v>
      </c>
      <c r="W121" s="669">
        <v>23.594000000000001</v>
      </c>
      <c r="X121" s="799">
        <f t="shared" si="49"/>
        <v>24</v>
      </c>
      <c r="Y121" s="669">
        <v>0.06</v>
      </c>
      <c r="Z121" s="799">
        <f t="shared" si="50"/>
        <v>0</v>
      </c>
      <c r="AA121" s="669">
        <v>0</v>
      </c>
      <c r="AB121" s="669">
        <v>0</v>
      </c>
      <c r="AC121" s="669">
        <v>3.1619999999999999</v>
      </c>
      <c r="AD121" s="669">
        <v>0.24299999999999999</v>
      </c>
      <c r="AE121" s="669">
        <v>4.1000000000000002E-2</v>
      </c>
      <c r="AF121" s="669">
        <v>0.23</v>
      </c>
      <c r="AG121" s="669">
        <v>4.1630000000000003</v>
      </c>
      <c r="AH121" s="961">
        <v>8.8999999999999996E-2</v>
      </c>
    </row>
    <row r="122" spans="1:35" s="342" customFormat="1" ht="31.5" customHeight="1">
      <c r="A122" s="349" t="s">
        <v>92</v>
      </c>
      <c r="B122" s="957" t="s">
        <v>117</v>
      </c>
      <c r="C122" s="965">
        <v>80.582999999999998</v>
      </c>
      <c r="D122" s="727">
        <f t="shared" si="40"/>
        <v>80</v>
      </c>
      <c r="E122" s="965">
        <v>0.156</v>
      </c>
      <c r="F122" s="727">
        <f t="shared" si="41"/>
        <v>0</v>
      </c>
      <c r="G122" s="965">
        <v>1.151</v>
      </c>
      <c r="H122" s="727">
        <f t="shared" si="42"/>
        <v>1</v>
      </c>
      <c r="I122" s="965">
        <v>1.0640000000000001</v>
      </c>
      <c r="J122" s="727">
        <f t="shared" si="43"/>
        <v>1</v>
      </c>
      <c r="K122" s="965">
        <v>0</v>
      </c>
      <c r="L122" s="799">
        <f>IF(K122&lt;0.5,0,IF(K122&gt;5,MROUND(K122,1),MROUND(#REF!,0.5)))</f>
        <v>0</v>
      </c>
      <c r="M122" s="965">
        <v>0</v>
      </c>
      <c r="N122" s="799">
        <f t="shared" si="44"/>
        <v>0</v>
      </c>
      <c r="O122" s="965">
        <v>25</v>
      </c>
      <c r="P122" s="799">
        <f t="shared" si="45"/>
        <v>25</v>
      </c>
      <c r="Q122" s="965">
        <v>17.393999999999998</v>
      </c>
      <c r="R122" s="799">
        <f t="shared" si="46"/>
        <v>17</v>
      </c>
      <c r="S122" s="965">
        <v>9.9000000000000005E-2</v>
      </c>
      <c r="T122" s="799">
        <f t="shared" si="47"/>
        <v>0</v>
      </c>
      <c r="U122" s="965">
        <v>15.766999999999999</v>
      </c>
      <c r="V122" s="799">
        <f t="shared" si="48"/>
        <v>16</v>
      </c>
      <c r="W122" s="965">
        <v>15.117000000000001</v>
      </c>
      <c r="X122" s="799">
        <f t="shared" si="49"/>
        <v>15</v>
      </c>
      <c r="Y122" s="965">
        <v>0.158</v>
      </c>
      <c r="Z122" s="799">
        <f t="shared" si="50"/>
        <v>0</v>
      </c>
      <c r="AA122" s="727">
        <v>0</v>
      </c>
      <c r="AB122" s="727">
        <v>0</v>
      </c>
      <c r="AC122" s="727">
        <v>3.137</v>
      </c>
      <c r="AD122" s="727">
        <v>0.24099999999999999</v>
      </c>
      <c r="AE122" s="727">
        <v>4.9000000000000002E-2</v>
      </c>
      <c r="AF122" s="727">
        <v>0.27200000000000002</v>
      </c>
      <c r="AG122" s="727">
        <v>15.771000000000001</v>
      </c>
      <c r="AH122" s="1013">
        <v>0.33600000000000002</v>
      </c>
    </row>
    <row r="123" spans="1:35" s="342" customFormat="1" ht="31.5" customHeight="1">
      <c r="A123" s="349" t="s">
        <v>396</v>
      </c>
      <c r="B123" s="955" t="s">
        <v>117</v>
      </c>
      <c r="C123" s="730">
        <v>319.58600000000001</v>
      </c>
      <c r="D123" s="727">
        <f t="shared" si="40"/>
        <v>320</v>
      </c>
      <c r="E123" s="730">
        <v>152.126</v>
      </c>
      <c r="F123" s="727">
        <f t="shared" si="41"/>
        <v>150</v>
      </c>
      <c r="G123" s="730">
        <v>16.902999999999999</v>
      </c>
      <c r="H123" s="727">
        <f t="shared" si="42"/>
        <v>17</v>
      </c>
      <c r="I123" s="730">
        <v>10.756</v>
      </c>
      <c r="J123" s="727">
        <f t="shared" si="43"/>
        <v>11</v>
      </c>
      <c r="K123" s="730">
        <v>0</v>
      </c>
      <c r="L123" s="799">
        <f t="shared" ref="L123:L131" si="52">IF(K123&lt;0.5,0,IF(K123&gt;5,MROUND(K123,1),MROUND(K122,0.5)))</f>
        <v>0</v>
      </c>
      <c r="M123" s="730">
        <v>99.881</v>
      </c>
      <c r="N123" s="799">
        <f t="shared" si="44"/>
        <v>100</v>
      </c>
      <c r="O123" s="730">
        <v>217.506</v>
      </c>
      <c r="P123" s="799">
        <f t="shared" si="45"/>
        <v>220</v>
      </c>
      <c r="Q123" s="730">
        <v>38.423000000000002</v>
      </c>
      <c r="R123" s="799">
        <f t="shared" si="46"/>
        <v>38</v>
      </c>
      <c r="S123" s="730">
        <v>0</v>
      </c>
      <c r="T123" s="799">
        <f t="shared" si="47"/>
        <v>0</v>
      </c>
      <c r="U123" s="730">
        <v>29.672999999999998</v>
      </c>
      <c r="V123" s="799">
        <f t="shared" si="48"/>
        <v>30</v>
      </c>
      <c r="W123" s="730">
        <v>2.0129999999999999</v>
      </c>
      <c r="X123" s="799">
        <f t="shared" si="49"/>
        <v>2</v>
      </c>
      <c r="Y123" s="730">
        <v>6.1470000000000002</v>
      </c>
      <c r="Z123" s="799">
        <f t="shared" si="50"/>
        <v>6</v>
      </c>
      <c r="AA123" s="761">
        <v>0</v>
      </c>
      <c r="AB123" s="761">
        <v>0</v>
      </c>
      <c r="AC123" s="761">
        <v>300.16000000000003</v>
      </c>
      <c r="AD123" s="761">
        <v>23.088999999999999</v>
      </c>
      <c r="AE123" s="761">
        <v>0</v>
      </c>
      <c r="AF123" s="761">
        <v>0</v>
      </c>
      <c r="AG123" s="761">
        <v>2.3359999999999999</v>
      </c>
      <c r="AH123" s="1174">
        <v>0.05</v>
      </c>
    </row>
    <row r="124" spans="1:35" s="342" customFormat="1" ht="31.75">
      <c r="A124" s="349" t="s">
        <v>92</v>
      </c>
      <c r="B124" s="957" t="s">
        <v>118</v>
      </c>
      <c r="C124" s="967">
        <v>122.255</v>
      </c>
      <c r="D124" s="727">
        <f t="shared" si="40"/>
        <v>120</v>
      </c>
      <c r="E124" s="967">
        <v>7.0910000000000002</v>
      </c>
      <c r="F124" s="727">
        <f t="shared" si="41"/>
        <v>5</v>
      </c>
      <c r="G124" s="967">
        <v>1.796</v>
      </c>
      <c r="H124" s="727">
        <f t="shared" si="42"/>
        <v>2</v>
      </c>
      <c r="I124" s="967">
        <v>1.4419999999999999</v>
      </c>
      <c r="J124" s="727">
        <f t="shared" si="43"/>
        <v>1.5</v>
      </c>
      <c r="K124" s="967">
        <v>0</v>
      </c>
      <c r="L124" s="799">
        <f t="shared" si="52"/>
        <v>0</v>
      </c>
      <c r="M124" s="967">
        <v>1.9510000000000001</v>
      </c>
      <c r="N124" s="799">
        <f t="shared" si="44"/>
        <v>0</v>
      </c>
      <c r="O124" s="967">
        <v>26.693999999999999</v>
      </c>
      <c r="P124" s="799">
        <f t="shared" si="45"/>
        <v>25</v>
      </c>
      <c r="Q124" s="967">
        <v>26.614999999999998</v>
      </c>
      <c r="R124" s="799">
        <f t="shared" si="46"/>
        <v>27</v>
      </c>
      <c r="S124" s="967">
        <v>5.8000000000000003E-2</v>
      </c>
      <c r="T124" s="799">
        <f t="shared" si="47"/>
        <v>0</v>
      </c>
      <c r="U124" s="967">
        <v>24.15</v>
      </c>
      <c r="V124" s="799">
        <f t="shared" si="48"/>
        <v>24</v>
      </c>
      <c r="W124" s="967">
        <v>23.51</v>
      </c>
      <c r="X124" s="799">
        <f t="shared" si="49"/>
        <v>24</v>
      </c>
      <c r="Y124" s="967">
        <v>0.23699999999999999</v>
      </c>
      <c r="Z124" s="799">
        <f t="shared" si="50"/>
        <v>0</v>
      </c>
      <c r="AA124" s="1131">
        <v>0</v>
      </c>
      <c r="AB124" s="1131">
        <v>0</v>
      </c>
      <c r="AC124" s="1131">
        <v>6.992</v>
      </c>
      <c r="AD124" s="1131">
        <v>0.53800000000000003</v>
      </c>
      <c r="AE124" s="1131">
        <v>5.0999999999999997E-2</v>
      </c>
      <c r="AF124" s="1131">
        <v>0.28499999999999998</v>
      </c>
      <c r="AG124" s="1131">
        <v>9.7759999999999998</v>
      </c>
      <c r="AH124" s="1175">
        <v>0.20799999999999999</v>
      </c>
    </row>
    <row r="125" spans="1:35" s="342" customFormat="1" ht="31.75">
      <c r="A125" s="349" t="s">
        <v>296</v>
      </c>
      <c r="B125" s="957" t="s">
        <v>67</v>
      </c>
      <c r="C125" s="669">
        <v>97.063000000000002</v>
      </c>
      <c r="D125" s="727">
        <f t="shared" si="40"/>
        <v>100</v>
      </c>
      <c r="E125" s="669">
        <v>6.0000000000000001E-3</v>
      </c>
      <c r="F125" s="727">
        <f t="shared" si="41"/>
        <v>0</v>
      </c>
      <c r="G125" s="669">
        <v>1E-3</v>
      </c>
      <c r="H125" s="727">
        <f t="shared" si="42"/>
        <v>0</v>
      </c>
      <c r="I125" s="669">
        <v>0</v>
      </c>
      <c r="J125" s="727">
        <f t="shared" si="43"/>
        <v>0</v>
      </c>
      <c r="K125" s="669">
        <v>0</v>
      </c>
      <c r="L125" s="799">
        <f t="shared" si="52"/>
        <v>0</v>
      </c>
      <c r="M125" s="669">
        <v>0</v>
      </c>
      <c r="N125" s="799">
        <f t="shared" si="44"/>
        <v>0</v>
      </c>
      <c r="O125" s="669">
        <v>13.371</v>
      </c>
      <c r="P125" s="799">
        <f t="shared" si="45"/>
        <v>15</v>
      </c>
      <c r="Q125" s="669">
        <v>24.545999999999999</v>
      </c>
      <c r="R125" s="799">
        <f t="shared" si="46"/>
        <v>25</v>
      </c>
      <c r="S125" s="669">
        <v>2.7E-2</v>
      </c>
      <c r="T125" s="799">
        <f t="shared" si="47"/>
        <v>0</v>
      </c>
      <c r="U125" s="669">
        <v>23.802</v>
      </c>
      <c r="V125" s="799">
        <f t="shared" si="48"/>
        <v>24</v>
      </c>
      <c r="W125" s="669">
        <v>23.669</v>
      </c>
      <c r="X125" s="799">
        <f t="shared" si="49"/>
        <v>24</v>
      </c>
      <c r="Y125" s="669">
        <v>2.9000000000000001E-2</v>
      </c>
      <c r="Z125" s="799">
        <f t="shared" si="50"/>
        <v>0</v>
      </c>
      <c r="AA125" s="669">
        <v>0</v>
      </c>
      <c r="AB125" s="669">
        <v>0</v>
      </c>
      <c r="AC125" s="669">
        <v>3.0859999999999999</v>
      </c>
      <c r="AD125" s="669">
        <v>0.23699999999999999</v>
      </c>
      <c r="AE125" s="669">
        <v>2.4E-2</v>
      </c>
      <c r="AF125" s="669">
        <v>0.13400000000000001</v>
      </c>
      <c r="AG125" s="669">
        <v>0.90600000000000003</v>
      </c>
      <c r="AH125" s="961">
        <v>1.9E-2</v>
      </c>
    </row>
    <row r="126" spans="1:35" s="342" customFormat="1" ht="31.75">
      <c r="A126" s="349" t="s">
        <v>296</v>
      </c>
      <c r="B126" s="957" t="s">
        <v>68</v>
      </c>
      <c r="C126" s="669">
        <v>83.191999999999993</v>
      </c>
      <c r="D126" s="727">
        <f t="shared" si="40"/>
        <v>80</v>
      </c>
      <c r="E126" s="669">
        <v>7.4999999999999997E-2</v>
      </c>
      <c r="F126" s="727">
        <f t="shared" si="41"/>
        <v>0</v>
      </c>
      <c r="G126" s="669">
        <v>8.0000000000000002E-3</v>
      </c>
      <c r="H126" s="727">
        <f t="shared" si="42"/>
        <v>0</v>
      </c>
      <c r="I126" s="669">
        <v>0</v>
      </c>
      <c r="J126" s="727">
        <f t="shared" si="43"/>
        <v>0</v>
      </c>
      <c r="K126" s="669">
        <v>0</v>
      </c>
      <c r="L126" s="799">
        <f t="shared" si="52"/>
        <v>0</v>
      </c>
      <c r="M126" s="669">
        <v>0</v>
      </c>
      <c r="N126" s="799">
        <f t="shared" si="44"/>
        <v>0</v>
      </c>
      <c r="O126" s="669">
        <v>12.54</v>
      </c>
      <c r="P126" s="799">
        <f t="shared" si="45"/>
        <v>15</v>
      </c>
      <c r="Q126" s="669">
        <v>21.193000000000001</v>
      </c>
      <c r="R126" s="799">
        <f t="shared" si="46"/>
        <v>21</v>
      </c>
      <c r="S126" s="669">
        <v>0.06</v>
      </c>
      <c r="T126" s="799">
        <f t="shared" si="47"/>
        <v>0</v>
      </c>
      <c r="U126" s="669">
        <v>20.242000000000001</v>
      </c>
      <c r="V126" s="799">
        <f t="shared" si="48"/>
        <v>20</v>
      </c>
      <c r="W126" s="669">
        <v>19.995000000000001</v>
      </c>
      <c r="X126" s="799">
        <f t="shared" si="49"/>
        <v>20</v>
      </c>
      <c r="Y126" s="669">
        <v>5.1999999999999998E-2</v>
      </c>
      <c r="Z126" s="799">
        <f t="shared" si="50"/>
        <v>0</v>
      </c>
      <c r="AA126" s="669">
        <v>0</v>
      </c>
      <c r="AB126" s="669">
        <v>0</v>
      </c>
      <c r="AC126" s="669">
        <v>3.456</v>
      </c>
      <c r="AD126" s="669">
        <v>0.26600000000000001</v>
      </c>
      <c r="AE126" s="669">
        <v>2.8000000000000001E-2</v>
      </c>
      <c r="AF126" s="669">
        <v>0.157</v>
      </c>
      <c r="AG126" s="669">
        <v>6.5540000000000003</v>
      </c>
      <c r="AH126" s="961">
        <v>0.13900000000000001</v>
      </c>
    </row>
    <row r="127" spans="1:35" s="342" customFormat="1" ht="31.5" customHeight="1">
      <c r="A127" s="349" t="s">
        <v>296</v>
      </c>
      <c r="B127" s="957" t="s">
        <v>69</v>
      </c>
      <c r="C127" s="669">
        <v>95.611999999999995</v>
      </c>
      <c r="D127" s="727">
        <f t="shared" si="40"/>
        <v>100</v>
      </c>
      <c r="E127" s="669">
        <v>7.9000000000000001E-2</v>
      </c>
      <c r="F127" s="727">
        <f t="shared" si="41"/>
        <v>0</v>
      </c>
      <c r="G127" s="669">
        <v>8.9999999999999993E-3</v>
      </c>
      <c r="H127" s="727">
        <f t="shared" si="42"/>
        <v>0</v>
      </c>
      <c r="I127" s="669">
        <v>0</v>
      </c>
      <c r="J127" s="727">
        <f t="shared" si="43"/>
        <v>0</v>
      </c>
      <c r="K127" s="669">
        <v>0</v>
      </c>
      <c r="L127" s="799">
        <f t="shared" si="52"/>
        <v>0</v>
      </c>
      <c r="M127" s="669">
        <v>0</v>
      </c>
      <c r="N127" s="799">
        <f t="shared" si="44"/>
        <v>0</v>
      </c>
      <c r="O127" s="669">
        <v>15.58</v>
      </c>
      <c r="P127" s="799">
        <f t="shared" si="45"/>
        <v>15</v>
      </c>
      <c r="Q127" s="669">
        <v>24.292999999999999</v>
      </c>
      <c r="R127" s="799">
        <f t="shared" si="46"/>
        <v>24</v>
      </c>
      <c r="S127" s="669">
        <v>6.6000000000000003E-2</v>
      </c>
      <c r="T127" s="799">
        <f t="shared" si="47"/>
        <v>0</v>
      </c>
      <c r="U127" s="669">
        <v>23.251999999999999</v>
      </c>
      <c r="V127" s="799">
        <f t="shared" si="48"/>
        <v>23</v>
      </c>
      <c r="W127" s="669">
        <v>23.007000000000001</v>
      </c>
      <c r="X127" s="799">
        <f t="shared" si="49"/>
        <v>23</v>
      </c>
      <c r="Y127" s="669">
        <v>5.3999999999999999E-2</v>
      </c>
      <c r="Z127" s="799">
        <f t="shared" si="50"/>
        <v>0</v>
      </c>
      <c r="AA127" s="669">
        <v>0</v>
      </c>
      <c r="AB127" s="669">
        <v>0</v>
      </c>
      <c r="AC127" s="669">
        <v>3.5179999999999998</v>
      </c>
      <c r="AD127" s="669">
        <v>0.27100000000000002</v>
      </c>
      <c r="AE127" s="669">
        <v>2.5000000000000001E-2</v>
      </c>
      <c r="AF127" s="669">
        <v>0.13700000000000001</v>
      </c>
      <c r="AG127" s="669">
        <v>6.0359999999999996</v>
      </c>
      <c r="AH127" s="961">
        <v>0.128</v>
      </c>
      <c r="AI127" s="350"/>
    </row>
    <row r="128" spans="1:35" s="342" customFormat="1" ht="31.5" customHeight="1">
      <c r="A128" s="349" t="s">
        <v>470</v>
      </c>
      <c r="B128" s="328" t="s">
        <v>162</v>
      </c>
      <c r="C128" s="536">
        <v>69.887</v>
      </c>
      <c r="D128" s="727">
        <f t="shared" si="40"/>
        <v>70</v>
      </c>
      <c r="E128" s="536">
        <v>0.28699999999999998</v>
      </c>
      <c r="F128" s="727">
        <f t="shared" si="41"/>
        <v>0</v>
      </c>
      <c r="G128" s="536">
        <v>3.2000000000000001E-2</v>
      </c>
      <c r="H128" s="727">
        <f t="shared" si="42"/>
        <v>0</v>
      </c>
      <c r="I128" s="536">
        <v>3.0000000000000001E-3</v>
      </c>
      <c r="J128" s="727">
        <f t="shared" si="43"/>
        <v>0</v>
      </c>
      <c r="K128" s="536">
        <v>0</v>
      </c>
      <c r="L128" s="799">
        <f t="shared" si="52"/>
        <v>0</v>
      </c>
      <c r="M128" s="536">
        <v>0</v>
      </c>
      <c r="N128" s="799">
        <f t="shared" si="44"/>
        <v>0</v>
      </c>
      <c r="O128" s="536">
        <v>9.7279999999999998</v>
      </c>
      <c r="P128" s="799">
        <f t="shared" si="45"/>
        <v>10</v>
      </c>
      <c r="Q128" s="536">
        <v>19.102</v>
      </c>
      <c r="R128" s="799">
        <f t="shared" si="46"/>
        <v>19</v>
      </c>
      <c r="S128" s="536">
        <v>0.60799999999999998</v>
      </c>
      <c r="T128" s="799" t="str">
        <f t="shared" si="47"/>
        <v>less than 1 g</v>
      </c>
      <c r="U128" s="536">
        <v>16.192</v>
      </c>
      <c r="V128" s="799">
        <f t="shared" si="48"/>
        <v>16</v>
      </c>
      <c r="W128" s="536">
        <v>10.198</v>
      </c>
      <c r="X128" s="799">
        <f t="shared" si="49"/>
        <v>10</v>
      </c>
      <c r="Y128" s="536">
        <v>0.16200000000000001</v>
      </c>
      <c r="Z128" s="799">
        <f t="shared" si="50"/>
        <v>0</v>
      </c>
      <c r="AA128" s="536">
        <v>0</v>
      </c>
      <c r="AB128" s="536">
        <v>0</v>
      </c>
      <c r="AC128" s="536">
        <v>5.0949999999999998</v>
      </c>
      <c r="AD128" s="536">
        <v>0.39200000000000002</v>
      </c>
      <c r="AE128" s="536">
        <v>0.218</v>
      </c>
      <c r="AF128" s="536">
        <v>1.212</v>
      </c>
      <c r="AG128" s="536">
        <v>48.47</v>
      </c>
      <c r="AH128" s="665">
        <v>1.0309999999999999</v>
      </c>
    </row>
    <row r="129" spans="1:35" s="342" customFormat="1" ht="31.5" customHeight="1">
      <c r="A129" s="349" t="s">
        <v>143</v>
      </c>
      <c r="B129" s="328" t="s">
        <v>162</v>
      </c>
      <c r="C129" s="536">
        <v>69.887</v>
      </c>
      <c r="D129" s="727">
        <f t="shared" si="40"/>
        <v>70</v>
      </c>
      <c r="E129" s="536">
        <v>0.28699999999999998</v>
      </c>
      <c r="F129" s="727">
        <f t="shared" si="41"/>
        <v>0</v>
      </c>
      <c r="G129" s="536">
        <v>3.2000000000000001E-2</v>
      </c>
      <c r="H129" s="727">
        <f t="shared" si="42"/>
        <v>0</v>
      </c>
      <c r="I129" s="536">
        <v>3.0000000000000001E-3</v>
      </c>
      <c r="J129" s="727">
        <f t="shared" si="43"/>
        <v>0</v>
      </c>
      <c r="K129" s="536">
        <v>0</v>
      </c>
      <c r="L129" s="799">
        <f t="shared" si="52"/>
        <v>0</v>
      </c>
      <c r="M129" s="536">
        <v>0</v>
      </c>
      <c r="N129" s="799">
        <f t="shared" si="44"/>
        <v>0</v>
      </c>
      <c r="O129" s="536">
        <v>9.7279999999999998</v>
      </c>
      <c r="P129" s="799">
        <f t="shared" si="45"/>
        <v>10</v>
      </c>
      <c r="Q129" s="536">
        <v>19.102</v>
      </c>
      <c r="R129" s="799">
        <f t="shared" si="46"/>
        <v>19</v>
      </c>
      <c r="S129" s="536">
        <v>0.60799999999999998</v>
      </c>
      <c r="T129" s="799" t="str">
        <f t="shared" si="47"/>
        <v>less than 1 g</v>
      </c>
      <c r="U129" s="536">
        <v>16.192</v>
      </c>
      <c r="V129" s="799">
        <f t="shared" si="48"/>
        <v>16</v>
      </c>
      <c r="W129" s="536">
        <v>10.198</v>
      </c>
      <c r="X129" s="799">
        <f t="shared" si="49"/>
        <v>10</v>
      </c>
      <c r="Y129" s="536">
        <v>0.16200000000000001</v>
      </c>
      <c r="Z129" s="799">
        <f t="shared" si="50"/>
        <v>0</v>
      </c>
      <c r="AA129" s="536">
        <v>0</v>
      </c>
      <c r="AB129" s="536">
        <v>0</v>
      </c>
      <c r="AC129" s="536">
        <v>5.0949999999999998</v>
      </c>
      <c r="AD129" s="536">
        <v>0.39200000000000002</v>
      </c>
      <c r="AE129" s="536">
        <v>0.218</v>
      </c>
      <c r="AF129" s="536">
        <v>1.212</v>
      </c>
      <c r="AG129" s="536">
        <v>48.47</v>
      </c>
      <c r="AH129" s="665">
        <v>1.0309999999999999</v>
      </c>
    </row>
    <row r="130" spans="1:35" s="342" customFormat="1" ht="31.5" customHeight="1">
      <c r="A130" s="349" t="s">
        <v>296</v>
      </c>
      <c r="B130" s="957" t="s">
        <v>71</v>
      </c>
      <c r="C130" s="669">
        <v>92.066999999999993</v>
      </c>
      <c r="D130" s="727">
        <f t="shared" si="40"/>
        <v>90</v>
      </c>
      <c r="E130" s="669">
        <v>3.5999999999999997E-2</v>
      </c>
      <c r="F130" s="727">
        <f t="shared" si="41"/>
        <v>0</v>
      </c>
      <c r="G130" s="669">
        <v>4.0000000000000001E-3</v>
      </c>
      <c r="H130" s="727">
        <f t="shared" si="42"/>
        <v>0</v>
      </c>
      <c r="I130" s="669">
        <v>0</v>
      </c>
      <c r="J130" s="727">
        <f t="shared" si="43"/>
        <v>0</v>
      </c>
      <c r="K130" s="669">
        <v>0</v>
      </c>
      <c r="L130" s="799">
        <f t="shared" si="52"/>
        <v>0</v>
      </c>
      <c r="M130" s="669">
        <v>0</v>
      </c>
      <c r="N130" s="799">
        <f t="shared" si="44"/>
        <v>0</v>
      </c>
      <c r="O130" s="669">
        <v>14.039</v>
      </c>
      <c r="P130" s="799">
        <f t="shared" si="45"/>
        <v>15</v>
      </c>
      <c r="Q130" s="669">
        <v>23.251000000000001</v>
      </c>
      <c r="R130" s="799">
        <f t="shared" si="46"/>
        <v>23</v>
      </c>
      <c r="S130" s="669">
        <v>2.5999999999999999E-2</v>
      </c>
      <c r="T130" s="799">
        <f t="shared" si="47"/>
        <v>0</v>
      </c>
      <c r="U130" s="669">
        <v>22.495999999999999</v>
      </c>
      <c r="V130" s="799">
        <f t="shared" si="48"/>
        <v>22</v>
      </c>
      <c r="W130" s="669">
        <v>22.238</v>
      </c>
      <c r="X130" s="799">
        <f t="shared" si="49"/>
        <v>22</v>
      </c>
      <c r="Y130" s="669">
        <v>4.3999999999999997E-2</v>
      </c>
      <c r="Z130" s="799">
        <f t="shared" si="50"/>
        <v>0</v>
      </c>
      <c r="AA130" s="669">
        <v>0</v>
      </c>
      <c r="AB130" s="669">
        <v>0</v>
      </c>
      <c r="AC130" s="669">
        <v>2.9849999999999999</v>
      </c>
      <c r="AD130" s="669">
        <v>0.23</v>
      </c>
      <c r="AE130" s="669">
        <v>2.8000000000000001E-2</v>
      </c>
      <c r="AF130" s="669">
        <v>0.158</v>
      </c>
      <c r="AG130" s="669">
        <v>3.266</v>
      </c>
      <c r="AH130" s="961">
        <v>6.9000000000000006E-2</v>
      </c>
      <c r="AI130" s="344"/>
    </row>
    <row r="131" spans="1:35" s="342" customFormat="1" ht="31.5" customHeight="1">
      <c r="A131" s="349" t="s">
        <v>296</v>
      </c>
      <c r="B131" s="957" t="s">
        <v>72</v>
      </c>
      <c r="C131" s="669">
        <v>105.797</v>
      </c>
      <c r="D131" s="727">
        <f t="shared" si="40"/>
        <v>110</v>
      </c>
      <c r="E131" s="669">
        <v>0</v>
      </c>
      <c r="F131" s="727">
        <f t="shared" si="41"/>
        <v>0</v>
      </c>
      <c r="G131" s="669">
        <v>0</v>
      </c>
      <c r="H131" s="727">
        <f t="shared" si="42"/>
        <v>0</v>
      </c>
      <c r="I131" s="669">
        <v>0</v>
      </c>
      <c r="J131" s="727">
        <f t="shared" si="43"/>
        <v>0</v>
      </c>
      <c r="K131" s="669">
        <v>0</v>
      </c>
      <c r="L131" s="799">
        <f t="shared" si="52"/>
        <v>0</v>
      </c>
      <c r="M131" s="669">
        <v>0</v>
      </c>
      <c r="N131" s="799">
        <f t="shared" si="44"/>
        <v>0</v>
      </c>
      <c r="O131" s="669">
        <v>23.78</v>
      </c>
      <c r="P131" s="799">
        <f t="shared" si="45"/>
        <v>25</v>
      </c>
      <c r="Q131" s="669">
        <v>26.943999999999999</v>
      </c>
      <c r="R131" s="799">
        <f t="shared" si="46"/>
        <v>27</v>
      </c>
      <c r="S131" s="669">
        <v>8.0000000000000002E-3</v>
      </c>
      <c r="T131" s="799">
        <f t="shared" si="47"/>
        <v>0</v>
      </c>
      <c r="U131" s="669">
        <v>26.218</v>
      </c>
      <c r="V131" s="799">
        <f t="shared" si="48"/>
        <v>26</v>
      </c>
      <c r="W131" s="669">
        <v>26.218</v>
      </c>
      <c r="X131" s="799">
        <f t="shared" si="49"/>
        <v>26</v>
      </c>
      <c r="Y131" s="669">
        <v>0.1</v>
      </c>
      <c r="Z131" s="799">
        <f t="shared" si="50"/>
        <v>0</v>
      </c>
      <c r="AA131" s="669">
        <v>0</v>
      </c>
      <c r="AB131" s="669">
        <v>0</v>
      </c>
      <c r="AC131" s="669">
        <v>2.85</v>
      </c>
      <c r="AD131" s="669">
        <v>0.219</v>
      </c>
      <c r="AE131" s="669">
        <v>2.5999999999999999E-2</v>
      </c>
      <c r="AF131" s="669">
        <v>0.14499999999999999</v>
      </c>
      <c r="AG131" s="669">
        <v>0.38400000000000001</v>
      </c>
      <c r="AH131" s="961">
        <v>8.0000000000000002E-3</v>
      </c>
      <c r="AI131" s="344"/>
    </row>
    <row r="132" spans="1:35" s="342" customFormat="1" ht="12" customHeight="1">
      <c r="A132" s="349" t="s">
        <v>296</v>
      </c>
      <c r="B132" s="957" t="s">
        <v>73</v>
      </c>
      <c r="C132" s="730">
        <v>81.811000000000007</v>
      </c>
      <c r="D132" s="727">
        <f t="shared" si="40"/>
        <v>80</v>
      </c>
      <c r="E132" s="730">
        <v>4.9800000000000004</v>
      </c>
      <c r="F132" s="727">
        <f t="shared" si="41"/>
        <v>0</v>
      </c>
      <c r="G132" s="730">
        <v>0.55300000000000005</v>
      </c>
      <c r="H132" s="727">
        <f t="shared" si="42"/>
        <v>0.5</v>
      </c>
      <c r="I132" s="730">
        <v>0.496</v>
      </c>
      <c r="J132" s="727">
        <f t="shared" si="43"/>
        <v>0</v>
      </c>
      <c r="K132" s="730">
        <v>0</v>
      </c>
      <c r="L132" s="799">
        <f>IF(K132&lt;0.5,0,IF(K132&gt;5,MROUND(K132,1),MROUND(#REF!,0.5)))</f>
        <v>0</v>
      </c>
      <c r="M132" s="730">
        <v>0</v>
      </c>
      <c r="N132" s="799">
        <f t="shared" si="44"/>
        <v>0</v>
      </c>
      <c r="O132" s="730">
        <v>13.288</v>
      </c>
      <c r="P132" s="799">
        <f t="shared" si="45"/>
        <v>15</v>
      </c>
      <c r="Q132" s="730">
        <v>19.268000000000001</v>
      </c>
      <c r="R132" s="799">
        <f t="shared" si="46"/>
        <v>19</v>
      </c>
      <c r="S132" s="730">
        <v>0.126</v>
      </c>
      <c r="T132" s="799">
        <f t="shared" si="47"/>
        <v>0</v>
      </c>
      <c r="U132" s="730">
        <v>18.541</v>
      </c>
      <c r="V132" s="799">
        <f t="shared" si="48"/>
        <v>19</v>
      </c>
      <c r="W132" s="730">
        <v>16.167000000000002</v>
      </c>
      <c r="X132" s="799">
        <f t="shared" si="49"/>
        <v>16</v>
      </c>
      <c r="Y132" s="730">
        <v>2.9000000000000001E-2</v>
      </c>
      <c r="Z132" s="799">
        <f t="shared" si="50"/>
        <v>0</v>
      </c>
      <c r="AA132" s="761">
        <v>0</v>
      </c>
      <c r="AB132" s="761">
        <v>0</v>
      </c>
      <c r="AC132" s="761">
        <v>2.8220000000000001</v>
      </c>
      <c r="AD132" s="761">
        <v>0.217</v>
      </c>
      <c r="AE132" s="761">
        <v>1.4999999999999999E-2</v>
      </c>
      <c r="AF132" s="761">
        <v>8.1000000000000003E-2</v>
      </c>
      <c r="AG132" s="761">
        <v>1.7669999999999999</v>
      </c>
      <c r="AH132" s="1174">
        <v>3.7999999999999999E-2</v>
      </c>
      <c r="AI132" s="350"/>
    </row>
    <row r="133" spans="1:35" s="342" customFormat="1" ht="31.5" customHeight="1">
      <c r="A133" s="349" t="s">
        <v>296</v>
      </c>
      <c r="B133" s="957" t="s">
        <v>180</v>
      </c>
      <c r="C133" s="669">
        <v>89</v>
      </c>
      <c r="D133" s="727">
        <f t="shared" ref="D133:D164" si="53">MROUND(C133,10)</f>
        <v>90</v>
      </c>
      <c r="E133" s="669">
        <v>0</v>
      </c>
      <c r="F133" s="727">
        <f t="shared" ref="F133:F164" si="54">IF(E133&lt;5,0,(IF(E133&gt;50,MROUND(E133,10),MROUND(E133,5))))</f>
        <v>0</v>
      </c>
      <c r="G133" s="669">
        <v>0</v>
      </c>
      <c r="H133" s="727">
        <f t="shared" ref="H133:H164" si="55">IF(G133&lt;0.5,0,IF(G133&gt;5,MROUND(G133,1),MROUND(G133,0.5)))</f>
        <v>0</v>
      </c>
      <c r="I133" s="669">
        <v>0</v>
      </c>
      <c r="J133" s="727">
        <f t="shared" ref="J133:J164" si="56">IF(I133&lt;0.5,0,IF(I133&gt;5,MROUND(I133,1),MROUND(I133,0.5)))</f>
        <v>0</v>
      </c>
      <c r="K133" s="669">
        <v>0</v>
      </c>
      <c r="L133" s="799">
        <f>IF(K133&lt;0.5,0,IF(K133&gt;5,MROUND(K133,1),MROUND(K132,0.5)))</f>
        <v>0</v>
      </c>
      <c r="M133" s="669">
        <v>0</v>
      </c>
      <c r="N133" s="799">
        <f t="shared" ref="N133:N164" si="57">IF(M133&lt;2,0,IF(M133&gt;5,MROUND(M133,5),"less than 5 mg"))</f>
        <v>0</v>
      </c>
      <c r="O133" s="669">
        <v>40.155000000000001</v>
      </c>
      <c r="P133" s="799">
        <f t="shared" ref="P133:P164" si="58">IF(O133&lt;5,0,IF(O133&gt;140,MROUND(O133,10),MROUND(O133,5)))</f>
        <v>40</v>
      </c>
      <c r="Q133" s="669">
        <v>22.771000000000001</v>
      </c>
      <c r="R133" s="799">
        <f t="shared" ref="R133:R164" si="59">IF(Q133&lt;0.5,0,IF(Q133&gt;1,MROUND(Q133,1),"less than 1 g"))</f>
        <v>23</v>
      </c>
      <c r="S133" s="669">
        <v>8.0000000000000002E-3</v>
      </c>
      <c r="T133" s="799">
        <f t="shared" ref="T133:T164" si="60">IF(S133&lt;0.5,0,IF(S133&gt;1,MROUND(S133,1),"less than 1 g"))</f>
        <v>0</v>
      </c>
      <c r="U133" s="669">
        <v>20.72</v>
      </c>
      <c r="V133" s="799">
        <f t="shared" ref="V133:V164" si="61">IF(U133&lt;0.5,0,IF(U133&gt;1,MROUND(U133,1),"less than 1 g"))</f>
        <v>21</v>
      </c>
      <c r="W133" s="669">
        <v>20.72</v>
      </c>
      <c r="X133" s="799">
        <f t="shared" ref="X133:X164" si="62">IF(W133&lt;0.5,0,IF(W133&gt;1,MROUND(W133,1),"less than 1 g"))</f>
        <v>21</v>
      </c>
      <c r="Y133" s="669">
        <v>1E-3</v>
      </c>
      <c r="Z133" s="799">
        <f t="shared" ref="Z133:Z164" si="63">IF(Y133&lt;0.5,0,IF(Y133&gt;1,MROUND(Y133,1),"less than 1 g"))</f>
        <v>0</v>
      </c>
      <c r="AA133" s="669">
        <v>0</v>
      </c>
      <c r="AB133" s="669">
        <v>0</v>
      </c>
      <c r="AC133" s="669">
        <v>3.089</v>
      </c>
      <c r="AD133" s="731">
        <v>0.23799999999999999</v>
      </c>
      <c r="AE133" s="731">
        <v>0.20899999999999999</v>
      </c>
      <c r="AF133" s="731">
        <v>1.161</v>
      </c>
      <c r="AG133" s="731">
        <v>7.96</v>
      </c>
      <c r="AH133" s="1012">
        <v>0.16900000000000001</v>
      </c>
      <c r="AI133" s="350"/>
    </row>
    <row r="134" spans="1:35" s="342" customFormat="1" ht="31.75">
      <c r="A134" s="349" t="s">
        <v>296</v>
      </c>
      <c r="B134" s="957" t="s">
        <v>75</v>
      </c>
      <c r="C134" s="669">
        <v>85.49</v>
      </c>
      <c r="D134" s="727">
        <f t="shared" si="53"/>
        <v>90</v>
      </c>
      <c r="E134" s="669">
        <v>0</v>
      </c>
      <c r="F134" s="727">
        <f t="shared" si="54"/>
        <v>0</v>
      </c>
      <c r="G134" s="669">
        <v>0</v>
      </c>
      <c r="H134" s="727">
        <f t="shared" si="55"/>
        <v>0</v>
      </c>
      <c r="I134" s="669">
        <v>0</v>
      </c>
      <c r="J134" s="727">
        <f t="shared" si="56"/>
        <v>0</v>
      </c>
      <c r="K134" s="669">
        <v>0</v>
      </c>
      <c r="L134" s="799">
        <f>IF(K134&lt;0.5,0,IF(K134&gt;5,MROUND(K134,1),MROUND(#REF!,0.5)))</f>
        <v>0</v>
      </c>
      <c r="M134" s="669">
        <v>0</v>
      </c>
      <c r="N134" s="799">
        <f t="shared" si="57"/>
        <v>0</v>
      </c>
      <c r="O134" s="669">
        <v>14.191000000000001</v>
      </c>
      <c r="P134" s="799">
        <f t="shared" si="58"/>
        <v>15</v>
      </c>
      <c r="Q134" s="669">
        <v>21.545000000000002</v>
      </c>
      <c r="R134" s="799">
        <f t="shared" si="59"/>
        <v>22</v>
      </c>
      <c r="S134" s="669">
        <v>1.4E-2</v>
      </c>
      <c r="T134" s="799">
        <f t="shared" si="60"/>
        <v>0</v>
      </c>
      <c r="U134" s="669">
        <v>20.884</v>
      </c>
      <c r="V134" s="799">
        <f t="shared" si="61"/>
        <v>21</v>
      </c>
      <c r="W134" s="669">
        <v>20.859000000000002</v>
      </c>
      <c r="X134" s="799">
        <f t="shared" si="62"/>
        <v>21</v>
      </c>
      <c r="Y134" s="669">
        <v>0</v>
      </c>
      <c r="Z134" s="799">
        <f t="shared" si="63"/>
        <v>0</v>
      </c>
      <c r="AA134" s="669">
        <v>0</v>
      </c>
      <c r="AB134" s="669">
        <v>0</v>
      </c>
      <c r="AC134" s="669">
        <v>2.879</v>
      </c>
      <c r="AD134" s="669">
        <v>0.221</v>
      </c>
      <c r="AE134" s="669">
        <v>1.9E-2</v>
      </c>
      <c r="AF134" s="669">
        <v>0.108</v>
      </c>
      <c r="AG134" s="669">
        <v>6.5209999999999999</v>
      </c>
      <c r="AH134" s="961">
        <v>0.13900000000000001</v>
      </c>
      <c r="AI134" s="350"/>
    </row>
    <row r="135" spans="1:35" s="342" customFormat="1" ht="31.75">
      <c r="A135" s="349" t="s">
        <v>396</v>
      </c>
      <c r="B135" s="955" t="s">
        <v>130</v>
      </c>
      <c r="C135" s="747">
        <v>323.17899999999997</v>
      </c>
      <c r="D135" s="727">
        <f t="shared" si="53"/>
        <v>320</v>
      </c>
      <c r="E135" s="747">
        <v>159.97300000000001</v>
      </c>
      <c r="F135" s="727">
        <f t="shared" si="54"/>
        <v>160</v>
      </c>
      <c r="G135" s="747">
        <v>17.774999999999999</v>
      </c>
      <c r="H135" s="727">
        <f t="shared" si="55"/>
        <v>18</v>
      </c>
      <c r="I135" s="747">
        <v>11.311</v>
      </c>
      <c r="J135" s="727">
        <f t="shared" si="56"/>
        <v>11</v>
      </c>
      <c r="K135" s="747">
        <v>0</v>
      </c>
      <c r="L135" s="799">
        <f>IF(K135&lt;0.5,0,IF(K135&gt;5,MROUND(K135,1),MROUND(K134,0.5)))</f>
        <v>0</v>
      </c>
      <c r="M135" s="747">
        <v>105.33</v>
      </c>
      <c r="N135" s="799">
        <f t="shared" si="57"/>
        <v>105</v>
      </c>
      <c r="O135" s="747">
        <v>226.22499999999999</v>
      </c>
      <c r="P135" s="799">
        <f t="shared" si="58"/>
        <v>230</v>
      </c>
      <c r="Q135" s="747">
        <v>37.165999999999997</v>
      </c>
      <c r="R135" s="799">
        <f t="shared" si="59"/>
        <v>37</v>
      </c>
      <c r="S135" s="747">
        <v>0</v>
      </c>
      <c r="T135" s="799">
        <f t="shared" si="60"/>
        <v>0</v>
      </c>
      <c r="U135" s="747">
        <v>29.085999999999999</v>
      </c>
      <c r="V135" s="799">
        <f t="shared" si="61"/>
        <v>29</v>
      </c>
      <c r="W135" s="747">
        <v>0</v>
      </c>
      <c r="X135" s="799">
        <f t="shared" si="62"/>
        <v>0</v>
      </c>
      <c r="Y135" s="747">
        <v>6.4640000000000004</v>
      </c>
      <c r="Z135" s="799">
        <f t="shared" si="63"/>
        <v>6</v>
      </c>
      <c r="AA135" s="1131">
        <v>0</v>
      </c>
      <c r="AB135" s="1131">
        <v>0</v>
      </c>
      <c r="AC135" s="1131">
        <v>315.09899999999999</v>
      </c>
      <c r="AD135" s="761">
        <v>24.238</v>
      </c>
      <c r="AE135" s="761">
        <v>0</v>
      </c>
      <c r="AF135" s="761">
        <v>0</v>
      </c>
      <c r="AG135" s="761">
        <v>0</v>
      </c>
      <c r="AH135" s="1174">
        <v>0</v>
      </c>
    </row>
    <row r="136" spans="1:35" s="342" customFormat="1" ht="32.15" thickBot="1">
      <c r="A136" s="349" t="s">
        <v>143</v>
      </c>
      <c r="B136" s="328" t="s">
        <v>458</v>
      </c>
      <c r="C136" s="536">
        <v>50.271999999999998</v>
      </c>
      <c r="D136" s="727">
        <f t="shared" si="53"/>
        <v>50</v>
      </c>
      <c r="E136" s="536">
        <v>19.390999999999998</v>
      </c>
      <c r="F136" s="727">
        <f t="shared" si="54"/>
        <v>20</v>
      </c>
      <c r="G136" s="536">
        <v>2.1549999999999998</v>
      </c>
      <c r="H136" s="727">
        <f t="shared" si="55"/>
        <v>2</v>
      </c>
      <c r="I136" s="536">
        <v>0.53900000000000003</v>
      </c>
      <c r="J136" s="727">
        <f t="shared" si="56"/>
        <v>0.5</v>
      </c>
      <c r="K136" s="536">
        <v>0</v>
      </c>
      <c r="L136" s="799">
        <f>IF(K136&lt;0.5,0,IF(K136&gt;5,MROUND(K136,1),MROUND(K135,0.5)))</f>
        <v>0</v>
      </c>
      <c r="M136" s="536">
        <v>0</v>
      </c>
      <c r="N136" s="799">
        <f t="shared" si="57"/>
        <v>0</v>
      </c>
      <c r="O136" s="536">
        <v>41.295000000000002</v>
      </c>
      <c r="P136" s="799">
        <f t="shared" si="58"/>
        <v>40</v>
      </c>
      <c r="Q136" s="536">
        <v>7.5410000000000004</v>
      </c>
      <c r="R136" s="799">
        <f t="shared" si="59"/>
        <v>8</v>
      </c>
      <c r="S136" s="536">
        <v>8.9770000000000003</v>
      </c>
      <c r="T136" s="799">
        <f t="shared" si="60"/>
        <v>9</v>
      </c>
      <c r="U136" s="536">
        <v>3.95</v>
      </c>
      <c r="V136" s="799">
        <f t="shared" si="61"/>
        <v>4</v>
      </c>
      <c r="W136" s="536">
        <v>0</v>
      </c>
      <c r="X136" s="799">
        <f t="shared" si="62"/>
        <v>0</v>
      </c>
      <c r="Y136" s="536">
        <v>0.35899999999999999</v>
      </c>
      <c r="Z136" s="799">
        <f t="shared" si="63"/>
        <v>0</v>
      </c>
      <c r="AA136" s="536">
        <v>0</v>
      </c>
      <c r="AB136" s="536">
        <v>0</v>
      </c>
      <c r="AC136" s="536">
        <v>0</v>
      </c>
      <c r="AD136" s="536">
        <v>0</v>
      </c>
      <c r="AE136" s="536">
        <v>0</v>
      </c>
      <c r="AF136" s="536">
        <v>0</v>
      </c>
      <c r="AG136" s="536">
        <v>10.773</v>
      </c>
      <c r="AH136" s="665">
        <v>0.22900000000000001</v>
      </c>
    </row>
    <row r="137" spans="1:35" s="342" customFormat="1" ht="14.25" customHeight="1">
      <c r="A137" s="349" t="s">
        <v>296</v>
      </c>
      <c r="B137" s="1007" t="s">
        <v>76</v>
      </c>
      <c r="C137" s="669">
        <v>95.546000000000006</v>
      </c>
      <c r="D137" s="727">
        <f t="shared" si="53"/>
        <v>100</v>
      </c>
      <c r="E137" s="669">
        <v>2.8000000000000001E-2</v>
      </c>
      <c r="F137" s="727">
        <f t="shared" si="54"/>
        <v>0</v>
      </c>
      <c r="G137" s="669">
        <v>3.0000000000000001E-3</v>
      </c>
      <c r="H137" s="727">
        <f t="shared" si="55"/>
        <v>0</v>
      </c>
      <c r="I137" s="669">
        <v>0</v>
      </c>
      <c r="J137" s="727">
        <f t="shared" si="56"/>
        <v>0</v>
      </c>
      <c r="K137" s="669">
        <v>1E-3</v>
      </c>
      <c r="L137" s="799">
        <f>IF(K137&lt;0.5,0,IF(K137&gt;5,MROUND(K137,1),MROUND(K136,0.5)))</f>
        <v>0</v>
      </c>
      <c r="M137" s="669">
        <v>0</v>
      </c>
      <c r="N137" s="799">
        <f t="shared" si="57"/>
        <v>0</v>
      </c>
      <c r="O137" s="669">
        <v>13.298999999999999</v>
      </c>
      <c r="P137" s="799">
        <f t="shared" si="58"/>
        <v>15</v>
      </c>
      <c r="Q137" s="669">
        <v>24.273</v>
      </c>
      <c r="R137" s="799">
        <f t="shared" si="59"/>
        <v>24</v>
      </c>
      <c r="S137" s="669">
        <v>1.7000000000000001E-2</v>
      </c>
      <c r="T137" s="799">
        <f t="shared" si="60"/>
        <v>0</v>
      </c>
      <c r="U137" s="669">
        <v>23.469000000000001</v>
      </c>
      <c r="V137" s="799">
        <f t="shared" si="61"/>
        <v>23</v>
      </c>
      <c r="W137" s="669">
        <v>23.338000000000001</v>
      </c>
      <c r="X137" s="799">
        <f t="shared" si="62"/>
        <v>23</v>
      </c>
      <c r="Y137" s="669">
        <v>0.02</v>
      </c>
      <c r="Z137" s="799">
        <f t="shared" si="63"/>
        <v>0</v>
      </c>
      <c r="AA137" s="669">
        <v>0</v>
      </c>
      <c r="AB137" s="669">
        <v>0</v>
      </c>
      <c r="AC137" s="669">
        <v>2.919</v>
      </c>
      <c r="AD137" s="731">
        <v>0.22500000000000001</v>
      </c>
      <c r="AE137" s="731">
        <v>2.5000000000000001E-2</v>
      </c>
      <c r="AF137" s="731">
        <v>0.13900000000000001</v>
      </c>
      <c r="AG137" s="731">
        <v>2.6920000000000002</v>
      </c>
      <c r="AH137" s="1012">
        <v>5.7000000000000002E-2</v>
      </c>
      <c r="AI137" s="350"/>
    </row>
    <row r="138" spans="1:35" s="342" customFormat="1" ht="15.65" customHeight="1">
      <c r="A138" s="349" t="s">
        <v>92</v>
      </c>
      <c r="B138" s="1010" t="s">
        <v>120</v>
      </c>
      <c r="C138" s="965">
        <v>110.795</v>
      </c>
      <c r="D138" s="727">
        <f t="shared" si="53"/>
        <v>110</v>
      </c>
      <c r="E138" s="965">
        <v>0</v>
      </c>
      <c r="F138" s="727">
        <f t="shared" si="54"/>
        <v>0</v>
      </c>
      <c r="G138" s="965">
        <v>1.83</v>
      </c>
      <c r="H138" s="727">
        <f t="shared" si="55"/>
        <v>2</v>
      </c>
      <c r="I138" s="965">
        <v>1.427</v>
      </c>
      <c r="J138" s="727">
        <f t="shared" si="56"/>
        <v>1.5</v>
      </c>
      <c r="K138" s="965">
        <v>0</v>
      </c>
      <c r="L138" s="799">
        <f>IF(K138&lt;0.5,0,IF(K138&gt;5,MROUND(K138,1),MROUND(K137,0.5)))</f>
        <v>0</v>
      </c>
      <c r="M138" s="965">
        <v>0</v>
      </c>
      <c r="N138" s="799">
        <f t="shared" si="57"/>
        <v>0</v>
      </c>
      <c r="O138" s="965">
        <v>23.251000000000001</v>
      </c>
      <c r="P138" s="799">
        <f t="shared" si="58"/>
        <v>25</v>
      </c>
      <c r="Q138" s="965">
        <v>27.9</v>
      </c>
      <c r="R138" s="799">
        <f t="shared" si="59"/>
        <v>28</v>
      </c>
      <c r="S138" s="965">
        <v>0.23799999999999999</v>
      </c>
      <c r="T138" s="799">
        <f t="shared" si="60"/>
        <v>0</v>
      </c>
      <c r="U138" s="965">
        <v>26.038</v>
      </c>
      <c r="V138" s="799">
        <f t="shared" si="61"/>
        <v>26</v>
      </c>
      <c r="W138" s="965">
        <v>24.141999999999999</v>
      </c>
      <c r="X138" s="799">
        <f t="shared" si="62"/>
        <v>24</v>
      </c>
      <c r="Y138" s="965">
        <v>0.25800000000000001</v>
      </c>
      <c r="Z138" s="799">
        <f t="shared" si="63"/>
        <v>0</v>
      </c>
      <c r="AA138" s="728">
        <v>7.0000000000000001E-3</v>
      </c>
      <c r="AB138" s="728">
        <v>3.4000000000000002E-2</v>
      </c>
      <c r="AC138" s="728">
        <v>4.0640000000000001</v>
      </c>
      <c r="AD138" s="728">
        <v>0.313</v>
      </c>
      <c r="AE138" s="728">
        <v>0.28799999999999998</v>
      </c>
      <c r="AF138" s="728">
        <v>1.603</v>
      </c>
      <c r="AG138" s="728">
        <v>18.888999999999999</v>
      </c>
      <c r="AH138" s="1008">
        <v>0.40200000000000002</v>
      </c>
    </row>
    <row r="139" spans="1:35" s="342" customFormat="1" ht="19.5" customHeight="1">
      <c r="A139" s="349" t="s">
        <v>296</v>
      </c>
      <c r="B139" s="1009" t="s">
        <v>78</v>
      </c>
      <c r="C139" s="669">
        <v>88.736999999999995</v>
      </c>
      <c r="D139" s="727">
        <f t="shared" si="53"/>
        <v>90</v>
      </c>
      <c r="E139" s="669">
        <v>4.0000000000000001E-3</v>
      </c>
      <c r="F139" s="727">
        <f t="shared" si="54"/>
        <v>0</v>
      </c>
      <c r="G139" s="669">
        <v>4.0000000000000001E-3</v>
      </c>
      <c r="H139" s="727">
        <f t="shared" si="55"/>
        <v>0</v>
      </c>
      <c r="I139" s="669">
        <v>0</v>
      </c>
      <c r="J139" s="727">
        <f t="shared" si="56"/>
        <v>0</v>
      </c>
      <c r="K139" s="669">
        <v>0</v>
      </c>
      <c r="L139" s="799">
        <f>IF(K139&lt;0.5,0,IF(K139&gt;5,MROUND(K139,1),MROUND(K138,0.5)))</f>
        <v>0</v>
      </c>
      <c r="M139" s="669">
        <v>0</v>
      </c>
      <c r="N139" s="799">
        <f t="shared" si="57"/>
        <v>0</v>
      </c>
      <c r="O139" s="669">
        <v>15.12</v>
      </c>
      <c r="P139" s="799">
        <f t="shared" si="58"/>
        <v>15</v>
      </c>
      <c r="Q139" s="669">
        <v>21.417000000000002</v>
      </c>
      <c r="R139" s="799">
        <f t="shared" si="59"/>
        <v>21</v>
      </c>
      <c r="S139" s="669">
        <v>8.2000000000000003E-2</v>
      </c>
      <c r="T139" s="799">
        <f t="shared" si="60"/>
        <v>0</v>
      </c>
      <c r="U139" s="669">
        <v>19.946999999999999</v>
      </c>
      <c r="V139" s="799">
        <f t="shared" si="61"/>
        <v>20</v>
      </c>
      <c r="W139" s="669">
        <v>19.372</v>
      </c>
      <c r="X139" s="799">
        <f t="shared" si="62"/>
        <v>19</v>
      </c>
      <c r="Y139" s="669">
        <v>0.152</v>
      </c>
      <c r="Z139" s="799">
        <f t="shared" si="63"/>
        <v>0</v>
      </c>
      <c r="AA139" s="669">
        <v>0</v>
      </c>
      <c r="AB139" s="669">
        <v>0</v>
      </c>
      <c r="AC139" s="669">
        <v>4.8280000000000003</v>
      </c>
      <c r="AD139" s="731">
        <v>0.371</v>
      </c>
      <c r="AE139" s="731">
        <v>6.4000000000000001E-2</v>
      </c>
      <c r="AF139" s="731">
        <v>0.35799999999999998</v>
      </c>
      <c r="AG139" s="731">
        <v>7.093</v>
      </c>
      <c r="AH139" s="1012">
        <v>0.151</v>
      </c>
      <c r="AI139" s="350"/>
    </row>
    <row r="140" spans="1:35" s="342" customFormat="1" ht="31.75">
      <c r="A140" s="349" t="s">
        <v>296</v>
      </c>
      <c r="B140" s="958" t="s">
        <v>324</v>
      </c>
      <c r="C140" s="959">
        <v>94.28</v>
      </c>
      <c r="D140" s="727">
        <f t="shared" si="53"/>
        <v>90</v>
      </c>
      <c r="E140" s="959">
        <v>0</v>
      </c>
      <c r="F140" s="727">
        <f t="shared" si="54"/>
        <v>0</v>
      </c>
      <c r="G140" s="959">
        <v>0</v>
      </c>
      <c r="H140" s="727">
        <f t="shared" si="55"/>
        <v>0</v>
      </c>
      <c r="I140" s="959">
        <v>0</v>
      </c>
      <c r="J140" s="727">
        <f t="shared" si="56"/>
        <v>0</v>
      </c>
      <c r="K140" s="959">
        <v>0</v>
      </c>
      <c r="L140" s="799">
        <f>IF(K140&lt;0.5,0,IF(K140&gt;5,MROUND(K140,1),MROUND(#REF!,0.5)))</f>
        <v>0</v>
      </c>
      <c r="M140" s="959">
        <v>0</v>
      </c>
      <c r="N140" s="799">
        <f t="shared" si="57"/>
        <v>0</v>
      </c>
      <c r="O140" s="959">
        <v>18.675000000000001</v>
      </c>
      <c r="P140" s="799">
        <f t="shared" si="58"/>
        <v>20</v>
      </c>
      <c r="Q140" s="959">
        <v>23.931999999999999</v>
      </c>
      <c r="R140" s="799">
        <f t="shared" si="59"/>
        <v>24</v>
      </c>
      <c r="S140" s="959">
        <v>8.9999999999999993E-3</v>
      </c>
      <c r="T140" s="799">
        <f t="shared" si="60"/>
        <v>0</v>
      </c>
      <c r="U140" s="959">
        <v>23.257000000000001</v>
      </c>
      <c r="V140" s="799">
        <f t="shared" si="61"/>
        <v>23</v>
      </c>
      <c r="W140" s="959">
        <v>23.257000000000001</v>
      </c>
      <c r="X140" s="799">
        <f t="shared" si="62"/>
        <v>23</v>
      </c>
      <c r="Y140" s="959">
        <v>0.05</v>
      </c>
      <c r="Z140" s="799">
        <f t="shared" si="63"/>
        <v>0</v>
      </c>
      <c r="AA140" s="959">
        <v>0</v>
      </c>
      <c r="AB140" s="959">
        <v>0</v>
      </c>
      <c r="AC140" s="1011">
        <v>3.03</v>
      </c>
      <c r="AD140" s="1011">
        <v>0.23300000000000001</v>
      </c>
      <c r="AE140" s="1011">
        <v>2.1999999999999999E-2</v>
      </c>
      <c r="AF140" s="1011">
        <v>0.125</v>
      </c>
      <c r="AG140" s="1011">
        <v>0.32100000000000001</v>
      </c>
      <c r="AH140" s="1014">
        <v>7.0000000000000001E-3</v>
      </c>
      <c r="AI140" s="350"/>
    </row>
    <row r="141" spans="1:35" s="342" customFormat="1" ht="31.75">
      <c r="A141" s="349" t="s">
        <v>296</v>
      </c>
      <c r="B141" s="1010" t="s">
        <v>315</v>
      </c>
      <c r="C141" s="747">
        <v>75.599000000000004</v>
      </c>
      <c r="D141" s="727">
        <f t="shared" si="53"/>
        <v>80</v>
      </c>
      <c r="E141" s="747">
        <v>2E-3</v>
      </c>
      <c r="F141" s="727">
        <f t="shared" si="54"/>
        <v>0</v>
      </c>
      <c r="G141" s="747">
        <v>0</v>
      </c>
      <c r="H141" s="727">
        <f t="shared" si="55"/>
        <v>0</v>
      </c>
      <c r="I141" s="747">
        <v>0</v>
      </c>
      <c r="J141" s="727">
        <f t="shared" si="56"/>
        <v>0</v>
      </c>
      <c r="K141" s="747">
        <v>0</v>
      </c>
      <c r="L141" s="799">
        <f>IF(K141&lt;0.5,0,IF(K141&gt;5,MROUND(K141,1),MROUND(K140,0.5)))</f>
        <v>0</v>
      </c>
      <c r="M141" s="747">
        <v>0</v>
      </c>
      <c r="N141" s="799">
        <f t="shared" si="57"/>
        <v>0</v>
      </c>
      <c r="O141" s="747">
        <v>13.516</v>
      </c>
      <c r="P141" s="799">
        <f t="shared" si="58"/>
        <v>15</v>
      </c>
      <c r="Q141" s="747">
        <v>18.661000000000001</v>
      </c>
      <c r="R141" s="799">
        <f t="shared" si="59"/>
        <v>19</v>
      </c>
      <c r="S141" s="747">
        <v>2.1999999999999999E-2</v>
      </c>
      <c r="T141" s="799">
        <f t="shared" si="60"/>
        <v>0</v>
      </c>
      <c r="U141" s="747">
        <v>17.664000000000001</v>
      </c>
      <c r="V141" s="799">
        <f t="shared" si="61"/>
        <v>18</v>
      </c>
      <c r="W141" s="747">
        <v>17.664000000000001</v>
      </c>
      <c r="X141" s="799">
        <f t="shared" si="62"/>
        <v>18</v>
      </c>
      <c r="Y141" s="747">
        <v>8.8999999999999996E-2</v>
      </c>
      <c r="Z141" s="799">
        <f t="shared" si="63"/>
        <v>0</v>
      </c>
      <c r="AA141" s="1131">
        <v>0</v>
      </c>
      <c r="AB141" s="1131">
        <v>0</v>
      </c>
      <c r="AC141" s="1131">
        <v>3.4409999999999998</v>
      </c>
      <c r="AD141" s="1131">
        <v>0.26500000000000001</v>
      </c>
      <c r="AE141" s="1131">
        <v>1.4E-2</v>
      </c>
      <c r="AF141" s="1131">
        <v>0.08</v>
      </c>
      <c r="AG141" s="1131">
        <v>4.2910000000000004</v>
      </c>
      <c r="AH141" s="1175">
        <v>9.0999999999999998E-2</v>
      </c>
    </row>
    <row r="142" spans="1:35" s="342" customFormat="1" ht="15.9">
      <c r="A142" s="349"/>
      <c r="B142" s="829"/>
      <c r="C142" s="969"/>
      <c r="D142" s="830"/>
      <c r="E142" s="969"/>
      <c r="F142" s="830"/>
      <c r="G142" s="969"/>
      <c r="H142" s="830"/>
      <c r="I142" s="969"/>
      <c r="J142" s="830"/>
      <c r="K142" s="969"/>
      <c r="L142" s="960"/>
      <c r="M142" s="969"/>
      <c r="N142" s="960"/>
      <c r="O142" s="969"/>
      <c r="P142" s="960"/>
      <c r="Q142" s="969"/>
      <c r="R142" s="960"/>
      <c r="S142" s="969"/>
      <c r="T142" s="960"/>
      <c r="U142" s="969"/>
      <c r="V142" s="960"/>
      <c r="W142" s="969"/>
      <c r="X142" s="960"/>
      <c r="Y142" s="969"/>
      <c r="Z142" s="960"/>
      <c r="AA142" s="830"/>
      <c r="AB142" s="830"/>
      <c r="AC142" s="830"/>
      <c r="AD142" s="830"/>
      <c r="AE142" s="830"/>
      <c r="AF142" s="830"/>
      <c r="AG142" s="830"/>
      <c r="AH142" s="830"/>
    </row>
    <row r="143" spans="1:35" s="342" customFormat="1" ht="37.200000000000003" customHeight="1">
      <c r="A143" s="946"/>
      <c r="B143" s="952" t="s">
        <v>168</v>
      </c>
      <c r="C143" s="970"/>
      <c r="D143" s="953"/>
      <c r="E143" s="970"/>
      <c r="F143" s="953"/>
      <c r="G143" s="970"/>
      <c r="H143" s="953"/>
      <c r="I143" s="970"/>
      <c r="J143" s="953"/>
      <c r="K143" s="970"/>
      <c r="L143" s="953"/>
      <c r="M143" s="970"/>
      <c r="N143" s="953"/>
      <c r="O143" s="970"/>
      <c r="P143" s="953"/>
      <c r="Q143" s="970"/>
      <c r="R143" s="953"/>
      <c r="S143" s="970"/>
      <c r="T143" s="953"/>
      <c r="U143" s="970"/>
      <c r="V143" s="953"/>
      <c r="W143" s="970"/>
      <c r="X143" s="953"/>
      <c r="Y143" s="970"/>
      <c r="Z143" s="953"/>
      <c r="AA143" s="953"/>
      <c r="AB143" s="953"/>
      <c r="AC143" s="953"/>
      <c r="AD143" s="953"/>
      <c r="AE143" s="953"/>
      <c r="AF143" s="953"/>
      <c r="AG143" s="953"/>
      <c r="AH143" s="953"/>
    </row>
    <row r="144" spans="1:35" s="342" customFormat="1" ht="25.5" hidden="1" customHeight="1">
      <c r="A144" s="946"/>
      <c r="AG144" s="354">
        <f>SUM(AVERAGE(AG5:AG60),AVERAGE(AG94:AG115),AVERAGE(AG121:AG136))</f>
        <v>42.640752435064925</v>
      </c>
      <c r="AH144" s="354">
        <f>SUM(AVERAGE(AH5:AH60),AVERAGE(AH94:AH115),AVERAGE(AH121:AH136))</f>
        <v>0.90714691558441563</v>
      </c>
    </row>
    <row r="145" spans="1:34" s="342" customFormat="1" ht="25.5" hidden="1" customHeight="1">
      <c r="A145" s="947"/>
      <c r="B145" s="348" t="s">
        <v>169</v>
      </c>
      <c r="C145" s="354">
        <f>SUM(AVERAGE(C5:C60),AVERAGE(C94:C116),AVERAGE(C122:C137))</f>
        <v>379.03015799689439</v>
      </c>
      <c r="D145" s="354"/>
      <c r="E145" s="354">
        <f>SUM(AVERAGE(E5:E60),AVERAGE(E94:E116),AVERAGE(E122:E137))</f>
        <v>84.170382375776398</v>
      </c>
      <c r="F145" s="354"/>
      <c r="G145" s="354">
        <f>SUM(AVERAGE(G5:G60),AVERAGE(G94:G116),AVERAGE(G122:G137))</f>
        <v>10.054993788819877</v>
      </c>
      <c r="H145" s="354"/>
      <c r="I145" s="354">
        <f>SUM(AVERAGE(I5:I60),AVERAGE(I94:I116),AVERAGE(I122:I137))</f>
        <v>6.2726218944099372</v>
      </c>
      <c r="J145" s="354"/>
      <c r="K145" s="354">
        <f>SUM(AVERAGE(K5:K60),AVERAGE(K94:K116),AVERAGE(K122:K137))</f>
        <v>2.6071040372670808E-2</v>
      </c>
      <c r="L145" s="354"/>
      <c r="M145" s="354">
        <f>SUM(AVERAGE(M5:M60),AVERAGE(M94:M116),AVERAGE(M122:M137))</f>
        <v>45.512723602484471</v>
      </c>
      <c r="N145" s="354"/>
      <c r="O145" s="354">
        <f>SUM(AVERAGE(O5:O60),AVERAGE(O94:O116),AVERAGE(O122:O137))</f>
        <v>155.05564402173911</v>
      </c>
      <c r="P145" s="354"/>
      <c r="Q145" s="354">
        <f>SUM(AVERAGE(Q5:Q60),AVERAGE(Q94:Q116),AVERAGE(Q122:Q137))</f>
        <v>71.618458462732917</v>
      </c>
      <c r="R145" s="354"/>
      <c r="S145" s="354">
        <f>SUM(AVERAGE(S5:S60),AVERAGE(S94:S116),AVERAGE(S122:S137))</f>
        <v>1.2115962732919254</v>
      </c>
      <c r="T145" s="354"/>
      <c r="U145" s="354">
        <f>SUM(AVERAGE(U5:U60),AVERAGE(U94:U116),AVERAGE(U122:U137))</f>
        <v>60.083958850931666</v>
      </c>
      <c r="V145" s="354"/>
      <c r="W145" s="354">
        <f>SUM(AVERAGE(W5:W60),AVERAGE(W94:W116),AVERAGE(W122:W137))</f>
        <v>44.535199145962736</v>
      </c>
      <c r="X145" s="354"/>
      <c r="Y145" s="354">
        <f>SUM(AVERAGE(Y5:Y60),AVERAGE(Y94:Y116),AVERAGE(Y122:Y137))</f>
        <v>3.5016141304347825</v>
      </c>
      <c r="Z145" s="354"/>
      <c r="AA145" s="354">
        <f t="shared" ref="AA145:AF145" si="64">SUM(AVERAGE(AA5:AA60),AVERAGE(AA94:AA116),AVERAGE(AA122:AA137))</f>
        <v>1.6928571428571428E-2</v>
      </c>
      <c r="AB145" s="354">
        <f t="shared" si="64"/>
        <v>7.5553571428571414E-2</v>
      </c>
      <c r="AC145" s="354">
        <f t="shared" si="64"/>
        <v>143.00660559006212</v>
      </c>
      <c r="AD145" s="354">
        <f t="shared" si="64"/>
        <v>10.999155279503103</v>
      </c>
      <c r="AE145" s="354">
        <f t="shared" si="64"/>
        <v>0.47238315217391302</v>
      </c>
      <c r="AF145" s="354">
        <f t="shared" si="64"/>
        <v>2.4754965062111807</v>
      </c>
      <c r="AG145" s="354" t="str">
        <f xml:space="preserve"> ROUND(MIN(AG5:AG60)+MIN(AG121:AG136) + MIN(AG94:AG115), 0) &amp; " - " &amp; ROUND(MAX(AG5:AG60)+MAX(AG121:AG136)+MAX(AG94:AG115), 0)</f>
        <v>0 - 288</v>
      </c>
      <c r="AH145" s="354" t="str">
        <f xml:space="preserve"> ROUND(MIN(AH5:AH60)+MIN(AH121:AH136) + MIN(AH94:AH115), 0) &amp; " - " &amp; ROUND(MAX(AH5:AH60)+MAX(AH121:AH136)+MAX(AH94:AH115), 0)</f>
        <v>0 - 6</v>
      </c>
    </row>
    <row r="146" spans="1:34" s="342" customFormat="1" ht="25.5" hidden="1" customHeight="1">
      <c r="A146" s="947"/>
      <c r="B146" s="348" t="s">
        <v>170</v>
      </c>
      <c r="C146" s="354" t="str">
        <f xml:space="preserve"> ROUND(MIN(C5:C60)+MIN(C122:C137) + MIN(C94:C116), 0) &amp; " - " &amp; ROUND(MAX(C5:C60)+MAX(C122:C137)+MAX(C94:C116), 0)</f>
        <v>137 - 1000</v>
      </c>
      <c r="D146" s="354"/>
      <c r="E146" s="354" t="str">
        <f xml:space="preserve"> ROUND(MIN(E5:E60)+MIN(E122:E137) + MIN(E94:E116), 0) &amp; " - " &amp; ROUND(MAX(E5:E60)+MAX(E122:E137)+MAX(E94:E116), 0)</f>
        <v>0 - 472</v>
      </c>
      <c r="F146" s="354"/>
      <c r="G146" s="354" t="str">
        <f xml:space="preserve"> ROUND(MIN(G5:G60)+MIN(G122:G137) + MIN(G94:G116), 0) &amp; " - " &amp; ROUND(MAX(G5:G60)+MAX(G122:G137)+MAX(G94:G116), 0)</f>
        <v>0 - 52</v>
      </c>
      <c r="H146" s="354"/>
      <c r="I146" s="354" t="str">
        <f xml:space="preserve"> ROUND(MIN(I5:I60)+MIN(I122:I137) + MIN(I94:I116), 0) &amp; " - " &amp; ROUND(MAX(I5:I60)+MAX(I122:I137)+MAX(I94:I116), 0)</f>
        <v>0 - 33</v>
      </c>
      <c r="J146" s="354"/>
      <c r="K146" s="354" t="str">
        <f xml:space="preserve"> ROUND(MIN(K5:K60)+MIN(K122:K137) + MIN(K94:K116), 0) &amp; " - " &amp; ROUND(MAX(K5:K60)+MAX(K122:K137)+MAX(K94:K116), 0)</f>
        <v>0 - 0</v>
      </c>
      <c r="L146" s="354"/>
      <c r="M146" s="354" t="str">
        <f xml:space="preserve"> ROUND(MIN(M5:M60)+MIN(M122:M137) + MIN(M94:M116), 0) &amp; " - " &amp; ROUND(MAX(M5:M60)+MAX(M122:M137)+MAX(M94:M116), 0)</f>
        <v>0 - 310</v>
      </c>
      <c r="N146" s="354"/>
      <c r="O146" s="354" t="str">
        <f xml:space="preserve"> ROUND(MIN(O5:O60)+MIN(O122:O137) + MIN(O94:O116), 0) &amp; " - " &amp; ROUND(MAX(O5:O60)+MAX(O122:O137)+MAX(O94:O116), 0)</f>
        <v>18 - 735</v>
      </c>
      <c r="P146" s="354"/>
      <c r="Q146" s="354" t="str">
        <f xml:space="preserve"> ROUND(MIN(Q5:Q60)+MIN(Q122:Q137) + MIN(Q94:Q116), 0) &amp; " - " &amp; ROUND(MAX(Q5:Q60)+MAX(Q122:Q137)+MAX(Q94:Q116), 0)</f>
        <v>25 - 125</v>
      </c>
      <c r="R146" s="354"/>
      <c r="S146" s="354" t="str">
        <f xml:space="preserve"> ROUND(MIN(S5:S60)+MIN(S122:S137) + MIN(S94:S116), 0) &amp; " - " &amp; ROUND(MAX(S5:S60)+MAX(S122:S137)+MAX(S94:S116), 0)</f>
        <v>0 - 16</v>
      </c>
      <c r="T146" s="354"/>
      <c r="U146" s="354" t="str">
        <f xml:space="preserve"> ROUND(MIN(U5:U60)+MIN(U122:U137) + MIN(U94:U116), 0) &amp; " - " &amp; ROUND(MAX(U5:U60)+MAX(U122:U137)+MAX(U94:U116), 0)</f>
        <v>5 - 100</v>
      </c>
      <c r="V146" s="354"/>
      <c r="W146" s="354" t="str">
        <f xml:space="preserve"> ROUND(MIN(W5:W60)+MIN(W122:W137) + MIN(W94:W116), 0) &amp; " - " &amp; ROUND(MAX(W5:W60)+MAX(W122:W137)+MAX(W94:W116), 0)</f>
        <v>0 - 88</v>
      </c>
      <c r="X146" s="354"/>
      <c r="Y146" s="354" t="str">
        <f xml:space="preserve"> ROUND(MIN(Y5:Y60)+MIN(Y122:Y137) + MIN(Y94:Y116), 0) &amp; " - " &amp; ROUND(MAX(Y5:Y60)+MAX(Y122:Y137)+MAX(Y94:Y116), 0)</f>
        <v>0 - 19</v>
      </c>
      <c r="Z146" s="354"/>
      <c r="AA146" s="354" t="str">
        <f t="shared" ref="AA146:AF146" si="65" xml:space="preserve"> ROUND(MIN(AA5:AA60)+MIN(AA122:AA137) + MIN(AA94:AA116), 0) &amp; " - " &amp; ROUND(MAX(AA5:AA60)+MAX(AA122:AA137)+MAX(AA94:AA116), 0)</f>
        <v>0 - 0</v>
      </c>
      <c r="AB146" s="354" t="str">
        <f t="shared" si="65"/>
        <v>0 - 2</v>
      </c>
      <c r="AC146" s="354" t="str">
        <f t="shared" si="65"/>
        <v>2 - 941</v>
      </c>
      <c r="AD146" s="354" t="str">
        <f t="shared" si="65"/>
        <v>0 - 72</v>
      </c>
      <c r="AE146" s="354" t="str">
        <f t="shared" si="65"/>
        <v>0 - 4</v>
      </c>
      <c r="AF146" s="354" t="str">
        <f t="shared" si="65"/>
        <v>0 - 21</v>
      </c>
      <c r="AG146" s="354" t="e">
        <f>SUM(AVERAGE(#REF!),AVERAGE(AG121:AG136),AVERAGE(AG94:AG115))</f>
        <v>#REF!</v>
      </c>
      <c r="AH146" s="354" t="e">
        <f>SUM(AVERAGE(#REF!),AVERAGE(AH121:AH136),AVERAGE(AH94:AH115))</f>
        <v>#REF!</v>
      </c>
    </row>
    <row r="147" spans="1:34" s="342" customFormat="1" ht="25.5" hidden="1" customHeight="1">
      <c r="A147" s="947"/>
      <c r="B147" s="348" t="s">
        <v>171</v>
      </c>
      <c r="C147" s="354" t="e">
        <f>SUM(AVERAGE(#REF!),AVERAGE(C122:C137),AVERAGE(C94:C116))</f>
        <v>#REF!</v>
      </c>
      <c r="D147" s="354"/>
      <c r="E147" s="354" t="e">
        <f>SUM(AVERAGE(#REF!),AVERAGE(E122:E137),AVERAGE(E94:E116))</f>
        <v>#REF!</v>
      </c>
      <c r="F147" s="354"/>
      <c r="G147" s="354" t="e">
        <f>SUM(AVERAGE(#REF!),AVERAGE(G122:G137),AVERAGE(G94:G116))</f>
        <v>#REF!</v>
      </c>
      <c r="H147" s="354"/>
      <c r="I147" s="354" t="e">
        <f>SUM(AVERAGE(#REF!),AVERAGE(I122:I137),AVERAGE(I94:I116))</f>
        <v>#REF!</v>
      </c>
      <c r="J147" s="354"/>
      <c r="K147" s="354" t="e">
        <f>SUM(AVERAGE(#REF!),AVERAGE(K122:K137),AVERAGE(K94:K116))</f>
        <v>#REF!</v>
      </c>
      <c r="L147" s="354"/>
      <c r="M147" s="354" t="e">
        <f>SUM(AVERAGE(#REF!),AVERAGE(M122:M137),AVERAGE(M94:M116))</f>
        <v>#REF!</v>
      </c>
      <c r="N147" s="354"/>
      <c r="O147" s="354" t="e">
        <f>SUM(AVERAGE(#REF!),AVERAGE(O122:O137),AVERAGE(O94:O116))</f>
        <v>#REF!</v>
      </c>
      <c r="P147" s="354"/>
      <c r="Q147" s="354" t="e">
        <f>SUM(AVERAGE(#REF!),AVERAGE(Q122:Q137),AVERAGE(Q94:Q116))</f>
        <v>#REF!</v>
      </c>
      <c r="R147" s="354"/>
      <c r="S147" s="354" t="e">
        <f>SUM(AVERAGE(#REF!),AVERAGE(S122:S137),AVERAGE(S94:S116))</f>
        <v>#REF!</v>
      </c>
      <c r="T147" s="354"/>
      <c r="U147" s="354" t="e">
        <f>SUM(AVERAGE(#REF!),AVERAGE(U122:U137),AVERAGE(U94:U116))</f>
        <v>#REF!</v>
      </c>
      <c r="V147" s="354"/>
      <c r="W147" s="354" t="e">
        <f>SUM(AVERAGE(#REF!),AVERAGE(W122:W137),AVERAGE(W94:W116))</f>
        <v>#REF!</v>
      </c>
      <c r="X147" s="354"/>
      <c r="Y147" s="354" t="e">
        <f>SUM(AVERAGE(#REF!),AVERAGE(Y122:Y137),AVERAGE(Y94:Y116))</f>
        <v>#REF!</v>
      </c>
      <c r="Z147" s="354"/>
      <c r="AA147" s="354" t="e">
        <f>SUM(AVERAGE(#REF!),AVERAGE(AA122:AA137),AVERAGE(AA94:AA116))</f>
        <v>#REF!</v>
      </c>
      <c r="AB147" s="354" t="e">
        <f>SUM(AVERAGE(#REF!),AVERAGE(AB122:AB137),AVERAGE(AB94:AB116))</f>
        <v>#REF!</v>
      </c>
      <c r="AC147" s="354" t="e">
        <f>SUM(AVERAGE(#REF!),AVERAGE(AC122:AC137),AVERAGE(AC94:AC116))</f>
        <v>#REF!</v>
      </c>
      <c r="AD147" s="354" t="e">
        <f>SUM(AVERAGE(#REF!),AVERAGE(AD122:AD137),AVERAGE(AD94:AD116))</f>
        <v>#REF!</v>
      </c>
      <c r="AE147" s="354" t="e">
        <f>SUM(AVERAGE(#REF!),AVERAGE(AE122:AE137),AVERAGE(AE94:AE116))</f>
        <v>#REF!</v>
      </c>
      <c r="AF147" s="354" t="e">
        <f>SUM(AVERAGE(#REF!),AVERAGE(AF122:AF137),AVERAGE(AF94:AF116))</f>
        <v>#REF!</v>
      </c>
      <c r="AG147" s="354" t="e">
        <f>ROUND(MIN(#REF!)+MIN(AG121:AG136)+MIN(AG94:AG115), 0) &amp;" - "&amp; ROUND(MAX(#REF!)+MAX(AG121:AG136)+MAX(AG94:AG115),0)</f>
        <v>#REF!</v>
      </c>
      <c r="AH147" s="354" t="e">
        <f>ROUND(MIN(#REF!)+MIN(AH121:AH136)+MIN(AH94:AH115), 0) &amp;" - "&amp; ROUND(MAX(#REF!)+MAX(AH121:AH136)+MAX(AH94:AH115),0)</f>
        <v>#REF!</v>
      </c>
    </row>
    <row r="148" spans="1:34" s="342" customFormat="1" ht="25.5" hidden="1" customHeight="1">
      <c r="A148" s="947"/>
      <c r="B148" s="348" t="s">
        <v>172</v>
      </c>
      <c r="C148" s="354" t="e">
        <f>ROUND(MIN(#REF!)+MIN(C122:C137)+MIN(C94:C116), 0) &amp;" - "&amp; ROUND(MAX(#REF!)+MAX(C122:C137)+MAX(C94:C116),0)</f>
        <v>#REF!</v>
      </c>
      <c r="D148" s="354"/>
      <c r="E148" s="354" t="e">
        <f>ROUND(MIN(#REF!)+MIN(E122:E137)+MIN(E94:E116), 0) &amp;" - "&amp; ROUND(MAX(#REF!)+MAX(E122:E137)+MAX(E94:E116),0)</f>
        <v>#REF!</v>
      </c>
      <c r="F148" s="354"/>
      <c r="G148" s="354" t="e">
        <f>ROUND(MIN(#REF!)+MIN(G122:G137)+MIN(G94:G116), 0) &amp;" - "&amp; ROUND(MAX(#REF!)+MAX(G122:G137)+MAX(G94:G116),0)</f>
        <v>#REF!</v>
      </c>
      <c r="H148" s="354"/>
      <c r="I148" s="354" t="e">
        <f>ROUND(MIN(#REF!)+MIN(I122:I137)+MIN(I94:I116), 0) &amp;" - "&amp; ROUND(MAX(#REF!)+MAX(I122:I137)+MAX(I94:I116),0)</f>
        <v>#REF!</v>
      </c>
      <c r="J148" s="354"/>
      <c r="K148" s="354" t="e">
        <f>ROUND(MIN(#REF!)+MIN(K122:K137)+MIN(K94:K116), 0) &amp;" - "&amp; ROUND(MAX(#REF!)+MAX(K122:K137)+MAX(K94:K116),0)</f>
        <v>#REF!</v>
      </c>
      <c r="L148" s="354"/>
      <c r="M148" s="354" t="e">
        <f>ROUND(MIN(#REF!)+MIN(M122:M137)+MIN(M94:M116), 0) &amp;" - "&amp; ROUND(MAX(#REF!)+MAX(M122:M137)+MAX(M94:M116),0)</f>
        <v>#REF!</v>
      </c>
      <c r="N148" s="354"/>
      <c r="O148" s="354" t="e">
        <f>ROUND(MIN(#REF!)+MIN(O122:O137)+MIN(O94:O116), 0) &amp;" - "&amp; ROUND(MAX(#REF!)+MAX(O122:O137)+MAX(O94:O116),0)</f>
        <v>#REF!</v>
      </c>
      <c r="P148" s="354"/>
      <c r="Q148" s="354" t="e">
        <f>ROUND(MIN(#REF!)+MIN(Q122:Q137)+MIN(Q94:Q116), 0) &amp;" - "&amp; ROUND(MAX(#REF!)+MAX(Q122:Q137)+MAX(Q94:Q116),0)</f>
        <v>#REF!</v>
      </c>
      <c r="R148" s="354"/>
      <c r="S148" s="354" t="e">
        <f>ROUND(MIN(#REF!)+MIN(S122:S137)+MIN(S94:S116), 0) &amp;" - "&amp; ROUND(MAX(#REF!)+MAX(S122:S137)+MAX(S94:S116),0)</f>
        <v>#REF!</v>
      </c>
      <c r="T148" s="354"/>
      <c r="U148" s="354" t="e">
        <f>ROUND(MIN(#REF!)+MIN(U122:U137)+MIN(U94:U116), 0) &amp;" - "&amp; ROUND(MAX(#REF!)+MAX(U122:U137)+MAX(U94:U116),0)</f>
        <v>#REF!</v>
      </c>
      <c r="V148" s="354"/>
      <c r="W148" s="354" t="e">
        <f>ROUND(MIN(#REF!)+MIN(W122:W137)+MIN(W94:W116), 0) &amp;" - "&amp; ROUND(MAX(#REF!)+MAX(W122:W137)+MAX(W94:W116),0)</f>
        <v>#REF!</v>
      </c>
      <c r="X148" s="354"/>
      <c r="Y148" s="354" t="e">
        <f>ROUND(MIN(#REF!)+MIN(Y122:Y137)+MIN(Y94:Y116), 0) &amp;" - "&amp; ROUND(MAX(#REF!)+MAX(Y122:Y137)+MAX(Y94:Y116),0)</f>
        <v>#REF!</v>
      </c>
      <c r="Z148" s="354"/>
      <c r="AA148" s="354" t="e">
        <f>ROUND(MIN(#REF!)+MIN(AA122:AA137)+MIN(AA94:AA116), 0) &amp;" - "&amp; ROUND(MAX(#REF!)+MAX(AA122:AA137)+MAX(AA94:AA116),0)</f>
        <v>#REF!</v>
      </c>
      <c r="AB148" s="354" t="e">
        <f>ROUND(MIN(#REF!)+MIN(AB122:AB137)+MIN(AB94:AB116), 0) &amp;" - "&amp; ROUND(MAX(#REF!)+MAX(AB122:AB137)+MAX(AB94:AB116),0)</f>
        <v>#REF!</v>
      </c>
      <c r="AC148" s="354" t="e">
        <f>ROUND(MIN(#REF!)+MIN(AC122:AC137)+MIN(AC94:AC116), 0) &amp;" - "&amp; ROUND(MAX(#REF!)+MAX(AC122:AC137)+MAX(AC94:AC116),0)</f>
        <v>#REF!</v>
      </c>
      <c r="AD148" s="354" t="e">
        <f>ROUND(MIN(#REF!)+MIN(AD122:AD137)+MIN(AD94:AD116), 0) &amp;" - "&amp; ROUND(MAX(#REF!)+MAX(AD122:AD137)+MAX(AD94:AD116),0)</f>
        <v>#REF!</v>
      </c>
      <c r="AE148" s="354" t="e">
        <f>ROUND(MIN(#REF!)+MIN(AE122:AE137)+MIN(AE94:AE116), 0) &amp;" - "&amp; ROUND(MAX(#REF!)+MAX(AE122:AE137)+MAX(AE94:AE116),0)</f>
        <v>#REF!</v>
      </c>
      <c r="AF148" s="354" t="e">
        <f>ROUND(MIN(#REF!)+MIN(AF122:AF137)+MIN(AF94:AF116), 0) &amp;" - "&amp; ROUND(MAX(#REF!)+MAX(AF122:AF137)+MAX(AF94:AF116),0)</f>
        <v>#REF!</v>
      </c>
      <c r="AG148" s="354">
        <f>SUM(AVERAGE(AG61:AG87),AVERAGE(AG121:AG136), AVERAGE(AG94:AG115))</f>
        <v>39.959124789562281</v>
      </c>
      <c r="AH148" s="354">
        <f>SUM(AVERAGE(AH61:AH87),AVERAGE(AH121:AH136), AVERAGE(AH94:AH115))</f>
        <v>0.85015551346801344</v>
      </c>
    </row>
    <row r="149" spans="1:34" s="342" customFormat="1" ht="25.5" hidden="1" customHeight="1">
      <c r="A149" s="353"/>
      <c r="B149" s="348" t="s">
        <v>173</v>
      </c>
      <c r="C149" s="354">
        <f>SUM(AVERAGE(C61:C87),AVERAGE(C122:C137), AVERAGE(C94:C116))</f>
        <v>353.01401117149754</v>
      </c>
      <c r="D149" s="354"/>
      <c r="E149" s="354">
        <f>SUM(AVERAGE(E61:E87),AVERAGE(E122:E137), AVERAGE(E94:E116))</f>
        <v>72.116060285829306</v>
      </c>
      <c r="F149" s="354"/>
      <c r="G149" s="354">
        <f>SUM(AVERAGE(G61:G87),AVERAGE(G122:G137), AVERAGE(G94:G116))</f>
        <v>8.6419772544283404</v>
      </c>
      <c r="H149" s="354"/>
      <c r="I149" s="354">
        <f>SUM(AVERAGE(I61:I87),AVERAGE(I122:I137), AVERAGE(I94:I116))</f>
        <v>5.1306205716586151</v>
      </c>
      <c r="J149" s="354"/>
      <c r="K149" s="354">
        <f>SUM(AVERAGE(K61:K87),AVERAGE(K122:K137), AVERAGE(K94:K116))</f>
        <v>1.0632548309178745E-2</v>
      </c>
      <c r="L149" s="354"/>
      <c r="M149" s="354">
        <f>SUM(AVERAGE(M61:M87),AVERAGE(M122:M137), AVERAGE(M94:M116))</f>
        <v>37.01175865539453</v>
      </c>
      <c r="N149" s="354"/>
      <c r="O149" s="354">
        <f>SUM(AVERAGE(O61:O87),AVERAGE(O122:O137), AVERAGE(O94:O116))</f>
        <v>139.15681068840578</v>
      </c>
      <c r="P149" s="354"/>
      <c r="Q149" s="354">
        <f>SUM(AVERAGE(Q61:Q87),AVERAGE(Q122:Q137), AVERAGE(Q94:Q116))</f>
        <v>68.456738224637689</v>
      </c>
      <c r="R149" s="354"/>
      <c r="S149" s="354">
        <f>SUM(AVERAGE(S61:S87),AVERAGE(S122:S137), AVERAGE(S94:S116))</f>
        <v>1.1695400563607086</v>
      </c>
      <c r="T149" s="354"/>
      <c r="U149" s="354">
        <f>SUM(AVERAGE(U61:U87),AVERAGE(U122:U137), AVERAGE(U94:U116))</f>
        <v>58.052976046698873</v>
      </c>
      <c r="V149" s="354"/>
      <c r="W149" s="354">
        <f>SUM(AVERAGE(W61:W87),AVERAGE(W122:W137), AVERAGE(W94:W116))</f>
        <v>45.833502717391305</v>
      </c>
      <c r="X149" s="354"/>
      <c r="Y149" s="354">
        <f>SUM(AVERAGE(Y61:Y87),AVERAGE(Y122:Y137), AVERAGE(Y94:Y116))</f>
        <v>3.0209382045088566</v>
      </c>
      <c r="Z149" s="354"/>
      <c r="AA149" s="354">
        <f t="shared" ref="AA149:AF149" si="66">SUM(AVERAGE(AA61:AA87),AVERAGE(AA122:AA137), AVERAGE(AA94:AA116))</f>
        <v>1.0407407407407409E-2</v>
      </c>
      <c r="AB149" s="354">
        <f t="shared" si="66"/>
        <v>5.1962962962962961E-2</v>
      </c>
      <c r="AC149" s="354">
        <f t="shared" si="66"/>
        <v>120.19126630434783</v>
      </c>
      <c r="AD149" s="354">
        <f t="shared" si="66"/>
        <v>9.2441334541062794</v>
      </c>
      <c r="AE149" s="354">
        <f t="shared" si="66"/>
        <v>0.34928130032206117</v>
      </c>
      <c r="AF149" s="354">
        <f t="shared" si="66"/>
        <v>1.9396373792270534</v>
      </c>
      <c r="AG149" s="354" t="str">
        <f>ROUND(MIN(AG61:AG87)+MIN(AG121:AG136)+MIN(AG94:AG115), 0) &amp;" - "&amp;ROUND(MAX(AG61:AG87)+MAX(AG121:AG136)+MAX(AG94:AG115),0)</f>
        <v>0 - 291</v>
      </c>
      <c r="AH149" s="354" t="str">
        <f>ROUND(MIN(AH61:AH87)+MIN(AH121:AH136)+MIN(AH94:AH115), 0) &amp;" - "&amp;ROUND(MAX(AH61:AH87)+MAX(AH121:AH136)+MAX(AH94:AH115),0)</f>
        <v>0 - 6</v>
      </c>
    </row>
    <row r="150" spans="1:34" s="342" customFormat="1" ht="25.5" hidden="1" customHeight="1">
      <c r="A150" s="353"/>
      <c r="B150" s="348" t="s">
        <v>174</v>
      </c>
      <c r="C150" s="354" t="str">
        <f>ROUND(MIN(C61:C87)+MIN(C122:C137)+MIN(C94:C116), 0) &amp;" - "&amp;ROUND(MAX(C61:C87)+MAX(C122:C137)+MAX(C94:C116),0)</f>
        <v>163 - 986</v>
      </c>
      <c r="D150" s="354"/>
      <c r="E150" s="354" t="str">
        <f>ROUND(MIN(E61:E87)+MIN(E122:E137)+MIN(E94:E116), 0) &amp;" - "&amp;ROUND(MAX(E61:E87)+MAX(E122:E137)+MAX(E94:E116),0)</f>
        <v>0 - 487</v>
      </c>
      <c r="F150" s="354"/>
      <c r="G150" s="354" t="str">
        <f>ROUND(MIN(G61:G87)+MIN(G122:G137)+MIN(G94:G116), 0) &amp;" - "&amp;ROUND(MAX(G61:G87)+MAX(G122:G137)+MAX(G94:G116),0)</f>
        <v>0 - 54</v>
      </c>
      <c r="H150" s="354"/>
      <c r="I150" s="354" t="str">
        <f>ROUND(MIN(I61:I87)+MIN(I122:I137)+MIN(I94:I116), 0) &amp;" - "&amp;ROUND(MAX(I61:I87)+MAX(I122:I137)+MAX(I94:I116),0)</f>
        <v>0 - 33</v>
      </c>
      <c r="J150" s="354"/>
      <c r="K150" s="354" t="str">
        <f>ROUND(MIN(K61:K87)+MIN(K122:K137)+MIN(K94:K116), 0) &amp;" - "&amp;ROUND(MAX(K61:K87)+MAX(K122:K137)+MAX(K94:K116),0)</f>
        <v>0 - 0</v>
      </c>
      <c r="L150" s="354"/>
      <c r="M150" s="354" t="str">
        <f>ROUND(MIN(M61:M87)+MIN(M122:M137)+MIN(M94:M116), 0) &amp;" - "&amp;ROUND(MAX(M61:M87)+MAX(M122:M137)+MAX(M94:M116),0)</f>
        <v>0 - 310</v>
      </c>
      <c r="N150" s="354"/>
      <c r="O150" s="354" t="str">
        <f>ROUND(MIN(O61:O87)+MIN(O122:O137)+MIN(O94:O116), 0) &amp;" - "&amp;ROUND(MAX(O61:O87)+MAX(O122:O137)+MAX(O94:O116),0)</f>
        <v>28 - 716</v>
      </c>
      <c r="P150" s="354"/>
      <c r="Q150" s="354" t="str">
        <f>ROUND(MIN(Q61:Q87)+MIN(Q122:Q137)+MIN(Q94:Q116), 0) &amp;" - "&amp;ROUND(MAX(Q61:Q87)+MAX(Q122:Q137)+MAX(Q94:Q116),0)</f>
        <v>25 - 120</v>
      </c>
      <c r="R150" s="354"/>
      <c r="S150" s="354" t="str">
        <f>ROUND(MIN(S61:S87)+MIN(S122:S137)+MIN(S94:S116), 0) &amp;" - "&amp;ROUND(MAX(S61:S87)+MAX(S122:S137)+MAX(S94:S116),0)</f>
        <v>0 - 16</v>
      </c>
      <c r="T150" s="354"/>
      <c r="U150" s="354" t="str">
        <f>ROUND(MIN(U61:U87)+MIN(U122:U137)+MIN(U94:U116), 0) &amp;" - "&amp;ROUND(MAX(U61:U87)+MAX(U122:U137)+MAX(U94:U116),0)</f>
        <v>7 - 94</v>
      </c>
      <c r="V150" s="354"/>
      <c r="W150" s="354" t="str">
        <f>ROUND(MIN(W61:W87)+MIN(W122:W137)+MIN(W94:W116), 0) &amp;" - "&amp;ROUND(MAX(W61:W87)+MAX(W122:W137)+MAX(W94:W116),0)</f>
        <v>1 - 79</v>
      </c>
      <c r="X150" s="354"/>
      <c r="Y150" s="354" t="str">
        <f>ROUND(MIN(Y61:Y87)+MIN(Y122:Y137)+MIN(Y94:Y116), 0) &amp;" - "&amp;ROUND(MAX(Y61:Y87)+MAX(Y122:Y137)+MAX(Y94:Y116),0)</f>
        <v>0 - 19</v>
      </c>
      <c r="Z150" s="354"/>
      <c r="AA150" s="354" t="str">
        <f t="shared" ref="AA150:AF150" si="67">ROUND(MIN(AA61:AA87)+MIN(AA122:AA137)+MIN(AA94:AA116), 0) &amp;" - "&amp;ROUND(MAX(AA61:AA87)+MAX(AA122:AA137)+MAX(AA94:AA116),0)</f>
        <v>0 - 0</v>
      </c>
      <c r="AB150" s="354" t="str">
        <f t="shared" si="67"/>
        <v>0 - 1</v>
      </c>
      <c r="AC150" s="354" t="str">
        <f t="shared" si="67"/>
        <v>3 - 930</v>
      </c>
      <c r="AD150" s="354" t="str">
        <f t="shared" si="67"/>
        <v>0 - 72</v>
      </c>
      <c r="AE150" s="354" t="str">
        <f t="shared" si="67"/>
        <v>0 - 3</v>
      </c>
      <c r="AF150" s="354" t="str">
        <f t="shared" si="67"/>
        <v>0 - 17</v>
      </c>
      <c r="AG150" s="354">
        <f>SUM(AVERAGE(AG88:AG93), AVERAGE(AG121:AG136), AVERAGE(AG94:AG115))</f>
        <v>51.28036553030303</v>
      </c>
      <c r="AH150" s="354">
        <f>SUM(AVERAGE(AH88:AH93), AVERAGE(AH121:AH136), AVERAGE(AH94:AH115))</f>
        <v>1.0907481060606061</v>
      </c>
    </row>
    <row r="151" spans="1:34" s="342" customFormat="1" ht="25.5" hidden="1" customHeight="1">
      <c r="A151" s="353"/>
      <c r="B151" s="348" t="s">
        <v>175</v>
      </c>
      <c r="C151" s="354">
        <f>SUM(AVERAGE(C88:C93), AVERAGE(C122:C137), AVERAGE(C94:C116))</f>
        <v>406.924955615942</v>
      </c>
      <c r="D151" s="354"/>
      <c r="E151" s="354">
        <f>SUM(AVERAGE(E88:E93), AVERAGE(E122:E137), AVERAGE(E94:E116))</f>
        <v>126.59574547101451</v>
      </c>
      <c r="F151" s="354"/>
      <c r="G151" s="354">
        <f>SUM(AVERAGE(G88:G93), AVERAGE(G122:G137), AVERAGE(G94:G116))</f>
        <v>14.499940217391304</v>
      </c>
      <c r="H151" s="354"/>
      <c r="I151" s="354">
        <f>SUM(AVERAGE(I88:I93), AVERAGE(I122:I137), AVERAGE(I94:I116))</f>
        <v>7.6243242753623193</v>
      </c>
      <c r="J151" s="354"/>
      <c r="K151" s="354">
        <f>SUM(AVERAGE(K88:K93), AVERAGE(K122:K137), AVERAGE(K94:K116))</f>
        <v>8.9103260869565215E-3</v>
      </c>
      <c r="L151" s="354"/>
      <c r="M151" s="354">
        <f>SUM(AVERAGE(M88:M93), AVERAGE(M122:M137), AVERAGE(M94:M116))</f>
        <v>59.484443840579715</v>
      </c>
      <c r="N151" s="354"/>
      <c r="O151" s="354">
        <f>SUM(AVERAGE(O88:O93), AVERAGE(O122:O137), AVERAGE(O94:O116))</f>
        <v>194.26414402173907</v>
      </c>
      <c r="P151" s="354"/>
      <c r="Q151" s="354">
        <f>SUM(AVERAGE(Q88:Q93), AVERAGE(Q122:Q137), AVERAGE(Q94:Q116))</f>
        <v>66.980904891304363</v>
      </c>
      <c r="R151" s="354"/>
      <c r="S151" s="354">
        <f>SUM(AVERAGE(S88:S93), AVERAGE(S122:S137), AVERAGE(S94:S116))</f>
        <v>1.3649474637681158</v>
      </c>
      <c r="T151" s="354"/>
      <c r="U151" s="354">
        <f>SUM(AVERAGE(U88:U93), AVERAGE(U122:U137), AVERAGE(U94:U116))</f>
        <v>54.969661231884061</v>
      </c>
      <c r="V151" s="354"/>
      <c r="W151" s="354">
        <f>SUM(AVERAGE(W88:W93), AVERAGE(W122:W137), AVERAGE(W94:W116))</f>
        <v>36.884669384057972</v>
      </c>
      <c r="X151" s="354"/>
      <c r="Y151" s="354">
        <f>SUM(AVERAGE(Y88:Y93), AVERAGE(Y122:Y137), AVERAGE(Y94:Y116))</f>
        <v>5.0263641304347821</v>
      </c>
      <c r="Z151" s="354"/>
      <c r="AA151" s="354">
        <f t="shared" ref="AA151:AF151" si="68">SUM(AVERAGE(AA88:AA93), AVERAGE(AA122:AA137), AVERAGE(AA94:AA116))</f>
        <v>2.5000000000000001E-3</v>
      </c>
      <c r="AB151" s="354">
        <f t="shared" si="68"/>
        <v>1.2833333333333334E-2</v>
      </c>
      <c r="AC151" s="354">
        <f t="shared" si="68"/>
        <v>185.92793297101449</v>
      </c>
      <c r="AD151" s="354">
        <f t="shared" si="68"/>
        <v>14.300744565217389</v>
      </c>
      <c r="AE151" s="354">
        <f t="shared" si="68"/>
        <v>0.44196648550724643</v>
      </c>
      <c r="AF151" s="354">
        <f t="shared" si="68"/>
        <v>2.4555262681159422</v>
      </c>
      <c r="AG151" s="354" t="str">
        <f>ROUND(MIN(AG88:AG93)+MIN(AG94:AG115)+MIN(AG121:AG136),0)&amp;" - "&amp;ROUND(MAX(AG88:AG93)+MAX(AG94:AG115)+MAX(AG121:AG136),0)</f>
        <v>1 - 291</v>
      </c>
      <c r="AH151" s="354" t="str">
        <f>ROUND(MIN(AH88:AH93)+MIN(AH94:AH115)+MIN(AH121:AH136),0)&amp;" - "&amp;ROUND(MAX(AH88:AH93)+MAX(AH94:AH115)+MAX(AH121:AH136),0)</f>
        <v>0 - 6</v>
      </c>
    </row>
    <row r="152" spans="1:34" s="342" customFormat="1" ht="25.5" hidden="1" customHeight="1">
      <c r="A152" s="353"/>
      <c r="B152" s="348" t="s">
        <v>176</v>
      </c>
      <c r="C152" s="354" t="str">
        <f>ROUND(MIN(C88:C93)+MIN(C94:C116)+MIN(C122:C137),0)&amp;" - "&amp;ROUND(MAX(C88:C93)+MAX(C94:C116)+MAX(C122:C137),0)</f>
        <v>141 - 984</v>
      </c>
      <c r="D152" s="354"/>
      <c r="E152" s="354" t="str">
        <f>ROUND(MIN(E88:E93)+MIN(E94:E116)+MIN(E122:E137),0)&amp;" - "&amp;ROUND(MAX(E88:E93)+MAX(E94:E116)+MAX(E122:E137),0)</f>
        <v>0 - 487</v>
      </c>
      <c r="F152" s="354"/>
      <c r="G152" s="354" t="str">
        <f>ROUND(MIN(G88:G93)+MIN(G94:G116)+MIN(G122:G137),0)&amp;" - "&amp;ROUND(MAX(G88:G93)+MAX(G94:G116)+MAX(G122:G137),0)</f>
        <v>0 - 54</v>
      </c>
      <c r="H152" s="354"/>
      <c r="I152" s="354" t="str">
        <f>ROUND(MIN(I88:I93)+MIN(I94:I116)+MIN(I122:I137),0)&amp;" - "&amp;ROUND(MAX(I88:I93)+MAX(I94:I116)+MAX(I122:I137),0)</f>
        <v>0 - 33</v>
      </c>
      <c r="J152" s="354"/>
      <c r="K152" s="354" t="str">
        <f>ROUND(MIN(K88:K93)+MIN(K94:K116)+MIN(K122:K137),0)&amp;" - "&amp;ROUND(MAX(K88:K93)+MAX(K94:K116)+MAX(K122:K137),0)</f>
        <v>0 - 0</v>
      </c>
      <c r="L152" s="354"/>
      <c r="M152" s="354" t="str">
        <f>ROUND(MIN(M88:M93)+MIN(M94:M116)+MIN(M122:M137),0)&amp;" - "&amp;ROUND(MAX(M88:M93)+MAX(M94:M116)+MAX(M122:M137),0)</f>
        <v>0 - 308</v>
      </c>
      <c r="N152" s="354"/>
      <c r="O152" s="354" t="str">
        <f>ROUND(MIN(O88:O93)+MIN(O94:O116)+MIN(O122:O137),0)&amp;" - "&amp;ROUND(MAX(O88:O93)+MAX(O94:O116)+MAX(O122:O137),0)</f>
        <v>31 - 718</v>
      </c>
      <c r="P152" s="354"/>
      <c r="Q152" s="354" t="str">
        <f>ROUND(MIN(Q88:Q93)+MIN(Q94:Q116)+MIN(Q122:Q137),0)&amp;" - "&amp;ROUND(MAX(Q88:Q93)+MAX(Q94:Q116)+MAX(Q122:Q137),0)</f>
        <v>25 - 119</v>
      </c>
      <c r="R152" s="354"/>
      <c r="S152" s="354" t="str">
        <f>ROUND(MIN(S88:S93)+MIN(S94:S116)+MIN(S122:S137),0)&amp;" - "&amp;ROUND(MAX(S88:S93)+MAX(S94:S116)+MAX(S122:S137),0)</f>
        <v>0 - 16</v>
      </c>
      <c r="T152" s="354"/>
      <c r="U152" s="354" t="str">
        <f>ROUND(MIN(U88:U93)+MIN(U94:U116)+MIN(U122:U137),0)&amp;" - "&amp;ROUND(MAX(U88:U93)+MAX(U94:U116)+MAX(U122:U137),0)</f>
        <v>6 - 94</v>
      </c>
      <c r="V152" s="354"/>
      <c r="W152" s="354" t="str">
        <f>ROUND(MIN(W88:W93)+MIN(W94:W116)+MIN(W122:W137),0)&amp;" - "&amp;ROUND(MAX(W88:W93)+MAX(W94:W116)+MAX(W122:W137),0)</f>
        <v>2 - 75</v>
      </c>
      <c r="X152" s="354"/>
      <c r="Y152" s="354" t="str">
        <f>ROUND(MIN(Y88:Y93)+MIN(Y94:Y116)+MIN(Y122:Y137),0)&amp;" - "&amp;ROUND(MAX(Y88:Y93)+MAX(Y94:Y116)+MAX(Y122:Y137),0)</f>
        <v>0 - 19</v>
      </c>
      <c r="Z152" s="354"/>
      <c r="AA152" s="354" t="str">
        <f t="shared" ref="AA152:AF152" si="69">ROUND(MIN(AA88:AA93)+MIN(AA94:AA116)+MIN(AA122:AA137),0)&amp;" - "&amp;ROUND(MAX(AA88:AA93)+MAX(AA94:AA116)+MAX(AA122:AA137),0)</f>
        <v>0 - 0</v>
      </c>
      <c r="AB152" s="354" t="str">
        <f t="shared" si="69"/>
        <v>0 - 0</v>
      </c>
      <c r="AC152" s="354" t="str">
        <f t="shared" si="69"/>
        <v>4 - 924</v>
      </c>
      <c r="AD152" s="354" t="str">
        <f t="shared" si="69"/>
        <v>0 - 71</v>
      </c>
      <c r="AE152" s="354" t="str">
        <f t="shared" si="69"/>
        <v>0 - 3</v>
      </c>
      <c r="AF152" s="354" t="str">
        <f t="shared" si="69"/>
        <v>0 - 17</v>
      </c>
      <c r="AG152" s="344"/>
      <c r="AH152" s="344"/>
    </row>
    <row r="153" spans="1:34" s="342" customFormat="1" ht="25.5" hidden="1" customHeight="1">
      <c r="B153" s="344"/>
      <c r="C153" s="344"/>
      <c r="D153" s="344"/>
      <c r="E153" s="344"/>
      <c r="F153" s="344"/>
      <c r="G153" s="344"/>
      <c r="H153" s="344"/>
      <c r="I153" s="344"/>
      <c r="J153" s="344"/>
      <c r="K153" s="344"/>
      <c r="L153" s="344"/>
      <c r="M153" s="344"/>
      <c r="N153" s="344"/>
      <c r="O153" s="344"/>
      <c r="P153" s="344"/>
      <c r="Q153" s="344"/>
      <c r="R153" s="344"/>
      <c r="S153" s="344"/>
      <c r="T153" s="344"/>
      <c r="U153" s="344"/>
      <c r="V153" s="344"/>
      <c r="W153" s="344"/>
      <c r="X153" s="344"/>
      <c r="Y153" s="344"/>
      <c r="Z153" s="344"/>
      <c r="AA153" s="344"/>
      <c r="AB153" s="344"/>
      <c r="AC153" s="344"/>
      <c r="AD153" s="344"/>
      <c r="AE153" s="344"/>
      <c r="AF153" s="344"/>
      <c r="AG153" s="354">
        <f>SUM(AVERAGE(AG6:AG58),AVERAGE(AG94:AG115),AVERAGE(AG121:AG136),AVERAGE(AG137:AG140))</f>
        <v>46.987118674957117</v>
      </c>
      <c r="AH153" s="354">
        <f>SUM(AVERAGE(AH6:AH58),AVERAGE(AH94:AH115),AVERAGE(AH121:AH136),AVERAGE(AH137:AH140))</f>
        <v>0.9996459048027444</v>
      </c>
    </row>
    <row r="154" spans="1:34" s="342" customFormat="1" ht="25.5" hidden="1" customHeight="1">
      <c r="A154" s="353"/>
      <c r="B154" s="348" t="s">
        <v>384</v>
      </c>
      <c r="C154" s="354">
        <f>SUM(AVERAGE(C6:C58),AVERAGE(C94:C116),AVERAGE(C122:C137),AVERAGE(C138:C141))</f>
        <v>473.48415530147662</v>
      </c>
      <c r="D154" s="354"/>
      <c r="E154" s="354">
        <f>SUM(AVERAGE(E6:E58),AVERAGE(E94:E116),AVERAGE(E122:E137),AVERAGE(E138:E141))</f>
        <v>84.227041068498764</v>
      </c>
      <c r="F154" s="354"/>
      <c r="G154" s="354">
        <f>SUM(AVERAGE(G6:G58),AVERAGE(G94:G116),AVERAGE(G122:G137),AVERAGE(G138:G141))</f>
        <v>10.53694965135357</v>
      </c>
      <c r="H154" s="354"/>
      <c r="I154" s="354">
        <f>SUM(AVERAGE(I6:I58),AVERAGE(I94:I116),AVERAGE(I122:I137),AVERAGE(I138:I141))</f>
        <v>6.6407283634126335</v>
      </c>
      <c r="J154" s="354"/>
      <c r="K154" s="354">
        <f>SUM(AVERAGE(K6:K58),AVERAGE(K94:K116),AVERAGE(K122:K137),AVERAGE(K138:K141))</f>
        <v>2.5636741181296142E-2</v>
      </c>
      <c r="L154" s="354"/>
      <c r="M154" s="354">
        <f>SUM(AVERAGE(M6:M58),AVERAGE(M94:M116),AVERAGE(M122:M137),AVERAGE(M138:M141))</f>
        <v>46.404843211648895</v>
      </c>
      <c r="N154" s="354"/>
      <c r="O154" s="354">
        <f>SUM(AVERAGE(O6:O58),AVERAGE(O94:O116),AVERAGE(O122:O137),AVERAGE(O138:O141))</f>
        <v>172.24324779532404</v>
      </c>
      <c r="P154" s="354"/>
      <c r="Q154" s="354">
        <f>SUM(AVERAGE(Q6:Q58),AVERAGE(Q94:Q116),AVERAGE(Q122:Q137),AVERAGE(Q138:Q141))</f>
        <v>95.057735079983587</v>
      </c>
      <c r="R154" s="354"/>
      <c r="S154" s="354">
        <f>SUM(AVERAGE(S6:S58),AVERAGE(S94:S116),AVERAGE(S122:S137),AVERAGE(S138:S141))</f>
        <v>1.2872320549630845</v>
      </c>
      <c r="T154" s="354"/>
      <c r="U154" s="354">
        <f>SUM(AVERAGE(U6:U57),AVERAGE(U94:U116),AVERAGE(U122:U137),AVERAGE(U138:U141))</f>
        <v>82.3178214882943</v>
      </c>
      <c r="V154" s="354"/>
      <c r="W154" s="354">
        <f>SUM(AVERAGE(W6:W58),AVERAGE(W94:W116),AVERAGE(W122:W137),AVERAGE(W138:W141))</f>
        <v>65.706875358900731</v>
      </c>
      <c r="X154" s="354"/>
      <c r="Y154" s="354">
        <f>SUM(AVERAGE(Y6:Y58),AVERAGE(Y94:Y116),AVERAGE(Y122:Y137),AVERAGE(Y138:Y141))</f>
        <v>3.6747933757178011</v>
      </c>
      <c r="Z154" s="354"/>
      <c r="AA154" s="354">
        <f t="shared" ref="AA154:AF154" si="70">SUM(AVERAGE(AA6:AA58),AVERAGE(AA94:AA116),AVERAGE(AA122:AA137),AVERAGE(AA138:AA141))</f>
        <v>1.924056603773585E-2</v>
      </c>
      <c r="AB154" s="354">
        <f t="shared" si="70"/>
        <v>8.631132075471698E-2</v>
      </c>
      <c r="AC154" s="354">
        <f t="shared" si="70"/>
        <v>149.11405404019689</v>
      </c>
      <c r="AD154" s="354">
        <f t="shared" si="70"/>
        <v>11.469027584085314</v>
      </c>
      <c r="AE154" s="354">
        <f t="shared" si="70"/>
        <v>0.56160485028712059</v>
      </c>
      <c r="AF154" s="354">
        <f t="shared" si="70"/>
        <v>2.9653533121410995</v>
      </c>
      <c r="AG154" s="354" t="str">
        <f>ROUND(MIN(AG6:AG58)+MIN(AG121:AG136)+MIN(AG94:AG115)+MIN(AG137:AG140), 0) &amp;" - "&amp;ROUND(MAX(AG6:AG58)+MAX(AG121:AG136)+MAX(AG94:AG115)+MAX(AG137:AG140),0)</f>
        <v>0 - 307</v>
      </c>
      <c r="AH154" s="354" t="str">
        <f>ROUND(MIN(AH6:AH58)+MIN(AH121:AH136)+MIN(AH94:AH115)+MIN(AH137:AH140), 0) &amp;" - "&amp;ROUND(MAX(AH6:AH58)+MAX(AH121:AH136)+MAX(AH94:AH115)+MAX(AH137:AH140),0)</f>
        <v>0 - 7</v>
      </c>
    </row>
    <row r="155" spans="1:34" s="342" customFormat="1" ht="25.5" hidden="1" customHeight="1">
      <c r="A155" s="353"/>
      <c r="B155" s="348" t="s">
        <v>385</v>
      </c>
      <c r="C155" s="354" t="str">
        <f>ROUND(MIN(C6:C58)+MIN(C122:C137)+MIN(C94:C116)+MIN(C138:C141), 0) &amp;" - "&amp;ROUND(MAX(C6:C58)+MAX(C122:C137)+MAX(C94:C116)+MAX(C138:C141),0)</f>
        <v>213 - 1111</v>
      </c>
      <c r="D155" s="354"/>
      <c r="E155" s="354" t="str">
        <f>ROUND(MIN(E6:E58)+MIN(E122:E137)+MIN(E94:E116)+MIN(E138:E141), 0) &amp;" - "&amp;ROUND(MAX(E6:E58)+MAX(E122:E137)+MAX(E94:E116)+MAX(E138:E141),0)</f>
        <v>0 - 472</v>
      </c>
      <c r="F155" s="354"/>
      <c r="G155" s="354" t="str">
        <f>ROUND(MIN(G6:G58)+MIN(G122:G137)+MIN(G94:G116)+MIN(G138:G141), 0) &amp;" - "&amp;ROUND(MAX(G6:G58)+MAX(G122:G137)+MAX(G94:G116)+MAX(G138:G141),0)</f>
        <v>0 - 54</v>
      </c>
      <c r="H155" s="354"/>
      <c r="I155" s="354" t="str">
        <f>ROUND(MIN(I6:I58)+MIN(I122:I137)+MIN(I94:I116)+MIN(I138:I141), 0) &amp;" - "&amp;ROUND(MAX(I6:I58)+MAX(I122:I137)+MAX(I94:I116)+MAX(I138:I141),0)</f>
        <v>0 - 35</v>
      </c>
      <c r="J155" s="354"/>
      <c r="K155" s="354" t="str">
        <f>ROUND(MIN(K6:K58)+MIN(K122:K137)+MIN(K94:K116)+MIN(K138:K141), 0) &amp;" - "&amp;ROUND(MAX(K6:K58)+MAX(K122:K137)+MAX(K94:K116)+MAX(K138:K141),0)</f>
        <v>0 - 0</v>
      </c>
      <c r="L155" s="354"/>
      <c r="M155" s="354" t="str">
        <f>ROUND(MIN(M6:M58)+MIN(M122:M137)+MIN(M94:M116)+MIN(M138:M141), 0) &amp;" - "&amp;ROUND(MAX(M6:M58)+MAX(M122:M137)+MAX(M94:M116)+MAX(M138:M141),0)</f>
        <v>0 - 310</v>
      </c>
      <c r="N155" s="354"/>
      <c r="O155" s="354" t="str">
        <f>ROUND(MIN(O6:O58)+MIN(O122:O137)+MIN(O94:O116)+MIN(O138:O141), 0) &amp;" - "&amp;ROUND(MAX(O6:O58)+MAX(O122:O137)+MAX(O94:O116)+MAX(O138:O141),0)</f>
        <v>32 - 758</v>
      </c>
      <c r="P155" s="354"/>
      <c r="Q155" s="354" t="str">
        <f>ROUND(MIN(Q6:Q58)+MIN(Q122:Q137)+MIN(Q94:Q116)+MIN(Q138:Q141), 0) &amp;" - "&amp;ROUND(MAX(Q6:Q58)+MAX(Q122:Q137)+MAX(Q94:Q116)+MAX(Q138:Q141),0)</f>
        <v>43 - 153</v>
      </c>
      <c r="R155" s="354"/>
      <c r="S155" s="354" t="str">
        <f>ROUND(MIN(S6:S58)+MIN(S122:S137)+MIN(S94:S116)+MIN(S138:S141), 0) &amp;" - "&amp;ROUND(MAX(S6:S58)+MAX(S122:S137)+MAX(S94:S116)+MAX(S138:S141),0)</f>
        <v>0 - 16</v>
      </c>
      <c r="T155" s="354"/>
      <c r="U155" s="354" t="str">
        <f>ROUND(MIN(U6:U57)+MIN(U122:U137)+MIN(U94:U116)+MIN(U138:U141), 0) &amp;" - "&amp;ROUND(MAX(U6:U57)+MAX(U122:U137)+MAX(U94:U116)+MAX(U138:U141),0)</f>
        <v>23 - 127</v>
      </c>
      <c r="V155" s="354"/>
      <c r="W155" s="354" t="str">
        <f>ROUND(MIN(W6:W58)+MIN(W122:W137)+MIN(W94:W116)+MIN(W138:W141), 0) &amp;" - "&amp;ROUND(MAX(W6:W58)+MAX(W122:W137)+MAX(W94:W116)+MAX(W138:W141),0)</f>
        <v>18 - 112</v>
      </c>
      <c r="X155" s="354"/>
      <c r="Y155" s="354" t="str">
        <f>ROUND(MIN(Y6:Y58)+MIN(Y122:Y137)+MIN(Y94:Y116)+MIN(Y138:Y141), 0) &amp;" - "&amp;ROUND(MAX(Y6:Y58)+MAX(Y122:Y137)+MAX(Y94:Y116)+MAX(Y138:Y141),0)</f>
        <v>0 - 19</v>
      </c>
      <c r="Z155" s="354"/>
      <c r="AA155" s="354" t="str">
        <f t="shared" ref="AA155:AF155" si="71">ROUND(MIN(AA6:AA58)+MIN(AA122:AA137)+MIN(AA94:AA116)+MIN(AA138:AA141), 0) &amp;" - "&amp;ROUND(MAX(AA6:AA58)+MAX(AA122:AA137)+MAX(AA94:AA116)+MAX(AA138:AA141),0)</f>
        <v>0 - 0</v>
      </c>
      <c r="AB155" s="354" t="str">
        <f t="shared" si="71"/>
        <v>0 - 2</v>
      </c>
      <c r="AC155" s="354" t="str">
        <f t="shared" si="71"/>
        <v>6 - 946</v>
      </c>
      <c r="AD155" s="354" t="str">
        <f t="shared" si="71"/>
        <v>0 - 73</v>
      </c>
      <c r="AE155" s="354" t="str">
        <f t="shared" si="71"/>
        <v>0 - 4</v>
      </c>
      <c r="AF155" s="354" t="str">
        <f t="shared" si="71"/>
        <v>0 - 23</v>
      </c>
      <c r="AG155" s="354" t="e">
        <f>SUM(AVERAGE(#REF!),AVERAGE(AG121:AG136),AVERAGE(AG94:AG115),AVERAGE(AG137:AG140))</f>
        <v>#REF!</v>
      </c>
      <c r="AH155" s="354" t="e">
        <f>SUM(AVERAGE(#REF!),AVERAGE(AH121:AH136),AVERAGE(AH94:AH115),AVERAGE(AH137:AH140))</f>
        <v>#REF!</v>
      </c>
    </row>
    <row r="156" spans="1:34" s="342" customFormat="1" ht="25.5" hidden="1" customHeight="1">
      <c r="A156" s="353"/>
      <c r="B156" s="348" t="s">
        <v>386</v>
      </c>
      <c r="C156" s="354" t="e">
        <f>SUM(AVERAGE(#REF!),AVERAGE(C122:C137),AVERAGE(C94:C116),AVERAGE(C138:C141))</f>
        <v>#REF!</v>
      </c>
      <c r="D156" s="354"/>
      <c r="E156" s="354" t="e">
        <f>SUM(AVERAGE(#REF!),AVERAGE(E122:E137),AVERAGE(E94:E116),AVERAGE(E138:E141))</f>
        <v>#REF!</v>
      </c>
      <c r="F156" s="354"/>
      <c r="G156" s="354" t="e">
        <f>SUM(AVERAGE(#REF!),AVERAGE(G122:G137),AVERAGE(G94:G116),AVERAGE(G138:G141))</f>
        <v>#REF!</v>
      </c>
      <c r="H156" s="354"/>
      <c r="I156" s="354" t="e">
        <f>SUM(AVERAGE(#REF!),AVERAGE(I122:I137),AVERAGE(I94:I116),AVERAGE(I138:I141))</f>
        <v>#REF!</v>
      </c>
      <c r="J156" s="354"/>
      <c r="K156" s="354" t="e">
        <f>SUM(AVERAGE(#REF!),AVERAGE(K122:K137),AVERAGE(K94:K116),AVERAGE(K138:K141))</f>
        <v>#REF!</v>
      </c>
      <c r="L156" s="354"/>
      <c r="M156" s="354" t="e">
        <f>SUM(AVERAGE(#REF!),AVERAGE(M122:M137),AVERAGE(M94:M116),AVERAGE(M138:M141))</f>
        <v>#REF!</v>
      </c>
      <c r="N156" s="354"/>
      <c r="O156" s="354" t="e">
        <f>SUM(AVERAGE(#REF!),AVERAGE(O122:O137),AVERAGE(O94:O116),AVERAGE(O138:O141))</f>
        <v>#REF!</v>
      </c>
      <c r="P156" s="354"/>
      <c r="Q156" s="354" t="e">
        <f>SUM(AVERAGE(#REF!),AVERAGE(Q122:Q137),AVERAGE(Q94:Q116),AVERAGE(Q138:Q141))</f>
        <v>#REF!</v>
      </c>
      <c r="R156" s="354"/>
      <c r="S156" s="354" t="e">
        <f>SUM(AVERAGE(#REF!),AVERAGE(S122:S137),AVERAGE(S94:S116),AVERAGE(S138:S141))</f>
        <v>#REF!</v>
      </c>
      <c r="T156" s="354"/>
      <c r="U156" s="354" t="e">
        <f>SUM(AVERAGE(#REF!),AVERAGE(U122:U137),AVERAGE(U94:U116),AVERAGE(U138:U141))</f>
        <v>#REF!</v>
      </c>
      <c r="V156" s="354"/>
      <c r="W156" s="354" t="e">
        <f>SUM(AVERAGE(#REF!),AVERAGE(W122:W137),AVERAGE(W94:W116),AVERAGE(W138:W141))</f>
        <v>#REF!</v>
      </c>
      <c r="X156" s="354"/>
      <c r="Y156" s="354" t="e">
        <f>SUM(AVERAGE(#REF!),AVERAGE(Y122:Y137),AVERAGE(Y94:Y116),AVERAGE(Y138:Y141))</f>
        <v>#REF!</v>
      </c>
      <c r="Z156" s="354"/>
      <c r="AA156" s="354" t="e">
        <f>SUM(AVERAGE(#REF!),AVERAGE(AA122:AA137),AVERAGE(AA94:AA116),AVERAGE(AA138:AA141))</f>
        <v>#REF!</v>
      </c>
      <c r="AB156" s="354" t="e">
        <f>SUM(AVERAGE(#REF!),AVERAGE(AB122:AB137),AVERAGE(AB94:AB116),AVERAGE(AB138:AB141))</f>
        <v>#REF!</v>
      </c>
      <c r="AC156" s="354" t="e">
        <f>SUM(AVERAGE(#REF!),AVERAGE(AC122:AC137),AVERAGE(AC94:AC116),AVERAGE(AC138:AC141))</f>
        <v>#REF!</v>
      </c>
      <c r="AD156" s="354" t="e">
        <f>SUM(AVERAGE(#REF!),AVERAGE(AD122:AD137),AVERAGE(AD94:AD116),AVERAGE(AD138:AD141))</f>
        <v>#REF!</v>
      </c>
      <c r="AE156" s="354" t="e">
        <f>SUM(AVERAGE(#REF!),AVERAGE(AE122:AE137),AVERAGE(AE94:AE116),AVERAGE(AE138:AE141))</f>
        <v>#REF!</v>
      </c>
      <c r="AF156" s="354" t="e">
        <f>SUM(AVERAGE(#REF!),AVERAGE(AF122:AF137),AVERAGE(AF94:AF116),AVERAGE(AF138:AF141))</f>
        <v>#REF!</v>
      </c>
      <c r="AG156" s="354" t="e">
        <f>ROUND( MIN(#REF!)+MIN(AG94:AG115)+ MIN(AG121:AG136)+ MIN(AG137:AG140),0) &amp; " - " &amp; ROUND(MAX(#REF!)+MAX(AG94:AG115)+MIN(AG121:AG136)+ MIN(AG137:AG140),0)</f>
        <v>#REF!</v>
      </c>
      <c r="AH156" s="354" t="e">
        <f>ROUND( MIN(#REF!)+MIN(AH94:AH115)+ MIN(AH121:AH136)+ MIN(AH137:AH140),0) &amp; " - " &amp; ROUND(MAX(#REF!)+MAX(AH94:AH115)+MIN(AH121:AH136)+ MIN(AH137:AH140),0)</f>
        <v>#REF!</v>
      </c>
    </row>
    <row r="157" spans="1:34" s="342" customFormat="1" ht="25.5" hidden="1" customHeight="1">
      <c r="A157" s="353"/>
      <c r="B157" s="348" t="s">
        <v>387</v>
      </c>
      <c r="C157" s="354" t="e">
        <f>ROUND( MIN(#REF!)+MIN(C94:C116)+ MIN(C122:C137)+ MIN(C138:C141),0) &amp; " - " &amp; ROUND(MAX(#REF!)+MAX(C94:C116)+MIN(C122:C137)+ MIN(C138:C141),0)</f>
        <v>#REF!</v>
      </c>
      <c r="D157" s="354"/>
      <c r="E157" s="354" t="e">
        <f>ROUND( MIN(#REF!)+MIN(E94:E116)+ MIN(E122:E137)+ MIN(E138:E141),0) &amp; " - " &amp; ROUND(MAX(#REF!)+MAX(E94:E116)+MIN(E122:E137)+ MIN(E138:E141),0)</f>
        <v>#REF!</v>
      </c>
      <c r="F157" s="354"/>
      <c r="G157" s="354" t="e">
        <f>ROUND( MIN(#REF!)+MIN(G94:G116)+ MIN(G122:G137)+ MIN(G138:G141),0) &amp; " - " &amp; ROUND(MAX(#REF!)+MAX(G94:G116)+MIN(G122:G137)+ MIN(G138:G141),0)</f>
        <v>#REF!</v>
      </c>
      <c r="H157" s="354"/>
      <c r="I157" s="354" t="e">
        <f>ROUND( MIN(#REF!)+MIN(I94:I116)+ MIN(I122:I137)+ MIN(I138:I141),0) &amp; " - " &amp; ROUND(MAX(#REF!)+MAX(I94:I116)+MIN(I122:I137)+ MIN(I138:I141),0)</f>
        <v>#REF!</v>
      </c>
      <c r="J157" s="354"/>
      <c r="K157" s="354" t="e">
        <f>ROUND( MIN(#REF!)+MIN(K94:K116)+ MIN(K122:K137)+ MIN(K138:K141),0) &amp; " - " &amp; ROUND(MAX(#REF!)+MAX(K94:K116)+MIN(K122:K137)+ MIN(K138:K141),0)</f>
        <v>#REF!</v>
      </c>
      <c r="L157" s="354"/>
      <c r="M157" s="354" t="e">
        <f>ROUND( MIN(#REF!)+MIN(M94:M116)+ MIN(M122:M137)+ MIN(M138:M141),0) &amp; " - " &amp; ROUND(MAX(#REF!)+MAX(M94:M116)+MIN(M122:M137)+ MIN(M138:M141),0)</f>
        <v>#REF!</v>
      </c>
      <c r="N157" s="354"/>
      <c r="O157" s="354" t="e">
        <f>ROUND( MIN(#REF!)+MIN(O94:O116)+ MIN(O122:O137)+ MIN(O138:O141),0) &amp; " - " &amp; ROUND(MAX(#REF!)+MAX(O94:O116)+MIN(O122:O137)+ MIN(O138:O141),0)</f>
        <v>#REF!</v>
      </c>
      <c r="P157" s="354"/>
      <c r="Q157" s="354" t="e">
        <f>ROUND( MIN(#REF!)+MIN(Q94:Q116)+ MIN(Q122:Q137)+ MIN(Q138:Q141),0) &amp; " - " &amp; ROUND(MAX(#REF!)+MAX(Q94:Q116)+MIN(Q122:Q137)+ MIN(Q138:Q141),0)</f>
        <v>#REF!</v>
      </c>
      <c r="R157" s="354"/>
      <c r="S157" s="354" t="e">
        <f>ROUND( MIN(#REF!)+MIN(S94:S116)+ MIN(S122:S137)+ MIN(S138:S141),0) &amp; " - " &amp; ROUND(MAX(#REF!)+MAX(S94:S116)+MIN(S122:S137)+ MIN(S138:S141),0)</f>
        <v>#REF!</v>
      </c>
      <c r="T157" s="354"/>
      <c r="U157" s="354" t="e">
        <f>ROUND( MIN(#REF!)+MIN(U94:U116)+ MIN(U122:U137)+ MIN(U138:U141),0) &amp; " - " &amp; ROUND(MAX(#REF!)+MAX(U94:U116)+MIN(U122:U137)+ MIN(U138:U141),0)</f>
        <v>#REF!</v>
      </c>
      <c r="V157" s="354"/>
      <c r="W157" s="354" t="e">
        <f>ROUND( MIN(#REF!)+MIN(W94:W116)+ MIN(W122:W137)+ MIN(W138:W141),0) &amp; " - " &amp; ROUND(MAX(#REF!)+MAX(W94:W116)+MIN(W122:W137)+ MIN(W138:W141),0)</f>
        <v>#REF!</v>
      </c>
      <c r="X157" s="354"/>
      <c r="Y157" s="354" t="e">
        <f>ROUND( MIN(#REF!)+MIN(Y94:Y116)+ MIN(Y122:Y137)+ MIN(Y138:Y141),0) &amp; " - " &amp; ROUND(MAX(#REF!)+MAX(Y94:Y116)+MIN(Y122:Y137)+ MIN(Y138:Y141),0)</f>
        <v>#REF!</v>
      </c>
      <c r="Z157" s="354"/>
      <c r="AA157" s="354" t="e">
        <f>ROUND( MIN(#REF!)+MIN(AA94:AA116)+ MIN(AA122:AA137)+ MIN(AA138:AA141),0) &amp; " - " &amp; ROUND(MAX(#REF!)+MAX(AA94:AA116)+MIN(AA122:AA137)+ MIN(AA138:AA141),0)</f>
        <v>#REF!</v>
      </c>
      <c r="AB157" s="354" t="e">
        <f>ROUND( MIN(#REF!)+MIN(AB94:AB116)+ MIN(AB122:AB137)+ MIN(AB138:AB141),0) &amp; " - " &amp; ROUND(MAX(#REF!)+MAX(AB94:AB116)+MIN(AB122:AB137)+ MIN(AB138:AB141),0)</f>
        <v>#REF!</v>
      </c>
      <c r="AC157" s="354" t="e">
        <f>ROUND( MIN(#REF!)+MIN(AC94:AC116)+ MIN(AC122:AC137)+ MIN(AC138:AC141),0) &amp; " - " &amp; ROUND(MAX(#REF!)+MAX(AC94:AC116)+MIN(AC122:AC137)+ MIN(AC138:AC141),0)</f>
        <v>#REF!</v>
      </c>
      <c r="AD157" s="354" t="e">
        <f>ROUND( MIN(#REF!)+MIN(AD94:AD116)+ MIN(AD122:AD137)+ MIN(AD138:AD141),0) &amp; " - " &amp; ROUND(MAX(#REF!)+MAX(AD94:AD116)+MIN(AD122:AD137)+ MIN(AD138:AD141),0)</f>
        <v>#REF!</v>
      </c>
      <c r="AE157" s="354" t="e">
        <f>ROUND( MIN(#REF!)+MIN(AE94:AE116)+ MIN(AE122:AE137)+ MIN(AE138:AE141),0) &amp; " - " &amp; ROUND(MAX(#REF!)+MAX(AE94:AE116)+MIN(AE122:AE137)+ MIN(AE138:AE141),0)</f>
        <v>#REF!</v>
      </c>
      <c r="AF157" s="354" t="e">
        <f>ROUND( MIN(#REF!)+MIN(AF94:AF116)+ MIN(AF122:AF137)+ MIN(AF138:AF141),0) &amp; " - " &amp; ROUND(MAX(#REF!)+MAX(AF94:AF116)+MIN(AF122:AF137)+ MIN(AF138:AF141),0)</f>
        <v>#REF!</v>
      </c>
      <c r="AG157" s="354">
        <f>SUM(AVERAGE(AG61:AG87),AVERAGE(AG94:AG115),AVERAGE(AG137:AG140),AVERAGE(AG121:AG136))</f>
        <v>47.207874789562283</v>
      </c>
      <c r="AH157" s="354">
        <f>SUM(AVERAGE(AH61:AH87),AVERAGE(AH94:AH115),AVERAGE(AH137:AH140),AVERAGE(AH121:AH136))</f>
        <v>1.0044055134680134</v>
      </c>
    </row>
    <row r="158" spans="1:34" s="342" customFormat="1" ht="25.5" hidden="1" customHeight="1">
      <c r="A158" s="353"/>
      <c r="B158" s="348" t="s">
        <v>388</v>
      </c>
      <c r="C158" s="354">
        <f>SUM(AVERAGE(C61:C87),AVERAGE(C94:C116),AVERAGE(C138:C141),AVERAGE(C122:C137))</f>
        <v>445.36676117149756</v>
      </c>
      <c r="D158" s="354"/>
      <c r="E158" s="354">
        <f>SUM(AVERAGE(E61:E87),AVERAGE(E94:E116),AVERAGE(E138:E141),AVERAGE(E122:E137))</f>
        <v>72.117560285829299</v>
      </c>
      <c r="F158" s="354"/>
      <c r="G158" s="354">
        <f>SUM(AVERAGE(G61:G87),AVERAGE(G94:G116),AVERAGE(G138:G141),AVERAGE(G122:G137))</f>
        <v>9.1004772544283412</v>
      </c>
      <c r="H158" s="354"/>
      <c r="I158" s="354">
        <f>SUM(AVERAGE(I61:I87),AVERAGE(I94:I116),AVERAGE(I138:I141),AVERAGE(I122:I137))</f>
        <v>5.487370571658615</v>
      </c>
      <c r="J158" s="354"/>
      <c r="K158" s="354">
        <f>SUM(AVERAGE(K61:K87),AVERAGE(K94:K116),AVERAGE(K138:K141),AVERAGE(K122:K137))</f>
        <v>1.0632548309178745E-2</v>
      </c>
      <c r="L158" s="354"/>
      <c r="M158" s="354">
        <f>SUM(AVERAGE(M61:M87),AVERAGE(M94:M116),AVERAGE(M138:M141),AVERAGE(M122:M137))</f>
        <v>37.01175865539453</v>
      </c>
      <c r="N158" s="354"/>
      <c r="O158" s="354">
        <f>SUM(AVERAGE(O61:O87),AVERAGE(O94:O116),AVERAGE(O138:O141),AVERAGE(O122:O137))</f>
        <v>156.79731068840579</v>
      </c>
      <c r="P158" s="354"/>
      <c r="Q158" s="354">
        <f>SUM(AVERAGE(Q61:Q87),AVERAGE(Q94:Q116),AVERAGE(Q138:Q141),AVERAGE(Q122:Q137))</f>
        <v>91.434238224637681</v>
      </c>
      <c r="R158" s="354"/>
      <c r="S158" s="354">
        <f>SUM(AVERAGE(S61:S87),AVERAGE(S94:S116),AVERAGE(S138:S141),AVERAGE(S122:S137))</f>
        <v>1.2572900563607083</v>
      </c>
      <c r="T158" s="354"/>
      <c r="U158" s="354">
        <f>SUM(AVERAGE(U61:U87),AVERAGE(U94:U116),AVERAGE(U138:U141),AVERAGE(U122:U137))</f>
        <v>79.779476046698875</v>
      </c>
      <c r="V158" s="354"/>
      <c r="W158" s="354">
        <f>SUM(AVERAGE(W61:W87),AVERAGE(W94:W116),AVERAGE(W138:W141),AVERAGE(W122:W137))</f>
        <v>66.942252717391298</v>
      </c>
      <c r="X158" s="354"/>
      <c r="Y158" s="354">
        <f>SUM(AVERAGE(Y61:Y87),AVERAGE(Y94:Y116),AVERAGE(Y138:Y141),AVERAGE(Y122:Y137))</f>
        <v>3.1581882045088565</v>
      </c>
      <c r="Z158" s="354"/>
      <c r="AA158" s="354">
        <f t="shared" ref="AA158:AF158" si="72">SUM(AVERAGE(AA61:AA87),AVERAGE(AA94:AA116),AVERAGE(AA138:AA141),AVERAGE(AA122:AA137))</f>
        <v>1.2157407407407408E-2</v>
      </c>
      <c r="AB158" s="354">
        <f t="shared" si="72"/>
        <v>6.0462962962962961E-2</v>
      </c>
      <c r="AC158" s="354">
        <f t="shared" si="72"/>
        <v>124.03201630434782</v>
      </c>
      <c r="AD158" s="354">
        <f t="shared" si="72"/>
        <v>9.5396334541062799</v>
      </c>
      <c r="AE158" s="354">
        <f t="shared" si="72"/>
        <v>0.44628130032206115</v>
      </c>
      <c r="AF158" s="354">
        <f t="shared" si="72"/>
        <v>2.4811373792270532</v>
      </c>
      <c r="AG158" s="354" t="str">
        <f>ROUND(MIN(AG61:AG87)+MIN(AG94:AG115)+MIN(AG121:AG136)+MIN(AG137:AG140),0)&amp;" - "&amp;ROUND(MAX(AG61:AG87)+MAX(AG94:AG115)+MAX(AG121:AG136)+MAX(AG137:AG140),0)</f>
        <v>0 - 310</v>
      </c>
      <c r="AH158" s="354" t="str">
        <f>ROUND(MIN(AH61:AH87)+MIN(AH94:AH115)+MIN(AH121:AH136)+MIN(AH137:AH140),0)&amp;" - "&amp;ROUND(MAX(AH61:AH87)+MAX(AH94:AH115)+MAX(AH121:AH136)+MAX(AH137:AH140),0)</f>
        <v>0 - 7</v>
      </c>
    </row>
    <row r="159" spans="1:34" s="342" customFormat="1" ht="25.5" hidden="1" customHeight="1">
      <c r="A159" s="353"/>
      <c r="B159" s="348" t="s">
        <v>389</v>
      </c>
      <c r="C159" s="354" t="str">
        <f>ROUND(MIN(C61:C87)+MIN(C94:C116)+MIN(C122:C137)+MIN(C138:C141),0)&amp;" - "&amp;ROUND(MAX(C61:C87)+MAX(C94:C116)+MAX(C122:C137)+MAX(C138:C141),0)</f>
        <v>238 - 1097</v>
      </c>
      <c r="D159" s="354"/>
      <c r="E159" s="354" t="str">
        <f>ROUND(MIN(E61:E87)+MIN(E94:E116)+MIN(E122:E137)+MIN(E138:E141),0)&amp;" - "&amp;ROUND(MAX(E61:E87)+MAX(E94:E116)+MAX(E122:E137)+MAX(E138:E141),0)</f>
        <v>0 - 487</v>
      </c>
      <c r="F159" s="354"/>
      <c r="G159" s="354" t="str">
        <f>ROUND(MIN(G61:G87)+MIN(G94:G116)+MIN(G122:G137)+MIN(G138:G141),0)&amp;" - "&amp;ROUND(MAX(G61:G87)+MAX(G94:G116)+MAX(G122:G137)+MAX(G138:G141),0)</f>
        <v>0 - 56</v>
      </c>
      <c r="H159" s="354"/>
      <c r="I159" s="354" t="str">
        <f>ROUND(MIN(I61:I87)+MIN(I94:I116)+MIN(I122:I137)+MIN(I138:I141),0)&amp;" - "&amp;ROUND(MAX(I61:I87)+MAX(I94:I116)+MAX(I122:I137)+MAX(I138:I141),0)</f>
        <v>0 - 35</v>
      </c>
      <c r="J159" s="354"/>
      <c r="K159" s="354" t="str">
        <f>ROUND(MIN(K61:K87)+MIN(K94:K116)+MIN(K122:K137)+MIN(K138:K141),0)&amp;" - "&amp;ROUND(MAX(K61:K87)+MAX(K94:K116)+MAX(K122:K137)+MAX(K138:K141),0)</f>
        <v>0 - 0</v>
      </c>
      <c r="L159" s="354"/>
      <c r="M159" s="354" t="str">
        <f>ROUND(MIN(M61:M87)+MIN(M94:M116)+MIN(M122:M137)+MIN(M138:M141),0)&amp;" - "&amp;ROUND(MAX(M61:M87)+MAX(M94:M116)+MAX(M122:M137)+MAX(M138:M141),0)</f>
        <v>0 - 310</v>
      </c>
      <c r="N159" s="354"/>
      <c r="O159" s="354" t="str">
        <f>ROUND(MIN(O61:O87)+MIN(O94:O116)+MIN(O122:O137)+MIN(O138:O141),0)&amp;" - "&amp;ROUND(MAX(O61:O87)+MAX(O94:O116)+MAX(O122:O137)+MAX(O138:O141),0)</f>
        <v>42 - 740</v>
      </c>
      <c r="P159" s="354"/>
      <c r="Q159" s="354" t="str">
        <f>ROUND(MIN(Q61:Q87)+MIN(Q94:Q116)+MIN(Q122:Q137)+MIN(Q138:Q141),0)&amp;" - "&amp;ROUND(MAX(Q61:Q87)+MAX(Q94:Q116)+MAX(Q122:Q137)+MAX(Q138:Q141),0)</f>
        <v>44 - 148</v>
      </c>
      <c r="R159" s="354"/>
      <c r="S159" s="354" t="str">
        <f>ROUND(MIN(S61:S87)+MIN(S94:S116)+MIN(S122:S137)+MIN(S138:S141),0)&amp;" - "&amp;ROUND(MAX(S61:S87)+MAX(S94:S116)+MAX(S122:S137)+MAX(S138:S141),0)</f>
        <v>0 - 16</v>
      </c>
      <c r="T159" s="354"/>
      <c r="U159" s="354" t="str">
        <f>ROUND(MIN(U61:U87)+MIN(U94:U116)+MIN(U122:U137)+MIN(U138:U141),0)&amp;" - "&amp;ROUND(MAX(U61:U87)+MAX(U94:U116)+MAX(U122:U137)+MAX(U138:U141),0)</f>
        <v>25 - 120</v>
      </c>
      <c r="V159" s="354"/>
      <c r="W159" s="354" t="str">
        <f>ROUND(MIN(W61:W87)+MIN(W94:W116)+MIN(W122:W137)+MIN(W138:W141),0)&amp;" - "&amp;ROUND(MAX(W61:W87)+MAX(W94:W116)+MAX(W122:W137)+MAX(W138:W141),0)</f>
        <v>18 - 103</v>
      </c>
      <c r="X159" s="354"/>
      <c r="Y159" s="354" t="str">
        <f>ROUND(MIN(Y61:Y87)+MIN(Y94:Y116)+MIN(Y122:Y137)+MIN(Y138:Y141),0)&amp;" - "&amp;ROUND(MAX(Y61:Y87)+MAX(Y94:Y116)+MAX(Y122:Y137)+MAX(Y138:Y141),0)</f>
        <v>0 - 19</v>
      </c>
      <c r="Z159" s="354"/>
      <c r="AA159" s="354" t="str">
        <f t="shared" ref="AA159:AF159" si="73">ROUND(MIN(AA61:AA87)+MIN(AA94:AA116)+MIN(AA122:AA137)+MIN(AA138:AA141),0)&amp;" - "&amp;ROUND(MAX(AA61:AA87)+MAX(AA94:AA116)+MAX(AA122:AA137)+MAX(AA138:AA141),0)</f>
        <v>0 - 0</v>
      </c>
      <c r="AB159" s="354" t="str">
        <f t="shared" si="73"/>
        <v>0 - 1</v>
      </c>
      <c r="AC159" s="354" t="str">
        <f t="shared" si="73"/>
        <v>6 - 935</v>
      </c>
      <c r="AD159" s="354" t="str">
        <f t="shared" si="73"/>
        <v>0 - 72</v>
      </c>
      <c r="AE159" s="354" t="str">
        <f t="shared" si="73"/>
        <v>0 - 3</v>
      </c>
      <c r="AF159" s="354" t="str">
        <f t="shared" si="73"/>
        <v>0 - 18</v>
      </c>
      <c r="AG159" s="354">
        <f>SUM(AVERAGE(AG88:AG93), AVERAGE(AG94:AG115),AVERAGE(AG121:AG136), AVERAGE(AG137:AG140))</f>
        <v>58.529115530303031</v>
      </c>
      <c r="AH159" s="354">
        <f>SUM(AVERAGE(AH88:AH93), AVERAGE(AH94:AH115),AVERAGE(AH121:AH136), AVERAGE(AH137:AH140))</f>
        <v>1.2449981060606061</v>
      </c>
    </row>
    <row r="160" spans="1:34" s="342" customFormat="1" ht="25.5" hidden="1" customHeight="1">
      <c r="A160" s="353"/>
      <c r="B160" s="348" t="s">
        <v>390</v>
      </c>
      <c r="C160" s="354">
        <f>SUM(AVERAGE(C88:C93), AVERAGE(C94:C116),AVERAGE(C122:C137), AVERAGE(C138:C141))</f>
        <v>499.27770561594201</v>
      </c>
      <c r="D160" s="354"/>
      <c r="E160" s="354">
        <f>SUM(AVERAGE(E88:E93), AVERAGE(E94:E116),AVERAGE(E122:E137), AVERAGE(E138:E141))</f>
        <v>126.59724547101449</v>
      </c>
      <c r="F160" s="354"/>
      <c r="G160" s="354">
        <f>SUM(AVERAGE(G88:G93), AVERAGE(G94:G116),AVERAGE(G122:G137), AVERAGE(G138:G141))</f>
        <v>14.958440217391304</v>
      </c>
      <c r="H160" s="354"/>
      <c r="I160" s="354">
        <f>SUM(AVERAGE(I88:I93), AVERAGE(I94:I116),AVERAGE(I122:I137), AVERAGE(I138:I141))</f>
        <v>7.9810742753623192</v>
      </c>
      <c r="J160" s="354"/>
      <c r="K160" s="354">
        <f>SUM(AVERAGE(K88:K93), AVERAGE(K94:K116),AVERAGE(K122:K137), AVERAGE(K138:K141))</f>
        <v>8.9103260869565215E-3</v>
      </c>
      <c r="L160" s="354"/>
      <c r="M160" s="354">
        <f>SUM(AVERAGE(M88:M93), AVERAGE(M94:M116),AVERAGE(M122:M137), AVERAGE(M138:M141))</f>
        <v>59.484443840579715</v>
      </c>
      <c r="N160" s="354"/>
      <c r="O160" s="354">
        <f>SUM(AVERAGE(O88:O93), AVERAGE(O94:O116),AVERAGE(O122:O137), AVERAGE(O138:O141))</f>
        <v>211.9046440217391</v>
      </c>
      <c r="P160" s="354"/>
      <c r="Q160" s="354">
        <f>SUM(AVERAGE(Q88:Q93), AVERAGE(Q94:Q116),AVERAGE(Q122:Q137), AVERAGE(Q138:Q141))</f>
        <v>89.958404891304355</v>
      </c>
      <c r="R160" s="354"/>
      <c r="S160" s="354">
        <f>SUM(AVERAGE(S88:S93), AVERAGE(S94:S116),AVERAGE(S122:S137), AVERAGE(S138:S141))</f>
        <v>1.4526974637681158</v>
      </c>
      <c r="T160" s="354"/>
      <c r="U160" s="354">
        <f>SUM(AVERAGE(U88:U93), AVERAGE(U94:U116),AVERAGE(U122:U137), AVERAGE(U138:U141))</f>
        <v>76.696161231884062</v>
      </c>
      <c r="V160" s="354"/>
      <c r="W160" s="354">
        <f>SUM(AVERAGE(W88:W93), AVERAGE(W94:W116),AVERAGE(W122:W137), AVERAGE(W138:W141))</f>
        <v>57.993419384057972</v>
      </c>
      <c r="X160" s="354"/>
      <c r="Y160" s="354">
        <f>SUM(AVERAGE(Y88:Y93), AVERAGE(Y94:Y116),AVERAGE(Y122:Y137), AVERAGE(Y138:Y141))</f>
        <v>5.1636141304347829</v>
      </c>
      <c r="Z160" s="354"/>
      <c r="AA160" s="354">
        <f t="shared" ref="AA160:AF160" si="74">SUM(AVERAGE(AA88:AA93), AVERAGE(AA94:AA116),AVERAGE(AA122:AA137), AVERAGE(AA138:AA141))</f>
        <v>4.2500000000000003E-3</v>
      </c>
      <c r="AB160" s="354">
        <f t="shared" si="74"/>
        <v>2.1333333333333336E-2</v>
      </c>
      <c r="AC160" s="354">
        <f t="shared" si="74"/>
        <v>189.76868297101453</v>
      </c>
      <c r="AD160" s="354">
        <f t="shared" si="74"/>
        <v>14.59624456521739</v>
      </c>
      <c r="AE160" s="354">
        <f t="shared" si="74"/>
        <v>0.53896648550724635</v>
      </c>
      <c r="AF160" s="354">
        <f t="shared" si="74"/>
        <v>2.9970262681159423</v>
      </c>
      <c r="AG160" s="354" t="str">
        <f xml:space="preserve"> ROUND(MIN(AG88:AG93)+MIN(AG94:AG115) + MIN(AG121:AG136) + MIN(AG137:AG140),0) &amp; " - " &amp; ROUND(MAX(AG88:AG93)+MAX(AG94:AG115) +MAX(AG121:AG136) + MAX(AG137:AG140),0)</f>
        <v>1 - 310</v>
      </c>
      <c r="AH160" s="354" t="str">
        <f xml:space="preserve"> ROUND(MIN(AH88:AH93)+MIN(AH94:AH115) + MIN(AH121:AH136) + MIN(AH137:AH140),0) &amp; " - " &amp; ROUND(MAX(AH88:AH93)+MAX(AH94:AH115) +MAX(AH121:AH136) + MAX(AH137:AH140),0)</f>
        <v>0 - 7</v>
      </c>
    </row>
    <row r="161" spans="1:34" s="342" customFormat="1" ht="25.5" hidden="1" customHeight="1" thickBot="1">
      <c r="A161" s="353"/>
      <c r="B161" s="348" t="s">
        <v>391</v>
      </c>
      <c r="C161" s="354" t="str">
        <f xml:space="preserve"> ROUND(MIN(C88:C93)+MIN(C94:C116) + MIN(C122:C137) + MIN(C138:C141),0) &amp; " - " &amp; ROUND(MAX(C88:C93)+MAX(C94:C116) +MAX(C122:C137) + MAX(C138:C141),0)</f>
        <v>216 - 1095</v>
      </c>
      <c r="D161" s="354"/>
      <c r="E161" s="354" t="str">
        <f xml:space="preserve"> ROUND(MIN(E88:E93)+MIN(E94:E116) + MIN(E122:E137) + MIN(E138:E141),0) &amp; " - " &amp; ROUND(MAX(E88:E93)+MAX(E94:E116) +MAX(E122:E137) + MAX(E138:E141),0)</f>
        <v>0 - 487</v>
      </c>
      <c r="F161" s="354"/>
      <c r="G161" s="354" t="str">
        <f xml:space="preserve"> ROUND(MIN(G88:G93)+MIN(G94:G116) + MIN(G122:G137) + MIN(G138:G141),0) &amp; " - " &amp; ROUND(MAX(G88:G93)+MAX(G94:G116) +MAX(G122:G137) + MAX(G138:G141),0)</f>
        <v>0 - 56</v>
      </c>
      <c r="H161" s="354"/>
      <c r="I161" s="354" t="str">
        <f xml:space="preserve"> ROUND(MIN(I88:I93)+MIN(I94:I116) + MIN(I122:I137) + MIN(I138:I141),0) &amp; " - " &amp; ROUND(MAX(I88:I93)+MAX(I94:I116) +MAX(I122:I137) + MAX(I138:I141),0)</f>
        <v>0 - 35</v>
      </c>
      <c r="J161" s="354"/>
      <c r="K161" s="354" t="str">
        <f xml:space="preserve"> ROUND(MIN(K88:K93)+MIN(K94:K116) + MIN(K122:K137) + MIN(K138:K141),0) &amp; " - " &amp; ROUND(MAX(K88:K93)+MAX(K94:K116) +MAX(K122:K137) + MAX(K138:K141),0)</f>
        <v>0 - 0</v>
      </c>
      <c r="L161" s="354"/>
      <c r="M161" s="354" t="str">
        <f xml:space="preserve"> ROUND(MIN(M88:M93)+MIN(M94:M116) + MIN(M122:M137) + MIN(M138:M141),0) &amp; " - " &amp; ROUND(MAX(M88:M93)+MAX(M94:M116) +MAX(M122:M137) + MAX(M138:M141),0)</f>
        <v>0 - 308</v>
      </c>
      <c r="N161" s="354"/>
      <c r="O161" s="354" t="str">
        <f xml:space="preserve"> ROUND(MIN(O88:O93)+MIN(O94:O116) + MIN(O122:O137) + MIN(O138:O141),0) &amp; " - " &amp; ROUND(MAX(O88:O93)+MAX(O94:O116) +MAX(O122:O137) + MAX(O138:O141),0)</f>
        <v>44 - 741</v>
      </c>
      <c r="P161" s="354"/>
      <c r="Q161" s="354" t="str">
        <f xml:space="preserve"> ROUND(MIN(Q88:Q93)+MIN(Q94:Q116) + MIN(Q122:Q137) + MIN(Q138:Q141),0) &amp; " - " &amp; ROUND(MAX(Q88:Q93)+MAX(Q94:Q116) +MAX(Q122:Q137) + MAX(Q138:Q141),0)</f>
        <v>44 - 147</v>
      </c>
      <c r="R161" s="354"/>
      <c r="S161" s="354" t="str">
        <f xml:space="preserve"> ROUND(MIN(S88:S93)+MIN(S94:S116) + MIN(S122:S137) + MIN(S138:S141),0) &amp; " - " &amp; ROUND(MAX(S88:S93)+MAX(S94:S116) +MAX(S122:S137) + MAX(S138:S141),0)</f>
        <v>0 - 16</v>
      </c>
      <c r="T161" s="354"/>
      <c r="U161" s="354" t="str">
        <f xml:space="preserve"> ROUND(MIN(U88:U93)+MIN(U94:U116) + MIN(U122:U137) + MIN(U138:U141),0) &amp; " - " &amp; ROUND(MAX(U88:U93)+MAX(U94:U116) +MAX(U122:U137) + MAX(U138:U141),0)</f>
        <v>24 - 120</v>
      </c>
      <c r="V161" s="354"/>
      <c r="W161" s="354" t="str">
        <f xml:space="preserve"> ROUND(MIN(W88:W93)+MIN(W94:W116) + MIN(W122:W137) + MIN(W138:W141),0) &amp; " - " &amp; ROUND(MAX(W88:W93)+MAX(W94:W116) +MAX(W122:W137) + MAX(W138:W141),0)</f>
        <v>19 - 99</v>
      </c>
      <c r="X161" s="354"/>
      <c r="Y161" s="354" t="str">
        <f xml:space="preserve"> ROUND(MIN(Y88:Y93)+MIN(Y94:Y116) + MIN(Y122:Y137) + MIN(Y138:Y141),0) &amp; " - " &amp; ROUND(MAX(Y88:Y93)+MAX(Y94:Y116) +MAX(Y122:Y137) + MAX(Y138:Y141),0)</f>
        <v>0 - 19</v>
      </c>
      <c r="Z161" s="354"/>
      <c r="AA161" s="354" t="str">
        <f t="shared" ref="AA161:AF161" si="75" xml:space="preserve"> ROUND(MIN(AA88:AA93)+MIN(AA94:AA116) + MIN(AA122:AA137) + MIN(AA138:AA141),0) &amp; " - " &amp; ROUND(MAX(AA88:AA93)+MAX(AA94:AA116) +MAX(AA122:AA137) + MAX(AA138:AA141),0)</f>
        <v>0 - 0</v>
      </c>
      <c r="AB161" s="354" t="str">
        <f t="shared" si="75"/>
        <v>0 - 0</v>
      </c>
      <c r="AC161" s="354" t="str">
        <f t="shared" si="75"/>
        <v>7 - 929</v>
      </c>
      <c r="AD161" s="354" t="str">
        <f t="shared" si="75"/>
        <v>1 - 71</v>
      </c>
      <c r="AE161" s="354" t="str">
        <f t="shared" si="75"/>
        <v>0 - 3</v>
      </c>
      <c r="AF161" s="354" t="str">
        <f t="shared" si="75"/>
        <v>0 - 18</v>
      </c>
    </row>
    <row r="162" spans="1:34" s="342" customFormat="1" ht="25.5" hidden="1" customHeight="1">
      <c r="AG162" s="356">
        <f t="shared" ref="C162:AH163" si="76">AVERAGE(AG137:AG140)</f>
        <v>7.2487500000000002</v>
      </c>
      <c r="AH162" s="357">
        <f t="shared" si="76"/>
        <v>0.15425</v>
      </c>
    </row>
    <row r="163" spans="1:34" ht="25.5" hidden="1" customHeight="1" thickBot="1">
      <c r="A163" s="342"/>
      <c r="B163" s="355" t="s">
        <v>392</v>
      </c>
      <c r="C163" s="356">
        <f t="shared" si="76"/>
        <v>92.35275</v>
      </c>
      <c r="D163" s="356"/>
      <c r="E163" s="356">
        <f t="shared" si="76"/>
        <v>1.5E-3</v>
      </c>
      <c r="F163" s="356"/>
      <c r="G163" s="356">
        <f t="shared" si="76"/>
        <v>0.45850000000000002</v>
      </c>
      <c r="H163" s="356"/>
      <c r="I163" s="356">
        <f t="shared" si="76"/>
        <v>0.35675000000000001</v>
      </c>
      <c r="J163" s="356"/>
      <c r="K163" s="356">
        <f t="shared" si="76"/>
        <v>0</v>
      </c>
      <c r="L163" s="356"/>
      <c r="M163" s="356">
        <f t="shared" si="76"/>
        <v>0</v>
      </c>
      <c r="N163" s="356"/>
      <c r="O163" s="356">
        <f t="shared" si="76"/>
        <v>17.640500000000003</v>
      </c>
      <c r="P163" s="356"/>
      <c r="Q163" s="356">
        <f t="shared" si="76"/>
        <v>22.977499999999999</v>
      </c>
      <c r="R163" s="356"/>
      <c r="S163" s="356">
        <f t="shared" si="76"/>
        <v>8.7750000000000009E-2</v>
      </c>
      <c r="T163" s="356"/>
      <c r="U163" s="356">
        <f t="shared" si="76"/>
        <v>21.726500000000001</v>
      </c>
      <c r="V163" s="356"/>
      <c r="W163" s="356">
        <f t="shared" si="76"/>
        <v>21.108750000000001</v>
      </c>
      <c r="X163" s="356"/>
      <c r="Y163" s="356">
        <f t="shared" si="76"/>
        <v>0.13725000000000001</v>
      </c>
      <c r="Z163" s="356"/>
      <c r="AA163" s="356">
        <f t="shared" si="76"/>
        <v>1.75E-3</v>
      </c>
      <c r="AB163" s="356">
        <f t="shared" si="76"/>
        <v>8.5000000000000006E-3</v>
      </c>
      <c r="AC163" s="356">
        <f t="shared" si="76"/>
        <v>3.8407499999999999</v>
      </c>
      <c r="AD163" s="356">
        <f t="shared" si="76"/>
        <v>0.29549999999999998</v>
      </c>
      <c r="AE163" s="356">
        <f t="shared" si="76"/>
        <v>9.7000000000000003E-2</v>
      </c>
      <c r="AF163" s="356">
        <f t="shared" si="76"/>
        <v>0.54149999999999998</v>
      </c>
      <c r="AG163" s="359" t="str">
        <f t="shared" ref="C163:AH164" si="77">MIN(AG137:AG140) &amp; " - " &amp;  MAX(AG137:AG140)</f>
        <v>0.321 - 18.889</v>
      </c>
      <c r="AH163" s="360" t="str">
        <f t="shared" si="77"/>
        <v>0.007 - 0.402</v>
      </c>
    </row>
    <row r="164" spans="1:34" ht="19.95" hidden="1" customHeight="1" thickBot="1">
      <c r="A164" s="342"/>
      <c r="B164" s="358" t="s">
        <v>393</v>
      </c>
      <c r="C164" s="359" t="str">
        <f t="shared" si="77"/>
        <v>75.599 - 110.795</v>
      </c>
      <c r="D164" s="359"/>
      <c r="E164" s="359" t="str">
        <f t="shared" si="77"/>
        <v>0 - 0.004</v>
      </c>
      <c r="F164" s="359"/>
      <c r="G164" s="359" t="str">
        <f t="shared" si="77"/>
        <v>0 - 1.83</v>
      </c>
      <c r="H164" s="359"/>
      <c r="I164" s="359" t="str">
        <f t="shared" si="77"/>
        <v>0 - 1.427</v>
      </c>
      <c r="J164" s="359"/>
      <c r="K164" s="359" t="str">
        <f t="shared" si="77"/>
        <v>0 - 0</v>
      </c>
      <c r="L164" s="359"/>
      <c r="M164" s="359" t="str">
        <f t="shared" si="77"/>
        <v>0 - 0</v>
      </c>
      <c r="N164" s="359"/>
      <c r="O164" s="359" t="str">
        <f t="shared" si="77"/>
        <v>13.516 - 23.251</v>
      </c>
      <c r="P164" s="359"/>
      <c r="Q164" s="359" t="str">
        <f t="shared" si="77"/>
        <v>18.661 - 27.9</v>
      </c>
      <c r="R164" s="359"/>
      <c r="S164" s="359" t="str">
        <f t="shared" si="77"/>
        <v>0.009 - 0.238</v>
      </c>
      <c r="T164" s="359"/>
      <c r="U164" s="359" t="str">
        <f t="shared" si="77"/>
        <v>17.664 - 26.038</v>
      </c>
      <c r="V164" s="359"/>
      <c r="W164" s="359" t="str">
        <f t="shared" si="77"/>
        <v>17.664 - 24.142</v>
      </c>
      <c r="X164" s="359"/>
      <c r="Y164" s="359" t="str">
        <f t="shared" si="77"/>
        <v>0.05 - 0.258</v>
      </c>
      <c r="Z164" s="359"/>
      <c r="AA164" s="359" t="str">
        <f t="shared" si="77"/>
        <v>0 - 0.007</v>
      </c>
      <c r="AB164" s="359" t="str">
        <f t="shared" si="77"/>
        <v>0 - 0.034</v>
      </c>
      <c r="AC164" s="359" t="str">
        <f t="shared" si="77"/>
        <v>3.03 - 4.828</v>
      </c>
      <c r="AD164" s="359" t="str">
        <f t="shared" si="77"/>
        <v>0.233 - 0.371</v>
      </c>
      <c r="AE164" s="359" t="str">
        <f t="shared" si="77"/>
        <v>0.014 - 0.288</v>
      </c>
      <c r="AF164" s="359" t="str">
        <f t="shared" si="77"/>
        <v>0.08 - 1.603</v>
      </c>
    </row>
    <row r="165" spans="1:34" ht="25.5" customHeight="1"/>
    <row r="166" spans="1:34" ht="25.5" customHeight="1"/>
    <row r="167" spans="1:34" ht="25.5" customHeight="1"/>
    <row r="168" spans="1:34">
      <c r="E168" s="971">
        <f>300+50+80</f>
        <v>430</v>
      </c>
    </row>
    <row r="171" spans="1:34">
      <c r="C171" s="972" t="s">
        <v>296</v>
      </c>
      <c r="D171" s="831" t="s">
        <v>92</v>
      </c>
      <c r="E171" s="972" t="s">
        <v>394</v>
      </c>
      <c r="G171" s="971" t="s">
        <v>396</v>
      </c>
      <c r="I171" s="971" t="s">
        <v>143</v>
      </c>
      <c r="K171" s="971" t="s">
        <v>471</v>
      </c>
      <c r="L171"/>
      <c r="M171" s="971" t="s">
        <v>464</v>
      </c>
      <c r="O171" s="971" t="s">
        <v>472</v>
      </c>
    </row>
    <row r="172" spans="1:34">
      <c r="B172" t="s">
        <v>406</v>
      </c>
      <c r="C172" s="973">
        <f>MAX(D54:D109)</f>
        <v>330</v>
      </c>
      <c r="G172" s="974">
        <f>MAX(C94:C116)</f>
        <v>337.43200000000002</v>
      </c>
      <c r="H172" s="177"/>
      <c r="I172" s="974">
        <f>MAX(C117:C137)</f>
        <v>323.17899999999997</v>
      </c>
      <c r="J172" s="177"/>
      <c r="K172" s="971">
        <f>SUM(C172:I172)</f>
        <v>990.61099999999999</v>
      </c>
      <c r="L172"/>
      <c r="M172" s="971">
        <v>380</v>
      </c>
      <c r="O172" s="971">
        <f>SUM(K172:M172)</f>
        <v>1370.6109999999999</v>
      </c>
    </row>
    <row r="173" spans="1:34">
      <c r="B173" t="s">
        <v>407</v>
      </c>
      <c r="C173" s="971">
        <f>MIN(C5:C93)</f>
        <v>46.74</v>
      </c>
      <c r="G173" s="974">
        <f>MIN(C94:C116)</f>
        <v>40.222999999999999</v>
      </c>
      <c r="H173" s="177"/>
      <c r="I173" s="974">
        <f>MIN(C117:C137)</f>
        <v>50.271999999999998</v>
      </c>
      <c r="J173" s="177"/>
      <c r="K173" s="971">
        <f>SUM(C173:I173)</f>
        <v>137.23499999999999</v>
      </c>
      <c r="L173"/>
      <c r="M173" s="971">
        <v>80</v>
      </c>
      <c r="O173" s="971">
        <f>SUM(K173:M173)</f>
        <v>217.23499999999999</v>
      </c>
    </row>
  </sheetData>
  <autoFilter ref="A4:AI141" xr:uid="{AB4D2EF7-D3B0-4B24-963F-8FFCB20C1853}">
    <sortState xmlns:xlrd2="http://schemas.microsoft.com/office/spreadsheetml/2017/richdata2" ref="A5:AI141">
      <sortCondition ref="B4:B141"/>
    </sortState>
  </autoFilter>
  <pageMargins left="0.7" right="0.7" top="0.75" bottom="0.75" header="0.3" footer="0.3"/>
  <pageSetup scale="43" fitToHeight="0" orientation="landscape" r:id="rId1"/>
  <headerFooter>
    <oddHeader xml:space="preserve">&amp;R&amp;14 2024 Nutrition Information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G32"/>
  <sheetViews>
    <sheetView zoomScaleNormal="100" workbookViewId="0">
      <selection activeCell="F22" sqref="F22"/>
    </sheetView>
    <sheetView tabSelected="1" zoomScale="90" zoomScaleNormal="90" workbookViewId="1">
      <selection activeCell="D2" sqref="D2"/>
    </sheetView>
    <sheetView workbookViewId="2">
      <selection activeCell="H15" sqref="H15"/>
    </sheetView>
  </sheetViews>
  <sheetFormatPr defaultColWidth="9.15234375" defaultRowHeight="15.9"/>
  <cols>
    <col min="1" max="1" width="42.84375" style="641" customWidth="1"/>
    <col min="2" max="2" width="10.53515625" style="909" customWidth="1"/>
    <col min="3" max="3" width="12.84375" style="562" customWidth="1"/>
    <col min="4" max="4" width="10.53515625" style="909" customWidth="1"/>
    <col min="5" max="5" width="10.53515625" style="212" customWidth="1"/>
    <col min="6" max="6" width="8.53515625" style="909" customWidth="1"/>
    <col min="7" max="7" width="8.53515625" style="562" customWidth="1"/>
    <col min="8" max="8" width="11.53515625" style="909" customWidth="1"/>
    <col min="9" max="9" width="11.53515625" style="562" customWidth="1"/>
    <col min="10" max="10" width="8.53515625" style="909" customWidth="1"/>
    <col min="11" max="11" width="8.53515625" style="562" customWidth="1"/>
    <col min="12" max="12" width="13" style="909" customWidth="1"/>
    <col min="13" max="13" width="13" style="562" customWidth="1"/>
    <col min="14" max="14" width="9" style="909" customWidth="1"/>
    <col min="15" max="15" width="9" style="562" customWidth="1"/>
    <col min="16" max="16" width="16.84375" style="909" customWidth="1"/>
    <col min="17" max="17" width="16.84375" style="562" customWidth="1"/>
    <col min="18" max="18" width="9" style="909" customWidth="1"/>
    <col min="19" max="19" width="9" style="562" customWidth="1"/>
    <col min="20" max="20" width="7.84375" style="909" customWidth="1"/>
    <col min="21" max="21" width="7.84375" style="562" customWidth="1"/>
    <col min="22" max="22" width="9" style="909" customWidth="1"/>
    <col min="23" max="23" width="9" style="562" customWidth="1"/>
    <col min="24" max="24" width="11.53515625" style="909" customWidth="1"/>
    <col min="25" max="27" width="11.53515625" style="562" customWidth="1"/>
    <col min="28" max="28" width="9" style="562" customWidth="1"/>
    <col min="29" max="31" width="9.15234375" style="562"/>
    <col min="32" max="33" width="11.53515625" style="562" customWidth="1"/>
    <col min="34" max="16384" width="9.15234375" style="562"/>
  </cols>
  <sheetData>
    <row r="1" spans="1:33" ht="22.5" customHeight="1">
      <c r="A1" s="1273" t="s">
        <v>473</v>
      </c>
      <c r="B1" s="1273"/>
      <c r="C1" s="1273"/>
      <c r="D1" s="1273"/>
      <c r="E1" s="1273"/>
      <c r="F1" s="1273"/>
      <c r="G1" s="1273"/>
      <c r="H1" s="1273"/>
      <c r="I1" s="1273"/>
      <c r="J1" s="1273"/>
      <c r="K1" s="1273"/>
      <c r="L1" s="1273"/>
      <c r="M1" s="1273"/>
      <c r="N1" s="1273"/>
      <c r="O1" s="1273"/>
      <c r="P1" s="1273"/>
      <c r="Q1" s="1273"/>
      <c r="R1" s="1273"/>
      <c r="S1" s="1273"/>
      <c r="T1" s="1273"/>
      <c r="U1" s="1273"/>
      <c r="V1" s="1273"/>
      <c r="W1" s="1273"/>
      <c r="X1" s="1273"/>
      <c r="Y1" s="1273"/>
      <c r="Z1" s="1273"/>
      <c r="AA1" s="1273"/>
      <c r="AB1" s="1273"/>
      <c r="AC1" s="1273"/>
      <c r="AD1" s="1273"/>
      <c r="AE1" s="1273"/>
      <c r="AF1" s="1273"/>
      <c r="AG1" s="1273"/>
    </row>
    <row r="2" spans="1:33" ht="37.5" customHeight="1" thickBot="1">
      <c r="A2" s="633" t="s">
        <v>3</v>
      </c>
      <c r="B2" s="888" t="s">
        <v>4</v>
      </c>
      <c r="C2" s="553" t="s">
        <v>4</v>
      </c>
      <c r="D2" s="888" t="s">
        <v>5</v>
      </c>
      <c r="E2" s="214" t="s">
        <v>5</v>
      </c>
      <c r="F2" s="888" t="s">
        <v>6</v>
      </c>
      <c r="G2" s="553" t="s">
        <v>6</v>
      </c>
      <c r="H2" s="888" t="s">
        <v>7</v>
      </c>
      <c r="I2" s="553" t="s">
        <v>7</v>
      </c>
      <c r="J2" s="888" t="s">
        <v>8</v>
      </c>
      <c r="K2" s="553" t="s">
        <v>8</v>
      </c>
      <c r="L2" s="888" t="s">
        <v>9</v>
      </c>
      <c r="M2" s="553" t="s">
        <v>9</v>
      </c>
      <c r="N2" s="888" t="s">
        <v>10</v>
      </c>
      <c r="O2" s="553" t="s">
        <v>10</v>
      </c>
      <c r="P2" s="888" t="s">
        <v>11</v>
      </c>
      <c r="Q2" s="553" t="s">
        <v>11</v>
      </c>
      <c r="R2" s="888" t="s">
        <v>12</v>
      </c>
      <c r="S2" s="553" t="s">
        <v>12</v>
      </c>
      <c r="T2" s="888" t="s">
        <v>13</v>
      </c>
      <c r="U2" s="553" t="s">
        <v>13</v>
      </c>
      <c r="V2" s="888" t="s">
        <v>14</v>
      </c>
      <c r="W2" s="553" t="s">
        <v>14</v>
      </c>
      <c r="X2" s="888" t="s">
        <v>15</v>
      </c>
      <c r="Y2" s="553" t="s">
        <v>15</v>
      </c>
      <c r="Z2" s="560" t="s">
        <v>16</v>
      </c>
      <c r="AA2" s="560" t="s">
        <v>17</v>
      </c>
      <c r="AB2" s="560" t="s">
        <v>18</v>
      </c>
      <c r="AC2" s="560" t="s">
        <v>19</v>
      </c>
      <c r="AD2" s="560" t="s">
        <v>20</v>
      </c>
      <c r="AE2" s="560" t="s">
        <v>21</v>
      </c>
      <c r="AF2" s="560" t="s">
        <v>22</v>
      </c>
      <c r="AG2" s="560" t="s">
        <v>23</v>
      </c>
    </row>
    <row r="3" spans="1:33" ht="16.5" customHeight="1">
      <c r="A3" s="634" t="s">
        <v>26</v>
      </c>
      <c r="B3" s="859">
        <v>618.16700000000003</v>
      </c>
      <c r="C3" s="744">
        <f>MROUND(B3,10)</f>
        <v>620</v>
      </c>
      <c r="D3" s="859">
        <v>297.80900000000003</v>
      </c>
      <c r="E3" s="744">
        <f>MROUND(D3,10)</f>
        <v>300</v>
      </c>
      <c r="F3" s="859">
        <v>33.090000000000003</v>
      </c>
      <c r="G3" s="744">
        <f>MROUND(F3,1)</f>
        <v>33</v>
      </c>
      <c r="H3" s="859">
        <v>21.056999999999999</v>
      </c>
      <c r="I3" s="554">
        <f>MROUND(H3,1)</f>
        <v>21</v>
      </c>
      <c r="J3" s="859">
        <v>0</v>
      </c>
      <c r="K3" s="554">
        <v>0</v>
      </c>
      <c r="L3" s="859">
        <v>195.53100000000001</v>
      </c>
      <c r="M3" s="744">
        <f>MROUND(L3,5)</f>
        <v>195</v>
      </c>
      <c r="N3" s="859">
        <v>424.45100000000002</v>
      </c>
      <c r="O3" s="744">
        <f>MROUND(N3,10)</f>
        <v>420</v>
      </c>
      <c r="P3" s="859">
        <v>73.266000000000005</v>
      </c>
      <c r="Q3" s="744">
        <f>MROUND(P3,1)</f>
        <v>73</v>
      </c>
      <c r="R3" s="859">
        <v>0</v>
      </c>
      <c r="S3" s="554">
        <v>0</v>
      </c>
      <c r="T3" s="859">
        <v>56.792000000000002</v>
      </c>
      <c r="U3" s="744">
        <f>MROUND(T3,1)</f>
        <v>57</v>
      </c>
      <c r="V3" s="859">
        <v>2.645</v>
      </c>
      <c r="W3" s="744">
        <f>MROUND(V3,1)</f>
        <v>3</v>
      </c>
      <c r="X3" s="859">
        <v>12.032999999999999</v>
      </c>
      <c r="Y3" s="744">
        <f>MROUND(X3,1)</f>
        <v>12</v>
      </c>
      <c r="Z3" s="554">
        <v>0</v>
      </c>
      <c r="AA3" s="554">
        <v>0</v>
      </c>
      <c r="AB3" s="554">
        <v>587.36599999999999</v>
      </c>
      <c r="AC3" s="554">
        <v>45.182000000000002</v>
      </c>
      <c r="AD3" s="554">
        <v>0</v>
      </c>
      <c r="AE3" s="554">
        <v>0</v>
      </c>
      <c r="AF3" s="554">
        <v>3.1960000000000002</v>
      </c>
      <c r="AG3" s="554">
        <v>6.8000000000000005E-2</v>
      </c>
    </row>
    <row r="4" spans="1:33">
      <c r="A4" s="635" t="s">
        <v>474</v>
      </c>
      <c r="B4" s="859">
        <v>620.82399999999996</v>
      </c>
      <c r="C4" s="744">
        <f t="shared" ref="C4:C25" si="0">MROUND(B4,10)</f>
        <v>620</v>
      </c>
      <c r="D4" s="859">
        <v>301.65699999999998</v>
      </c>
      <c r="E4" s="744">
        <f t="shared" ref="E4:E25" si="1">MROUND(D4,10)</f>
        <v>300</v>
      </c>
      <c r="F4" s="859">
        <v>33.517000000000003</v>
      </c>
      <c r="G4" s="744">
        <f t="shared" ref="G4:G25" si="2">MROUND(F4,1)</f>
        <v>34</v>
      </c>
      <c r="H4" s="859">
        <v>21.329000000000001</v>
      </c>
      <c r="I4" s="554">
        <f t="shared" ref="I4:I25" si="3">MROUND(H4,1)</f>
        <v>21</v>
      </c>
      <c r="J4" s="859">
        <v>0</v>
      </c>
      <c r="K4" s="554">
        <v>0</v>
      </c>
      <c r="L4" s="859">
        <v>198.05799999999999</v>
      </c>
      <c r="M4" s="744">
        <f t="shared" ref="M4:M25" si="4">MROUND(L4,5)</f>
        <v>200</v>
      </c>
      <c r="N4" s="859">
        <v>429.79700000000003</v>
      </c>
      <c r="O4" s="744">
        <f t="shared" ref="O4:O25" si="5">MROUND(N4,10)</f>
        <v>430</v>
      </c>
      <c r="P4" s="859">
        <v>72.721999999999994</v>
      </c>
      <c r="Q4" s="744">
        <f t="shared" ref="Q4:Q25" si="6">MROUND(P4,1)</f>
        <v>73</v>
      </c>
      <c r="R4" s="859">
        <v>0</v>
      </c>
      <c r="S4" s="554">
        <v>0</v>
      </c>
      <c r="T4" s="859">
        <v>56.63</v>
      </c>
      <c r="U4" s="744">
        <f t="shared" ref="U4:U25" si="7">MROUND(T4,1)</f>
        <v>57</v>
      </c>
      <c r="V4" s="859">
        <v>1.784</v>
      </c>
      <c r="W4" s="744">
        <f t="shared" ref="W4:W25" si="8">MROUND(V4,1)</f>
        <v>2</v>
      </c>
      <c r="X4" s="859">
        <v>12.188000000000001</v>
      </c>
      <c r="Y4" s="744">
        <f t="shared" ref="Y4:Y25" si="9">MROUND(X4,1)</f>
        <v>12</v>
      </c>
      <c r="Z4" s="554">
        <v>0</v>
      </c>
      <c r="AA4" s="554">
        <v>0</v>
      </c>
      <c r="AB4" s="554">
        <v>5954.6729999999998</v>
      </c>
      <c r="AC4" s="554">
        <v>45.744</v>
      </c>
      <c r="AD4" s="554">
        <v>0</v>
      </c>
      <c r="AE4" s="554">
        <v>0</v>
      </c>
      <c r="AF4" s="554">
        <v>2.14</v>
      </c>
      <c r="AG4" s="554">
        <v>4.5999999999999999E-2</v>
      </c>
    </row>
    <row r="5" spans="1:33">
      <c r="A5" s="635" t="s">
        <v>404</v>
      </c>
      <c r="B5" s="859">
        <v>620</v>
      </c>
      <c r="C5" s="744">
        <f t="shared" si="0"/>
        <v>620</v>
      </c>
      <c r="D5" s="859">
        <v>300</v>
      </c>
      <c r="E5" s="744">
        <f t="shared" si="1"/>
        <v>300</v>
      </c>
      <c r="F5" s="859">
        <v>30</v>
      </c>
      <c r="G5" s="744">
        <f t="shared" si="2"/>
        <v>30</v>
      </c>
      <c r="H5" s="859">
        <v>20</v>
      </c>
      <c r="I5" s="554">
        <f t="shared" si="3"/>
        <v>20</v>
      </c>
      <c r="J5" s="859">
        <v>0</v>
      </c>
      <c r="K5" s="554">
        <v>0</v>
      </c>
      <c r="L5" s="859">
        <v>200</v>
      </c>
      <c r="M5" s="744">
        <f t="shared" si="4"/>
        <v>200</v>
      </c>
      <c r="N5" s="859">
        <v>430</v>
      </c>
      <c r="O5" s="744">
        <f t="shared" si="5"/>
        <v>430</v>
      </c>
      <c r="P5" s="859">
        <v>70</v>
      </c>
      <c r="Q5" s="744">
        <f t="shared" si="6"/>
        <v>70</v>
      </c>
      <c r="R5" s="859">
        <v>0</v>
      </c>
      <c r="S5" s="554">
        <v>0</v>
      </c>
      <c r="T5" s="859">
        <v>60</v>
      </c>
      <c r="U5" s="744">
        <f t="shared" si="7"/>
        <v>60</v>
      </c>
      <c r="V5" s="859">
        <v>0</v>
      </c>
      <c r="W5" s="744">
        <f t="shared" si="8"/>
        <v>0</v>
      </c>
      <c r="X5" s="859">
        <v>10</v>
      </c>
      <c r="Y5" s="744">
        <f t="shared" si="9"/>
        <v>10</v>
      </c>
      <c r="Z5" s="694">
        <v>0</v>
      </c>
      <c r="AA5" s="694">
        <v>0</v>
      </c>
      <c r="AB5" s="694">
        <v>600</v>
      </c>
      <c r="AC5" s="694">
        <v>45</v>
      </c>
      <c r="AD5" s="694">
        <v>0</v>
      </c>
      <c r="AE5" s="694">
        <v>0</v>
      </c>
      <c r="AF5" s="694">
        <v>0</v>
      </c>
      <c r="AG5" s="694">
        <v>0</v>
      </c>
    </row>
    <row r="6" spans="1:33">
      <c r="A6" s="635" t="s">
        <v>134</v>
      </c>
      <c r="B6" s="859">
        <v>595.45799999999997</v>
      </c>
      <c r="C6" s="744">
        <f t="shared" si="0"/>
        <v>600</v>
      </c>
      <c r="D6" s="859">
        <v>215.59399999999999</v>
      </c>
      <c r="E6" s="744">
        <f t="shared" si="1"/>
        <v>220</v>
      </c>
      <c r="F6" s="859">
        <v>23.954999999999998</v>
      </c>
      <c r="G6" s="744">
        <f t="shared" si="2"/>
        <v>24</v>
      </c>
      <c r="H6" s="859">
        <v>15.244</v>
      </c>
      <c r="I6" s="554">
        <f t="shared" si="3"/>
        <v>15</v>
      </c>
      <c r="J6" s="859">
        <v>0</v>
      </c>
      <c r="K6" s="554">
        <v>0</v>
      </c>
      <c r="L6" s="859">
        <v>141.52199999999999</v>
      </c>
      <c r="M6" s="744">
        <f t="shared" si="4"/>
        <v>140</v>
      </c>
      <c r="N6" s="859">
        <v>370.72800000000001</v>
      </c>
      <c r="O6" s="744">
        <f t="shared" si="5"/>
        <v>370</v>
      </c>
      <c r="P6" s="859">
        <v>85.832999999999998</v>
      </c>
      <c r="Q6" s="744">
        <f t="shared" si="6"/>
        <v>86</v>
      </c>
      <c r="R6" s="859">
        <v>0</v>
      </c>
      <c r="S6" s="554">
        <v>0</v>
      </c>
      <c r="T6" s="859">
        <v>64.596999999999994</v>
      </c>
      <c r="U6" s="744">
        <f t="shared" si="7"/>
        <v>65</v>
      </c>
      <c r="V6" s="859">
        <v>25.399000000000001</v>
      </c>
      <c r="W6" s="744">
        <f t="shared" si="8"/>
        <v>25</v>
      </c>
      <c r="X6" s="859">
        <v>8.7110000000000003</v>
      </c>
      <c r="Y6" s="744">
        <f t="shared" si="9"/>
        <v>9</v>
      </c>
      <c r="Z6" s="554">
        <v>0</v>
      </c>
      <c r="AA6" s="554">
        <v>0</v>
      </c>
      <c r="AB6" s="554">
        <v>430.29899999999998</v>
      </c>
      <c r="AC6" s="554">
        <v>33.1</v>
      </c>
      <c r="AD6" s="554">
        <v>0</v>
      </c>
      <c r="AE6" s="554">
        <v>0</v>
      </c>
      <c r="AF6" s="554">
        <v>28.22</v>
      </c>
      <c r="AG6" s="554">
        <v>0.6</v>
      </c>
    </row>
    <row r="7" spans="1:33">
      <c r="A7" s="635" t="s">
        <v>402</v>
      </c>
      <c r="B7" s="859">
        <v>622.00599999999997</v>
      </c>
      <c r="C7" s="744">
        <f t="shared" si="0"/>
        <v>620</v>
      </c>
      <c r="D7" s="859">
        <v>300.44400000000002</v>
      </c>
      <c r="E7" s="744">
        <f t="shared" si="1"/>
        <v>300</v>
      </c>
      <c r="F7" s="859">
        <v>33.383000000000003</v>
      </c>
      <c r="G7" s="744">
        <f t="shared" si="2"/>
        <v>33</v>
      </c>
      <c r="H7" s="859">
        <v>21.244</v>
      </c>
      <c r="I7" s="554">
        <f t="shared" si="3"/>
        <v>21</v>
      </c>
      <c r="J7" s="859">
        <v>0</v>
      </c>
      <c r="K7" s="554">
        <v>0</v>
      </c>
      <c r="L7" s="859">
        <v>197.261</v>
      </c>
      <c r="M7" s="744">
        <f t="shared" si="4"/>
        <v>195</v>
      </c>
      <c r="N7" s="859">
        <v>430.72199999999998</v>
      </c>
      <c r="O7" s="744">
        <f t="shared" si="5"/>
        <v>430</v>
      </c>
      <c r="P7" s="859">
        <v>73.646000000000001</v>
      </c>
      <c r="Q7" s="744">
        <f t="shared" si="6"/>
        <v>74</v>
      </c>
      <c r="R7" s="859">
        <v>0</v>
      </c>
      <c r="S7" s="554">
        <v>0</v>
      </c>
      <c r="T7" s="859">
        <v>57.218000000000004</v>
      </c>
      <c r="U7" s="744">
        <f t="shared" si="7"/>
        <v>57</v>
      </c>
      <c r="V7" s="859">
        <v>2.5920000000000001</v>
      </c>
      <c r="W7" s="744">
        <f t="shared" si="8"/>
        <v>3</v>
      </c>
      <c r="X7" s="859">
        <v>12.138999999999999</v>
      </c>
      <c r="Y7" s="744">
        <f t="shared" si="9"/>
        <v>12</v>
      </c>
      <c r="Z7" s="554">
        <v>0</v>
      </c>
      <c r="AA7" s="554">
        <v>0</v>
      </c>
      <c r="AB7" s="554">
        <v>592.36900000000003</v>
      </c>
      <c r="AC7" s="554">
        <v>45.567</v>
      </c>
      <c r="AD7" s="554">
        <v>0</v>
      </c>
      <c r="AE7" s="554">
        <v>0</v>
      </c>
      <c r="AF7" s="554">
        <v>2.7589999999999999</v>
      </c>
      <c r="AG7" s="554">
        <v>5.8999999999999997E-2</v>
      </c>
    </row>
    <row r="8" spans="1:33">
      <c r="A8" s="635" t="s">
        <v>135</v>
      </c>
      <c r="B8" s="860">
        <v>620.13800000000003</v>
      </c>
      <c r="C8" s="744">
        <f t="shared" si="0"/>
        <v>620</v>
      </c>
      <c r="D8" s="860">
        <v>297.04000000000002</v>
      </c>
      <c r="E8" s="744">
        <f t="shared" si="1"/>
        <v>300</v>
      </c>
      <c r="F8" s="860">
        <v>33.04</v>
      </c>
      <c r="G8" s="744">
        <f t="shared" si="2"/>
        <v>33</v>
      </c>
      <c r="H8" s="860">
        <v>21.003</v>
      </c>
      <c r="I8" s="554">
        <f t="shared" si="3"/>
        <v>21</v>
      </c>
      <c r="J8" s="860">
        <v>0</v>
      </c>
      <c r="K8" s="554">
        <v>0</v>
      </c>
      <c r="L8" s="860">
        <v>195.02600000000001</v>
      </c>
      <c r="M8" s="744">
        <f t="shared" si="4"/>
        <v>195</v>
      </c>
      <c r="N8" s="860">
        <v>465.63</v>
      </c>
      <c r="O8" s="744">
        <f t="shared" si="5"/>
        <v>470</v>
      </c>
      <c r="P8" s="860">
        <v>72.426000000000002</v>
      </c>
      <c r="Q8" s="744">
        <f t="shared" si="6"/>
        <v>72</v>
      </c>
      <c r="R8" s="860">
        <v>0</v>
      </c>
      <c r="S8" s="554">
        <v>0</v>
      </c>
      <c r="T8" s="860">
        <v>57.408999999999999</v>
      </c>
      <c r="U8" s="744">
        <f t="shared" si="7"/>
        <v>57</v>
      </c>
      <c r="V8" s="860">
        <v>3.4020000000000001</v>
      </c>
      <c r="W8" s="744">
        <f t="shared" si="8"/>
        <v>3</v>
      </c>
      <c r="X8" s="860">
        <v>12.002000000000001</v>
      </c>
      <c r="Y8" s="744">
        <f t="shared" si="9"/>
        <v>12</v>
      </c>
      <c r="Z8" s="536">
        <v>0</v>
      </c>
      <c r="AA8" s="536">
        <v>0</v>
      </c>
      <c r="AB8" s="536">
        <v>586.07899999999995</v>
      </c>
      <c r="AC8" s="536">
        <v>45.082999999999998</v>
      </c>
      <c r="AD8" s="536">
        <v>8.7999999999999995E-2</v>
      </c>
      <c r="AE8" s="536">
        <v>0.48699999999999999</v>
      </c>
      <c r="AF8" s="536">
        <v>10.228999999999999</v>
      </c>
      <c r="AG8" s="536">
        <v>0.218</v>
      </c>
    </row>
    <row r="9" spans="1:33">
      <c r="A9" s="636" t="s">
        <v>475</v>
      </c>
      <c r="B9" s="860">
        <v>619.36500000000001</v>
      </c>
      <c r="C9" s="744">
        <f t="shared" si="0"/>
        <v>620</v>
      </c>
      <c r="D9" s="860">
        <v>298.04700000000003</v>
      </c>
      <c r="E9" s="744">
        <f t="shared" si="1"/>
        <v>300</v>
      </c>
      <c r="F9" s="860">
        <v>33.116</v>
      </c>
      <c r="G9" s="744">
        <f t="shared" si="2"/>
        <v>33</v>
      </c>
      <c r="H9" s="860">
        <v>21.074000000000002</v>
      </c>
      <c r="I9" s="554">
        <f t="shared" si="3"/>
        <v>21</v>
      </c>
      <c r="J9" s="860">
        <v>0</v>
      </c>
      <c r="K9" s="554">
        <v>0</v>
      </c>
      <c r="L9" s="860">
        <v>195.68700000000001</v>
      </c>
      <c r="M9" s="744">
        <f t="shared" si="4"/>
        <v>195</v>
      </c>
      <c r="N9" s="860">
        <v>446.27800000000002</v>
      </c>
      <c r="O9" s="744">
        <f t="shared" si="5"/>
        <v>450</v>
      </c>
      <c r="P9" s="860">
        <v>73.447999999999993</v>
      </c>
      <c r="Q9" s="744">
        <f t="shared" si="6"/>
        <v>73</v>
      </c>
      <c r="R9" s="860">
        <v>0</v>
      </c>
      <c r="S9" s="554">
        <v>0</v>
      </c>
      <c r="T9" s="860">
        <v>57.533000000000001</v>
      </c>
      <c r="U9" s="744">
        <f t="shared" si="7"/>
        <v>58</v>
      </c>
      <c r="V9" s="860">
        <v>3.3420000000000001</v>
      </c>
      <c r="W9" s="744">
        <f t="shared" si="8"/>
        <v>3</v>
      </c>
      <c r="X9" s="860">
        <v>12.042</v>
      </c>
      <c r="Y9" s="744">
        <f t="shared" si="9"/>
        <v>12</v>
      </c>
      <c r="Z9" s="536">
        <v>0</v>
      </c>
      <c r="AA9" s="536">
        <v>0</v>
      </c>
      <c r="AB9" s="536">
        <v>617.78899999999999</v>
      </c>
      <c r="AC9" s="536">
        <v>47.552</v>
      </c>
      <c r="AD9" s="536">
        <v>0</v>
      </c>
      <c r="AE9" s="536">
        <v>0</v>
      </c>
      <c r="AF9" s="536">
        <v>3.0190000000000001</v>
      </c>
      <c r="AG9" s="536">
        <v>6.4000000000000001E-2</v>
      </c>
    </row>
    <row r="10" spans="1:33">
      <c r="A10" s="636" t="s">
        <v>476</v>
      </c>
      <c r="B10" s="907">
        <v>650.00699999999995</v>
      </c>
      <c r="C10" s="744">
        <f t="shared" si="0"/>
        <v>650</v>
      </c>
      <c r="D10" s="907">
        <v>269.73200000000003</v>
      </c>
      <c r="E10" s="744">
        <f t="shared" si="1"/>
        <v>270</v>
      </c>
      <c r="F10" s="907">
        <v>29.97</v>
      </c>
      <c r="G10" s="744">
        <f t="shared" si="2"/>
        <v>30</v>
      </c>
      <c r="H10" s="907">
        <v>17.981999999999999</v>
      </c>
      <c r="I10" s="554">
        <f t="shared" si="3"/>
        <v>18</v>
      </c>
      <c r="J10" s="907">
        <v>0</v>
      </c>
      <c r="K10" s="554">
        <v>0</v>
      </c>
      <c r="L10" s="907">
        <v>164.83600000000001</v>
      </c>
      <c r="M10" s="744">
        <f t="shared" si="4"/>
        <v>165</v>
      </c>
      <c r="N10" s="907">
        <v>353.15300000000002</v>
      </c>
      <c r="O10" s="744">
        <f t="shared" si="5"/>
        <v>350</v>
      </c>
      <c r="P10" s="907">
        <v>85.531999999999996</v>
      </c>
      <c r="Q10" s="744">
        <f t="shared" si="6"/>
        <v>86</v>
      </c>
      <c r="R10" s="907">
        <v>0</v>
      </c>
      <c r="S10" s="554">
        <v>0</v>
      </c>
      <c r="T10" s="907">
        <v>66.213999999999999</v>
      </c>
      <c r="U10" s="744">
        <f t="shared" si="7"/>
        <v>66</v>
      </c>
      <c r="V10" s="907">
        <v>3.2770000000000001</v>
      </c>
      <c r="W10" s="744">
        <f t="shared" si="8"/>
        <v>3</v>
      </c>
      <c r="X10" s="907">
        <v>11.988</v>
      </c>
      <c r="Y10" s="744">
        <f t="shared" si="9"/>
        <v>12</v>
      </c>
      <c r="Z10" s="741">
        <v>0</v>
      </c>
      <c r="AA10" s="741">
        <v>0</v>
      </c>
      <c r="AB10" s="741">
        <v>390.34100000000001</v>
      </c>
      <c r="AC10" s="741">
        <v>30.026</v>
      </c>
      <c r="AD10" s="741">
        <v>3.2370000000000001</v>
      </c>
      <c r="AE10" s="741">
        <v>17.981999999999999</v>
      </c>
      <c r="AF10" s="741">
        <v>3.641</v>
      </c>
      <c r="AG10" s="741">
        <v>7.6999999999999999E-2</v>
      </c>
    </row>
    <row r="11" spans="1:33">
      <c r="A11" s="636" t="s">
        <v>399</v>
      </c>
      <c r="B11" s="863">
        <v>646.68799999999999</v>
      </c>
      <c r="C11" s="744">
        <f t="shared" si="0"/>
        <v>650</v>
      </c>
      <c r="D11" s="863">
        <v>268.36500000000001</v>
      </c>
      <c r="E11" s="744">
        <f t="shared" si="1"/>
        <v>270</v>
      </c>
      <c r="F11" s="863">
        <v>29.818000000000001</v>
      </c>
      <c r="G11" s="744">
        <f t="shared" si="2"/>
        <v>30</v>
      </c>
      <c r="H11" s="863">
        <v>17.890999999999998</v>
      </c>
      <c r="I11" s="554">
        <f t="shared" si="3"/>
        <v>18</v>
      </c>
      <c r="J11" s="863">
        <v>0</v>
      </c>
      <c r="K11" s="554">
        <v>0</v>
      </c>
      <c r="L11" s="863">
        <v>164.001</v>
      </c>
      <c r="M11" s="744">
        <f t="shared" si="4"/>
        <v>165</v>
      </c>
      <c r="N11" s="863">
        <v>347.00700000000001</v>
      </c>
      <c r="O11" s="744">
        <f t="shared" si="5"/>
        <v>350</v>
      </c>
      <c r="P11" s="863">
        <v>85.561999999999998</v>
      </c>
      <c r="Q11" s="744">
        <f t="shared" si="6"/>
        <v>86</v>
      </c>
      <c r="R11" s="863">
        <v>0</v>
      </c>
      <c r="S11" s="554">
        <v>0</v>
      </c>
      <c r="T11" s="863">
        <v>65.896000000000001</v>
      </c>
      <c r="U11" s="744">
        <f t="shared" si="7"/>
        <v>66</v>
      </c>
      <c r="V11" s="863">
        <v>3.2770000000000001</v>
      </c>
      <c r="W11" s="744">
        <f t="shared" si="8"/>
        <v>3</v>
      </c>
      <c r="X11" s="863">
        <v>11.927</v>
      </c>
      <c r="Y11" s="744">
        <f t="shared" si="9"/>
        <v>12</v>
      </c>
      <c r="Z11" s="769">
        <v>0</v>
      </c>
      <c r="AA11" s="769">
        <v>0</v>
      </c>
      <c r="AB11" s="769">
        <v>388.59399999999999</v>
      </c>
      <c r="AC11" s="769">
        <v>29.891999999999999</v>
      </c>
      <c r="AD11" s="769">
        <v>3.22</v>
      </c>
      <c r="AE11" s="769">
        <v>17.890999999999998</v>
      </c>
      <c r="AF11" s="769">
        <v>3.96</v>
      </c>
      <c r="AG11" s="769">
        <v>8.4000000000000005E-2</v>
      </c>
    </row>
    <row r="12" spans="1:33">
      <c r="A12" s="636" t="s">
        <v>477</v>
      </c>
      <c r="B12" s="863">
        <v>647.69100000000003</v>
      </c>
      <c r="C12" s="744">
        <f t="shared" si="0"/>
        <v>650</v>
      </c>
      <c r="D12" s="863">
        <v>267.74700000000001</v>
      </c>
      <c r="E12" s="744">
        <f t="shared" si="1"/>
        <v>270</v>
      </c>
      <c r="F12" s="863">
        <v>29.75</v>
      </c>
      <c r="G12" s="744">
        <f t="shared" si="2"/>
        <v>30</v>
      </c>
      <c r="H12" s="863">
        <v>17.850000000000001</v>
      </c>
      <c r="I12" s="554">
        <f t="shared" si="3"/>
        <v>18</v>
      </c>
      <c r="J12" s="863">
        <v>0</v>
      </c>
      <c r="K12" s="554">
        <v>0</v>
      </c>
      <c r="L12" s="863">
        <v>163.62299999999999</v>
      </c>
      <c r="M12" s="744">
        <f t="shared" si="4"/>
        <v>165</v>
      </c>
      <c r="N12" s="863">
        <v>346.42399999999998</v>
      </c>
      <c r="O12" s="744">
        <f t="shared" si="5"/>
        <v>350</v>
      </c>
      <c r="P12" s="863">
        <v>86.203999999999994</v>
      </c>
      <c r="Q12" s="744">
        <f t="shared" si="6"/>
        <v>86</v>
      </c>
      <c r="R12" s="863">
        <v>0</v>
      </c>
      <c r="S12" s="554">
        <v>0</v>
      </c>
      <c r="T12" s="863">
        <v>66.346999999999994</v>
      </c>
      <c r="U12" s="744">
        <f t="shared" si="7"/>
        <v>66</v>
      </c>
      <c r="V12" s="863">
        <v>3.8719999999999999</v>
      </c>
      <c r="W12" s="744">
        <f t="shared" si="8"/>
        <v>4</v>
      </c>
      <c r="X12" s="863">
        <v>11.9</v>
      </c>
      <c r="Y12" s="744">
        <f t="shared" si="9"/>
        <v>12</v>
      </c>
      <c r="Z12" s="769">
        <v>0</v>
      </c>
      <c r="AA12" s="769">
        <v>0</v>
      </c>
      <c r="AB12" s="769">
        <v>387.60700000000003</v>
      </c>
      <c r="AC12" s="769">
        <v>29.815999999999999</v>
      </c>
      <c r="AD12" s="769">
        <v>3.2130000000000001</v>
      </c>
      <c r="AE12" s="769">
        <v>17.850000000000001</v>
      </c>
      <c r="AF12" s="769">
        <v>4.3029999999999999</v>
      </c>
      <c r="AG12" s="769">
        <v>9.1999999999999998E-2</v>
      </c>
    </row>
    <row r="13" spans="1:33">
      <c r="A13" s="635" t="s">
        <v>478</v>
      </c>
      <c r="B13" s="860">
        <v>621.024</v>
      </c>
      <c r="C13" s="744">
        <f t="shared" si="0"/>
        <v>620</v>
      </c>
      <c r="D13" s="860">
        <v>299.96199999999999</v>
      </c>
      <c r="E13" s="744">
        <f t="shared" si="1"/>
        <v>300</v>
      </c>
      <c r="F13" s="860">
        <v>33.329000000000001</v>
      </c>
      <c r="G13" s="744">
        <f t="shared" si="2"/>
        <v>33</v>
      </c>
      <c r="H13" s="860">
        <v>21.209</v>
      </c>
      <c r="I13" s="554">
        <f t="shared" si="3"/>
        <v>21</v>
      </c>
      <c r="J13" s="860">
        <v>0</v>
      </c>
      <c r="K13" s="554">
        <v>0</v>
      </c>
      <c r="L13" s="860">
        <v>196.94399999999999</v>
      </c>
      <c r="M13" s="744">
        <f t="shared" si="4"/>
        <v>195</v>
      </c>
      <c r="N13" s="860">
        <v>439.22899999999998</v>
      </c>
      <c r="O13" s="744">
        <f t="shared" si="5"/>
        <v>440</v>
      </c>
      <c r="P13" s="860">
        <v>73.138999999999996</v>
      </c>
      <c r="Q13" s="744">
        <f t="shared" si="6"/>
        <v>73</v>
      </c>
      <c r="R13" s="860">
        <v>0</v>
      </c>
      <c r="S13" s="554">
        <v>0</v>
      </c>
      <c r="T13" s="860">
        <v>56.838999999999999</v>
      </c>
      <c r="U13" s="744">
        <f t="shared" si="7"/>
        <v>57</v>
      </c>
      <c r="V13" s="860">
        <v>2.2999999999999998</v>
      </c>
      <c r="W13" s="744">
        <f t="shared" si="8"/>
        <v>2</v>
      </c>
      <c r="X13" s="860">
        <v>12.12</v>
      </c>
      <c r="Y13" s="744">
        <f t="shared" si="9"/>
        <v>12</v>
      </c>
      <c r="Z13" s="742">
        <v>0</v>
      </c>
      <c r="AA13" s="742">
        <v>0</v>
      </c>
      <c r="AB13" s="742">
        <v>591.63</v>
      </c>
      <c r="AC13" s="742">
        <v>45.51</v>
      </c>
      <c r="AD13" s="742">
        <v>8.7999999999999995E-2</v>
      </c>
      <c r="AE13" s="742">
        <v>0.49199999999999999</v>
      </c>
      <c r="AF13" s="742">
        <v>9.3780000000000001</v>
      </c>
      <c r="AG13" s="742">
        <v>0.2</v>
      </c>
    </row>
    <row r="14" spans="1:33" ht="14.25" customHeight="1">
      <c r="A14" s="635" t="s">
        <v>479</v>
      </c>
      <c r="B14" s="859">
        <v>630.26</v>
      </c>
      <c r="C14" s="744">
        <f t="shared" si="0"/>
        <v>630</v>
      </c>
      <c r="D14" s="859">
        <v>295.68799999999999</v>
      </c>
      <c r="E14" s="744">
        <f t="shared" si="1"/>
        <v>300</v>
      </c>
      <c r="F14" s="859">
        <v>32.853999999999999</v>
      </c>
      <c r="G14" s="744">
        <f t="shared" si="2"/>
        <v>33</v>
      </c>
      <c r="H14" s="859">
        <v>20.907</v>
      </c>
      <c r="I14" s="554">
        <f t="shared" si="3"/>
        <v>21</v>
      </c>
      <c r="J14" s="859">
        <v>0</v>
      </c>
      <c r="K14" s="554">
        <v>0</v>
      </c>
      <c r="L14" s="859">
        <v>194.13800000000001</v>
      </c>
      <c r="M14" s="744">
        <f t="shared" si="4"/>
        <v>195</v>
      </c>
      <c r="N14" s="859">
        <v>418.14400000000001</v>
      </c>
      <c r="O14" s="744">
        <f t="shared" si="5"/>
        <v>420</v>
      </c>
      <c r="P14" s="859">
        <v>76.593999999999994</v>
      </c>
      <c r="Q14" s="744">
        <f t="shared" si="6"/>
        <v>77</v>
      </c>
      <c r="R14" s="859">
        <v>0</v>
      </c>
      <c r="S14" s="554">
        <v>0</v>
      </c>
      <c r="T14" s="859">
        <v>60.87</v>
      </c>
      <c r="U14" s="744">
        <f t="shared" si="7"/>
        <v>61</v>
      </c>
      <c r="V14" s="859">
        <v>7.109</v>
      </c>
      <c r="W14" s="744">
        <f t="shared" si="8"/>
        <v>7</v>
      </c>
      <c r="X14" s="859">
        <v>11.946999999999999</v>
      </c>
      <c r="Y14" s="744">
        <f t="shared" si="9"/>
        <v>12</v>
      </c>
      <c r="Z14" s="554">
        <v>0</v>
      </c>
      <c r="AA14" s="554">
        <v>0</v>
      </c>
      <c r="AB14" s="554">
        <v>583.07399999999996</v>
      </c>
      <c r="AC14" s="554">
        <v>44.851999999999997</v>
      </c>
      <c r="AD14" s="554">
        <v>0</v>
      </c>
      <c r="AE14" s="554">
        <v>0</v>
      </c>
      <c r="AF14" s="554">
        <v>5.5289999999999999</v>
      </c>
      <c r="AG14" s="554">
        <v>0.11799999999999999</v>
      </c>
    </row>
    <row r="15" spans="1:33" hidden="1">
      <c r="A15" s="635" t="s">
        <v>374</v>
      </c>
      <c r="B15" s="860"/>
      <c r="C15" s="744">
        <f t="shared" si="0"/>
        <v>0</v>
      </c>
      <c r="D15" s="860"/>
      <c r="E15" s="744">
        <f t="shared" si="1"/>
        <v>0</v>
      </c>
      <c r="F15" s="860"/>
      <c r="G15" s="744">
        <f t="shared" si="2"/>
        <v>0</v>
      </c>
      <c r="H15" s="860"/>
      <c r="I15" s="554">
        <f t="shared" si="3"/>
        <v>0</v>
      </c>
      <c r="J15" s="860"/>
      <c r="K15" s="554">
        <v>0</v>
      </c>
      <c r="L15" s="860"/>
      <c r="M15" s="744">
        <f t="shared" si="4"/>
        <v>0</v>
      </c>
      <c r="N15" s="860"/>
      <c r="O15" s="744">
        <f t="shared" si="5"/>
        <v>0</v>
      </c>
      <c r="P15" s="860"/>
      <c r="Q15" s="744">
        <f t="shared" si="6"/>
        <v>0</v>
      </c>
      <c r="R15" s="860"/>
      <c r="S15" s="554">
        <v>0</v>
      </c>
      <c r="T15" s="860"/>
      <c r="U15" s="744">
        <f t="shared" si="7"/>
        <v>0</v>
      </c>
      <c r="V15" s="860"/>
      <c r="W15" s="744">
        <f t="shared" si="8"/>
        <v>0</v>
      </c>
      <c r="X15" s="860"/>
      <c r="Y15" s="744">
        <f t="shared" si="9"/>
        <v>0</v>
      </c>
      <c r="Z15" s="536"/>
      <c r="AA15" s="536"/>
      <c r="AB15" s="536"/>
      <c r="AC15" s="536"/>
      <c r="AD15" s="536"/>
      <c r="AE15" s="536"/>
      <c r="AF15" s="536"/>
      <c r="AG15" s="536"/>
    </row>
    <row r="16" spans="1:33">
      <c r="A16" s="635" t="s">
        <v>358</v>
      </c>
      <c r="B16" s="859">
        <v>628.09799999999996</v>
      </c>
      <c r="C16" s="744">
        <f t="shared" si="0"/>
        <v>630</v>
      </c>
      <c r="D16" s="859">
        <v>294.13600000000002</v>
      </c>
      <c r="E16" s="744">
        <f t="shared" si="1"/>
        <v>290</v>
      </c>
      <c r="F16" s="859">
        <v>32.682000000000002</v>
      </c>
      <c r="G16" s="744">
        <f t="shared" si="2"/>
        <v>33</v>
      </c>
      <c r="H16" s="859">
        <v>20.797000000000001</v>
      </c>
      <c r="I16" s="554">
        <f t="shared" si="3"/>
        <v>21</v>
      </c>
      <c r="J16" s="859">
        <v>0</v>
      </c>
      <c r="K16" s="554">
        <v>0</v>
      </c>
      <c r="L16" s="859">
        <v>193.119</v>
      </c>
      <c r="M16" s="744">
        <f t="shared" si="4"/>
        <v>195</v>
      </c>
      <c r="N16" s="859">
        <v>420.36900000000003</v>
      </c>
      <c r="O16" s="744">
        <f t="shared" si="5"/>
        <v>420</v>
      </c>
      <c r="P16" s="859">
        <v>75.552999999999997</v>
      </c>
      <c r="Q16" s="744">
        <f t="shared" si="6"/>
        <v>76</v>
      </c>
      <c r="R16" s="859">
        <v>0</v>
      </c>
      <c r="S16" s="554">
        <v>0</v>
      </c>
      <c r="T16" s="859">
        <v>57.161999999999999</v>
      </c>
      <c r="U16" s="744">
        <f t="shared" si="7"/>
        <v>57</v>
      </c>
      <c r="V16" s="859">
        <v>3.6829999999999998</v>
      </c>
      <c r="W16" s="744">
        <f t="shared" si="8"/>
        <v>4</v>
      </c>
      <c r="X16" s="859">
        <v>11.884</v>
      </c>
      <c r="Y16" s="744">
        <f t="shared" si="9"/>
        <v>12</v>
      </c>
      <c r="Z16" s="554">
        <v>0</v>
      </c>
      <c r="AA16" s="554">
        <v>0</v>
      </c>
      <c r="AB16" s="554">
        <v>579.79999999999995</v>
      </c>
      <c r="AC16" s="554">
        <v>44.6</v>
      </c>
      <c r="AD16" s="554">
        <v>0</v>
      </c>
      <c r="AE16" s="554">
        <v>0</v>
      </c>
      <c r="AF16" s="554">
        <v>5.8929999999999998</v>
      </c>
      <c r="AG16" s="554">
        <v>0.125</v>
      </c>
    </row>
    <row r="17" spans="1:33">
      <c r="A17" s="635" t="s">
        <v>403</v>
      </c>
      <c r="B17" s="863">
        <v>622.37800000000004</v>
      </c>
      <c r="C17" s="744">
        <f t="shared" si="0"/>
        <v>620</v>
      </c>
      <c r="D17" s="863">
        <v>302.28800000000001</v>
      </c>
      <c r="E17" s="744">
        <f t="shared" si="1"/>
        <v>300</v>
      </c>
      <c r="F17" s="863">
        <v>33.588000000000001</v>
      </c>
      <c r="G17" s="744">
        <f t="shared" si="2"/>
        <v>34</v>
      </c>
      <c r="H17" s="863">
        <v>21.373999999999999</v>
      </c>
      <c r="I17" s="554">
        <f t="shared" si="3"/>
        <v>21</v>
      </c>
      <c r="J17" s="863">
        <v>0</v>
      </c>
      <c r="K17" s="554">
        <v>0</v>
      </c>
      <c r="L17" s="863">
        <v>198.47200000000001</v>
      </c>
      <c r="M17" s="744">
        <f t="shared" si="4"/>
        <v>200</v>
      </c>
      <c r="N17" s="863">
        <v>429.42700000000002</v>
      </c>
      <c r="O17" s="744">
        <f t="shared" si="5"/>
        <v>430</v>
      </c>
      <c r="P17" s="863">
        <v>72.438000000000002</v>
      </c>
      <c r="Q17" s="744">
        <f t="shared" si="6"/>
        <v>72</v>
      </c>
      <c r="R17" s="863">
        <v>0</v>
      </c>
      <c r="S17" s="554">
        <v>0</v>
      </c>
      <c r="T17" s="863">
        <v>56.651000000000003</v>
      </c>
      <c r="U17" s="744">
        <f t="shared" si="7"/>
        <v>57</v>
      </c>
      <c r="V17" s="863">
        <v>1.56</v>
      </c>
      <c r="W17" s="744">
        <f t="shared" si="8"/>
        <v>2</v>
      </c>
      <c r="X17" s="863">
        <v>12.214</v>
      </c>
      <c r="Y17" s="744">
        <f t="shared" si="9"/>
        <v>12</v>
      </c>
      <c r="Z17" s="769">
        <v>0</v>
      </c>
      <c r="AA17" s="769">
        <v>0</v>
      </c>
      <c r="AB17" s="769">
        <v>595.87</v>
      </c>
      <c r="AC17" s="769">
        <v>45.835999999999999</v>
      </c>
      <c r="AD17" s="769">
        <v>0</v>
      </c>
      <c r="AE17" s="769">
        <v>0</v>
      </c>
      <c r="AF17" s="769">
        <v>4.1589999999999998</v>
      </c>
      <c r="AG17" s="769">
        <v>8.7999999999999995E-2</v>
      </c>
    </row>
    <row r="18" spans="1:33">
      <c r="A18" s="635" t="s">
        <v>417</v>
      </c>
      <c r="B18" s="859">
        <v>623.678</v>
      </c>
      <c r="C18" s="744">
        <f t="shared" si="0"/>
        <v>620</v>
      </c>
      <c r="D18" s="859">
        <v>291.83800000000002</v>
      </c>
      <c r="E18" s="744">
        <f t="shared" si="1"/>
        <v>290</v>
      </c>
      <c r="F18" s="859">
        <v>32.426000000000002</v>
      </c>
      <c r="G18" s="744">
        <f t="shared" si="2"/>
        <v>32</v>
      </c>
      <c r="H18" s="859">
        <v>20.635000000000002</v>
      </c>
      <c r="I18" s="554">
        <f t="shared" si="3"/>
        <v>21</v>
      </c>
      <c r="J18" s="859">
        <v>0</v>
      </c>
      <c r="K18" s="554">
        <v>0</v>
      </c>
      <c r="L18" s="859">
        <v>191.61099999999999</v>
      </c>
      <c r="M18" s="744">
        <f t="shared" si="4"/>
        <v>190</v>
      </c>
      <c r="N18" s="859">
        <v>418.66899999999998</v>
      </c>
      <c r="O18" s="744">
        <f t="shared" si="5"/>
        <v>420</v>
      </c>
      <c r="P18" s="859">
        <v>74.281000000000006</v>
      </c>
      <c r="Q18" s="744">
        <f t="shared" si="6"/>
        <v>74</v>
      </c>
      <c r="R18" s="859">
        <v>0</v>
      </c>
      <c r="S18" s="554">
        <v>0</v>
      </c>
      <c r="T18" s="859">
        <v>56.984000000000002</v>
      </c>
      <c r="U18" s="744">
        <f t="shared" si="7"/>
        <v>57</v>
      </c>
      <c r="V18" s="859">
        <v>3.9220000000000002</v>
      </c>
      <c r="W18" s="744">
        <f t="shared" si="8"/>
        <v>4</v>
      </c>
      <c r="X18" s="859">
        <v>11.791</v>
      </c>
      <c r="Y18" s="744">
        <f t="shared" si="9"/>
        <v>12</v>
      </c>
      <c r="Z18" s="554">
        <v>0</v>
      </c>
      <c r="AA18" s="554">
        <v>0</v>
      </c>
      <c r="AB18" s="554">
        <v>575.85500000000002</v>
      </c>
      <c r="AC18" s="554">
        <v>44.296999999999997</v>
      </c>
      <c r="AD18" s="554">
        <v>0</v>
      </c>
      <c r="AE18" s="554">
        <v>0</v>
      </c>
      <c r="AF18" s="554">
        <v>5.1159999999999997</v>
      </c>
      <c r="AG18" s="554">
        <v>0.109</v>
      </c>
    </row>
    <row r="19" spans="1:33">
      <c r="A19" s="635" t="s">
        <v>140</v>
      </c>
      <c r="B19" s="860">
        <v>619.96600000000001</v>
      </c>
      <c r="C19" s="744">
        <f t="shared" si="0"/>
        <v>620</v>
      </c>
      <c r="D19" s="860">
        <v>296.47000000000003</v>
      </c>
      <c r="E19" s="744">
        <f t="shared" si="1"/>
        <v>300</v>
      </c>
      <c r="F19" s="860">
        <v>32.941000000000003</v>
      </c>
      <c r="G19" s="744">
        <f t="shared" si="2"/>
        <v>33</v>
      </c>
      <c r="H19" s="860">
        <v>20.963000000000001</v>
      </c>
      <c r="I19" s="554">
        <f t="shared" si="3"/>
        <v>21</v>
      </c>
      <c r="J19" s="860">
        <v>0</v>
      </c>
      <c r="K19" s="554">
        <v>0</v>
      </c>
      <c r="L19" s="860">
        <v>194.65199999999999</v>
      </c>
      <c r="M19" s="744">
        <f t="shared" si="4"/>
        <v>195</v>
      </c>
      <c r="N19" s="860">
        <v>432.86200000000002</v>
      </c>
      <c r="O19" s="744">
        <f t="shared" si="5"/>
        <v>430</v>
      </c>
      <c r="P19" s="860">
        <v>70.486000000000004</v>
      </c>
      <c r="Q19" s="744">
        <f t="shared" si="6"/>
        <v>70</v>
      </c>
      <c r="R19" s="860">
        <v>0</v>
      </c>
      <c r="S19" s="554">
        <v>0</v>
      </c>
      <c r="T19" s="860">
        <v>57.121000000000002</v>
      </c>
      <c r="U19" s="744">
        <f t="shared" si="7"/>
        <v>57</v>
      </c>
      <c r="V19" s="860">
        <v>3.2170000000000001</v>
      </c>
      <c r="W19" s="744">
        <f t="shared" si="8"/>
        <v>3</v>
      </c>
      <c r="X19" s="860">
        <v>11.978999999999999</v>
      </c>
      <c r="Y19" s="744">
        <f t="shared" si="9"/>
        <v>12</v>
      </c>
      <c r="Z19" s="536">
        <v>0</v>
      </c>
      <c r="AA19" s="536">
        <v>0</v>
      </c>
      <c r="AB19" s="536">
        <v>584.69899999999996</v>
      </c>
      <c r="AC19" s="536">
        <v>44.976999999999997</v>
      </c>
      <c r="AD19" s="536">
        <v>0</v>
      </c>
      <c r="AE19" s="536">
        <v>0</v>
      </c>
      <c r="AF19" s="536">
        <v>3.8359999999999999</v>
      </c>
      <c r="AG19" s="536">
        <v>8.2000000000000003E-2</v>
      </c>
    </row>
    <row r="20" spans="1:33">
      <c r="A20" s="635" t="s">
        <v>398</v>
      </c>
      <c r="B20" s="907">
        <v>619.41899999999998</v>
      </c>
      <c r="C20" s="744">
        <f t="shared" si="0"/>
        <v>620</v>
      </c>
      <c r="D20" s="907">
        <v>294.66500000000002</v>
      </c>
      <c r="E20" s="744">
        <f t="shared" si="1"/>
        <v>290</v>
      </c>
      <c r="F20" s="907">
        <v>32.741</v>
      </c>
      <c r="G20" s="744">
        <f t="shared" si="2"/>
        <v>33</v>
      </c>
      <c r="H20" s="907">
        <v>20.835000000000001</v>
      </c>
      <c r="I20" s="554">
        <f t="shared" si="3"/>
        <v>21</v>
      </c>
      <c r="J20" s="907">
        <v>0</v>
      </c>
      <c r="K20" s="554">
        <v>0</v>
      </c>
      <c r="L20" s="907">
        <v>193.46700000000001</v>
      </c>
      <c r="M20" s="744">
        <f t="shared" si="4"/>
        <v>195</v>
      </c>
      <c r="N20" s="907">
        <v>436.22399999999999</v>
      </c>
      <c r="O20" s="744">
        <f t="shared" si="5"/>
        <v>440</v>
      </c>
      <c r="P20" s="907">
        <v>71.997</v>
      </c>
      <c r="Q20" s="744">
        <f t="shared" si="6"/>
        <v>72</v>
      </c>
      <c r="R20" s="907">
        <v>0</v>
      </c>
      <c r="S20" s="554">
        <v>0</v>
      </c>
      <c r="T20" s="907">
        <v>57.267000000000003</v>
      </c>
      <c r="U20" s="744">
        <f t="shared" si="7"/>
        <v>57</v>
      </c>
      <c r="V20" s="907">
        <v>3.6909999999999998</v>
      </c>
      <c r="W20" s="744">
        <f t="shared" si="8"/>
        <v>4</v>
      </c>
      <c r="X20" s="907">
        <v>11.906000000000001</v>
      </c>
      <c r="Y20" s="744">
        <f t="shared" si="9"/>
        <v>12</v>
      </c>
      <c r="Z20" s="741">
        <v>0</v>
      </c>
      <c r="AA20" s="741">
        <v>0</v>
      </c>
      <c r="AB20" s="741">
        <v>581.44799999999998</v>
      </c>
      <c r="AC20" s="741">
        <v>44.726999999999997</v>
      </c>
      <c r="AD20" s="741">
        <v>6.5000000000000002E-2</v>
      </c>
      <c r="AE20" s="741">
        <v>0.36199999999999999</v>
      </c>
      <c r="AF20" s="741">
        <v>9.2870000000000008</v>
      </c>
      <c r="AG20" s="741">
        <v>0.19800000000000001</v>
      </c>
    </row>
    <row r="21" spans="1:33">
      <c r="A21" s="635" t="s">
        <v>416</v>
      </c>
      <c r="B21" s="859">
        <v>623.678</v>
      </c>
      <c r="C21" s="744">
        <f t="shared" si="0"/>
        <v>620</v>
      </c>
      <c r="D21" s="859">
        <v>301.96199999999999</v>
      </c>
      <c r="E21" s="744">
        <f t="shared" si="1"/>
        <v>300</v>
      </c>
      <c r="F21" s="859">
        <v>33.551000000000002</v>
      </c>
      <c r="G21" s="744">
        <f t="shared" si="2"/>
        <v>34</v>
      </c>
      <c r="H21" s="859">
        <v>21.350999999999999</v>
      </c>
      <c r="I21" s="554">
        <f t="shared" si="3"/>
        <v>21</v>
      </c>
      <c r="J21" s="859">
        <v>0</v>
      </c>
      <c r="K21" s="554">
        <v>0</v>
      </c>
      <c r="L21" s="859">
        <v>198.25800000000001</v>
      </c>
      <c r="M21" s="744">
        <f t="shared" si="4"/>
        <v>200</v>
      </c>
      <c r="N21" s="859">
        <v>427.017</v>
      </c>
      <c r="O21" s="744">
        <f t="shared" si="5"/>
        <v>430</v>
      </c>
      <c r="P21" s="859">
        <v>73.02</v>
      </c>
      <c r="Q21" s="744">
        <f t="shared" si="6"/>
        <v>73</v>
      </c>
      <c r="R21" s="859">
        <v>0</v>
      </c>
      <c r="S21" s="554">
        <v>0</v>
      </c>
      <c r="T21" s="859">
        <v>57.155000000000001</v>
      </c>
      <c r="U21" s="744">
        <f t="shared" si="7"/>
        <v>57</v>
      </c>
      <c r="V21" s="859">
        <v>2.2530000000000001</v>
      </c>
      <c r="W21" s="744">
        <f t="shared" si="8"/>
        <v>2</v>
      </c>
      <c r="X21" s="859">
        <v>12.2</v>
      </c>
      <c r="Y21" s="744">
        <f t="shared" si="9"/>
        <v>12</v>
      </c>
      <c r="Z21" s="554">
        <v>0</v>
      </c>
      <c r="AA21" s="554">
        <v>0</v>
      </c>
      <c r="AB21" s="554">
        <v>595.11500000000001</v>
      </c>
      <c r="AC21" s="554">
        <v>45.777999999999999</v>
      </c>
      <c r="AD21" s="554">
        <v>0</v>
      </c>
      <c r="AE21" s="554">
        <v>0</v>
      </c>
      <c r="AF21" s="554">
        <v>2.9359999999999999</v>
      </c>
      <c r="AG21" s="554">
        <v>6.2E-2</v>
      </c>
    </row>
    <row r="22" spans="1:33">
      <c r="A22" s="635" t="s">
        <v>360</v>
      </c>
      <c r="B22" s="859">
        <v>620.91999999999996</v>
      </c>
      <c r="C22" s="744">
        <f t="shared" si="0"/>
        <v>620</v>
      </c>
      <c r="D22" s="859">
        <v>299.62099999999998</v>
      </c>
      <c r="E22" s="744">
        <f t="shared" si="1"/>
        <v>300</v>
      </c>
      <c r="F22" s="859">
        <v>33.290999999999997</v>
      </c>
      <c r="G22" s="744">
        <f t="shared" si="2"/>
        <v>33</v>
      </c>
      <c r="H22" s="859">
        <v>21.184999999999999</v>
      </c>
      <c r="I22" s="554">
        <f t="shared" si="3"/>
        <v>21</v>
      </c>
      <c r="J22" s="859">
        <v>0</v>
      </c>
      <c r="K22" s="554">
        <v>0</v>
      </c>
      <c r="L22" s="859">
        <v>196.721</v>
      </c>
      <c r="M22" s="744">
        <f t="shared" si="4"/>
        <v>195</v>
      </c>
      <c r="N22" s="859">
        <v>516.54300000000001</v>
      </c>
      <c r="O22" s="744">
        <f t="shared" si="5"/>
        <v>520</v>
      </c>
      <c r="P22" s="859">
        <v>69.608999999999995</v>
      </c>
      <c r="Q22" s="744">
        <f t="shared" si="6"/>
        <v>70</v>
      </c>
      <c r="R22" s="859">
        <v>0</v>
      </c>
      <c r="S22" s="554">
        <v>0</v>
      </c>
      <c r="T22" s="859">
        <v>57.877000000000002</v>
      </c>
      <c r="U22" s="744">
        <f t="shared" si="7"/>
        <v>58</v>
      </c>
      <c r="V22" s="859">
        <v>3.4009999999999998</v>
      </c>
      <c r="W22" s="744">
        <f t="shared" si="8"/>
        <v>3</v>
      </c>
      <c r="X22" s="859">
        <v>12.106</v>
      </c>
      <c r="Y22" s="744">
        <f t="shared" si="9"/>
        <v>12</v>
      </c>
      <c r="Z22" s="554">
        <v>0</v>
      </c>
      <c r="AA22" s="554">
        <v>0</v>
      </c>
      <c r="AB22" s="554">
        <v>590.80499999999995</v>
      </c>
      <c r="AC22" s="554">
        <v>45.447000000000003</v>
      </c>
      <c r="AD22" s="554">
        <v>0</v>
      </c>
      <c r="AE22" s="554">
        <v>0</v>
      </c>
      <c r="AF22" s="554">
        <v>2.8490000000000002</v>
      </c>
      <c r="AG22" s="554">
        <v>6.0999999999999999E-2</v>
      </c>
    </row>
    <row r="23" spans="1:33">
      <c r="A23" s="635" t="s">
        <v>480</v>
      </c>
      <c r="B23" s="859">
        <v>651.18499999999995</v>
      </c>
      <c r="C23" s="744">
        <f t="shared" si="0"/>
        <v>650</v>
      </c>
      <c r="D23" s="859">
        <v>272.38200000000001</v>
      </c>
      <c r="E23" s="744">
        <f t="shared" si="1"/>
        <v>270</v>
      </c>
      <c r="F23" s="859">
        <v>30.265000000000001</v>
      </c>
      <c r="G23" s="744">
        <f t="shared" si="2"/>
        <v>30</v>
      </c>
      <c r="H23" s="859">
        <v>18.158999999999999</v>
      </c>
      <c r="I23" s="554">
        <f t="shared" si="3"/>
        <v>18</v>
      </c>
      <c r="J23" s="859">
        <v>0</v>
      </c>
      <c r="K23" s="554">
        <v>0</v>
      </c>
      <c r="L23" s="859">
        <v>166.45599999999999</v>
      </c>
      <c r="M23" s="744">
        <f t="shared" si="4"/>
        <v>165</v>
      </c>
      <c r="N23" s="859">
        <v>440.88099999999997</v>
      </c>
      <c r="O23" s="744">
        <f t="shared" si="5"/>
        <v>440</v>
      </c>
      <c r="P23" s="859">
        <v>81.715000000000003</v>
      </c>
      <c r="Q23" s="744">
        <f t="shared" si="6"/>
        <v>82</v>
      </c>
      <c r="R23" s="859">
        <v>0</v>
      </c>
      <c r="S23" s="554">
        <v>0</v>
      </c>
      <c r="T23" s="859">
        <v>66.956999999999994</v>
      </c>
      <c r="U23" s="744">
        <f t="shared" si="7"/>
        <v>67</v>
      </c>
      <c r="V23" s="859">
        <v>3.4009999999999998</v>
      </c>
      <c r="W23" s="744">
        <f t="shared" si="8"/>
        <v>3</v>
      </c>
      <c r="X23" s="859">
        <v>12.106</v>
      </c>
      <c r="Y23" s="744">
        <f t="shared" si="9"/>
        <v>12</v>
      </c>
      <c r="Z23" s="554">
        <v>0</v>
      </c>
      <c r="AA23" s="554">
        <v>0</v>
      </c>
      <c r="AB23" s="554">
        <v>394.08499999999998</v>
      </c>
      <c r="AC23" s="554">
        <v>30.314</v>
      </c>
      <c r="AD23" s="554">
        <v>3.2690000000000001</v>
      </c>
      <c r="AE23" s="554">
        <v>18.158999999999999</v>
      </c>
      <c r="AF23" s="554">
        <v>2.8490000000000002</v>
      </c>
      <c r="AG23" s="554">
        <v>6.0999999999999999E-2</v>
      </c>
    </row>
    <row r="24" spans="1:33">
      <c r="A24" s="637" t="s">
        <v>117</v>
      </c>
      <c r="B24" s="859">
        <v>616.74400000000003</v>
      </c>
      <c r="C24" s="744">
        <f t="shared" si="0"/>
        <v>620</v>
      </c>
      <c r="D24" s="859">
        <v>293.577</v>
      </c>
      <c r="E24" s="744">
        <f t="shared" si="1"/>
        <v>290</v>
      </c>
      <c r="F24" s="859">
        <v>32.619999999999997</v>
      </c>
      <c r="G24" s="744">
        <f t="shared" si="2"/>
        <v>33</v>
      </c>
      <c r="H24" s="859">
        <v>20.757999999999999</v>
      </c>
      <c r="I24" s="554">
        <f t="shared" si="3"/>
        <v>21</v>
      </c>
      <c r="J24" s="859">
        <v>0</v>
      </c>
      <c r="K24" s="554">
        <v>0</v>
      </c>
      <c r="L24" s="859">
        <v>192.75299999999999</v>
      </c>
      <c r="M24" s="744">
        <f t="shared" si="4"/>
        <v>195</v>
      </c>
      <c r="N24" s="859">
        <v>419.74799999999999</v>
      </c>
      <c r="O24" s="744">
        <f t="shared" si="5"/>
        <v>420</v>
      </c>
      <c r="P24" s="859">
        <v>74.150000000000006</v>
      </c>
      <c r="Q24" s="744">
        <f t="shared" si="6"/>
        <v>74</v>
      </c>
      <c r="R24" s="859">
        <v>0</v>
      </c>
      <c r="S24" s="554">
        <v>0</v>
      </c>
      <c r="T24" s="859">
        <v>57.262999999999998</v>
      </c>
      <c r="U24" s="744">
        <f t="shared" si="7"/>
        <v>57</v>
      </c>
      <c r="V24" s="859">
        <v>3.8860000000000001</v>
      </c>
      <c r="W24" s="744">
        <f t="shared" si="8"/>
        <v>4</v>
      </c>
      <c r="X24" s="859">
        <v>11.862</v>
      </c>
      <c r="Y24" s="744">
        <f t="shared" si="9"/>
        <v>12</v>
      </c>
      <c r="Z24" s="554">
        <v>0</v>
      </c>
      <c r="AA24" s="554">
        <v>0</v>
      </c>
      <c r="AB24" s="554">
        <v>579.25699999999995</v>
      </c>
      <c r="AC24" s="554">
        <v>44.558</v>
      </c>
      <c r="AD24" s="554">
        <v>0</v>
      </c>
      <c r="AE24" s="554">
        <v>0</v>
      </c>
      <c r="AF24" s="554">
        <v>4.5069999999999997</v>
      </c>
      <c r="AG24" s="554">
        <v>9.6000000000000002E-2</v>
      </c>
    </row>
    <row r="25" spans="1:33">
      <c r="A25" s="637" t="s">
        <v>481</v>
      </c>
      <c r="B25" s="859">
        <v>620.17100000000005</v>
      </c>
      <c r="C25" s="744">
        <f t="shared" si="0"/>
        <v>620</v>
      </c>
      <c r="D25" s="859">
        <v>300.04199999999997</v>
      </c>
      <c r="E25" s="744">
        <f t="shared" si="1"/>
        <v>300</v>
      </c>
      <c r="F25" s="859">
        <v>33.338000000000001</v>
      </c>
      <c r="G25" s="744">
        <f t="shared" si="2"/>
        <v>33</v>
      </c>
      <c r="H25" s="859">
        <v>21.215</v>
      </c>
      <c r="I25" s="554">
        <f t="shared" si="3"/>
        <v>21</v>
      </c>
      <c r="J25" s="859">
        <v>0</v>
      </c>
      <c r="K25" s="554">
        <v>0</v>
      </c>
      <c r="L25" s="859">
        <v>196.99700000000001</v>
      </c>
      <c r="M25" s="744">
        <f t="shared" si="4"/>
        <v>195</v>
      </c>
      <c r="N25" s="859">
        <v>426.93200000000002</v>
      </c>
      <c r="O25" s="744">
        <f t="shared" si="5"/>
        <v>430</v>
      </c>
      <c r="P25" s="859">
        <v>73.301000000000002</v>
      </c>
      <c r="Q25" s="744">
        <f t="shared" si="6"/>
        <v>73</v>
      </c>
      <c r="R25" s="859">
        <v>0</v>
      </c>
      <c r="S25" s="554">
        <v>0</v>
      </c>
      <c r="T25" s="859">
        <v>56.92</v>
      </c>
      <c r="U25" s="744">
        <f t="shared" si="7"/>
        <v>57</v>
      </c>
      <c r="V25" s="859">
        <v>2.367</v>
      </c>
      <c r="W25" s="744">
        <f t="shared" si="8"/>
        <v>2</v>
      </c>
      <c r="X25" s="859">
        <v>12.122999999999999</v>
      </c>
      <c r="Y25" s="744">
        <f t="shared" si="9"/>
        <v>12</v>
      </c>
      <c r="Z25" s="554">
        <v>0</v>
      </c>
      <c r="AA25" s="554">
        <v>0</v>
      </c>
      <c r="AB25" s="554">
        <v>591.51700000000005</v>
      </c>
      <c r="AC25" s="554">
        <v>45.500999999999998</v>
      </c>
      <c r="AD25" s="554">
        <v>0</v>
      </c>
      <c r="AE25" s="554">
        <v>0</v>
      </c>
      <c r="AF25" s="554">
        <v>2.63</v>
      </c>
      <c r="AG25" s="554">
        <v>5.6000000000000001E-2</v>
      </c>
    </row>
    <row r="26" spans="1:33" ht="14.25" customHeight="1" thickBot="1">
      <c r="A26" s="638"/>
      <c r="B26" s="908"/>
      <c r="C26" s="639"/>
      <c r="D26" s="908"/>
      <c r="E26" s="913"/>
      <c r="F26" s="908"/>
      <c r="G26" s="639"/>
      <c r="H26" s="908"/>
      <c r="I26" s="639"/>
      <c r="J26" s="908"/>
      <c r="K26" s="639"/>
      <c r="L26" s="908"/>
      <c r="M26" s="639"/>
      <c r="N26" s="908"/>
      <c r="O26" s="639"/>
      <c r="P26" s="908"/>
      <c r="Q26" s="639"/>
      <c r="R26" s="908"/>
      <c r="S26" s="639"/>
      <c r="T26" s="908"/>
      <c r="U26" s="639"/>
      <c r="V26" s="908"/>
      <c r="W26" s="639"/>
      <c r="X26" s="908"/>
      <c r="Y26" s="639"/>
      <c r="Z26" s="639"/>
      <c r="AA26" s="639"/>
      <c r="AB26" s="639"/>
      <c r="AC26" s="639"/>
      <c r="AD26" s="639"/>
      <c r="AE26" s="639"/>
      <c r="AF26" s="639"/>
      <c r="AG26" s="639"/>
    </row>
    <row r="27" spans="1:33" ht="27" customHeight="1">
      <c r="A27" s="1265" t="s">
        <v>168</v>
      </c>
      <c r="B27" s="1266"/>
      <c r="C27" s="1266"/>
      <c r="D27" s="1266"/>
      <c r="E27" s="1266"/>
      <c r="F27" s="1266"/>
      <c r="G27" s="1266"/>
      <c r="H27" s="1267"/>
      <c r="I27" s="1266"/>
      <c r="J27" s="1267"/>
      <c r="K27" s="1266"/>
      <c r="L27" s="1267"/>
      <c r="M27" s="1266"/>
      <c r="N27" s="1267"/>
      <c r="O27" s="1266"/>
      <c r="P27" s="1267"/>
      <c r="Q27" s="1266"/>
      <c r="R27" s="1267"/>
      <c r="S27" s="1266"/>
      <c r="T27" s="1267"/>
      <c r="U27" s="1266"/>
      <c r="V27" s="1267"/>
      <c r="W27" s="1266"/>
      <c r="X27" s="1267"/>
      <c r="Y27" s="1266"/>
      <c r="Z27" s="1266"/>
      <c r="AA27" s="1266"/>
      <c r="AB27" s="1266"/>
      <c r="AC27" s="1266"/>
      <c r="AD27" s="1266"/>
      <c r="AE27" s="1266"/>
      <c r="AF27" s="1266"/>
      <c r="AG27" s="1268"/>
    </row>
    <row r="28" spans="1:33" ht="15" customHeight="1">
      <c r="A28" s="1269"/>
      <c r="B28" s="1270"/>
      <c r="C28" s="1270"/>
      <c r="D28" s="1270"/>
      <c r="E28" s="1270"/>
      <c r="F28" s="1270"/>
      <c r="G28" s="1270"/>
      <c r="H28" s="1271"/>
      <c r="I28" s="1270"/>
      <c r="J28" s="1271"/>
      <c r="K28" s="1270"/>
      <c r="L28" s="1271"/>
      <c r="M28" s="1270"/>
      <c r="N28" s="1271"/>
      <c r="O28" s="1270"/>
      <c r="P28" s="1271"/>
      <c r="Q28" s="1270"/>
      <c r="R28" s="1271"/>
      <c r="S28" s="1270"/>
      <c r="T28" s="1271"/>
      <c r="U28" s="1270"/>
      <c r="V28" s="1271"/>
      <c r="W28" s="1270"/>
      <c r="X28" s="1271"/>
      <c r="Y28" s="1270"/>
      <c r="Z28" s="1270"/>
      <c r="AA28" s="1270"/>
      <c r="AB28" s="1270"/>
      <c r="AC28" s="1270"/>
      <c r="AD28" s="1270"/>
      <c r="AE28" s="1270"/>
      <c r="AF28" s="1270"/>
      <c r="AG28" s="1272"/>
    </row>
    <row r="29" spans="1:33" ht="18.75" customHeight="1">
      <c r="A29" s="640"/>
      <c r="B29" s="892"/>
      <c r="C29" s="558"/>
      <c r="D29" s="892"/>
      <c r="E29" s="179"/>
      <c r="F29" s="892"/>
      <c r="G29" s="558"/>
      <c r="H29" s="892"/>
      <c r="I29" s="558"/>
      <c r="J29" s="892"/>
      <c r="K29" s="558"/>
      <c r="L29" s="892"/>
      <c r="M29" s="558"/>
      <c r="N29" s="892"/>
      <c r="O29" s="558"/>
      <c r="P29" s="892"/>
      <c r="Q29" s="558"/>
      <c r="R29" s="892"/>
      <c r="S29" s="558"/>
      <c r="T29" s="892"/>
      <c r="U29" s="558"/>
      <c r="V29" s="892"/>
      <c r="W29" s="558"/>
      <c r="X29" s="892"/>
      <c r="Y29" s="558"/>
      <c r="Z29" s="558"/>
      <c r="AA29" s="558"/>
      <c r="AB29" s="558"/>
      <c r="AC29" s="558"/>
    </row>
    <row r="30" spans="1:33" ht="14.25" customHeight="1"/>
    <row r="31" spans="1:33" hidden="1">
      <c r="A31" s="642" t="s">
        <v>482</v>
      </c>
      <c r="B31" s="910">
        <f t="shared" ref="B31:AG31" si="10">AVERAGE(B4:B25)</f>
        <v>625.6999047619048</v>
      </c>
      <c r="C31" s="643"/>
      <c r="D31" s="910">
        <f t="shared" si="10"/>
        <v>288.63128571428575</v>
      </c>
      <c r="E31" s="269"/>
      <c r="F31" s="910">
        <f t="shared" si="10"/>
        <v>31.913095238095234</v>
      </c>
      <c r="G31" s="643"/>
      <c r="H31" s="910">
        <f t="shared" si="10"/>
        <v>20.143095238095235</v>
      </c>
      <c r="I31" s="643"/>
      <c r="J31" s="910">
        <f t="shared" si="10"/>
        <v>0</v>
      </c>
      <c r="K31" s="643"/>
      <c r="L31" s="910">
        <f t="shared" si="10"/>
        <v>187.31438095238096</v>
      </c>
      <c r="M31" s="643"/>
      <c r="N31" s="910">
        <f t="shared" si="10"/>
        <v>421.22780952380953</v>
      </c>
      <c r="O31" s="643"/>
      <c r="P31" s="910">
        <f t="shared" si="10"/>
        <v>75.793142857142854</v>
      </c>
      <c r="Q31" s="643"/>
      <c r="R31" s="910">
        <f t="shared" si="10"/>
        <v>0</v>
      </c>
      <c r="S31" s="643"/>
      <c r="T31" s="910">
        <f t="shared" si="10"/>
        <v>59.567142857142848</v>
      </c>
      <c r="U31" s="643"/>
      <c r="V31" s="910">
        <f t="shared" si="10"/>
        <v>4.1778571428571425</v>
      </c>
      <c r="W31" s="643"/>
      <c r="X31" s="910">
        <f t="shared" si="10"/>
        <v>11.768333333333331</v>
      </c>
      <c r="Y31" s="643"/>
      <c r="Z31" s="643">
        <f t="shared" si="10"/>
        <v>0</v>
      </c>
      <c r="AA31" s="643">
        <f t="shared" si="10"/>
        <v>0</v>
      </c>
      <c r="AB31" s="643">
        <f t="shared" si="10"/>
        <v>799.56695238095233</v>
      </c>
      <c r="AC31" s="643">
        <f t="shared" si="10"/>
        <v>41.817952380952377</v>
      </c>
      <c r="AD31" s="643">
        <f t="shared" si="10"/>
        <v>0.62761904761904752</v>
      </c>
      <c r="AE31" s="643">
        <f t="shared" si="10"/>
        <v>3.4868095238095238</v>
      </c>
      <c r="AF31" s="643">
        <f t="shared" si="10"/>
        <v>5.5828571428571436</v>
      </c>
      <c r="AG31" s="643">
        <f t="shared" si="10"/>
        <v>0.11885714285714288</v>
      </c>
    </row>
    <row r="32" spans="1:33" ht="28.5" hidden="1" customHeight="1">
      <c r="A32" s="642" t="s">
        <v>483</v>
      </c>
      <c r="B32" s="911" t="str">
        <f t="shared" ref="B32:AG32" si="11">MIN(B4:B25) &amp; " - " &amp; MAX(B4:B25)</f>
        <v>595.458 - 651.185</v>
      </c>
      <c r="C32" s="644"/>
      <c r="D32" s="911" t="str">
        <f t="shared" si="11"/>
        <v>215.594 - 302.288</v>
      </c>
      <c r="E32" s="223"/>
      <c r="F32" s="911" t="str">
        <f t="shared" si="11"/>
        <v>23.955 - 33.588</v>
      </c>
      <c r="G32" s="644"/>
      <c r="H32" s="911" t="str">
        <f t="shared" si="11"/>
        <v>15.244 - 21.374</v>
      </c>
      <c r="I32" s="644"/>
      <c r="J32" s="911" t="str">
        <f t="shared" si="11"/>
        <v>0 - 0</v>
      </c>
      <c r="K32" s="644"/>
      <c r="L32" s="911" t="str">
        <f t="shared" si="11"/>
        <v>141.522 - 200</v>
      </c>
      <c r="M32" s="644"/>
      <c r="N32" s="911" t="str">
        <f t="shared" si="11"/>
        <v>346.424 - 516.543</v>
      </c>
      <c r="O32" s="644"/>
      <c r="P32" s="911" t="str">
        <f t="shared" si="11"/>
        <v>69.609 - 86.204</v>
      </c>
      <c r="Q32" s="644"/>
      <c r="R32" s="911" t="str">
        <f t="shared" si="11"/>
        <v>0 - 0</v>
      </c>
      <c r="S32" s="644"/>
      <c r="T32" s="911" t="str">
        <f t="shared" si="11"/>
        <v>56.63 - 66.957</v>
      </c>
      <c r="U32" s="644"/>
      <c r="V32" s="911" t="str">
        <f t="shared" si="11"/>
        <v>0 - 25.399</v>
      </c>
      <c r="W32" s="644"/>
      <c r="X32" s="911" t="str">
        <f t="shared" si="11"/>
        <v>8.711 - 12.214</v>
      </c>
      <c r="Y32" s="644"/>
      <c r="Z32" s="644" t="str">
        <f t="shared" si="11"/>
        <v>0 - 0</v>
      </c>
      <c r="AA32" s="644" t="str">
        <f t="shared" si="11"/>
        <v>0 - 0</v>
      </c>
      <c r="AB32" s="644" t="str">
        <f t="shared" si="11"/>
        <v>387.607 - 5954.673</v>
      </c>
      <c r="AC32" s="644" t="str">
        <f t="shared" si="11"/>
        <v>29.816 - 47.552</v>
      </c>
      <c r="AD32" s="644" t="str">
        <f t="shared" si="11"/>
        <v>0 - 3.269</v>
      </c>
      <c r="AE32" s="644" t="str">
        <f t="shared" si="11"/>
        <v>0 - 18.159</v>
      </c>
      <c r="AF32" s="644" t="str">
        <f t="shared" si="11"/>
        <v>0 - 28.22</v>
      </c>
      <c r="AG32" s="644" t="str">
        <f t="shared" si="11"/>
        <v>0 - 0.6</v>
      </c>
    </row>
  </sheetData>
  <autoFilter ref="A2:AG2" xr:uid="{00000000-0001-0000-1E00-000000000000}"/>
  <mergeCells count="2">
    <mergeCell ref="A27:AG28"/>
    <mergeCell ref="A1:AG1"/>
  </mergeCells>
  <pageMargins left="0.7" right="0.7" top="0.75" bottom="0.75" header="0.3" footer="0.3"/>
  <pageSetup scale="43" fitToHeight="0" orientation="landscape" r:id="rId1"/>
  <headerFooter>
    <oddHeader xml:space="preserve">&amp;R&amp;14 2024 Nutrition Information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400B8-F35F-439C-8FE1-FA54BC1D6F37}">
  <sheetPr>
    <pageSetUpPr fitToPage="1"/>
  </sheetPr>
  <dimension ref="B1:AH35"/>
  <sheetViews>
    <sheetView zoomScale="70" zoomScaleNormal="70" zoomScalePageLayoutView="80" workbookViewId="0">
      <selection activeCell="A21" sqref="A21:A22"/>
    </sheetView>
    <sheetView topLeftCell="A9" zoomScale="80" zoomScaleNormal="80" workbookViewId="1">
      <selection activeCell="Z31" sqref="B31:Z36"/>
    </sheetView>
    <sheetView topLeftCell="F1" workbookViewId="2">
      <selection activeCell="H15" sqref="H15"/>
    </sheetView>
  </sheetViews>
  <sheetFormatPr defaultColWidth="9.15234375" defaultRowHeight="12.9"/>
  <cols>
    <col min="1" max="1" width="9.15234375" style="373"/>
    <col min="2" max="2" width="40.15234375" style="373" customWidth="1"/>
    <col min="3" max="3" width="15.3828125" style="373" bestFit="1" customWidth="1"/>
    <col min="4" max="4" width="13.84375" style="855" customWidth="1"/>
    <col min="5" max="5" width="10.53515625" style="373" customWidth="1"/>
    <col min="6" max="6" width="10.53515625" style="844" customWidth="1"/>
    <col min="7" max="8" width="13" style="373" customWidth="1"/>
    <col min="9" max="9" width="13.3828125" style="373" bestFit="1" customWidth="1"/>
    <col min="10" max="10" width="9.15234375" style="373" bestFit="1" customWidth="1"/>
    <col min="11" max="12" width="13.84375" style="373" customWidth="1"/>
    <col min="13" max="13" width="11.84375" style="373" customWidth="1"/>
    <col min="14" max="14" width="11.84375" style="844" customWidth="1"/>
    <col min="15" max="16" width="12.15234375" style="373" customWidth="1"/>
    <col min="17" max="18" width="9.15234375" style="373" customWidth="1"/>
    <col min="19" max="20" width="12.15234375" style="373" customWidth="1"/>
    <col min="21" max="22" width="10.53515625" style="373" customWidth="1"/>
    <col min="23" max="24" width="11" style="373" customWidth="1"/>
    <col min="25" max="26" width="12.3046875" style="373" customWidth="1"/>
    <col min="27" max="27" width="12.84375" style="373" customWidth="1"/>
    <col min="28" max="28" width="11.84375" style="373" customWidth="1"/>
    <col min="29" max="29" width="10.53515625" style="373" customWidth="1"/>
    <col min="30" max="31" width="9.15234375" style="373" customWidth="1"/>
    <col min="32" max="32" width="12.3828125" style="373" customWidth="1"/>
    <col min="33" max="33" width="13" style="373" customWidth="1"/>
    <col min="34" max="37" width="9.15234375" style="373"/>
    <col min="38" max="55" width="0" style="373" hidden="1" customWidth="1"/>
    <col min="56" max="16384" width="9.15234375" style="373"/>
  </cols>
  <sheetData>
    <row r="1" spans="2:34" s="374" customFormat="1" ht="24" customHeight="1">
      <c r="B1" s="1274" t="s">
        <v>413</v>
      </c>
      <c r="C1" s="1275"/>
      <c r="D1" s="1275"/>
      <c r="E1" s="1275"/>
      <c r="F1" s="1275"/>
      <c r="G1" s="1275"/>
      <c r="H1" s="1275"/>
      <c r="I1" s="1275"/>
      <c r="J1" s="1275"/>
      <c r="K1" s="1275"/>
      <c r="L1" s="1275"/>
      <c r="M1" s="1275"/>
      <c r="N1" s="1275"/>
      <c r="O1" s="1275"/>
      <c r="P1" s="1275"/>
      <c r="Q1" s="1275"/>
      <c r="R1" s="1275"/>
      <c r="S1" s="1275"/>
      <c r="T1" s="1275"/>
      <c r="U1" s="1275"/>
      <c r="V1" s="1275"/>
      <c r="W1" s="1275"/>
      <c r="X1" s="1275"/>
      <c r="Y1" s="1275"/>
      <c r="Z1" s="1275"/>
      <c r="AA1" s="1275"/>
      <c r="AB1" s="1275"/>
      <c r="AC1" s="1275"/>
      <c r="AD1" s="1275"/>
      <c r="AE1" s="1275"/>
      <c r="AF1" s="1275"/>
      <c r="AG1" s="1275"/>
    </row>
    <row r="2" spans="2:34" s="374" customFormat="1" ht="18.899999999999999" thickBot="1">
      <c r="B2" s="1276" t="s">
        <v>484</v>
      </c>
      <c r="C2" s="1277"/>
      <c r="D2" s="1277"/>
      <c r="E2" s="1277"/>
      <c r="F2" s="1277"/>
      <c r="G2" s="1277"/>
      <c r="H2" s="1277"/>
      <c r="I2" s="1277"/>
      <c r="J2" s="1277"/>
      <c r="K2" s="1277"/>
      <c r="L2" s="1277"/>
      <c r="M2" s="1277"/>
      <c r="N2" s="1277"/>
      <c r="O2" s="1277"/>
      <c r="P2" s="1277"/>
      <c r="Q2" s="1277"/>
      <c r="R2" s="1277"/>
      <c r="S2" s="1277"/>
      <c r="T2" s="1277"/>
      <c r="U2" s="1277"/>
      <c r="V2" s="1277"/>
      <c r="W2" s="1277"/>
      <c r="X2" s="1277"/>
      <c r="Y2" s="1277"/>
      <c r="Z2" s="1277"/>
      <c r="AA2" s="1277"/>
      <c r="AB2" s="1277"/>
      <c r="AC2" s="1277"/>
      <c r="AD2" s="1277"/>
      <c r="AE2" s="1277"/>
      <c r="AF2" s="1277"/>
      <c r="AG2" s="1277"/>
    </row>
    <row r="3" spans="2:34" s="374" customFormat="1" ht="55.3">
      <c r="B3" s="450" t="s">
        <v>3</v>
      </c>
      <c r="C3" s="460" t="s">
        <v>4</v>
      </c>
      <c r="D3" s="460" t="s">
        <v>4</v>
      </c>
      <c r="E3" s="460" t="s">
        <v>5</v>
      </c>
      <c r="F3" s="460" t="s">
        <v>5</v>
      </c>
      <c r="G3" s="460" t="s">
        <v>6</v>
      </c>
      <c r="H3" s="460" t="s">
        <v>6</v>
      </c>
      <c r="I3" s="460" t="s">
        <v>7</v>
      </c>
      <c r="J3" s="460" t="s">
        <v>7</v>
      </c>
      <c r="K3" s="460" t="s">
        <v>8</v>
      </c>
      <c r="L3" s="460" t="s">
        <v>8</v>
      </c>
      <c r="M3" s="460" t="s">
        <v>9</v>
      </c>
      <c r="N3" s="460" t="s">
        <v>9</v>
      </c>
      <c r="O3" s="460" t="s">
        <v>10</v>
      </c>
      <c r="P3" s="460" t="s">
        <v>10</v>
      </c>
      <c r="Q3" s="460" t="s">
        <v>11</v>
      </c>
      <c r="R3" s="460" t="s">
        <v>11</v>
      </c>
      <c r="S3" s="460" t="s">
        <v>12</v>
      </c>
      <c r="T3" s="460" t="s">
        <v>12</v>
      </c>
      <c r="U3" s="460" t="s">
        <v>13</v>
      </c>
      <c r="V3" s="460" t="s">
        <v>13</v>
      </c>
      <c r="W3" s="460" t="s">
        <v>14</v>
      </c>
      <c r="X3" s="460" t="s">
        <v>14</v>
      </c>
      <c r="Y3" s="460" t="s">
        <v>15</v>
      </c>
      <c r="Z3" s="460" t="s">
        <v>15</v>
      </c>
      <c r="AA3" s="441" t="s">
        <v>16</v>
      </c>
      <c r="AB3" s="441" t="s">
        <v>17</v>
      </c>
      <c r="AC3" s="441" t="s">
        <v>18</v>
      </c>
      <c r="AD3" s="441" t="s">
        <v>19</v>
      </c>
      <c r="AE3" s="441" t="s">
        <v>20</v>
      </c>
      <c r="AF3" s="441" t="s">
        <v>21</v>
      </c>
      <c r="AG3" s="441" t="s">
        <v>22</v>
      </c>
      <c r="AH3" s="441" t="s">
        <v>23</v>
      </c>
    </row>
    <row r="4" spans="2:34" s="374" customFormat="1" ht="18.45" hidden="1">
      <c r="B4" s="445" t="s">
        <v>485</v>
      </c>
      <c r="C4" s="388">
        <v>920</v>
      </c>
      <c r="D4" s="388"/>
      <c r="E4" s="848">
        <v>340</v>
      </c>
      <c r="F4" s="388"/>
      <c r="G4" s="388">
        <v>38</v>
      </c>
      <c r="H4" s="388"/>
      <c r="I4" s="388">
        <v>25</v>
      </c>
      <c r="J4" s="388"/>
      <c r="K4" s="388">
        <v>0</v>
      </c>
      <c r="L4" s="388"/>
      <c r="M4" s="388">
        <v>180</v>
      </c>
      <c r="N4" s="388"/>
      <c r="O4" s="388">
        <v>630</v>
      </c>
      <c r="P4" s="388"/>
      <c r="Q4" s="388">
        <v>130</v>
      </c>
      <c r="R4" s="388"/>
      <c r="S4" s="388">
        <v>0</v>
      </c>
      <c r="T4" s="388"/>
      <c r="U4" s="388">
        <v>89</v>
      </c>
      <c r="V4" s="388"/>
      <c r="W4" s="388">
        <v>32</v>
      </c>
      <c r="X4" s="388"/>
      <c r="Y4" s="388">
        <v>14</v>
      </c>
      <c r="Z4" s="388"/>
      <c r="AA4" s="388">
        <v>0</v>
      </c>
      <c r="AB4" s="388">
        <v>0</v>
      </c>
      <c r="AC4" s="388">
        <v>420.471</v>
      </c>
      <c r="AD4" s="388">
        <v>40</v>
      </c>
      <c r="AE4" s="388">
        <v>1.5752699999999999</v>
      </c>
      <c r="AF4" s="388">
        <v>8</v>
      </c>
      <c r="AG4" s="388">
        <v>540</v>
      </c>
      <c r="AH4" s="388">
        <v>15</v>
      </c>
    </row>
    <row r="5" spans="2:34" s="374" customFormat="1" ht="18.45">
      <c r="B5" s="788" t="s">
        <v>75</v>
      </c>
      <c r="C5" s="740">
        <v>530</v>
      </c>
      <c r="D5" s="388">
        <f>MROUND(C5,10)</f>
        <v>530</v>
      </c>
      <c r="E5" s="848">
        <v>239.173</v>
      </c>
      <c r="F5" s="388">
        <f t="shared" ref="F5:F15" si="0">IF(E5&lt;5,0,(IF(E5&gt;50,MROUND(E5,10),MROUND(E5,5))))</f>
        <v>240</v>
      </c>
      <c r="G5" s="740">
        <v>26.574999999999999</v>
      </c>
      <c r="H5" s="388">
        <f>IF(G5&lt;0.5,0,IF(G5&gt;5,MROUND(G5,1),MROUND(G5,0.5)))</f>
        <v>27</v>
      </c>
      <c r="I5" s="740">
        <v>16.908999999999999</v>
      </c>
      <c r="J5" s="388">
        <f>IF(I5&lt;0.5,0,IF(I5&gt;5,MROUND(I5,1),MROUND(I5,0.5)))</f>
        <v>17</v>
      </c>
      <c r="K5" s="740">
        <v>7.0000000000000007E-2</v>
      </c>
      <c r="L5" s="388">
        <f>IF(K5&lt;0.5,0,IF(K5&gt;5,MROUND(K5,1),MROUND(K5,0.5)))</f>
        <v>0</v>
      </c>
      <c r="M5" s="740">
        <v>153.99100000000001</v>
      </c>
      <c r="N5" s="388">
        <f>IF(M5&lt;2,0,IF(M5&gt;5,MROUND(M5,5),"less than 5 mg"))</f>
        <v>155</v>
      </c>
      <c r="O5" s="740">
        <v>359.05399999999997</v>
      </c>
      <c r="P5" s="992">
        <f>IF(O5&lt;5,0,IF(O5&gt;140,MROUND(O5,10),MROUND(O5,5)))</f>
        <v>360</v>
      </c>
      <c r="Q5" s="740">
        <v>65.188000000000002</v>
      </c>
      <c r="R5" s="740">
        <f>IF(Q5&lt;0.5,0,IF(Q5&gt;1,MROUND(Q5,1),"less than 1 g"))</f>
        <v>65</v>
      </c>
      <c r="S5" s="740">
        <v>4.0000000000000001E-3</v>
      </c>
      <c r="T5" s="388">
        <f>IF(S5&lt;0.5,0,IF(S5&gt;1,MROUND(S5,1),"less than 1 g"))</f>
        <v>0</v>
      </c>
      <c r="U5" s="740">
        <v>53.784999999999997</v>
      </c>
      <c r="V5" s="388">
        <f>IF(U5&lt;0.5,0,IF(U5&gt;1,MROUND(U5,1),"less than 1 g"))</f>
        <v>54</v>
      </c>
      <c r="W5" s="740">
        <v>0</v>
      </c>
      <c r="X5" s="388">
        <f>IF(W5&lt;0.5,0,IF(W5&gt;1,MROUND(W5,1),"less than 1 g"))</f>
        <v>0</v>
      </c>
      <c r="Y5" s="740">
        <v>11.784000000000001</v>
      </c>
      <c r="Z5" s="388">
        <f>IF(Y5&lt;0.5,0,IF(Y5&gt;1,MROUND(Y5,1),"less than 1 g"))</f>
        <v>12</v>
      </c>
      <c r="AA5" s="740">
        <v>0.98599999999999999</v>
      </c>
      <c r="AB5" s="740">
        <v>4.9320000000000004</v>
      </c>
      <c r="AC5" s="740">
        <v>540.98800000000006</v>
      </c>
      <c r="AD5" s="740">
        <v>41.613999999999997</v>
      </c>
      <c r="AE5" s="740">
        <v>1.7000000000000001E-2</v>
      </c>
      <c r="AF5" s="740">
        <v>9.5000000000000001E-2</v>
      </c>
      <c r="AG5" s="740">
        <v>116.536</v>
      </c>
      <c r="AH5" s="740">
        <v>2.4790000000000001</v>
      </c>
    </row>
    <row r="6" spans="2:34" s="374" customFormat="1" ht="18.45">
      <c r="B6" s="449" t="s">
        <v>34</v>
      </c>
      <c r="C6" s="740">
        <v>550</v>
      </c>
      <c r="D6" s="388">
        <f t="shared" ref="D6:D15" si="1">MROUND(C6,10)</f>
        <v>550</v>
      </c>
      <c r="E6" s="848">
        <v>218.762</v>
      </c>
      <c r="F6" s="388">
        <f t="shared" si="0"/>
        <v>220</v>
      </c>
      <c r="G6" s="740">
        <v>24.306999999999999</v>
      </c>
      <c r="H6" s="388">
        <f t="shared" ref="H6:H15" si="2">IF(G6&lt;0.5,0,IF(G6&gt;5,MROUND(G6,1),MROUND(G6,0.5)))</f>
        <v>24</v>
      </c>
      <c r="I6" s="740">
        <v>14.641</v>
      </c>
      <c r="J6" s="388">
        <f t="shared" ref="J6:J15" si="3">IF(I6&lt;0.5,0,IF(I6&gt;5,MROUND(I6,1),MROUND(I6,0.5)))</f>
        <v>15</v>
      </c>
      <c r="K6" s="740">
        <v>7.0000000000000007E-2</v>
      </c>
      <c r="L6" s="388">
        <f t="shared" ref="L6:L15" si="4">IF(K6&lt;0.5,0,IF(K6&gt;5,MROUND(K6,1),MROUND(K6,0.5)))</f>
        <v>0</v>
      </c>
      <c r="M6" s="740">
        <v>131.31200000000001</v>
      </c>
      <c r="N6" s="388">
        <f t="shared" ref="N6:N15" si="5">IF(M6&lt;2,0,IF(M6&gt;5,MROUND(M6,5),"less than 5 mg"))</f>
        <v>130</v>
      </c>
      <c r="O6" s="740">
        <v>302.35599999999999</v>
      </c>
      <c r="P6" s="992">
        <f t="shared" ref="P6:P15" si="6">IF(O6&lt;5,0,IF(O6&gt;140,MROUND(O6,10),MROUND(O6,5)))</f>
        <v>300</v>
      </c>
      <c r="Q6" s="740">
        <v>74.259</v>
      </c>
      <c r="R6" s="740">
        <f t="shared" ref="R6:R15" si="7">IF(Q6&lt;0.5,0,IF(Q6&gt;1,MROUND(Q6,1),"less than 1 g"))</f>
        <v>74</v>
      </c>
      <c r="S6" s="740">
        <v>4.0000000000000001E-3</v>
      </c>
      <c r="T6" s="388">
        <f t="shared" ref="T6:T15" si="8">IF(S6&lt;0.5,0,IF(S6&gt;1,MROUND(S6,1),"less than 1 g"))</f>
        <v>0</v>
      </c>
      <c r="U6" s="740">
        <v>60.588999999999999</v>
      </c>
      <c r="V6" s="388">
        <f t="shared" ref="V6:V15" si="9">IF(U6&lt;0.5,0,IF(U6&gt;1,MROUND(U6,1),"less than 1 g"))</f>
        <v>61</v>
      </c>
      <c r="W6" s="740">
        <v>0</v>
      </c>
      <c r="X6" s="388">
        <f t="shared" ref="X6:X15" si="10">IF(W6&lt;0.5,0,IF(W6&gt;1,MROUND(W6,1),"less than 1 g"))</f>
        <v>0</v>
      </c>
      <c r="Y6" s="740">
        <v>11.784000000000001</v>
      </c>
      <c r="Z6" s="388">
        <f t="shared" ref="Z6:Z15" si="11">IF(Y6&lt;0.5,0,IF(Y6&gt;1,MROUND(Y6,1),"less than 1 g"))</f>
        <v>12</v>
      </c>
      <c r="AA6" s="740">
        <v>0.98599999999999999</v>
      </c>
      <c r="AB6" s="740">
        <v>4.9320000000000004</v>
      </c>
      <c r="AC6" s="740">
        <v>393.57299999999998</v>
      </c>
      <c r="AD6" s="740">
        <v>30.274999999999999</v>
      </c>
      <c r="AE6" s="740">
        <v>2.4670000000000001</v>
      </c>
      <c r="AF6" s="740">
        <v>13.702999999999999</v>
      </c>
      <c r="AG6" s="740">
        <v>116.536</v>
      </c>
      <c r="AH6" s="740">
        <v>2.4790000000000001</v>
      </c>
    </row>
    <row r="7" spans="2:34" s="374" customFormat="1" ht="18.45">
      <c r="B7" s="447" t="s">
        <v>486</v>
      </c>
      <c r="C7" s="740">
        <v>648.68200000000002</v>
      </c>
      <c r="D7" s="388">
        <f t="shared" si="1"/>
        <v>650</v>
      </c>
      <c r="E7" s="848">
        <v>276.02499999999998</v>
      </c>
      <c r="F7" s="388">
        <f t="shared" si="0"/>
        <v>280</v>
      </c>
      <c r="G7" s="740">
        <v>30.669</v>
      </c>
      <c r="H7" s="388">
        <f t="shared" si="2"/>
        <v>31</v>
      </c>
      <c r="I7" s="740">
        <v>20.844999999999999</v>
      </c>
      <c r="J7" s="388">
        <f t="shared" si="3"/>
        <v>21</v>
      </c>
      <c r="K7" s="740">
        <v>7.0000000000000007E-2</v>
      </c>
      <c r="L7" s="388">
        <f t="shared" si="4"/>
        <v>0</v>
      </c>
      <c r="M7" s="740">
        <v>153.995</v>
      </c>
      <c r="N7" s="388">
        <f t="shared" si="5"/>
        <v>155</v>
      </c>
      <c r="O7" s="740">
        <v>464.67899999999997</v>
      </c>
      <c r="P7" s="992">
        <f t="shared" si="6"/>
        <v>460</v>
      </c>
      <c r="Q7" s="740">
        <v>85.31</v>
      </c>
      <c r="R7" s="740">
        <f t="shared" si="7"/>
        <v>85</v>
      </c>
      <c r="S7" s="740">
        <v>0.72099999999999997</v>
      </c>
      <c r="T7" s="388" t="str">
        <f t="shared" si="8"/>
        <v>less than 1 g</v>
      </c>
      <c r="U7" s="740">
        <v>70.430999999999997</v>
      </c>
      <c r="V7" s="388">
        <f t="shared" si="9"/>
        <v>70</v>
      </c>
      <c r="W7" s="740">
        <v>16.547999999999998</v>
      </c>
      <c r="X7" s="388">
        <f t="shared" si="10"/>
        <v>17</v>
      </c>
      <c r="Y7" s="740">
        <v>12.930999999999999</v>
      </c>
      <c r="Z7" s="388">
        <f t="shared" si="11"/>
        <v>13</v>
      </c>
      <c r="AA7" s="740">
        <v>0.98599999999999999</v>
      </c>
      <c r="AB7" s="740">
        <v>4.9320000000000004</v>
      </c>
      <c r="AC7" s="740">
        <v>565.04300000000001</v>
      </c>
      <c r="AD7" s="740">
        <v>43.465000000000003</v>
      </c>
      <c r="AE7" s="740">
        <v>1.0089999999999999</v>
      </c>
      <c r="AF7" s="740">
        <v>5.6040000000000001</v>
      </c>
      <c r="AG7" s="740">
        <v>255.14400000000001</v>
      </c>
      <c r="AH7" s="740">
        <v>5.4290000000000003</v>
      </c>
    </row>
    <row r="8" spans="2:34" s="374" customFormat="1" ht="18.45">
      <c r="B8" s="446" t="s">
        <v>487</v>
      </c>
      <c r="C8" s="740">
        <v>658.197</v>
      </c>
      <c r="D8" s="388">
        <f t="shared" si="1"/>
        <v>660</v>
      </c>
      <c r="E8" s="848">
        <v>257.12400000000002</v>
      </c>
      <c r="F8" s="388">
        <f t="shared" si="0"/>
        <v>260</v>
      </c>
      <c r="G8" s="740">
        <v>28.568999999999999</v>
      </c>
      <c r="H8" s="388">
        <f t="shared" si="2"/>
        <v>29</v>
      </c>
      <c r="I8" s="740">
        <v>18.137</v>
      </c>
      <c r="J8" s="388">
        <f t="shared" si="3"/>
        <v>18</v>
      </c>
      <c r="K8" s="740">
        <v>7.0000000000000007E-2</v>
      </c>
      <c r="L8" s="388">
        <f t="shared" si="4"/>
        <v>0</v>
      </c>
      <c r="M8" s="740">
        <v>159.21299999999999</v>
      </c>
      <c r="N8" s="388">
        <f t="shared" si="5"/>
        <v>160</v>
      </c>
      <c r="O8" s="740">
        <v>461.96699999999998</v>
      </c>
      <c r="P8" s="992">
        <f t="shared" si="6"/>
        <v>460</v>
      </c>
      <c r="Q8" s="740">
        <v>91.7</v>
      </c>
      <c r="R8" s="740">
        <f t="shared" si="7"/>
        <v>92</v>
      </c>
      <c r="S8" s="740">
        <v>3.3000000000000002E-2</v>
      </c>
      <c r="T8" s="388">
        <f t="shared" si="8"/>
        <v>0</v>
      </c>
      <c r="U8" s="740">
        <v>74.180000000000007</v>
      </c>
      <c r="V8" s="388">
        <f t="shared" si="9"/>
        <v>74</v>
      </c>
      <c r="W8" s="740">
        <v>20.390999999999998</v>
      </c>
      <c r="X8" s="388">
        <f t="shared" si="10"/>
        <v>20</v>
      </c>
      <c r="Y8" s="740">
        <v>12.786</v>
      </c>
      <c r="Z8" s="388">
        <f t="shared" si="11"/>
        <v>13</v>
      </c>
      <c r="AA8" s="740">
        <v>1.0029999999999999</v>
      </c>
      <c r="AB8" s="740">
        <v>5.0129999999999999</v>
      </c>
      <c r="AC8" s="740">
        <v>570.17200000000003</v>
      </c>
      <c r="AD8" s="740">
        <v>43.859000000000002</v>
      </c>
      <c r="AE8" s="740">
        <v>4.2000000000000003E-2</v>
      </c>
      <c r="AF8" s="740">
        <v>0.23100000000000001</v>
      </c>
      <c r="AG8" s="740">
        <v>157.69999999999999</v>
      </c>
      <c r="AH8" s="740">
        <v>3.355</v>
      </c>
    </row>
    <row r="9" spans="2:34" s="374" customFormat="1" ht="18.45">
      <c r="B9" s="446" t="s">
        <v>488</v>
      </c>
      <c r="C9" s="740">
        <v>655.14800000000002</v>
      </c>
      <c r="D9" s="388">
        <f t="shared" si="1"/>
        <v>660</v>
      </c>
      <c r="E9" s="848">
        <v>255.77</v>
      </c>
      <c r="F9" s="388">
        <f t="shared" si="0"/>
        <v>260</v>
      </c>
      <c r="G9" s="740">
        <v>28.419</v>
      </c>
      <c r="H9" s="388">
        <f t="shared" si="2"/>
        <v>28</v>
      </c>
      <c r="I9" s="740">
        <v>15.91</v>
      </c>
      <c r="J9" s="388">
        <f t="shared" si="3"/>
        <v>16</v>
      </c>
      <c r="K9" s="740">
        <v>7.0000000000000007E-2</v>
      </c>
      <c r="L9" s="388">
        <f t="shared" si="4"/>
        <v>0</v>
      </c>
      <c r="M9" s="740">
        <v>131.452</v>
      </c>
      <c r="N9" s="388">
        <f t="shared" si="5"/>
        <v>130</v>
      </c>
      <c r="O9" s="740">
        <v>375.16300000000001</v>
      </c>
      <c r="P9" s="992">
        <f t="shared" si="6"/>
        <v>380</v>
      </c>
      <c r="Q9" s="740">
        <v>89.674000000000007</v>
      </c>
      <c r="R9" s="740">
        <f t="shared" si="7"/>
        <v>90</v>
      </c>
      <c r="S9" s="740">
        <v>0.43</v>
      </c>
      <c r="T9" s="388">
        <f t="shared" si="8"/>
        <v>0</v>
      </c>
      <c r="U9" s="740">
        <v>69.031999999999996</v>
      </c>
      <c r="V9" s="388">
        <f t="shared" si="9"/>
        <v>69</v>
      </c>
      <c r="W9" s="740">
        <v>8.3710000000000004</v>
      </c>
      <c r="X9" s="388">
        <f t="shared" si="10"/>
        <v>8</v>
      </c>
      <c r="Y9" s="740">
        <v>12.677</v>
      </c>
      <c r="Z9" s="388">
        <f t="shared" si="11"/>
        <v>13</v>
      </c>
      <c r="AA9" s="740">
        <v>0.98599999999999999</v>
      </c>
      <c r="AB9" s="740">
        <v>4.9320000000000004</v>
      </c>
      <c r="AC9" s="740">
        <v>402.76499999999999</v>
      </c>
      <c r="AD9" s="740">
        <v>30.981999999999999</v>
      </c>
      <c r="AE9" s="740">
        <v>3.3530000000000002</v>
      </c>
      <c r="AF9" s="740">
        <v>18.629000000000001</v>
      </c>
      <c r="AG9" s="740">
        <v>146.37899999999999</v>
      </c>
      <c r="AH9" s="740">
        <v>3.1139999999999999</v>
      </c>
    </row>
    <row r="10" spans="2:34" s="374" customFormat="1" ht="18.45">
      <c r="B10" s="448" t="s">
        <v>101</v>
      </c>
      <c r="C10" s="857">
        <v>623.54</v>
      </c>
      <c r="D10" s="388">
        <f t="shared" si="1"/>
        <v>620</v>
      </c>
      <c r="E10" s="858">
        <v>219.04900000000001</v>
      </c>
      <c r="F10" s="388">
        <f t="shared" si="0"/>
        <v>220</v>
      </c>
      <c r="G10" s="857">
        <v>24.338999999999999</v>
      </c>
      <c r="H10" s="388">
        <f t="shared" si="2"/>
        <v>24</v>
      </c>
      <c r="I10" s="857">
        <v>14.644</v>
      </c>
      <c r="J10" s="388">
        <f t="shared" si="3"/>
        <v>15</v>
      </c>
      <c r="K10" s="857">
        <v>7.0000000000000007E-2</v>
      </c>
      <c r="L10" s="388">
        <f t="shared" si="4"/>
        <v>0</v>
      </c>
      <c r="M10" s="857">
        <v>131.31200000000001</v>
      </c>
      <c r="N10" s="388">
        <f t="shared" si="5"/>
        <v>130</v>
      </c>
      <c r="O10" s="857">
        <v>312.084</v>
      </c>
      <c r="P10" s="992">
        <f t="shared" si="6"/>
        <v>310</v>
      </c>
      <c r="Q10" s="857">
        <v>93.361999999999995</v>
      </c>
      <c r="R10" s="740">
        <f t="shared" si="7"/>
        <v>93</v>
      </c>
      <c r="S10" s="857">
        <v>0.61199999999999999</v>
      </c>
      <c r="T10" s="388" t="str">
        <f t="shared" si="8"/>
        <v>less than 1 g</v>
      </c>
      <c r="U10" s="857">
        <v>76.78</v>
      </c>
      <c r="V10" s="388">
        <f t="shared" si="9"/>
        <v>77</v>
      </c>
      <c r="W10" s="857">
        <v>10.198</v>
      </c>
      <c r="X10" s="388">
        <f t="shared" si="10"/>
        <v>10</v>
      </c>
      <c r="Y10" s="857">
        <v>11.946999999999999</v>
      </c>
      <c r="Z10" s="388">
        <f t="shared" si="11"/>
        <v>12</v>
      </c>
      <c r="AA10" s="857">
        <v>0.98599999999999999</v>
      </c>
      <c r="AB10" s="857">
        <v>4.9320000000000004</v>
      </c>
      <c r="AC10" s="857">
        <v>398.66899999999998</v>
      </c>
      <c r="AD10" s="857">
        <v>30.667000000000002</v>
      </c>
      <c r="AE10" s="857">
        <v>2.6850000000000001</v>
      </c>
      <c r="AF10" s="857">
        <v>14.914999999999999</v>
      </c>
      <c r="AG10" s="857">
        <v>165.006</v>
      </c>
      <c r="AH10" s="857">
        <v>3.5110000000000001</v>
      </c>
    </row>
    <row r="11" spans="2:34" s="374" customFormat="1" ht="18.45">
      <c r="B11" s="446" t="s">
        <v>489</v>
      </c>
      <c r="C11" s="740">
        <v>632.46900000000005</v>
      </c>
      <c r="D11" s="388">
        <f t="shared" si="1"/>
        <v>630</v>
      </c>
      <c r="E11" s="848">
        <v>276.18200000000002</v>
      </c>
      <c r="F11" s="388">
        <f t="shared" si="0"/>
        <v>280</v>
      </c>
      <c r="G11" s="740">
        <v>30.687000000000001</v>
      </c>
      <c r="H11" s="388">
        <f t="shared" si="2"/>
        <v>31</v>
      </c>
      <c r="I11" s="740">
        <v>18.178000000000001</v>
      </c>
      <c r="J11" s="388">
        <f t="shared" si="3"/>
        <v>18</v>
      </c>
      <c r="K11" s="740">
        <v>7.0000000000000007E-2</v>
      </c>
      <c r="L11" s="388">
        <f t="shared" si="4"/>
        <v>0</v>
      </c>
      <c r="M11" s="740">
        <v>154.13200000000001</v>
      </c>
      <c r="N11" s="388">
        <f t="shared" si="5"/>
        <v>155</v>
      </c>
      <c r="O11" s="740">
        <v>431.86099999999999</v>
      </c>
      <c r="P11" s="992">
        <f t="shared" si="6"/>
        <v>430</v>
      </c>
      <c r="Q11" s="740">
        <v>80.602000000000004</v>
      </c>
      <c r="R11" s="740">
        <f t="shared" si="7"/>
        <v>81</v>
      </c>
      <c r="S11" s="740">
        <v>0.43</v>
      </c>
      <c r="T11" s="388">
        <f t="shared" si="8"/>
        <v>0</v>
      </c>
      <c r="U11" s="740">
        <v>62.228000000000002</v>
      </c>
      <c r="V11" s="388">
        <f t="shared" si="9"/>
        <v>62</v>
      </c>
      <c r="W11" s="740">
        <v>8.3710000000000004</v>
      </c>
      <c r="X11" s="388">
        <f t="shared" si="10"/>
        <v>8</v>
      </c>
      <c r="Y11" s="740">
        <v>12.677</v>
      </c>
      <c r="Z11" s="388">
        <f t="shared" si="11"/>
        <v>13</v>
      </c>
      <c r="AA11" s="740">
        <v>0.98599999999999999</v>
      </c>
      <c r="AB11" s="740">
        <v>4.9320000000000004</v>
      </c>
      <c r="AC11" s="740">
        <v>550.17999999999995</v>
      </c>
      <c r="AD11" s="740">
        <v>42.322000000000003</v>
      </c>
      <c r="AE11" s="740">
        <v>0.90400000000000003</v>
      </c>
      <c r="AF11" s="740">
        <v>5.0209999999999999</v>
      </c>
      <c r="AG11" s="740">
        <v>146.37899999999999</v>
      </c>
      <c r="AH11" s="740">
        <v>3.1139999999999999</v>
      </c>
    </row>
    <row r="12" spans="2:34" s="374" customFormat="1" ht="18.45">
      <c r="B12" s="446" t="s">
        <v>490</v>
      </c>
      <c r="C12" s="740">
        <v>739.45299999999997</v>
      </c>
      <c r="D12" s="388">
        <f t="shared" si="1"/>
        <v>740</v>
      </c>
      <c r="E12" s="848">
        <v>410.72300000000001</v>
      </c>
      <c r="F12" s="388">
        <f t="shared" si="0"/>
        <v>410</v>
      </c>
      <c r="G12" s="740">
        <v>45.636000000000003</v>
      </c>
      <c r="H12" s="388">
        <f t="shared" si="2"/>
        <v>46</v>
      </c>
      <c r="I12" s="740">
        <v>20.073</v>
      </c>
      <c r="J12" s="388">
        <f t="shared" si="3"/>
        <v>20</v>
      </c>
      <c r="K12" s="740">
        <v>7.0000000000000007E-2</v>
      </c>
      <c r="L12" s="388">
        <f t="shared" si="4"/>
        <v>0</v>
      </c>
      <c r="M12" s="740">
        <v>153.99100000000001</v>
      </c>
      <c r="N12" s="388">
        <f t="shared" si="5"/>
        <v>155</v>
      </c>
      <c r="O12" s="740">
        <v>500.267</v>
      </c>
      <c r="P12" s="992">
        <f t="shared" si="6"/>
        <v>500</v>
      </c>
      <c r="Q12" s="740">
        <v>71.14</v>
      </c>
      <c r="R12" s="740">
        <f t="shared" si="7"/>
        <v>71</v>
      </c>
      <c r="S12" s="740">
        <v>2.073</v>
      </c>
      <c r="T12" s="388">
        <f t="shared" si="8"/>
        <v>2</v>
      </c>
      <c r="U12" s="740">
        <v>56.777999999999999</v>
      </c>
      <c r="V12" s="388">
        <f t="shared" si="9"/>
        <v>57</v>
      </c>
      <c r="W12" s="740">
        <v>2.0259999999999998</v>
      </c>
      <c r="X12" s="388">
        <f t="shared" si="10"/>
        <v>2</v>
      </c>
      <c r="Y12" s="740">
        <v>18.064</v>
      </c>
      <c r="Z12" s="388">
        <f t="shared" si="11"/>
        <v>18</v>
      </c>
      <c r="AA12" s="740">
        <v>0.98599999999999999</v>
      </c>
      <c r="AB12" s="740">
        <v>4.9320000000000004</v>
      </c>
      <c r="AC12" s="740">
        <v>563.58799999999997</v>
      </c>
      <c r="AD12" s="740">
        <v>43.353000000000002</v>
      </c>
      <c r="AE12" s="740">
        <v>1.1319999999999999</v>
      </c>
      <c r="AF12" s="740">
        <v>6.29</v>
      </c>
      <c r="AG12" s="740">
        <v>288.13799999999998</v>
      </c>
      <c r="AH12" s="740">
        <v>6.1310000000000002</v>
      </c>
    </row>
    <row r="13" spans="2:34" s="374" customFormat="1" ht="18.45">
      <c r="B13" s="446" t="s">
        <v>66</v>
      </c>
      <c r="C13" s="740">
        <v>600.86099999999999</v>
      </c>
      <c r="D13" s="388">
        <f t="shared" si="1"/>
        <v>600</v>
      </c>
      <c r="E13" s="848">
        <v>239.46</v>
      </c>
      <c r="F13" s="388">
        <f t="shared" si="0"/>
        <v>240</v>
      </c>
      <c r="G13" s="740">
        <v>26.606999999999999</v>
      </c>
      <c r="H13" s="388">
        <f t="shared" si="2"/>
        <v>27</v>
      </c>
      <c r="I13" s="740">
        <v>16.911999999999999</v>
      </c>
      <c r="J13" s="388">
        <f t="shared" si="3"/>
        <v>17</v>
      </c>
      <c r="K13" s="740">
        <v>7.0000000000000007E-2</v>
      </c>
      <c r="L13" s="388">
        <f t="shared" si="4"/>
        <v>0</v>
      </c>
      <c r="M13" s="740">
        <v>153.99100000000001</v>
      </c>
      <c r="N13" s="388">
        <f t="shared" si="5"/>
        <v>155</v>
      </c>
      <c r="O13" s="740">
        <v>368.78199999999998</v>
      </c>
      <c r="P13" s="992">
        <f t="shared" si="6"/>
        <v>370</v>
      </c>
      <c r="Q13" s="740">
        <v>84.29</v>
      </c>
      <c r="R13" s="740">
        <f t="shared" si="7"/>
        <v>84</v>
      </c>
      <c r="S13" s="740">
        <v>0.61199999999999999</v>
      </c>
      <c r="T13" s="388" t="str">
        <f t="shared" si="8"/>
        <v>less than 1 g</v>
      </c>
      <c r="U13" s="740">
        <v>69.977000000000004</v>
      </c>
      <c r="V13" s="388">
        <f t="shared" si="9"/>
        <v>70</v>
      </c>
      <c r="W13" s="740">
        <v>10.198</v>
      </c>
      <c r="X13" s="388">
        <f t="shared" si="10"/>
        <v>10</v>
      </c>
      <c r="Y13" s="740">
        <v>11.946999999999999</v>
      </c>
      <c r="Z13" s="388">
        <f t="shared" si="11"/>
        <v>12</v>
      </c>
      <c r="AA13" s="740">
        <v>0.98599999999999999</v>
      </c>
      <c r="AB13" s="740">
        <v>4.9320000000000004</v>
      </c>
      <c r="AC13" s="740">
        <v>546.08299999999997</v>
      </c>
      <c r="AD13" s="740">
        <v>42.006</v>
      </c>
      <c r="AE13" s="740">
        <v>0.23499999999999999</v>
      </c>
      <c r="AF13" s="740">
        <v>1.3069999999999999</v>
      </c>
      <c r="AG13" s="740">
        <v>165.006</v>
      </c>
      <c r="AH13" s="740">
        <v>3.5110000000000001</v>
      </c>
    </row>
    <row r="14" spans="2:34" s="374" customFormat="1" ht="18.45">
      <c r="B14" s="445" t="s">
        <v>94</v>
      </c>
      <c r="C14" s="740">
        <v>751.33799999999997</v>
      </c>
      <c r="D14" s="388">
        <f t="shared" si="1"/>
        <v>750</v>
      </c>
      <c r="E14" s="848">
        <v>320.87200000000001</v>
      </c>
      <c r="F14" s="388">
        <f t="shared" si="0"/>
        <v>320</v>
      </c>
      <c r="G14" s="740">
        <v>35.652000000000001</v>
      </c>
      <c r="H14" s="388">
        <f t="shared" si="2"/>
        <v>36</v>
      </c>
      <c r="I14" s="740">
        <v>22.027999999999999</v>
      </c>
      <c r="J14" s="388">
        <f t="shared" si="3"/>
        <v>22</v>
      </c>
      <c r="K14" s="740">
        <v>7.0000000000000007E-2</v>
      </c>
      <c r="L14" s="388">
        <f t="shared" si="4"/>
        <v>0</v>
      </c>
      <c r="M14" s="740">
        <v>154.11699999999999</v>
      </c>
      <c r="N14" s="388">
        <f t="shared" si="5"/>
        <v>155</v>
      </c>
      <c r="O14" s="740">
        <v>443.78899999999999</v>
      </c>
      <c r="P14" s="992">
        <f t="shared" si="6"/>
        <v>440</v>
      </c>
      <c r="Q14" s="740">
        <v>99.948999999999998</v>
      </c>
      <c r="R14" s="740">
        <f t="shared" si="7"/>
        <v>100</v>
      </c>
      <c r="S14" s="740">
        <v>18.009</v>
      </c>
      <c r="T14" s="388">
        <f t="shared" si="8"/>
        <v>18</v>
      </c>
      <c r="U14" s="740">
        <v>73.820999999999998</v>
      </c>
      <c r="V14" s="388">
        <f t="shared" si="9"/>
        <v>74</v>
      </c>
      <c r="W14" s="740">
        <v>12.135999999999999</v>
      </c>
      <c r="X14" s="388">
        <f t="shared" si="10"/>
        <v>12</v>
      </c>
      <c r="Y14" s="740">
        <v>12.503</v>
      </c>
      <c r="Z14" s="388">
        <f t="shared" si="11"/>
        <v>13</v>
      </c>
      <c r="AA14" s="740">
        <v>0.98599999999999999</v>
      </c>
      <c r="AB14" s="740">
        <v>4.9320000000000004</v>
      </c>
      <c r="AC14" s="740">
        <v>541.49300000000005</v>
      </c>
      <c r="AD14" s="740">
        <v>41.652999999999999</v>
      </c>
      <c r="AE14" s="740">
        <v>1.7000000000000001E-2</v>
      </c>
      <c r="AF14" s="740">
        <v>9.5000000000000001E-2</v>
      </c>
      <c r="AG14" s="740">
        <v>138.35900000000001</v>
      </c>
      <c r="AH14" s="740">
        <v>2.944</v>
      </c>
    </row>
    <row r="15" spans="2:34" s="374" customFormat="1" ht="18.45">
      <c r="B15" s="445" t="s">
        <v>491</v>
      </c>
      <c r="C15" s="740">
        <v>701.40599999999995</v>
      </c>
      <c r="D15" s="388">
        <f t="shared" si="1"/>
        <v>700</v>
      </c>
      <c r="E15" s="848">
        <v>278.24200000000002</v>
      </c>
      <c r="F15" s="388">
        <f t="shared" si="0"/>
        <v>280</v>
      </c>
      <c r="G15" s="740">
        <v>30.916</v>
      </c>
      <c r="H15" s="388">
        <f t="shared" si="2"/>
        <v>31</v>
      </c>
      <c r="I15" s="740">
        <v>17.989000000000001</v>
      </c>
      <c r="J15" s="388">
        <f t="shared" si="3"/>
        <v>18</v>
      </c>
      <c r="K15" s="740">
        <v>7.0000000000000007E-2</v>
      </c>
      <c r="L15" s="388">
        <f t="shared" si="4"/>
        <v>0</v>
      </c>
      <c r="M15" s="740">
        <v>153.99100000000001</v>
      </c>
      <c r="N15" s="388">
        <f t="shared" si="5"/>
        <v>155</v>
      </c>
      <c r="O15" s="740">
        <v>451.37299999999999</v>
      </c>
      <c r="P15" s="992">
        <f t="shared" si="6"/>
        <v>450</v>
      </c>
      <c r="Q15" s="740">
        <v>99.372</v>
      </c>
      <c r="R15" s="740">
        <f t="shared" si="7"/>
        <v>99</v>
      </c>
      <c r="S15" s="740">
        <v>18.567</v>
      </c>
      <c r="T15" s="388">
        <f t="shared" si="8"/>
        <v>19</v>
      </c>
      <c r="U15" s="740">
        <v>77.876999999999995</v>
      </c>
      <c r="V15" s="388">
        <f t="shared" si="9"/>
        <v>78</v>
      </c>
      <c r="W15" s="740">
        <v>10.198</v>
      </c>
      <c r="X15" s="388">
        <f t="shared" si="10"/>
        <v>10</v>
      </c>
      <c r="Y15" s="740">
        <v>12.664999999999999</v>
      </c>
      <c r="Z15" s="388">
        <f t="shared" si="11"/>
        <v>13</v>
      </c>
      <c r="AA15" s="740">
        <v>0.98599999999999999</v>
      </c>
      <c r="AB15" s="740">
        <v>4.9320000000000004</v>
      </c>
      <c r="AC15" s="740">
        <v>546.08299999999997</v>
      </c>
      <c r="AD15" s="740">
        <v>42.006</v>
      </c>
      <c r="AE15" s="740">
        <v>0.23499999999999999</v>
      </c>
      <c r="AF15" s="740">
        <v>1.3069999999999999</v>
      </c>
      <c r="AG15" s="740">
        <v>186.55199999999999</v>
      </c>
      <c r="AH15" s="740">
        <v>3.9689999999999999</v>
      </c>
    </row>
    <row r="16" spans="2:34" s="374" customFormat="1" ht="18.45">
      <c r="B16" s="444"/>
      <c r="C16" s="381"/>
      <c r="D16" s="738"/>
      <c r="E16" s="381"/>
      <c r="F16" s="382"/>
      <c r="G16" s="381"/>
      <c r="H16" s="381"/>
      <c r="I16" s="381"/>
      <c r="J16" s="381"/>
      <c r="K16" s="381"/>
      <c r="L16" s="381"/>
      <c r="M16" s="381"/>
      <c r="N16" s="382"/>
      <c r="O16" s="381"/>
      <c r="P16" s="381"/>
      <c r="Q16" s="381"/>
      <c r="R16" s="381"/>
      <c r="S16" s="802"/>
      <c r="T16" s="802"/>
      <c r="U16" s="802"/>
      <c r="V16" s="802"/>
      <c r="W16" s="802"/>
      <c r="X16" s="802"/>
      <c r="Y16" s="802"/>
      <c r="Z16" s="802"/>
      <c r="AA16" s="802"/>
      <c r="AB16" s="802"/>
      <c r="AC16" s="803"/>
      <c r="AD16" s="803"/>
      <c r="AE16" s="803"/>
      <c r="AF16" s="803"/>
      <c r="AG16" s="803"/>
    </row>
    <row r="18" spans="2:34" s="374" customFormat="1" ht="23.25" customHeight="1">
      <c r="B18" s="1278" t="s">
        <v>492</v>
      </c>
      <c r="C18" s="1279"/>
      <c r="D18" s="1279"/>
      <c r="E18" s="1279"/>
      <c r="F18" s="1279"/>
      <c r="G18" s="1279"/>
      <c r="H18" s="1279"/>
      <c r="I18" s="1279"/>
      <c r="J18" s="1279"/>
      <c r="K18" s="1279"/>
      <c r="L18" s="1279"/>
      <c r="M18" s="1279"/>
      <c r="N18" s="1279"/>
      <c r="O18" s="1279"/>
      <c r="P18" s="1279"/>
      <c r="Q18" s="1279"/>
      <c r="R18" s="1279"/>
      <c r="S18" s="1279"/>
      <c r="T18" s="1279"/>
      <c r="U18" s="1279"/>
      <c r="V18" s="1279"/>
      <c r="W18" s="1279"/>
      <c r="X18" s="1279"/>
      <c r="Y18" s="1279"/>
      <c r="Z18" s="1279"/>
      <c r="AA18" s="1279"/>
      <c r="AB18" s="1279"/>
      <c r="AC18" s="1279"/>
      <c r="AD18" s="1279"/>
      <c r="AE18" s="1279"/>
      <c r="AF18" s="1279"/>
      <c r="AG18" s="1279"/>
    </row>
    <row r="19" spans="2:34" s="374" customFormat="1" ht="18.899999999999999" thickBot="1">
      <c r="B19" s="1280" t="s">
        <v>493</v>
      </c>
      <c r="C19" s="1275"/>
      <c r="D19" s="1275"/>
      <c r="E19" s="1275"/>
      <c r="F19" s="1275"/>
      <c r="G19" s="1275"/>
      <c r="H19" s="1275"/>
      <c r="I19" s="1275"/>
      <c r="J19" s="1275"/>
      <c r="K19" s="1275"/>
      <c r="L19" s="1275"/>
      <c r="M19" s="1275"/>
      <c r="N19" s="1275"/>
      <c r="O19" s="1275"/>
      <c r="P19" s="1275"/>
      <c r="Q19" s="1275"/>
      <c r="R19" s="1275"/>
      <c r="S19" s="1275"/>
      <c r="T19" s="1275"/>
      <c r="U19" s="1275"/>
      <c r="V19" s="1275"/>
      <c r="W19" s="1275"/>
      <c r="X19" s="1275"/>
      <c r="Y19" s="1275"/>
      <c r="Z19" s="1275"/>
      <c r="AA19" s="1275"/>
      <c r="AB19" s="1275"/>
      <c r="AC19" s="1275"/>
      <c r="AD19" s="1275"/>
      <c r="AE19" s="1275"/>
      <c r="AF19" s="1275"/>
      <c r="AG19" s="1275"/>
    </row>
    <row r="20" spans="2:34" s="374" customFormat="1" ht="58.5" customHeight="1" thickBot="1">
      <c r="B20" s="443" t="s">
        <v>3</v>
      </c>
      <c r="C20" s="442" t="s">
        <v>4</v>
      </c>
      <c r="D20" s="442" t="s">
        <v>4</v>
      </c>
      <c r="E20" s="847" t="s">
        <v>5</v>
      </c>
      <c r="F20" s="442" t="s">
        <v>5</v>
      </c>
      <c r="G20" s="442" t="s">
        <v>6</v>
      </c>
      <c r="H20" s="442" t="s">
        <v>6</v>
      </c>
      <c r="I20" s="442" t="s">
        <v>7</v>
      </c>
      <c r="J20" s="442" t="s">
        <v>7</v>
      </c>
      <c r="K20" s="442" t="s">
        <v>8</v>
      </c>
      <c r="L20" s="442" t="s">
        <v>8</v>
      </c>
      <c r="M20" s="442" t="s">
        <v>9</v>
      </c>
      <c r="N20" s="442" t="s">
        <v>9</v>
      </c>
      <c r="O20" s="442" t="s">
        <v>10</v>
      </c>
      <c r="P20" s="442" t="s">
        <v>10</v>
      </c>
      <c r="Q20" s="442" t="s">
        <v>11</v>
      </c>
      <c r="R20" s="442" t="s">
        <v>11</v>
      </c>
      <c r="S20" s="442" t="s">
        <v>12</v>
      </c>
      <c r="T20" s="442" t="s">
        <v>12</v>
      </c>
      <c r="U20" s="442" t="s">
        <v>13</v>
      </c>
      <c r="V20" s="442" t="s">
        <v>13</v>
      </c>
      <c r="W20" s="442" t="s">
        <v>14</v>
      </c>
      <c r="X20" s="442" t="s">
        <v>14</v>
      </c>
      <c r="Y20" s="442" t="s">
        <v>15</v>
      </c>
      <c r="Z20" s="442" t="s">
        <v>15</v>
      </c>
      <c r="AA20" s="441" t="s">
        <v>16</v>
      </c>
      <c r="AB20" s="441" t="s">
        <v>17</v>
      </c>
      <c r="AC20" s="441" t="s">
        <v>18</v>
      </c>
      <c r="AD20" s="441" t="s">
        <v>19</v>
      </c>
      <c r="AE20" s="441" t="s">
        <v>20</v>
      </c>
      <c r="AF20" s="441" t="s">
        <v>21</v>
      </c>
      <c r="AG20" s="441" t="s">
        <v>22</v>
      </c>
      <c r="AH20" s="441" t="s">
        <v>23</v>
      </c>
    </row>
    <row r="21" spans="2:34" s="374" customFormat="1" ht="18.45">
      <c r="B21" s="386" t="s">
        <v>422</v>
      </c>
      <c r="C21" s="458">
        <v>5</v>
      </c>
      <c r="D21" s="458">
        <v>5</v>
      </c>
      <c r="E21" s="849">
        <v>0</v>
      </c>
      <c r="F21" s="458">
        <v>0</v>
      </c>
      <c r="G21" s="458">
        <v>0</v>
      </c>
      <c r="H21" s="458">
        <v>0</v>
      </c>
      <c r="I21" s="458">
        <v>0</v>
      </c>
      <c r="J21" s="458">
        <v>0</v>
      </c>
      <c r="K21" s="458">
        <v>0</v>
      </c>
      <c r="L21" s="458">
        <v>0</v>
      </c>
      <c r="M21" s="458">
        <v>0</v>
      </c>
      <c r="N21" s="458">
        <v>0</v>
      </c>
      <c r="O21" s="458">
        <v>0</v>
      </c>
      <c r="P21" s="458">
        <v>0</v>
      </c>
      <c r="Q21" s="458">
        <v>1</v>
      </c>
      <c r="R21" s="458" t="s">
        <v>303</v>
      </c>
      <c r="S21" s="458">
        <v>0</v>
      </c>
      <c r="T21" s="458">
        <v>0</v>
      </c>
      <c r="U21" s="458">
        <v>1</v>
      </c>
      <c r="V21" s="458" t="s">
        <v>303</v>
      </c>
      <c r="W21" s="458">
        <v>1</v>
      </c>
      <c r="X21" s="458" t="s">
        <v>303</v>
      </c>
      <c r="Y21" s="458">
        <v>0</v>
      </c>
      <c r="Z21" s="458">
        <v>0</v>
      </c>
      <c r="AA21" s="458">
        <v>0</v>
      </c>
      <c r="AB21" s="458">
        <v>0</v>
      </c>
      <c r="AC21" s="458">
        <v>1</v>
      </c>
      <c r="AD21" s="798">
        <v>0</v>
      </c>
      <c r="AE21" s="798">
        <v>0</v>
      </c>
      <c r="AF21" s="798">
        <v>0</v>
      </c>
      <c r="AG21" s="798">
        <v>1</v>
      </c>
      <c r="AH21" s="798">
        <v>0</v>
      </c>
    </row>
    <row r="22" spans="2:34" s="374" customFormat="1" ht="18.45">
      <c r="B22" s="386" t="s">
        <v>423</v>
      </c>
      <c r="C22" s="457">
        <v>38.271000000000001</v>
      </c>
      <c r="D22" s="457">
        <v>40</v>
      </c>
      <c r="E22" s="849">
        <v>25.513999999999999</v>
      </c>
      <c r="F22" s="458">
        <v>25</v>
      </c>
      <c r="G22" s="457">
        <v>2.835</v>
      </c>
      <c r="H22" s="457">
        <v>3</v>
      </c>
      <c r="I22" s="457">
        <v>1.843</v>
      </c>
      <c r="J22" s="457">
        <v>2</v>
      </c>
      <c r="K22" s="457">
        <v>0</v>
      </c>
      <c r="L22" s="457">
        <v>0</v>
      </c>
      <c r="M22" s="457">
        <v>9.2129999999999992</v>
      </c>
      <c r="N22" s="458">
        <v>10</v>
      </c>
      <c r="O22" s="457">
        <v>3.544</v>
      </c>
      <c r="P22" s="457">
        <v>0</v>
      </c>
      <c r="Q22" s="457">
        <v>3.1179999999999999</v>
      </c>
      <c r="R22" s="457">
        <v>3</v>
      </c>
      <c r="S22" s="457">
        <v>0</v>
      </c>
      <c r="T22" s="457">
        <v>0</v>
      </c>
      <c r="U22" s="457">
        <v>1.417</v>
      </c>
      <c r="V22" s="457">
        <v>1</v>
      </c>
      <c r="W22" s="457">
        <v>1.1339999999999999</v>
      </c>
      <c r="X22" s="457">
        <v>1</v>
      </c>
      <c r="Y22" s="457">
        <v>0.28299999999999997</v>
      </c>
      <c r="Z22" s="457">
        <v>0</v>
      </c>
      <c r="AA22" s="458">
        <v>0</v>
      </c>
      <c r="AB22" s="458">
        <v>0</v>
      </c>
      <c r="AC22" s="457">
        <v>9.9220000000000006</v>
      </c>
      <c r="AD22" s="457">
        <v>0.76300000000000001</v>
      </c>
      <c r="AE22" s="457">
        <v>0</v>
      </c>
      <c r="AF22" s="457">
        <v>0</v>
      </c>
      <c r="AG22" s="457">
        <v>12.757</v>
      </c>
      <c r="AH22" s="457">
        <v>0.27100000000000002</v>
      </c>
    </row>
    <row r="23" spans="2:34" s="374" customFormat="1" ht="18.899999999999999" thickBot="1">
      <c r="B23" s="383"/>
      <c r="C23" s="381"/>
      <c r="D23" s="738"/>
      <c r="E23" s="381"/>
      <c r="F23" s="382"/>
      <c r="G23" s="381"/>
      <c r="H23" s="381"/>
      <c r="I23" s="381"/>
      <c r="J23" s="381"/>
      <c r="K23" s="381"/>
      <c r="L23" s="381"/>
      <c r="M23" s="381"/>
      <c r="N23" s="382"/>
      <c r="O23" s="381"/>
      <c r="P23" s="381"/>
      <c r="Q23" s="381"/>
      <c r="R23" s="381"/>
      <c r="S23" s="381"/>
      <c r="T23" s="381"/>
      <c r="U23" s="381"/>
      <c r="V23" s="381"/>
      <c r="W23" s="381"/>
      <c r="X23" s="381"/>
      <c r="Y23" s="382"/>
      <c r="Z23" s="382"/>
      <c r="AA23" s="382"/>
      <c r="AB23" s="381"/>
      <c r="AC23" s="381"/>
      <c r="AD23" s="381"/>
      <c r="AE23" s="381"/>
      <c r="AF23" s="381"/>
      <c r="AG23" s="381"/>
    </row>
    <row r="24" spans="2:34" s="374" customFormat="1" ht="18.45">
      <c r="B24" s="1281" t="s">
        <v>168</v>
      </c>
      <c r="C24" s="1282"/>
      <c r="D24" s="1282"/>
      <c r="E24" s="1282"/>
      <c r="F24" s="1282"/>
      <c r="G24" s="1282"/>
      <c r="H24" s="1282"/>
      <c r="I24" s="1282"/>
      <c r="J24" s="1282"/>
      <c r="K24" s="1282"/>
      <c r="L24" s="1282"/>
      <c r="M24" s="1282"/>
      <c r="N24" s="1282"/>
      <c r="O24" s="1282"/>
      <c r="P24" s="1282"/>
      <c r="Q24" s="1282"/>
      <c r="R24" s="1282"/>
      <c r="S24" s="1282"/>
      <c r="T24" s="1282"/>
      <c r="U24" s="1282"/>
      <c r="V24" s="1282"/>
      <c r="W24" s="1282"/>
      <c r="X24" s="1282"/>
      <c r="Y24" s="1282"/>
      <c r="Z24" s="1282"/>
      <c r="AA24" s="1282"/>
      <c r="AB24" s="1282"/>
      <c r="AC24" s="1282"/>
      <c r="AD24" s="1282"/>
      <c r="AE24" s="1282"/>
      <c r="AF24" s="1282"/>
      <c r="AG24" s="1283"/>
    </row>
    <row r="25" spans="2:34" s="374" customFormat="1" ht="18.45">
      <c r="B25" s="1284"/>
      <c r="C25" s="1285"/>
      <c r="D25" s="1285"/>
      <c r="E25" s="1285"/>
      <c r="F25" s="1285"/>
      <c r="G25" s="1285"/>
      <c r="H25" s="1285"/>
      <c r="I25" s="1285"/>
      <c r="J25" s="1285"/>
      <c r="K25" s="1285"/>
      <c r="L25" s="1285"/>
      <c r="M25" s="1285"/>
      <c r="N25" s="1285"/>
      <c r="O25" s="1285"/>
      <c r="P25" s="1285"/>
      <c r="Q25" s="1285"/>
      <c r="R25" s="1285"/>
      <c r="S25" s="1285"/>
      <c r="T25" s="1285"/>
      <c r="U25" s="1285"/>
      <c r="V25" s="1285"/>
      <c r="W25" s="1285"/>
      <c r="X25" s="1285"/>
      <c r="Y25" s="1285"/>
      <c r="Z25" s="1285"/>
      <c r="AA25" s="1285"/>
      <c r="AB25" s="1285"/>
      <c r="AC25" s="1285"/>
      <c r="AD25" s="1285"/>
      <c r="AE25" s="1285"/>
      <c r="AF25" s="1285"/>
      <c r="AG25" s="1286"/>
    </row>
    <row r="26" spans="2:34" s="374" customFormat="1" ht="18.899999999999999" thickBot="1">
      <c r="B26" s="1287"/>
      <c r="C26" s="1288"/>
      <c r="D26" s="1288"/>
      <c r="E26" s="1288"/>
      <c r="F26" s="1288"/>
      <c r="G26" s="1288"/>
      <c r="H26" s="1288"/>
      <c r="I26" s="1288"/>
      <c r="J26" s="1288"/>
      <c r="K26" s="1288"/>
      <c r="L26" s="1288"/>
      <c r="M26" s="1288"/>
      <c r="N26" s="1288"/>
      <c r="O26" s="1288"/>
      <c r="P26" s="1288"/>
      <c r="Q26" s="1288"/>
      <c r="R26" s="1288"/>
      <c r="S26" s="1288"/>
      <c r="T26" s="1288"/>
      <c r="U26" s="1288"/>
      <c r="V26" s="1288"/>
      <c r="W26" s="1288"/>
      <c r="X26" s="1288"/>
      <c r="Y26" s="1288"/>
      <c r="Z26" s="1288"/>
      <c r="AA26" s="1288"/>
      <c r="AB26" s="1288"/>
      <c r="AC26" s="1288"/>
      <c r="AD26" s="1288"/>
      <c r="AE26" s="1288"/>
      <c r="AF26" s="1288"/>
      <c r="AG26" s="1289"/>
    </row>
    <row r="27" spans="2:34" s="374" customFormat="1" ht="18.45">
      <c r="B27" s="440"/>
      <c r="C27" s="439"/>
      <c r="D27" s="850"/>
      <c r="E27" s="439"/>
      <c r="F27" s="439"/>
      <c r="G27" s="439"/>
      <c r="H27" s="439"/>
      <c r="I27" s="439"/>
      <c r="J27" s="439"/>
      <c r="K27" s="439"/>
      <c r="L27" s="439"/>
      <c r="M27" s="439"/>
      <c r="N27" s="439"/>
      <c r="O27" s="439"/>
      <c r="P27" s="439"/>
      <c r="Q27" s="439"/>
      <c r="R27" s="439"/>
      <c r="S27" s="439"/>
      <c r="T27" s="439"/>
      <c r="U27" s="439"/>
      <c r="V27" s="439"/>
      <c r="W27" s="439"/>
      <c r="X27" s="439"/>
      <c r="Y27" s="439"/>
      <c r="Z27" s="439"/>
      <c r="AA27" s="439"/>
      <c r="AB27" s="439"/>
      <c r="AC27" s="439"/>
      <c r="AD27" s="439"/>
      <c r="AE27" s="439"/>
      <c r="AF27" s="439"/>
      <c r="AG27" s="438"/>
    </row>
    <row r="28" spans="2:34" s="374" customFormat="1" ht="18.45" hidden="1">
      <c r="B28" s="437" t="s">
        <v>494</v>
      </c>
      <c r="C28" s="436">
        <f>(AVERAGE(C6:C15)+C21+C22)</f>
        <v>699.3803999999999</v>
      </c>
      <c r="D28" s="851" t="e">
        <f>(AVERAGE(E6:E15,#REF!)+E21+E22)</f>
        <v>#REF!</v>
      </c>
      <c r="E28" s="436" t="e">
        <f>(AVERAGE(G6:G15,#REF!)+G21+G22)</f>
        <v>#REF!</v>
      </c>
      <c r="F28" s="436"/>
      <c r="G28" s="436" t="e">
        <f>(AVERAGE(I6:I15,#REF!)+I21+I22)</f>
        <v>#REF!</v>
      </c>
      <c r="H28" s="436"/>
      <c r="I28" s="436" t="e">
        <f>(AVERAGE(K6:K15,#REF!)+K21+K22)</f>
        <v>#REF!</v>
      </c>
      <c r="J28" s="436"/>
      <c r="K28" s="436" t="e">
        <f>(AVERAGE(M6:M15,#REF!)+M21+M22)</f>
        <v>#REF!</v>
      </c>
      <c r="L28" s="436"/>
      <c r="M28" s="436" t="e">
        <f>(AVERAGE(O6:O15,#REF!)+O21+O22)</f>
        <v>#REF!</v>
      </c>
      <c r="N28" s="436"/>
      <c r="O28" s="436" t="e">
        <f>(AVERAGE(Q6:Q15,#REF!)+Q21+Q22)</f>
        <v>#REF!</v>
      </c>
      <c r="P28" s="436"/>
      <c r="Q28" s="436" t="e">
        <f>(AVERAGE(S6:S15,#REF!)+S21+S22)</f>
        <v>#REF!</v>
      </c>
      <c r="R28" s="436"/>
      <c r="S28" s="436" t="e">
        <f>(AVERAGE(U6:U15,#REF!)+U21+U22)</f>
        <v>#REF!</v>
      </c>
      <c r="T28" s="436"/>
      <c r="U28" s="436" t="e">
        <f>(AVERAGE(W6:W15,#REF!)+W21+W22)</f>
        <v>#REF!</v>
      </c>
      <c r="V28" s="436"/>
      <c r="W28" s="436" t="e">
        <f>(AVERAGE(Y6:Y15,#REF!)+Y21+Y22)</f>
        <v>#REF!</v>
      </c>
      <c r="X28" s="436"/>
      <c r="Y28" s="436" t="e">
        <f>(AVERAGE(AA6:AA15,#REF!)+AA21+AA22)</f>
        <v>#REF!</v>
      </c>
      <c r="Z28" s="436"/>
      <c r="AA28" s="436" t="e">
        <f>(AVERAGE(AB6:AB15,#REF!)+AB21+AB22)</f>
        <v>#REF!</v>
      </c>
      <c r="AB28" s="436" t="e">
        <f>(AVERAGE(AC6:AC15,#REF!)+AC21+AC22)</f>
        <v>#REF!</v>
      </c>
      <c r="AC28" s="436" t="e">
        <f>(AVERAGE(AD6:AD15,#REF!)+AD21+AD22)</f>
        <v>#REF!</v>
      </c>
      <c r="AD28" s="436" t="e">
        <f>(AVERAGE(AE6:AE15,#REF!)+AE21+AE22)</f>
        <v>#REF!</v>
      </c>
      <c r="AE28" s="436" t="e">
        <f>(AVERAGE(AF6:AF15,#REF!)+AF21+AF22)</f>
        <v>#REF!</v>
      </c>
      <c r="AF28" s="436" t="e">
        <f>(AVERAGE(AG6:AG15,#REF!)+AG21+AG22)</f>
        <v>#REF!</v>
      </c>
      <c r="AG28" s="436" t="e">
        <f>(AVERAGE(AH6:AH15,#REF!)+AH21+AH22)</f>
        <v>#REF!</v>
      </c>
    </row>
    <row r="29" spans="2:34" s="374" customFormat="1" ht="18.45" hidden="1">
      <c r="B29" s="435" t="s">
        <v>495</v>
      </c>
      <c r="C29" s="434" t="str">
        <f>(MIN(C6:C15)) &amp;" - "&amp;(MAX(C6:C15)+C21+C22)</f>
        <v>550 - 794.609</v>
      </c>
      <c r="D29" s="852" t="str">
        <f>(MIN(E6:E15)) &amp;" - "&amp;(MAX(E6:E15)+E21+E22)</f>
        <v>218.762 - 436.237</v>
      </c>
      <c r="E29" s="434" t="str">
        <f>(MIN(G6:G15,)) &amp;" - "&amp;(MAX(G6:G15,)+G21+G22)</f>
        <v>0 - 48.471</v>
      </c>
      <c r="F29" s="434"/>
      <c r="G29" s="434" t="str">
        <f>(MIN(I6:I15)) &amp;" - "&amp;(MAX(I6:I15)+I21+I22)</f>
        <v>14.641 - 23.871</v>
      </c>
      <c r="H29" s="434"/>
      <c r="I29" s="434" t="str">
        <f>(MIN(K6:K15)) &amp;" - "&amp;(MAX(K6:K15)+K21+K22)</f>
        <v>0.07 - 0.07</v>
      </c>
      <c r="J29" s="434"/>
      <c r="K29" s="434" t="str">
        <f>(MIN(M6:M15)) &amp;" - "&amp;(MAX(M6:M15)+M21+M22)</f>
        <v>131.312 - 168.426</v>
      </c>
      <c r="L29" s="434"/>
      <c r="M29" s="434" t="str">
        <f>(MIN(O6:O15)) &amp;" - "&amp;(MAX(O6:O15)+O21+O22)</f>
        <v>302.356 - 503.811</v>
      </c>
      <c r="N29" s="434"/>
      <c r="O29" s="434" t="str">
        <f>(MIN(Q6:Q15)) &amp;" - "&amp;(MAX(Q6:Q15)+Q21+Q22)</f>
        <v>71.14 - 104.067</v>
      </c>
      <c r="P29" s="434"/>
      <c r="Q29" s="434" t="str">
        <f>(MIN(S6:S15)) &amp;" - "&amp;(MAX(S6:S15)+S21+S22)</f>
        <v>0.004 - 18.567</v>
      </c>
      <c r="R29" s="434"/>
      <c r="S29" s="434" t="str">
        <f>(MIN(U6:U15)) &amp;" - "&amp;(MAX(U6:U15)+U21+U22)</f>
        <v>56.778 - 80.294</v>
      </c>
      <c r="T29" s="434"/>
      <c r="U29" s="434" t="str">
        <f>(MIN(W6:W15)) &amp;" - "&amp;(MAX(W6:W15)+W21+W22)</f>
        <v>0 - 22.525</v>
      </c>
      <c r="V29" s="434"/>
      <c r="W29" s="434" t="str">
        <f>(MIN(Y6:Y15)) &amp;" - "&amp;(MAX(Y6:Y15)+Y21+Y22)</f>
        <v>11.784 - 18.347</v>
      </c>
      <c r="X29" s="434"/>
      <c r="Y29" s="434" t="e">
        <f>(MIN(AA6:AA15,#REF!)) &amp;" - "&amp;(MAX(AA6:AA15,#REF!)+AA21+AA22)</f>
        <v>#REF!</v>
      </c>
      <c r="Z29" s="434"/>
      <c r="AA29" s="434" t="e">
        <f>(MIN(AB6:AB15,#REF!)) &amp;" - "&amp;(MAX(AB6:AB15,#REF!)+AB21+AB22)</f>
        <v>#REF!</v>
      </c>
      <c r="AB29" s="434" t="e">
        <f>(MIN(AC6:AC15,#REF!)) &amp;" - "&amp;(MAX(AC6:AC15,#REF!)+AC21+AC22)</f>
        <v>#REF!</v>
      </c>
      <c r="AC29" s="434" t="e">
        <f>(MIN(AD6:AD15,#REF!)) &amp;" - "&amp;(MAX(AD6:AD15,#REF!)+AD21+AD22)</f>
        <v>#REF!</v>
      </c>
      <c r="AD29" s="434" t="e">
        <f>(MIN(AE6:AE15,#REF!)) &amp;" - "&amp;(MAX(AE6:AE15,#REF!)+AE21+AE22)</f>
        <v>#REF!</v>
      </c>
      <c r="AE29" s="434" t="e">
        <f>(MIN(AF6:AF15,#REF!)) &amp;" - "&amp;(MAX(AF6:AF15,#REF!)+AF21+AF22)</f>
        <v>#REF!</v>
      </c>
      <c r="AF29" s="434" t="e">
        <f>(MIN(AG6:AG15,#REF!)) &amp;" - "&amp;(MAX(AG6:AG15,#REF!)+AG21+AG22)</f>
        <v>#REF!</v>
      </c>
      <c r="AG29" s="434" t="e">
        <f>(MIN(AH6:AH15,#REF!)) &amp;" - "&amp;(MAX(AH6:AH15,#REF!)+AH21+AH22)</f>
        <v>#REF!</v>
      </c>
    </row>
    <row r="30" spans="2:34" s="374" customFormat="1" ht="18.899999999999999" thickBot="1">
      <c r="B30" s="373"/>
      <c r="C30" s="433"/>
      <c r="D30" s="853"/>
      <c r="E30" s="433"/>
      <c r="F30" s="433"/>
      <c r="G30" s="433"/>
      <c r="H30" s="433"/>
      <c r="I30" s="433"/>
      <c r="J30" s="433"/>
      <c r="K30" s="433"/>
      <c r="L30" s="433"/>
      <c r="M30" s="433"/>
      <c r="N30" s="433"/>
      <c r="O30" s="433"/>
      <c r="P30" s="433"/>
      <c r="Q30" s="433"/>
      <c r="R30" s="433"/>
      <c r="S30" s="433"/>
      <c r="T30" s="433"/>
      <c r="U30" s="433"/>
      <c r="V30" s="433"/>
      <c r="W30" s="433"/>
      <c r="X30" s="433"/>
      <c r="Y30" s="433"/>
      <c r="Z30" s="433"/>
      <c r="AA30" s="433"/>
      <c r="AB30" s="433"/>
      <c r="AC30" s="433"/>
      <c r="AD30" s="433"/>
      <c r="AE30" s="433"/>
      <c r="AF30" s="433"/>
      <c r="AG30" s="433"/>
    </row>
    <row r="31" spans="2:34" s="374" customFormat="1" ht="55.3">
      <c r="B31" s="982" t="s">
        <v>496</v>
      </c>
      <c r="C31" s="460" t="s">
        <v>4</v>
      </c>
      <c r="D31" s="460" t="s">
        <v>4</v>
      </c>
      <c r="E31" s="460" t="s">
        <v>5</v>
      </c>
      <c r="F31" s="460" t="s">
        <v>5</v>
      </c>
      <c r="G31" s="460" t="s">
        <v>6</v>
      </c>
      <c r="H31" s="460" t="s">
        <v>6</v>
      </c>
      <c r="I31" s="460" t="s">
        <v>7</v>
      </c>
      <c r="J31" s="460" t="s">
        <v>7</v>
      </c>
      <c r="K31" s="460" t="s">
        <v>8</v>
      </c>
      <c r="L31" s="460" t="s">
        <v>8</v>
      </c>
      <c r="M31" s="460" t="s">
        <v>9</v>
      </c>
      <c r="N31" s="460" t="s">
        <v>9</v>
      </c>
      <c r="O31" s="460" t="s">
        <v>10</v>
      </c>
      <c r="P31" s="460" t="s">
        <v>10</v>
      </c>
      <c r="Q31" s="460" t="s">
        <v>11</v>
      </c>
      <c r="R31" s="460" t="s">
        <v>11</v>
      </c>
      <c r="S31" s="460" t="s">
        <v>12</v>
      </c>
      <c r="T31" s="460" t="s">
        <v>12</v>
      </c>
      <c r="U31" s="460" t="s">
        <v>13</v>
      </c>
      <c r="V31" s="460" t="s">
        <v>13</v>
      </c>
      <c r="W31" s="460" t="s">
        <v>14</v>
      </c>
      <c r="X31" s="460" t="s">
        <v>14</v>
      </c>
      <c r="Y31" s="460" t="s">
        <v>15</v>
      </c>
      <c r="Z31" s="460" t="s">
        <v>15</v>
      </c>
      <c r="AA31" s="432"/>
      <c r="AB31" s="432"/>
      <c r="AC31" s="432"/>
      <c r="AD31" s="432"/>
      <c r="AE31" s="432"/>
      <c r="AF31" s="432"/>
      <c r="AG31" s="432"/>
    </row>
    <row r="32" spans="2:34" ht="18.45">
      <c r="B32" s="983" t="s">
        <v>497</v>
      </c>
      <c r="C32" s="984">
        <f>MIN(D5:D15)</f>
        <v>530</v>
      </c>
      <c r="D32" s="990">
        <f>MAX(D5:D15)</f>
        <v>750</v>
      </c>
      <c r="E32" s="984">
        <f>MIN(F5:F15)</f>
        <v>220</v>
      </c>
      <c r="F32" s="990">
        <f>MAX(F5:F15)</f>
        <v>410</v>
      </c>
      <c r="G32" s="984">
        <f>MIN(H5:H15)</f>
        <v>24</v>
      </c>
      <c r="H32" s="990">
        <f>MAX(H5:H15)</f>
        <v>46</v>
      </c>
      <c r="I32" s="984">
        <f>MIN(J5:J15)</f>
        <v>15</v>
      </c>
      <c r="J32" s="990">
        <f>MAX(J5:J15)</f>
        <v>22</v>
      </c>
      <c r="K32" s="984">
        <f>MIN(L5:L15)</f>
        <v>0</v>
      </c>
      <c r="L32" s="990">
        <f>MAX(L5:L15)</f>
        <v>0</v>
      </c>
      <c r="M32" s="984">
        <f>MIN(N5:N15)</f>
        <v>130</v>
      </c>
      <c r="N32" s="990">
        <f>MAX(N5:N15)</f>
        <v>160</v>
      </c>
      <c r="O32" s="984">
        <f>MIN(P5:P15)</f>
        <v>300</v>
      </c>
      <c r="P32" s="990">
        <f>MAX(P5:P15)</f>
        <v>500</v>
      </c>
      <c r="Q32" s="984">
        <f>MIN(R5:R15)</f>
        <v>65</v>
      </c>
      <c r="R32" s="990">
        <f>MAX(R5:R15)</f>
        <v>100</v>
      </c>
      <c r="S32" s="984">
        <f>MIN(T5:T15)</f>
        <v>0</v>
      </c>
      <c r="T32" s="990">
        <f>MAX(T5:T15)</f>
        <v>19</v>
      </c>
      <c r="U32" s="984">
        <f>MIN(V5:V15)</f>
        <v>54</v>
      </c>
      <c r="V32" s="990">
        <f>MAX(V5:V15)</f>
        <v>78</v>
      </c>
      <c r="W32" s="984">
        <f>MIN(X5:X15)</f>
        <v>0</v>
      </c>
      <c r="X32" s="990">
        <f>MAX(X5:X15)</f>
        <v>20</v>
      </c>
      <c r="Y32" s="984">
        <f>MIN(Z5:Z15)</f>
        <v>12</v>
      </c>
      <c r="Z32" s="990">
        <f>MAX(Z5:Z15)</f>
        <v>18</v>
      </c>
    </row>
    <row r="33" spans="2:26" ht="18.45">
      <c r="B33" s="857" t="s">
        <v>498</v>
      </c>
      <c r="C33" s="990">
        <v>0</v>
      </c>
      <c r="D33" s="984">
        <f>SUM(D21:D22)</f>
        <v>45</v>
      </c>
      <c r="E33" s="990">
        <v>0</v>
      </c>
      <c r="F33" s="984">
        <f>SUM(F21:F22)</f>
        <v>25</v>
      </c>
      <c r="G33" s="990">
        <v>0</v>
      </c>
      <c r="H33" s="984">
        <f>SUM(H21:H22)</f>
        <v>3</v>
      </c>
      <c r="I33" s="990">
        <v>0</v>
      </c>
      <c r="J33" s="984">
        <f>SUM(J21:J22)</f>
        <v>2</v>
      </c>
      <c r="K33" s="990">
        <v>0</v>
      </c>
      <c r="L33" s="984">
        <f>SUM(L21:L22)</f>
        <v>0</v>
      </c>
      <c r="M33" s="990">
        <v>0</v>
      </c>
      <c r="N33" s="984">
        <f>SUM(N21:N22)</f>
        <v>10</v>
      </c>
      <c r="O33" s="990">
        <v>0</v>
      </c>
      <c r="P33" s="984">
        <f>SUM(P21:P22)</f>
        <v>0</v>
      </c>
      <c r="Q33" s="990">
        <v>0</v>
      </c>
      <c r="R33" s="984">
        <f>SUM(R21:R22)</f>
        <v>3</v>
      </c>
      <c r="S33" s="990">
        <v>0</v>
      </c>
      <c r="T33" s="984">
        <f>SUM(T21:T22)</f>
        <v>0</v>
      </c>
      <c r="U33" s="990">
        <v>0</v>
      </c>
      <c r="V33" s="984">
        <f>SUM(V21:V22)</f>
        <v>1</v>
      </c>
      <c r="W33" s="990">
        <v>0</v>
      </c>
      <c r="X33" s="984">
        <f>SUM(X21:X22)</f>
        <v>1</v>
      </c>
      <c r="Y33" s="990">
        <v>0</v>
      </c>
      <c r="Z33" s="984">
        <f>SUM(Z21:Z22)</f>
        <v>0</v>
      </c>
    </row>
    <row r="34" spans="2:26">
      <c r="C34" s="901"/>
      <c r="D34" s="844"/>
      <c r="E34" s="901"/>
      <c r="F34" s="373"/>
      <c r="G34" s="901"/>
      <c r="I34" s="901"/>
      <c r="K34" s="901"/>
      <c r="M34" s="901"/>
      <c r="N34" s="373"/>
      <c r="O34" s="901"/>
      <c r="Q34" s="901"/>
      <c r="R34" s="844"/>
      <c r="S34" s="901"/>
      <c r="U34" s="901"/>
      <c r="W34" s="901"/>
      <c r="X34" s="844"/>
      <c r="Y34" s="901"/>
    </row>
    <row r="35" spans="2:26">
      <c r="C35" s="991">
        <f t="shared" ref="C35:Z35" si="12">SUM(C32:C33)</f>
        <v>530</v>
      </c>
      <c r="D35" s="991">
        <f t="shared" si="12"/>
        <v>795</v>
      </c>
      <c r="E35" s="991">
        <f t="shared" si="12"/>
        <v>220</v>
      </c>
      <c r="F35" s="991">
        <f t="shared" si="12"/>
        <v>435</v>
      </c>
      <c r="G35" s="991">
        <f t="shared" si="12"/>
        <v>24</v>
      </c>
      <c r="H35" s="991">
        <f t="shared" si="12"/>
        <v>49</v>
      </c>
      <c r="I35" s="991">
        <f t="shared" si="12"/>
        <v>15</v>
      </c>
      <c r="J35" s="991">
        <f t="shared" si="12"/>
        <v>24</v>
      </c>
      <c r="K35" s="991">
        <f t="shared" si="12"/>
        <v>0</v>
      </c>
      <c r="L35" s="991">
        <f t="shared" si="12"/>
        <v>0</v>
      </c>
      <c r="M35" s="991">
        <f t="shared" si="12"/>
        <v>130</v>
      </c>
      <c r="N35" s="991">
        <f t="shared" si="12"/>
        <v>170</v>
      </c>
      <c r="O35" s="991">
        <f t="shared" si="12"/>
        <v>300</v>
      </c>
      <c r="P35" s="991">
        <f t="shared" si="12"/>
        <v>500</v>
      </c>
      <c r="Q35" s="991">
        <f t="shared" si="12"/>
        <v>65</v>
      </c>
      <c r="R35" s="991">
        <f t="shared" si="12"/>
        <v>103</v>
      </c>
      <c r="S35" s="991">
        <f t="shared" si="12"/>
        <v>0</v>
      </c>
      <c r="T35" s="991">
        <f t="shared" si="12"/>
        <v>19</v>
      </c>
      <c r="U35" s="991">
        <f t="shared" si="12"/>
        <v>54</v>
      </c>
      <c r="V35" s="991">
        <f t="shared" si="12"/>
        <v>79</v>
      </c>
      <c r="W35" s="991">
        <f t="shared" si="12"/>
        <v>0</v>
      </c>
      <c r="X35" s="991">
        <f t="shared" si="12"/>
        <v>21</v>
      </c>
      <c r="Y35" s="991">
        <f t="shared" si="12"/>
        <v>12</v>
      </c>
      <c r="Z35" s="991">
        <f t="shared" si="12"/>
        <v>18</v>
      </c>
    </row>
  </sheetData>
  <autoFilter ref="B3:AH3" xr:uid="{DD0400B8-F35F-439C-8FE1-FA54BC1D6F37}"/>
  <mergeCells count="5">
    <mergeCell ref="B1:AG1"/>
    <mergeCell ref="B2:AG2"/>
    <mergeCell ref="B18:AG18"/>
    <mergeCell ref="B19:AG19"/>
    <mergeCell ref="B24:AG26"/>
  </mergeCells>
  <pageMargins left="0.7" right="0.7" top="0.75" bottom="0.75" header="0.3" footer="0.3"/>
  <pageSetup scale="49" fitToHeight="0" orientation="landscape" r:id="rId1"/>
  <headerFooter>
    <oddHeader xml:space="preserve">&amp;R&amp;14 2024 Nutrition Information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9A17C-91AC-4F14-B033-C8FD83428C2D}">
  <sheetPr>
    <pageSetUpPr fitToPage="1"/>
  </sheetPr>
  <dimension ref="B1:BK40"/>
  <sheetViews>
    <sheetView zoomScale="90" zoomScaleNormal="90" zoomScalePageLayoutView="70" workbookViewId="0">
      <pane ySplit="4" topLeftCell="A5" activePane="bottomLeft" state="frozen"/>
      <selection pane="bottomLeft" activeCell="C5" sqref="C5"/>
    </sheetView>
    <sheetView topLeftCell="C12" zoomScale="90" zoomScaleNormal="90" workbookViewId="1">
      <selection activeCell="C20" sqref="C20:Z20"/>
    </sheetView>
    <sheetView topLeftCell="O1" workbookViewId="2">
      <selection activeCell="H15" sqref="H15"/>
    </sheetView>
  </sheetViews>
  <sheetFormatPr defaultColWidth="9.15234375" defaultRowHeight="12.9"/>
  <cols>
    <col min="1" max="1" width="9.15234375" style="373"/>
    <col min="2" max="2" width="39" style="373" customWidth="1"/>
    <col min="3" max="3" width="14.84375" style="373" bestFit="1" customWidth="1"/>
    <col min="4" max="4" width="14.84375" style="373" customWidth="1"/>
    <col min="5" max="6" width="13.15234375" style="373" customWidth="1"/>
    <col min="7" max="7" width="10" style="373" customWidth="1"/>
    <col min="8" max="8" width="10" style="840" customWidth="1"/>
    <col min="9" max="9" width="15.3828125" style="373" customWidth="1"/>
    <col min="10" max="10" width="15.3828125" style="840" customWidth="1"/>
    <col min="11" max="12" width="7.3828125" style="373" customWidth="1"/>
    <col min="13" max="14" width="14.3046875" style="373" customWidth="1"/>
    <col min="15" max="16" width="13.15234375" style="373" customWidth="1"/>
    <col min="17" max="18" width="19.3828125" style="373" customWidth="1"/>
    <col min="19" max="20" width="9.15234375" style="373" customWidth="1"/>
    <col min="21" max="22" width="10.84375" style="373" customWidth="1"/>
    <col min="23" max="24" width="11.15234375" style="373" customWidth="1"/>
    <col min="25" max="26" width="9.15234375" style="373" customWidth="1"/>
    <col min="27" max="27" width="14.15234375" style="373" customWidth="1"/>
    <col min="28" max="28" width="13.69140625" style="373" customWidth="1"/>
    <col min="29" max="29" width="12.3046875" style="373" customWidth="1"/>
    <col min="30" max="30" width="11.84375" style="373" customWidth="1"/>
    <col min="31" max="32" width="9.15234375" style="373" customWidth="1"/>
    <col min="33" max="33" width="12.84375" style="373" customWidth="1"/>
    <col min="34" max="34" width="12.69140625" style="373" customWidth="1"/>
    <col min="35" max="36" width="9.15234375" style="373"/>
    <col min="37" max="37" width="78.15234375" style="373" bestFit="1" customWidth="1"/>
    <col min="38" max="38" width="9.15234375" style="373"/>
    <col min="39" max="56" width="0" style="373" hidden="1" customWidth="1"/>
    <col min="57" max="16384" width="9.15234375" style="373"/>
  </cols>
  <sheetData>
    <row r="1" spans="2:63" s="451" customFormat="1" ht="23.25" customHeight="1">
      <c r="B1" s="1290" t="s">
        <v>413</v>
      </c>
      <c r="C1" s="1291"/>
      <c r="D1" s="1291"/>
      <c r="E1" s="1291"/>
      <c r="F1" s="1291"/>
      <c r="G1" s="1291"/>
      <c r="H1" s="1291"/>
      <c r="I1" s="1291"/>
      <c r="J1" s="1291"/>
      <c r="K1" s="1291"/>
      <c r="L1" s="1291"/>
      <c r="M1" s="1291"/>
      <c r="N1" s="1291"/>
      <c r="O1" s="1291"/>
      <c r="P1" s="1291"/>
      <c r="Q1" s="1291"/>
      <c r="R1" s="1291"/>
      <c r="S1" s="1291"/>
      <c r="T1" s="1291"/>
      <c r="U1" s="1291"/>
      <c r="V1" s="1291"/>
      <c r="W1" s="1291"/>
      <c r="X1" s="1291"/>
      <c r="Y1" s="1291"/>
      <c r="Z1" s="1291"/>
      <c r="AA1" s="1291"/>
      <c r="AB1" s="1291"/>
      <c r="AC1" s="1291"/>
      <c r="AD1" s="1291"/>
      <c r="AE1" s="1291"/>
      <c r="AF1" s="1291"/>
      <c r="AG1" s="1291"/>
      <c r="AH1" s="1291"/>
    </row>
    <row r="2" spans="2:63" s="451" customFormat="1" ht="18.899999999999999" thickBot="1">
      <c r="B2" s="1292" t="s">
        <v>499</v>
      </c>
      <c r="C2" s="1293"/>
      <c r="D2" s="1293"/>
      <c r="E2" s="1293"/>
      <c r="F2" s="1293"/>
      <c r="G2" s="1293"/>
      <c r="H2" s="1293"/>
      <c r="I2" s="1293"/>
      <c r="J2" s="1293"/>
      <c r="K2" s="1293"/>
      <c r="L2" s="1293"/>
      <c r="M2" s="1293"/>
      <c r="N2" s="1293"/>
      <c r="O2" s="1293"/>
      <c r="P2" s="1293"/>
      <c r="Q2" s="1293"/>
      <c r="R2" s="1293"/>
      <c r="S2" s="1293"/>
      <c r="T2" s="1293"/>
      <c r="U2" s="1293"/>
      <c r="V2" s="1293"/>
      <c r="W2" s="1293"/>
      <c r="X2" s="1293"/>
      <c r="Y2" s="1293"/>
      <c r="Z2" s="1293"/>
      <c r="AA2" s="1293"/>
      <c r="AB2" s="1293"/>
      <c r="AC2" s="1293"/>
      <c r="AD2" s="1293"/>
      <c r="AE2" s="1293"/>
      <c r="AF2" s="1293"/>
      <c r="AG2" s="1293"/>
      <c r="AH2" s="1293"/>
    </row>
    <row r="3" spans="2:63" s="451" customFormat="1" ht="37.299999999999997" thickBot="1">
      <c r="B3" s="464" t="s">
        <v>3</v>
      </c>
      <c r="C3" s="460" t="s">
        <v>4</v>
      </c>
      <c r="D3" s="460" t="s">
        <v>4</v>
      </c>
      <c r="E3" s="460" t="s">
        <v>5</v>
      </c>
      <c r="F3" s="460" t="s">
        <v>5</v>
      </c>
      <c r="G3" s="460" t="s">
        <v>6</v>
      </c>
      <c r="H3" s="986" t="s">
        <v>6</v>
      </c>
      <c r="I3" s="460" t="s">
        <v>7</v>
      </c>
      <c r="J3" s="986" t="s">
        <v>7</v>
      </c>
      <c r="K3" s="460" t="s">
        <v>8</v>
      </c>
      <c r="L3" s="460" t="s">
        <v>8</v>
      </c>
      <c r="M3" s="460" t="s">
        <v>9</v>
      </c>
      <c r="N3" s="460" t="s">
        <v>9</v>
      </c>
      <c r="O3" s="460" t="s">
        <v>10</v>
      </c>
      <c r="P3" s="460" t="s">
        <v>10</v>
      </c>
      <c r="Q3" s="460" t="s">
        <v>11</v>
      </c>
      <c r="R3" s="460" t="s">
        <v>11</v>
      </c>
      <c r="S3" s="460" t="s">
        <v>12</v>
      </c>
      <c r="T3" s="460" t="s">
        <v>12</v>
      </c>
      <c r="U3" s="460" t="s">
        <v>13</v>
      </c>
      <c r="V3" s="460" t="s">
        <v>13</v>
      </c>
      <c r="W3" s="460" t="s">
        <v>14</v>
      </c>
      <c r="X3" s="460" t="s">
        <v>14</v>
      </c>
      <c r="Y3" s="460" t="s">
        <v>15</v>
      </c>
      <c r="Z3" s="460" t="s">
        <v>15</v>
      </c>
      <c r="AA3" s="441" t="s">
        <v>16</v>
      </c>
      <c r="AB3" s="441" t="s">
        <v>17</v>
      </c>
      <c r="AC3" s="441" t="s">
        <v>18</v>
      </c>
      <c r="AD3" s="441" t="s">
        <v>19</v>
      </c>
      <c r="AE3" s="441" t="s">
        <v>20</v>
      </c>
      <c r="AF3" s="441" t="s">
        <v>21</v>
      </c>
      <c r="AG3" s="441" t="s">
        <v>22</v>
      </c>
      <c r="AH3" s="441" t="s">
        <v>23</v>
      </c>
    </row>
    <row r="4" spans="2:63" s="451" customFormat="1" ht="18.45" hidden="1">
      <c r="B4" s="463" t="s">
        <v>485</v>
      </c>
      <c r="C4" s="462">
        <v>1400</v>
      </c>
      <c r="D4" s="462"/>
      <c r="E4" s="462">
        <v>510</v>
      </c>
      <c r="F4" s="462"/>
      <c r="G4" s="462">
        <v>56</v>
      </c>
      <c r="H4" s="995"/>
      <c r="I4" s="462">
        <v>37</v>
      </c>
      <c r="J4" s="995"/>
      <c r="K4" s="462">
        <v>0</v>
      </c>
      <c r="L4" s="462"/>
      <c r="M4" s="462">
        <v>250</v>
      </c>
      <c r="N4" s="462"/>
      <c r="O4" s="462">
        <v>910</v>
      </c>
      <c r="P4" s="462"/>
      <c r="Q4" s="462">
        <v>207</v>
      </c>
      <c r="R4" s="462"/>
      <c r="S4" s="462">
        <v>0</v>
      </c>
      <c r="T4" s="462"/>
      <c r="U4" s="462">
        <v>143</v>
      </c>
      <c r="V4" s="462"/>
      <c r="W4" s="462">
        <v>71</v>
      </c>
      <c r="X4" s="462"/>
      <c r="Y4" s="462">
        <v>20</v>
      </c>
      <c r="Z4" s="462"/>
      <c r="AA4" s="462">
        <v>0</v>
      </c>
      <c r="AB4" s="462">
        <v>0</v>
      </c>
      <c r="AC4" s="462">
        <v>589</v>
      </c>
      <c r="AD4" s="462">
        <v>60</v>
      </c>
      <c r="AE4" s="462">
        <v>2</v>
      </c>
      <c r="AF4" s="462">
        <v>15</v>
      </c>
      <c r="AG4" s="462">
        <v>750</v>
      </c>
      <c r="AH4" s="462">
        <v>21</v>
      </c>
    </row>
    <row r="5" spans="2:63" s="451" customFormat="1" ht="18.45">
      <c r="B5" s="788" t="s">
        <v>75</v>
      </c>
      <c r="C5" s="804">
        <v>757.06</v>
      </c>
      <c r="D5" s="994">
        <f>MROUND(C5,10)</f>
        <v>760</v>
      </c>
      <c r="E5" s="804">
        <v>330.39299999999997</v>
      </c>
      <c r="F5" s="994">
        <f>IF(E5&lt;5,0,(IF(E5&gt;50,MROUND(E5,10),MROUND(E5,5))))</f>
        <v>330</v>
      </c>
      <c r="G5" s="804">
        <v>36.71</v>
      </c>
      <c r="H5" s="993">
        <f>IF(G5&lt;0.5,0,IF(G5&gt;5,MROUND(G5,1),MROUND(G5,0.5)))</f>
        <v>37</v>
      </c>
      <c r="I5" s="804">
        <v>23.356999999999999</v>
      </c>
      <c r="J5" s="993">
        <f>IF(I5&lt;0.5,0,IF(I5&gt;5,MROUND(I5,1),MROUND(I5,0.5)))</f>
        <v>23</v>
      </c>
      <c r="K5" s="804">
        <v>0.10299999999999999</v>
      </c>
      <c r="L5" s="994">
        <f>IF(K5&lt;0.5,0,IF(K5&gt;5,MROUND(K5,1),MROUND(K5,0.5)))</f>
        <v>0</v>
      </c>
      <c r="M5" s="804">
        <v>212.42500000000001</v>
      </c>
      <c r="N5" s="994">
        <f>IF(M5&lt;2,0,IF(M5&gt;5,MROUND(M5,5),"less than 5 mg"))</f>
        <v>210</v>
      </c>
      <c r="O5" s="804">
        <v>499.55200000000002</v>
      </c>
      <c r="P5" s="994">
        <f>IF(O5&lt;5,0,IF(O5&gt;140,MROUND(O5,10),MROUND(O5,5)))</f>
        <v>500</v>
      </c>
      <c r="Q5" s="804">
        <v>95.718999999999994</v>
      </c>
      <c r="R5" s="388">
        <f>IF(Q5&lt;0.5,0,IF(Q5&gt;1,MROUND(Q5,1),"less than 1 g"))</f>
        <v>96</v>
      </c>
      <c r="S5" s="804">
        <v>8.9999999999999993E-3</v>
      </c>
      <c r="T5" s="388">
        <f>IF(S5&lt;0.5,0,IF(S5&gt;1,MROUND(S5,1),"less than 1 g"))</f>
        <v>0</v>
      </c>
      <c r="U5" s="804">
        <v>79.89</v>
      </c>
      <c r="V5" s="388">
        <f>IF(U5&lt;0.5,0,IF(U5&gt;1,MROUND(U5,1),"less than 1 g"))</f>
        <v>80</v>
      </c>
      <c r="W5" s="804">
        <v>0</v>
      </c>
      <c r="X5" s="388">
        <f>IF(W5&lt;0.5,0,IF(W5&gt;1,MROUND(W5,1),"less than 1 g"))</f>
        <v>0</v>
      </c>
      <c r="Y5" s="804">
        <v>16.486999999999998</v>
      </c>
      <c r="Z5" s="388">
        <f>IF(Y5&lt;0.5,0,IF(Y5&gt;1,MROUND(Y5,1),"less than 1 g"))</f>
        <v>16</v>
      </c>
      <c r="AA5" s="804">
        <v>1.4590000000000001</v>
      </c>
      <c r="AB5" s="804">
        <v>7.2969999999999997</v>
      </c>
      <c r="AC5" s="804">
        <v>754.21900000000005</v>
      </c>
      <c r="AD5" s="804">
        <v>58.017000000000003</v>
      </c>
      <c r="AE5" s="804">
        <v>2.5999999999999999E-2</v>
      </c>
      <c r="AF5" s="804">
        <v>0.14299999999999999</v>
      </c>
      <c r="AG5" s="804">
        <v>173.15899999999999</v>
      </c>
      <c r="AH5" s="804">
        <v>3.6840000000000002</v>
      </c>
      <c r="AI5" s="806"/>
      <c r="AJ5" s="806"/>
      <c r="AK5" s="806"/>
      <c r="AL5" s="806"/>
      <c r="AM5" s="806"/>
      <c r="AN5" s="806"/>
      <c r="AO5" s="806"/>
      <c r="AP5" s="806"/>
      <c r="AQ5" s="806"/>
      <c r="AR5" s="806"/>
      <c r="AS5" s="806"/>
      <c r="AT5" s="806"/>
      <c r="AU5" s="806"/>
      <c r="AV5" s="806"/>
      <c r="AW5" s="806"/>
      <c r="AX5" s="806"/>
      <c r="AY5" s="806"/>
      <c r="AZ5" s="806"/>
      <c r="BA5" s="806"/>
      <c r="BB5" s="806"/>
      <c r="BC5" s="806"/>
      <c r="BD5" s="806"/>
      <c r="BE5" s="806"/>
      <c r="BF5" s="806"/>
      <c r="BG5" s="806"/>
      <c r="BH5" s="806"/>
      <c r="BI5" s="806"/>
      <c r="BJ5" s="806"/>
      <c r="BK5" s="806"/>
    </row>
    <row r="6" spans="2:63" s="451" customFormat="1" ht="18.45">
      <c r="B6" s="449" t="s">
        <v>34</v>
      </c>
      <c r="C6" s="804">
        <v>788.24300000000005</v>
      </c>
      <c r="D6" s="994">
        <f t="shared" ref="D6:D15" si="0">MROUND(C6,10)</f>
        <v>790</v>
      </c>
      <c r="E6" s="804">
        <v>302.327</v>
      </c>
      <c r="F6" s="994">
        <f t="shared" ref="F6:F15" si="1">IF(E6&lt;5,0,(IF(E6&gt;50,MROUND(E6,10),MROUND(E6,5))))</f>
        <v>300</v>
      </c>
      <c r="G6" s="804">
        <v>33.591999999999999</v>
      </c>
      <c r="H6" s="993">
        <f t="shared" ref="H6:H15" si="2">IF(G6&lt;0.5,0,IF(G6&gt;5,MROUND(G6,1),MROUND(G6,0.5)))</f>
        <v>34</v>
      </c>
      <c r="I6" s="804">
        <v>20.239000000000001</v>
      </c>
      <c r="J6" s="993">
        <f t="shared" ref="J6:J15" si="3">IF(I6&lt;0.5,0,IF(I6&gt;5,MROUND(I6,1),MROUND(I6,0.5)))</f>
        <v>20</v>
      </c>
      <c r="K6" s="804">
        <v>0.10299999999999999</v>
      </c>
      <c r="L6" s="994">
        <f t="shared" ref="L6:L15" si="4">IF(K6&lt;0.5,0,IF(K6&gt;5,MROUND(K6,1),MROUND(K6,0.5)))</f>
        <v>0</v>
      </c>
      <c r="M6" s="804">
        <v>181.24100000000001</v>
      </c>
      <c r="N6" s="994">
        <f t="shared" ref="N6:N15" si="5">IF(M6&lt;2,0,IF(M6&gt;5,MROUND(M6,5),"less than 5 mg"))</f>
        <v>180</v>
      </c>
      <c r="O6" s="804">
        <v>421.59199999999998</v>
      </c>
      <c r="P6" s="994">
        <f t="shared" ref="P6:P15" si="6">IF(O6&lt;5,0,IF(O6&gt;140,MROUND(O6,10),MROUND(O6,5)))</f>
        <v>420</v>
      </c>
      <c r="Q6" s="804">
        <v>108.193</v>
      </c>
      <c r="R6" s="388">
        <f t="shared" ref="R6:R15" si="7">IF(Q6&lt;0.5,0,IF(Q6&gt;1,MROUND(Q6,1),"less than 1 g"))</f>
        <v>108</v>
      </c>
      <c r="S6" s="804">
        <v>8.9999999999999993E-3</v>
      </c>
      <c r="T6" s="388">
        <f t="shared" ref="T6:V15" si="8">IF(S6&lt;0.5,0,IF(S6&gt;1,MROUND(S6,1),"less than 1 g"))</f>
        <v>0</v>
      </c>
      <c r="U6" s="804">
        <v>89.245999999999995</v>
      </c>
      <c r="V6" s="388">
        <f t="shared" si="8"/>
        <v>89</v>
      </c>
      <c r="W6" s="804">
        <v>0</v>
      </c>
      <c r="X6" s="388">
        <f t="shared" ref="X6" si="9">IF(W6&lt;0.5,0,IF(W6&gt;1,MROUND(W6,1),"less than 1 g"))</f>
        <v>0</v>
      </c>
      <c r="Y6" s="804">
        <v>16.486999999999998</v>
      </c>
      <c r="Z6" s="388">
        <f t="shared" ref="Z6" si="10">IF(Y6&lt;0.5,0,IF(Y6&gt;1,MROUND(Y6,1),"less than 1 g"))</f>
        <v>16</v>
      </c>
      <c r="AA6" s="804">
        <v>1.4590000000000001</v>
      </c>
      <c r="AB6" s="804">
        <v>7.2969999999999997</v>
      </c>
      <c r="AC6" s="804">
        <v>551.52300000000002</v>
      </c>
      <c r="AD6" s="804">
        <v>42.424999999999997</v>
      </c>
      <c r="AE6" s="804">
        <v>3.3940000000000001</v>
      </c>
      <c r="AF6" s="804">
        <v>18.853999999999999</v>
      </c>
      <c r="AG6" s="804">
        <v>173.15899999999999</v>
      </c>
      <c r="AH6" s="804">
        <v>3.6840000000000002</v>
      </c>
      <c r="AI6" s="806"/>
      <c r="AJ6" s="806"/>
      <c r="AK6" s="806"/>
      <c r="AL6" s="806"/>
      <c r="AM6" s="806"/>
      <c r="AN6" s="806"/>
      <c r="AO6" s="806"/>
      <c r="AP6" s="806"/>
      <c r="AQ6" s="806"/>
      <c r="AR6" s="806"/>
      <c r="AS6" s="806"/>
      <c r="AT6" s="806"/>
      <c r="AU6" s="806"/>
      <c r="AV6" s="806"/>
      <c r="AW6" s="806"/>
      <c r="AX6" s="806"/>
      <c r="AY6" s="806"/>
      <c r="AZ6" s="806"/>
      <c r="BA6" s="806"/>
      <c r="BB6" s="806"/>
      <c r="BC6" s="806"/>
      <c r="BD6" s="806"/>
      <c r="BE6" s="806"/>
      <c r="BF6" s="806"/>
      <c r="BG6" s="806"/>
      <c r="BH6" s="806"/>
      <c r="BI6" s="806"/>
      <c r="BJ6" s="806"/>
      <c r="BK6" s="806"/>
    </row>
    <row r="7" spans="2:63" s="451" customFormat="1" ht="18.45">
      <c r="B7" s="447" t="s">
        <v>486</v>
      </c>
      <c r="C7" s="804">
        <v>992.47699999999998</v>
      </c>
      <c r="D7" s="994">
        <f t="shared" si="0"/>
        <v>990</v>
      </c>
      <c r="E7" s="804">
        <v>404.09699999999998</v>
      </c>
      <c r="F7" s="994">
        <f t="shared" si="1"/>
        <v>400</v>
      </c>
      <c r="G7" s="804">
        <v>44.9</v>
      </c>
      <c r="H7" s="993">
        <f t="shared" si="2"/>
        <v>45</v>
      </c>
      <c r="I7" s="804">
        <v>32.229999999999997</v>
      </c>
      <c r="J7" s="993">
        <f t="shared" si="3"/>
        <v>32</v>
      </c>
      <c r="K7" s="804">
        <v>0.10299999999999999</v>
      </c>
      <c r="L7" s="994">
        <f t="shared" si="4"/>
        <v>0</v>
      </c>
      <c r="M7" s="804">
        <v>212.43199999999999</v>
      </c>
      <c r="N7" s="994">
        <f t="shared" si="5"/>
        <v>210</v>
      </c>
      <c r="O7" s="804">
        <v>710.80100000000004</v>
      </c>
      <c r="P7" s="994">
        <f t="shared" si="6"/>
        <v>710</v>
      </c>
      <c r="Q7" s="804">
        <v>135.965</v>
      </c>
      <c r="R7" s="388">
        <f t="shared" si="7"/>
        <v>136</v>
      </c>
      <c r="S7" s="804">
        <v>1.4419999999999999</v>
      </c>
      <c r="T7" s="388">
        <f t="shared" si="8"/>
        <v>1</v>
      </c>
      <c r="U7" s="804">
        <v>113.18300000000001</v>
      </c>
      <c r="V7" s="388">
        <f t="shared" si="8"/>
        <v>113</v>
      </c>
      <c r="W7" s="804">
        <v>33.097000000000001</v>
      </c>
      <c r="X7" s="388">
        <f t="shared" ref="X7" si="11">IF(W7&lt;0.5,0,IF(W7&gt;1,MROUND(W7,1),"less than 1 g"))</f>
        <v>33</v>
      </c>
      <c r="Y7" s="804">
        <v>18.779</v>
      </c>
      <c r="Z7" s="388">
        <f t="shared" ref="Z7" si="12">IF(Y7&lt;0.5,0,IF(Y7&gt;1,MROUND(Y7,1),"less than 1 g"))</f>
        <v>19</v>
      </c>
      <c r="AA7" s="804">
        <v>1.4590000000000001</v>
      </c>
      <c r="AB7" s="804">
        <v>7.2969999999999997</v>
      </c>
      <c r="AC7" s="804">
        <v>802.32899999999995</v>
      </c>
      <c r="AD7" s="804">
        <v>61.718000000000004</v>
      </c>
      <c r="AE7" s="804">
        <v>2.0089999999999999</v>
      </c>
      <c r="AF7" s="804">
        <v>11.161</v>
      </c>
      <c r="AG7" s="804">
        <v>450.375</v>
      </c>
      <c r="AH7" s="804">
        <v>9.5820000000000007</v>
      </c>
      <c r="AI7" s="806"/>
      <c r="AJ7" s="806"/>
      <c r="AK7" s="806"/>
      <c r="AL7" s="806"/>
      <c r="AM7" s="806"/>
      <c r="AN7" s="806"/>
      <c r="AO7" s="806"/>
      <c r="AP7" s="806"/>
      <c r="AQ7" s="806"/>
      <c r="AR7" s="806"/>
      <c r="AS7" s="806"/>
      <c r="AT7" s="806"/>
      <c r="AU7" s="806"/>
      <c r="AV7" s="806"/>
      <c r="AW7" s="806"/>
      <c r="AX7" s="806"/>
      <c r="AY7" s="806"/>
      <c r="AZ7" s="806"/>
      <c r="BA7" s="806"/>
      <c r="BB7" s="806"/>
      <c r="BC7" s="806"/>
      <c r="BD7" s="806"/>
      <c r="BE7" s="806"/>
      <c r="BF7" s="806"/>
      <c r="BG7" s="806"/>
      <c r="BH7" s="806"/>
      <c r="BI7" s="806"/>
      <c r="BJ7" s="806"/>
      <c r="BK7" s="806"/>
    </row>
    <row r="8" spans="2:63" s="451" customFormat="1" ht="18.45">
      <c r="B8" s="446" t="s">
        <v>487</v>
      </c>
      <c r="C8" s="805">
        <v>1011.5069999999999</v>
      </c>
      <c r="D8" s="994">
        <f t="shared" si="0"/>
        <v>1010</v>
      </c>
      <c r="E8" s="804">
        <v>366.29399999999998</v>
      </c>
      <c r="F8" s="994">
        <f t="shared" si="1"/>
        <v>370</v>
      </c>
      <c r="G8" s="804">
        <v>40.698999999999998</v>
      </c>
      <c r="H8" s="993">
        <f t="shared" si="2"/>
        <v>41</v>
      </c>
      <c r="I8" s="804">
        <v>25.814</v>
      </c>
      <c r="J8" s="993">
        <f t="shared" si="3"/>
        <v>26</v>
      </c>
      <c r="K8" s="804">
        <v>0.10299999999999999</v>
      </c>
      <c r="L8" s="994">
        <f t="shared" si="4"/>
        <v>0</v>
      </c>
      <c r="M8" s="804">
        <v>222.86799999999999</v>
      </c>
      <c r="N8" s="994">
        <f t="shared" si="5"/>
        <v>225</v>
      </c>
      <c r="O8" s="804">
        <v>705.37699999999995</v>
      </c>
      <c r="P8" s="994">
        <f t="shared" si="6"/>
        <v>710</v>
      </c>
      <c r="Q8" s="804">
        <v>148.745</v>
      </c>
      <c r="R8" s="388">
        <f t="shared" si="7"/>
        <v>149</v>
      </c>
      <c r="S8" s="804">
        <v>6.6000000000000003E-2</v>
      </c>
      <c r="T8" s="388">
        <f t="shared" si="8"/>
        <v>0</v>
      </c>
      <c r="U8" s="804">
        <v>120.681</v>
      </c>
      <c r="V8" s="388">
        <f t="shared" si="8"/>
        <v>121</v>
      </c>
      <c r="W8" s="804">
        <v>40.781999999999996</v>
      </c>
      <c r="X8" s="388">
        <f t="shared" ref="X8" si="13">IF(W8&lt;0.5,0,IF(W8&gt;1,MROUND(W8,1),"less than 1 g"))</f>
        <v>41</v>
      </c>
      <c r="Y8" s="804">
        <v>18.489999999999998</v>
      </c>
      <c r="Z8" s="388">
        <f t="shared" ref="Z8" si="14">IF(Y8&lt;0.5,0,IF(Y8&gt;1,MROUND(Y8,1),"less than 1 g"))</f>
        <v>18</v>
      </c>
      <c r="AA8" s="804">
        <v>1.492</v>
      </c>
      <c r="AB8" s="804">
        <v>7.4589999999999996</v>
      </c>
      <c r="AC8" s="804">
        <v>812.58699999999999</v>
      </c>
      <c r="AD8" s="804">
        <v>62.506999999999998</v>
      </c>
      <c r="AE8" s="804">
        <v>7.3999999999999996E-2</v>
      </c>
      <c r="AF8" s="804">
        <v>0.41399999999999998</v>
      </c>
      <c r="AG8" s="804">
        <v>255.48500000000001</v>
      </c>
      <c r="AH8" s="804">
        <v>5.4359999999999999</v>
      </c>
      <c r="AI8" s="806"/>
      <c r="AJ8" s="806"/>
      <c r="AK8" s="806"/>
      <c r="AL8" s="806"/>
      <c r="AM8" s="806"/>
      <c r="AN8" s="806"/>
      <c r="AO8" s="806"/>
      <c r="AP8" s="806"/>
      <c r="AQ8" s="806"/>
      <c r="AR8" s="806"/>
      <c r="AS8" s="806"/>
      <c r="AT8" s="806"/>
      <c r="AU8" s="806"/>
      <c r="AV8" s="806"/>
      <c r="AW8" s="806"/>
      <c r="AX8" s="806"/>
      <c r="AY8" s="806"/>
      <c r="AZ8" s="806"/>
      <c r="BA8" s="806"/>
      <c r="BB8" s="806"/>
      <c r="BC8" s="806"/>
      <c r="BD8" s="806"/>
      <c r="BE8" s="806"/>
      <c r="BF8" s="806"/>
      <c r="BG8" s="806"/>
      <c r="BH8" s="806"/>
      <c r="BI8" s="806"/>
      <c r="BJ8" s="806"/>
      <c r="BK8" s="806"/>
    </row>
    <row r="9" spans="2:63" s="451" customFormat="1" ht="18.45">
      <c r="B9" s="446" t="s">
        <v>488</v>
      </c>
      <c r="C9" s="804">
        <v>991.23400000000004</v>
      </c>
      <c r="D9" s="994">
        <f t="shared" si="0"/>
        <v>990</v>
      </c>
      <c r="E9" s="804">
        <v>376.34399999999999</v>
      </c>
      <c r="F9" s="994">
        <f t="shared" si="1"/>
        <v>380</v>
      </c>
      <c r="G9" s="804">
        <v>41.816000000000003</v>
      </c>
      <c r="H9" s="993">
        <f t="shared" si="2"/>
        <v>42</v>
      </c>
      <c r="I9" s="804">
        <v>22.777999999999999</v>
      </c>
      <c r="J9" s="993">
        <f t="shared" si="3"/>
        <v>23</v>
      </c>
      <c r="K9" s="804">
        <v>0.10299999999999999</v>
      </c>
      <c r="L9" s="994">
        <f t="shared" si="4"/>
        <v>0</v>
      </c>
      <c r="M9" s="804">
        <v>181.52099999999999</v>
      </c>
      <c r="N9" s="994">
        <f t="shared" si="5"/>
        <v>180</v>
      </c>
      <c r="O9" s="804">
        <v>567.20500000000004</v>
      </c>
      <c r="P9" s="994">
        <f t="shared" si="6"/>
        <v>570</v>
      </c>
      <c r="Q9" s="804">
        <v>139.023</v>
      </c>
      <c r="R9" s="388">
        <f t="shared" si="7"/>
        <v>139</v>
      </c>
      <c r="S9" s="804">
        <v>0.85899999999999999</v>
      </c>
      <c r="T9" s="388" t="str">
        <f t="shared" si="8"/>
        <v>less than 1 g</v>
      </c>
      <c r="U9" s="804">
        <v>106.13200000000001</v>
      </c>
      <c r="V9" s="388">
        <f t="shared" si="8"/>
        <v>106</v>
      </c>
      <c r="W9" s="804">
        <v>16.742000000000001</v>
      </c>
      <c r="X9" s="388">
        <f t="shared" ref="X9" si="15">IF(W9&lt;0.5,0,IF(W9&gt;1,MROUND(W9,1),"less than 1 g"))</f>
        <v>17</v>
      </c>
      <c r="Y9" s="804">
        <v>18.273</v>
      </c>
      <c r="Z9" s="388">
        <f t="shared" ref="Z9" si="16">IF(Y9&lt;0.5,0,IF(Y9&gt;1,MROUND(Y9,1),"less than 1 g"))</f>
        <v>18</v>
      </c>
      <c r="AA9" s="804">
        <v>1.4590000000000001</v>
      </c>
      <c r="AB9" s="804">
        <v>7.2969999999999997</v>
      </c>
      <c r="AC9" s="804">
        <v>569.90599999999995</v>
      </c>
      <c r="AD9" s="804">
        <v>43.838999999999999</v>
      </c>
      <c r="AE9" s="804">
        <v>5.1669999999999998</v>
      </c>
      <c r="AF9" s="804">
        <v>28.704999999999998</v>
      </c>
      <c r="AG9" s="804">
        <v>232.845</v>
      </c>
      <c r="AH9" s="804">
        <v>4.9539999999999997</v>
      </c>
      <c r="AI9" s="806"/>
      <c r="AJ9" s="806"/>
      <c r="AK9" s="806"/>
      <c r="AL9" s="806"/>
      <c r="AM9" s="806"/>
      <c r="AN9" s="806"/>
      <c r="AO9" s="806"/>
      <c r="AP9" s="806"/>
      <c r="AQ9" s="806"/>
      <c r="AR9" s="806"/>
      <c r="AS9" s="806"/>
      <c r="AT9" s="806"/>
      <c r="AU9" s="806"/>
      <c r="AV9" s="806"/>
      <c r="AW9" s="806"/>
      <c r="AX9" s="806"/>
      <c r="AY9" s="806"/>
      <c r="AZ9" s="806"/>
      <c r="BA9" s="806"/>
      <c r="BB9" s="806"/>
      <c r="BC9" s="806"/>
      <c r="BD9" s="806"/>
      <c r="BE9" s="806"/>
      <c r="BF9" s="806"/>
      <c r="BG9" s="806"/>
      <c r="BH9" s="806"/>
      <c r="BI9" s="806"/>
      <c r="BJ9" s="806"/>
      <c r="BK9" s="806"/>
    </row>
    <row r="10" spans="2:63" s="451" customFormat="1" ht="18.45">
      <c r="B10" s="448" t="s">
        <v>101</v>
      </c>
      <c r="C10" s="804">
        <v>928.01800000000003</v>
      </c>
      <c r="D10" s="994">
        <f t="shared" si="0"/>
        <v>930</v>
      </c>
      <c r="E10" s="804">
        <v>302.90199999999999</v>
      </c>
      <c r="F10" s="994">
        <f t="shared" si="1"/>
        <v>300</v>
      </c>
      <c r="G10" s="804">
        <v>33.655999999999999</v>
      </c>
      <c r="H10" s="993">
        <f t="shared" si="2"/>
        <v>34</v>
      </c>
      <c r="I10" s="804">
        <v>20.245000000000001</v>
      </c>
      <c r="J10" s="993">
        <f t="shared" si="3"/>
        <v>20</v>
      </c>
      <c r="K10" s="804">
        <v>0.10299999999999999</v>
      </c>
      <c r="L10" s="994">
        <f t="shared" si="4"/>
        <v>0</v>
      </c>
      <c r="M10" s="804">
        <v>181.24100000000001</v>
      </c>
      <c r="N10" s="994">
        <f t="shared" si="5"/>
        <v>180</v>
      </c>
      <c r="O10" s="804">
        <v>441.048</v>
      </c>
      <c r="P10" s="994">
        <f t="shared" si="6"/>
        <v>440</v>
      </c>
      <c r="Q10" s="804">
        <v>146.398</v>
      </c>
      <c r="R10" s="388">
        <f t="shared" si="7"/>
        <v>146</v>
      </c>
      <c r="S10" s="804">
        <v>1.224</v>
      </c>
      <c r="T10" s="388">
        <f t="shared" si="8"/>
        <v>1</v>
      </c>
      <c r="U10" s="804">
        <v>121.629</v>
      </c>
      <c r="V10" s="388">
        <f t="shared" si="8"/>
        <v>122</v>
      </c>
      <c r="W10" s="804">
        <v>20.396000000000001</v>
      </c>
      <c r="X10" s="388">
        <f t="shared" ref="X10" si="17">IF(W10&lt;0.5,0,IF(W10&gt;1,MROUND(W10,1),"less than 1 g"))</f>
        <v>20</v>
      </c>
      <c r="Y10" s="804">
        <v>16.811</v>
      </c>
      <c r="Z10" s="388">
        <f t="shared" ref="Z10" si="18">IF(Y10&lt;0.5,0,IF(Y10&gt;1,MROUND(Y10,1),"less than 1 g"))</f>
        <v>17</v>
      </c>
      <c r="AA10" s="804">
        <v>1.4590000000000001</v>
      </c>
      <c r="AB10" s="804">
        <v>7.2969999999999997</v>
      </c>
      <c r="AC10" s="804">
        <v>561.71400000000006</v>
      </c>
      <c r="AD10" s="804">
        <v>43.209000000000003</v>
      </c>
      <c r="AE10" s="804">
        <v>3.83</v>
      </c>
      <c r="AF10" s="804">
        <v>21.277000000000001</v>
      </c>
      <c r="AG10" s="804">
        <v>270.09899999999999</v>
      </c>
      <c r="AH10" s="804">
        <v>5.7469999999999999</v>
      </c>
      <c r="AI10" s="806"/>
      <c r="AJ10" s="806"/>
      <c r="AK10" s="806"/>
      <c r="AL10" s="806"/>
      <c r="AM10" s="806"/>
      <c r="AN10" s="806"/>
      <c r="AO10" s="806"/>
      <c r="AP10" s="806"/>
      <c r="AQ10" s="806"/>
      <c r="AR10" s="806"/>
      <c r="AS10" s="806"/>
      <c r="AT10" s="806"/>
      <c r="AU10" s="806"/>
      <c r="AV10" s="806"/>
      <c r="AW10" s="806"/>
      <c r="AX10" s="806"/>
      <c r="AY10" s="806"/>
      <c r="AZ10" s="806"/>
      <c r="BA10" s="806"/>
      <c r="BB10" s="806"/>
      <c r="BC10" s="806"/>
      <c r="BD10" s="806"/>
      <c r="BE10" s="806"/>
      <c r="BF10" s="806"/>
      <c r="BG10" s="806"/>
      <c r="BH10" s="806"/>
      <c r="BI10" s="806"/>
      <c r="BJ10" s="806"/>
      <c r="BK10" s="806"/>
    </row>
    <row r="11" spans="2:63" s="451" customFormat="1" ht="18.45">
      <c r="B11" s="446" t="s">
        <v>489</v>
      </c>
      <c r="C11" s="804">
        <v>960.05</v>
      </c>
      <c r="D11" s="994">
        <f t="shared" si="0"/>
        <v>960</v>
      </c>
      <c r="E11" s="804">
        <v>404.40899999999999</v>
      </c>
      <c r="F11" s="994">
        <f t="shared" si="1"/>
        <v>400</v>
      </c>
      <c r="G11" s="804">
        <v>44.933999999999997</v>
      </c>
      <c r="H11" s="993">
        <f t="shared" si="2"/>
        <v>45</v>
      </c>
      <c r="I11" s="804">
        <v>25.896000000000001</v>
      </c>
      <c r="J11" s="993">
        <f t="shared" si="3"/>
        <v>26</v>
      </c>
      <c r="K11" s="804">
        <v>0.10299999999999999</v>
      </c>
      <c r="L11" s="994">
        <f t="shared" si="4"/>
        <v>0</v>
      </c>
      <c r="M11" s="804">
        <v>212.70500000000001</v>
      </c>
      <c r="N11" s="994">
        <f t="shared" si="5"/>
        <v>215</v>
      </c>
      <c r="O11" s="804">
        <v>645.16499999999996</v>
      </c>
      <c r="P11" s="994">
        <f t="shared" si="6"/>
        <v>650</v>
      </c>
      <c r="Q11" s="804">
        <v>126.54900000000001</v>
      </c>
      <c r="R11" s="388">
        <f t="shared" si="7"/>
        <v>127</v>
      </c>
      <c r="S11" s="804">
        <v>0.85899999999999999</v>
      </c>
      <c r="T11" s="388" t="str">
        <f t="shared" si="8"/>
        <v>less than 1 g</v>
      </c>
      <c r="U11" s="804">
        <v>96.775999999999996</v>
      </c>
      <c r="V11" s="388">
        <f t="shared" si="8"/>
        <v>97</v>
      </c>
      <c r="W11" s="804">
        <v>16.742000000000001</v>
      </c>
      <c r="X11" s="388">
        <f t="shared" ref="X11" si="19">IF(W11&lt;0.5,0,IF(W11&gt;1,MROUND(W11,1),"less than 1 g"))</f>
        <v>17</v>
      </c>
      <c r="Y11" s="804">
        <v>18.273</v>
      </c>
      <c r="Z11" s="388">
        <f t="shared" ref="Z11" si="20">IF(Y11&lt;0.5,0,IF(Y11&gt;1,MROUND(Y11,1),"less than 1 g"))</f>
        <v>18</v>
      </c>
      <c r="AA11" s="804">
        <v>1.4590000000000001</v>
      </c>
      <c r="AB11" s="804">
        <v>7.2969999999999997</v>
      </c>
      <c r="AC11" s="804">
        <v>772.601</v>
      </c>
      <c r="AD11" s="804">
        <v>59.430999999999997</v>
      </c>
      <c r="AE11" s="804">
        <v>1.7989999999999999</v>
      </c>
      <c r="AF11" s="804">
        <v>9.9949999999999992</v>
      </c>
      <c r="AG11" s="804">
        <v>232.845</v>
      </c>
      <c r="AH11" s="804">
        <v>4.9539999999999997</v>
      </c>
      <c r="AI11" s="806"/>
      <c r="AJ11" s="806"/>
      <c r="AK11" s="806"/>
      <c r="AL11" s="806"/>
      <c r="AM11" s="806"/>
      <c r="AN11" s="806"/>
      <c r="AO11" s="806"/>
      <c r="AP11" s="806"/>
      <c r="AQ11" s="806"/>
      <c r="AR11" s="806"/>
      <c r="AS11" s="806"/>
      <c r="AT11" s="806"/>
      <c r="AU11" s="806"/>
      <c r="AV11" s="806"/>
      <c r="AW11" s="806"/>
      <c r="AX11" s="806"/>
      <c r="AY11" s="806"/>
      <c r="AZ11" s="806"/>
      <c r="BA11" s="806"/>
      <c r="BB11" s="806"/>
      <c r="BC11" s="806"/>
      <c r="BD11" s="806"/>
      <c r="BE11" s="806"/>
      <c r="BF11" s="806"/>
      <c r="BG11" s="806"/>
      <c r="BH11" s="806"/>
      <c r="BI11" s="806"/>
      <c r="BJ11" s="806"/>
      <c r="BK11" s="806"/>
    </row>
    <row r="12" spans="2:63" s="451" customFormat="1" ht="18.45">
      <c r="B12" s="446" t="s">
        <v>490</v>
      </c>
      <c r="C12" s="804">
        <v>1184.018</v>
      </c>
      <c r="D12" s="994">
        <f t="shared" si="0"/>
        <v>1180</v>
      </c>
      <c r="E12" s="804">
        <v>673.49199999999996</v>
      </c>
      <c r="F12" s="994">
        <f t="shared" si="1"/>
        <v>670</v>
      </c>
      <c r="G12" s="804">
        <v>74.831999999999994</v>
      </c>
      <c r="H12" s="993">
        <f t="shared" si="2"/>
        <v>75</v>
      </c>
      <c r="I12" s="804">
        <v>29.684999999999999</v>
      </c>
      <c r="J12" s="993">
        <f t="shared" si="3"/>
        <v>30</v>
      </c>
      <c r="K12" s="804">
        <v>0.10299999999999999</v>
      </c>
      <c r="L12" s="994">
        <f t="shared" si="4"/>
        <v>0</v>
      </c>
      <c r="M12" s="804">
        <v>212.42500000000001</v>
      </c>
      <c r="N12" s="994">
        <f t="shared" si="5"/>
        <v>210</v>
      </c>
      <c r="O12" s="804">
        <v>781.97799999999995</v>
      </c>
      <c r="P12" s="994">
        <f t="shared" si="6"/>
        <v>780</v>
      </c>
      <c r="Q12" s="804">
        <v>107.625</v>
      </c>
      <c r="R12" s="388">
        <f t="shared" si="7"/>
        <v>108</v>
      </c>
      <c r="S12" s="804">
        <v>4.1459999999999999</v>
      </c>
      <c r="T12" s="388">
        <f t="shared" si="8"/>
        <v>4</v>
      </c>
      <c r="U12" s="804">
        <v>85.876000000000005</v>
      </c>
      <c r="V12" s="388">
        <f t="shared" si="8"/>
        <v>86</v>
      </c>
      <c r="W12" s="804">
        <v>4.0529999999999999</v>
      </c>
      <c r="X12" s="388">
        <f t="shared" ref="X12" si="21">IF(W12&lt;0.5,0,IF(W12&gt;1,MROUND(W12,1),"less than 1 g"))</f>
        <v>4</v>
      </c>
      <c r="Y12" s="804">
        <v>29.045999999999999</v>
      </c>
      <c r="Z12" s="388">
        <f t="shared" ref="Z12" si="22">IF(Y12&lt;0.5,0,IF(Y12&gt;1,MROUND(Y12,1),"less than 1 g"))</f>
        <v>29</v>
      </c>
      <c r="AA12" s="804">
        <v>1.4590000000000001</v>
      </c>
      <c r="AB12" s="804">
        <v>7.2969999999999997</v>
      </c>
      <c r="AC12" s="804">
        <v>799.41800000000001</v>
      </c>
      <c r="AD12" s="804">
        <v>61.494</v>
      </c>
      <c r="AE12" s="804">
        <v>2.2559999999999998</v>
      </c>
      <c r="AF12" s="804">
        <v>12.532</v>
      </c>
      <c r="AG12" s="804">
        <v>516.36099999999999</v>
      </c>
      <c r="AH12" s="804">
        <v>10.986000000000001</v>
      </c>
      <c r="AI12" s="806"/>
      <c r="AJ12" s="806"/>
      <c r="AK12" s="806"/>
      <c r="AL12" s="806"/>
      <c r="AM12" s="806"/>
      <c r="AN12" s="806"/>
      <c r="AO12" s="806"/>
      <c r="AP12" s="806"/>
      <c r="AQ12" s="806"/>
      <c r="AR12" s="806"/>
      <c r="AS12" s="806"/>
      <c r="AT12" s="806"/>
      <c r="AU12" s="806"/>
      <c r="AV12" s="806"/>
      <c r="AW12" s="806"/>
      <c r="AX12" s="806"/>
      <c r="AY12" s="806"/>
      <c r="AZ12" s="806"/>
      <c r="BA12" s="806"/>
      <c r="BB12" s="806"/>
      <c r="BC12" s="806"/>
      <c r="BD12" s="806"/>
      <c r="BE12" s="806"/>
      <c r="BF12" s="806"/>
      <c r="BG12" s="806"/>
      <c r="BH12" s="806"/>
      <c r="BI12" s="806"/>
      <c r="BJ12" s="806"/>
      <c r="BK12" s="806"/>
    </row>
    <row r="13" spans="2:63" s="451" customFormat="1" ht="18.45">
      <c r="B13" s="446" t="s">
        <v>66</v>
      </c>
      <c r="C13" s="804">
        <v>896.83399999999995</v>
      </c>
      <c r="D13" s="994">
        <f t="shared" si="0"/>
        <v>900</v>
      </c>
      <c r="E13" s="804">
        <v>330.96699999999998</v>
      </c>
      <c r="F13" s="994">
        <f t="shared" si="1"/>
        <v>330</v>
      </c>
      <c r="G13" s="804">
        <v>36.774000000000001</v>
      </c>
      <c r="H13" s="993">
        <f t="shared" si="2"/>
        <v>37</v>
      </c>
      <c r="I13" s="804">
        <v>23.364000000000001</v>
      </c>
      <c r="J13" s="993">
        <f t="shared" si="3"/>
        <v>23</v>
      </c>
      <c r="K13" s="804">
        <v>0.10299999999999999</v>
      </c>
      <c r="L13" s="994">
        <f t="shared" si="4"/>
        <v>0</v>
      </c>
      <c r="M13" s="804">
        <v>212.42500000000001</v>
      </c>
      <c r="N13" s="994">
        <f t="shared" si="5"/>
        <v>210</v>
      </c>
      <c r="O13" s="804">
        <v>519.00800000000004</v>
      </c>
      <c r="P13" s="994">
        <f t="shared" si="6"/>
        <v>520</v>
      </c>
      <c r="Q13" s="804">
        <v>133.92400000000001</v>
      </c>
      <c r="R13" s="388">
        <f t="shared" si="7"/>
        <v>134</v>
      </c>
      <c r="S13" s="804">
        <v>1.224</v>
      </c>
      <c r="T13" s="388">
        <f t="shared" si="8"/>
        <v>1</v>
      </c>
      <c r="U13" s="804">
        <v>112.274</v>
      </c>
      <c r="V13" s="388">
        <f t="shared" si="8"/>
        <v>112</v>
      </c>
      <c r="W13" s="804">
        <v>20.396000000000001</v>
      </c>
      <c r="X13" s="388">
        <f t="shared" ref="X13" si="23">IF(W13&lt;0.5,0,IF(W13&gt;1,MROUND(W13,1),"less than 1 g"))</f>
        <v>20</v>
      </c>
      <c r="Y13" s="804">
        <v>16.811</v>
      </c>
      <c r="Z13" s="388">
        <f t="shared" ref="Z13" si="24">IF(Y13&lt;0.5,0,IF(Y13&gt;1,MROUND(Y13,1),"less than 1 g"))</f>
        <v>17</v>
      </c>
      <c r="AA13" s="804">
        <v>1.4590000000000001</v>
      </c>
      <c r="AB13" s="804">
        <v>7.2969999999999997</v>
      </c>
      <c r="AC13" s="804">
        <v>764.40899999999999</v>
      </c>
      <c r="AD13" s="804">
        <v>58.801000000000002</v>
      </c>
      <c r="AE13" s="804">
        <v>0.46200000000000002</v>
      </c>
      <c r="AF13" s="804">
        <v>2.5670000000000002</v>
      </c>
      <c r="AG13" s="804">
        <v>270.09899999999999</v>
      </c>
      <c r="AH13" s="804">
        <v>5.4740000000000002</v>
      </c>
      <c r="AI13" s="806"/>
      <c r="AJ13" s="806"/>
      <c r="AK13" s="806"/>
      <c r="AL13" s="806"/>
      <c r="AM13" s="806"/>
      <c r="AN13" s="806"/>
      <c r="AO13" s="806"/>
      <c r="AP13" s="806"/>
      <c r="AQ13" s="806"/>
      <c r="AR13" s="806"/>
      <c r="AS13" s="806"/>
      <c r="AT13" s="806"/>
      <c r="AU13" s="806"/>
      <c r="AV13" s="806"/>
      <c r="AW13" s="806"/>
      <c r="AX13" s="806"/>
      <c r="AY13" s="806"/>
      <c r="AZ13" s="806"/>
      <c r="BA13" s="806"/>
      <c r="BB13" s="806"/>
      <c r="BC13" s="806"/>
      <c r="BD13" s="806"/>
      <c r="BE13" s="806"/>
      <c r="BF13" s="806"/>
      <c r="BG13" s="806"/>
      <c r="BH13" s="806"/>
      <c r="BI13" s="806"/>
      <c r="BJ13" s="806"/>
      <c r="BK13" s="806"/>
    </row>
    <row r="14" spans="2:63" s="451" customFormat="1" ht="18.45">
      <c r="B14" s="445" t="s">
        <v>94</v>
      </c>
      <c r="C14" s="804">
        <v>1147.5170000000001</v>
      </c>
      <c r="D14" s="994">
        <f t="shared" si="0"/>
        <v>1150</v>
      </c>
      <c r="E14" s="804">
        <v>474.4</v>
      </c>
      <c r="F14" s="994">
        <f t="shared" si="1"/>
        <v>470</v>
      </c>
      <c r="G14" s="804">
        <v>52.710999999999999</v>
      </c>
      <c r="H14" s="993">
        <f t="shared" si="2"/>
        <v>53</v>
      </c>
      <c r="I14" s="804">
        <v>33.057000000000002</v>
      </c>
      <c r="J14" s="993">
        <f t="shared" si="3"/>
        <v>33</v>
      </c>
      <c r="K14" s="804">
        <v>0.10299999999999999</v>
      </c>
      <c r="L14" s="994">
        <f t="shared" si="4"/>
        <v>0</v>
      </c>
      <c r="M14" s="804">
        <v>212.67699999999999</v>
      </c>
      <c r="N14" s="994">
        <f t="shared" si="5"/>
        <v>215</v>
      </c>
      <c r="O14" s="804">
        <v>627.726</v>
      </c>
      <c r="P14" s="994">
        <f t="shared" si="6"/>
        <v>630</v>
      </c>
      <c r="Q14" s="804">
        <v>157.702</v>
      </c>
      <c r="R14" s="388">
        <f t="shared" si="7"/>
        <v>158</v>
      </c>
      <c r="S14" s="804">
        <v>27.041</v>
      </c>
      <c r="T14" s="388">
        <f t="shared" si="8"/>
        <v>27</v>
      </c>
      <c r="U14" s="804">
        <v>116.012</v>
      </c>
      <c r="V14" s="388">
        <f t="shared" si="8"/>
        <v>116</v>
      </c>
      <c r="W14" s="804">
        <v>24.271999999999998</v>
      </c>
      <c r="X14" s="388">
        <f t="shared" ref="X14" si="25">IF(W14&lt;0.5,0,IF(W14&gt;1,MROUND(W14,1),"less than 1 g"))</f>
        <v>24</v>
      </c>
      <c r="Y14" s="804">
        <v>17.564</v>
      </c>
      <c r="Z14" s="388">
        <f t="shared" ref="Z14" si="26">IF(Y14&lt;0.5,0,IF(Y14&gt;1,MROUND(Y14,1),"less than 1 g"))</f>
        <v>18</v>
      </c>
      <c r="AA14" s="804">
        <v>1.4590000000000001</v>
      </c>
      <c r="AB14" s="804">
        <v>7.2969999999999997</v>
      </c>
      <c r="AC14" s="804">
        <v>755.22799999999995</v>
      </c>
      <c r="AD14" s="804">
        <v>58.094000000000001</v>
      </c>
      <c r="AE14" s="804">
        <v>2.5999999999999999E-2</v>
      </c>
      <c r="AF14" s="804">
        <v>0.14299999999999999</v>
      </c>
      <c r="AG14" s="804">
        <v>206.03200000000001</v>
      </c>
      <c r="AH14" s="804">
        <v>4.3840000000000003</v>
      </c>
      <c r="AI14" s="806"/>
      <c r="AJ14" s="806"/>
      <c r="AK14" s="806"/>
      <c r="AL14" s="806"/>
      <c r="AM14" s="806"/>
      <c r="AN14" s="806"/>
      <c r="AO14" s="806"/>
      <c r="AP14" s="806"/>
      <c r="AQ14" s="806"/>
      <c r="AR14" s="806"/>
      <c r="AS14" s="806"/>
      <c r="AT14" s="806"/>
      <c r="AU14" s="806"/>
      <c r="AV14" s="806"/>
      <c r="AW14" s="806"/>
      <c r="AX14" s="806"/>
      <c r="AY14" s="806"/>
      <c r="AZ14" s="806"/>
      <c r="BA14" s="806"/>
      <c r="BB14" s="806"/>
      <c r="BC14" s="806"/>
      <c r="BD14" s="806"/>
      <c r="BE14" s="806"/>
      <c r="BF14" s="806"/>
      <c r="BG14" s="806"/>
      <c r="BH14" s="806"/>
      <c r="BI14" s="806"/>
      <c r="BJ14" s="806"/>
      <c r="BK14" s="806"/>
    </row>
    <row r="15" spans="2:63" s="451" customFormat="1" ht="18.45">
      <c r="B15" s="445" t="s">
        <v>491</v>
      </c>
      <c r="C15" s="804">
        <v>997.37900000000002</v>
      </c>
      <c r="D15" s="994">
        <f t="shared" si="0"/>
        <v>1000</v>
      </c>
      <c r="E15" s="804">
        <v>369.74900000000002</v>
      </c>
      <c r="F15" s="994">
        <f t="shared" si="1"/>
        <v>370</v>
      </c>
      <c r="G15" s="804">
        <v>41.082999999999998</v>
      </c>
      <c r="H15" s="993">
        <f t="shared" si="2"/>
        <v>41</v>
      </c>
      <c r="I15" s="804">
        <v>24.440999999999999</v>
      </c>
      <c r="J15" s="993">
        <f t="shared" si="3"/>
        <v>24</v>
      </c>
      <c r="K15" s="804">
        <v>0.10299999999999999</v>
      </c>
      <c r="L15" s="994">
        <f t="shared" si="4"/>
        <v>0</v>
      </c>
      <c r="M15" s="804">
        <v>212.42500000000001</v>
      </c>
      <c r="N15" s="994">
        <f t="shared" si="5"/>
        <v>210</v>
      </c>
      <c r="O15" s="804">
        <v>601.59799999999996</v>
      </c>
      <c r="P15" s="994">
        <f t="shared" si="6"/>
        <v>600</v>
      </c>
      <c r="Q15" s="804">
        <v>149.006</v>
      </c>
      <c r="R15" s="388">
        <f t="shared" si="7"/>
        <v>149</v>
      </c>
      <c r="S15" s="804">
        <v>19.178999999999998</v>
      </c>
      <c r="T15" s="388">
        <f t="shared" si="8"/>
        <v>19</v>
      </c>
      <c r="U15" s="804">
        <v>120.17400000000001</v>
      </c>
      <c r="V15" s="388">
        <f t="shared" si="8"/>
        <v>120</v>
      </c>
      <c r="W15" s="804">
        <v>20.396000000000001</v>
      </c>
      <c r="X15" s="388">
        <f t="shared" ref="X15" si="27">IF(W15&lt;0.5,0,IF(W15&gt;1,MROUND(W15,1),"less than 1 g"))</f>
        <v>20</v>
      </c>
      <c r="Y15" s="804">
        <v>17.529</v>
      </c>
      <c r="Z15" s="388">
        <f t="shared" ref="Z15" si="28">IF(Y15&lt;0.5,0,IF(Y15&gt;1,MROUND(Y15,1),"less than 1 g"))</f>
        <v>18</v>
      </c>
      <c r="AA15" s="804">
        <v>1.4590000000000001</v>
      </c>
      <c r="AB15" s="804">
        <v>7.2969999999999997</v>
      </c>
      <c r="AC15" s="804">
        <v>764.40899999999999</v>
      </c>
      <c r="AD15" s="804">
        <v>58.801000000000002</v>
      </c>
      <c r="AE15" s="804">
        <v>0.46200000000000002</v>
      </c>
      <c r="AF15" s="804">
        <v>2.5670000000000002</v>
      </c>
      <c r="AG15" s="804">
        <v>291.64400000000001</v>
      </c>
      <c r="AH15" s="804">
        <v>6.2050000000000001</v>
      </c>
      <c r="AI15" s="806"/>
      <c r="AJ15" s="806"/>
      <c r="AK15" s="806"/>
      <c r="AL15" s="806"/>
      <c r="AM15" s="806"/>
      <c r="AN15" s="806"/>
      <c r="AO15" s="806"/>
      <c r="AP15" s="806"/>
      <c r="AQ15" s="806"/>
      <c r="AR15" s="806"/>
      <c r="AS15" s="806"/>
      <c r="AT15" s="806"/>
      <c r="AU15" s="806"/>
      <c r="AV15" s="806"/>
      <c r="AW15" s="806"/>
      <c r="AX15" s="806"/>
      <c r="AY15" s="806"/>
      <c r="AZ15" s="806"/>
      <c r="BA15" s="806"/>
      <c r="BB15" s="806"/>
      <c r="BC15" s="806"/>
      <c r="BD15" s="806"/>
      <c r="BE15" s="806"/>
      <c r="BF15" s="806"/>
      <c r="BG15" s="806"/>
      <c r="BH15" s="806"/>
      <c r="BI15" s="806"/>
      <c r="BJ15" s="806"/>
      <c r="BK15" s="806"/>
    </row>
    <row r="16" spans="2:63" ht="18.75" customHeight="1">
      <c r="S16" s="807"/>
      <c r="T16" s="807"/>
      <c r="U16" s="807"/>
      <c r="V16" s="807"/>
      <c r="W16" s="807"/>
      <c r="X16" s="807"/>
      <c r="Y16" s="807"/>
      <c r="Z16" s="807"/>
      <c r="AA16" s="807"/>
      <c r="AB16" s="807"/>
      <c r="AC16" s="807"/>
      <c r="AD16" s="807"/>
      <c r="AE16" s="807"/>
      <c r="AF16" s="807"/>
      <c r="AG16" s="807"/>
      <c r="AH16" s="807"/>
      <c r="AI16" s="807"/>
      <c r="AJ16" s="807"/>
      <c r="AK16" s="807"/>
    </row>
    <row r="17" spans="2:37" ht="18" customHeight="1">
      <c r="S17" s="807"/>
      <c r="T17" s="807"/>
      <c r="U17" s="807"/>
      <c r="V17" s="807"/>
      <c r="W17" s="807"/>
      <c r="X17" s="807"/>
      <c r="Y17" s="807"/>
      <c r="Z17" s="807"/>
      <c r="AA17" s="807"/>
      <c r="AB17" s="807"/>
      <c r="AC17" s="807"/>
      <c r="AD17" s="807"/>
      <c r="AE17" s="807"/>
      <c r="AF17" s="807"/>
      <c r="AG17" s="807"/>
      <c r="AH17" s="807"/>
      <c r="AI17" s="807"/>
      <c r="AJ17" s="807"/>
      <c r="AK17" s="807"/>
    </row>
    <row r="18" spans="2:37" s="451" customFormat="1" ht="18.45">
      <c r="B18" s="1294" t="s">
        <v>492</v>
      </c>
      <c r="C18" s="1291"/>
      <c r="D18" s="1291"/>
      <c r="E18" s="1291"/>
      <c r="F18" s="1291"/>
      <c r="G18" s="1291"/>
      <c r="H18" s="1291"/>
      <c r="I18" s="1291"/>
      <c r="J18" s="1291"/>
      <c r="K18" s="1291"/>
      <c r="L18" s="1291"/>
      <c r="M18" s="1291"/>
      <c r="N18" s="1291"/>
      <c r="O18" s="1291"/>
      <c r="P18" s="1291"/>
      <c r="Q18" s="1291"/>
      <c r="R18" s="1291"/>
      <c r="S18" s="1291"/>
      <c r="T18" s="1291"/>
      <c r="U18" s="1291"/>
      <c r="V18" s="1291"/>
      <c r="W18" s="1291"/>
      <c r="X18" s="1291"/>
      <c r="Y18" s="1291"/>
      <c r="Z18" s="1291"/>
      <c r="AA18" s="1291"/>
      <c r="AB18" s="1291"/>
      <c r="AC18" s="1291"/>
      <c r="AD18" s="1291"/>
      <c r="AE18" s="1291"/>
      <c r="AF18" s="1291"/>
      <c r="AG18" s="1291"/>
      <c r="AH18" s="1291"/>
    </row>
    <row r="19" spans="2:37" s="451" customFormat="1" ht="18.899999999999999" thickBot="1">
      <c r="B19" s="1294" t="s">
        <v>493</v>
      </c>
      <c r="C19" s="1291"/>
      <c r="D19" s="1291"/>
      <c r="E19" s="1291"/>
      <c r="F19" s="1291"/>
      <c r="G19" s="1291"/>
      <c r="H19" s="1291"/>
      <c r="I19" s="1291"/>
      <c r="J19" s="1291"/>
      <c r="K19" s="1291"/>
      <c r="L19" s="1291"/>
      <c r="M19" s="1291"/>
      <c r="N19" s="1291"/>
      <c r="O19" s="1291"/>
      <c r="P19" s="1291"/>
      <c r="Q19" s="1291"/>
      <c r="R19" s="1291"/>
      <c r="S19" s="1291"/>
      <c r="T19" s="1291"/>
      <c r="U19" s="1291"/>
      <c r="V19" s="1291"/>
      <c r="W19" s="1291"/>
      <c r="X19" s="1291"/>
      <c r="Y19" s="1291"/>
      <c r="Z19" s="1291"/>
      <c r="AA19" s="1291"/>
      <c r="AB19" s="1291"/>
      <c r="AC19" s="1291"/>
      <c r="AD19" s="1291"/>
      <c r="AE19" s="1291"/>
      <c r="AF19" s="1291"/>
      <c r="AG19" s="1291"/>
      <c r="AH19" s="1291"/>
    </row>
    <row r="20" spans="2:37" s="451" customFormat="1" ht="37.299999999999997" thickBot="1">
      <c r="B20" s="461" t="s">
        <v>3</v>
      </c>
      <c r="C20" s="460" t="s">
        <v>4</v>
      </c>
      <c r="D20" s="460" t="s">
        <v>4</v>
      </c>
      <c r="E20" s="460" t="s">
        <v>5</v>
      </c>
      <c r="F20" s="460" t="s">
        <v>5</v>
      </c>
      <c r="G20" s="460" t="s">
        <v>6</v>
      </c>
      <c r="H20" s="986" t="s">
        <v>6</v>
      </c>
      <c r="I20" s="460" t="s">
        <v>7</v>
      </c>
      <c r="J20" s="986" t="s">
        <v>7</v>
      </c>
      <c r="K20" s="460" t="s">
        <v>8</v>
      </c>
      <c r="L20" s="460" t="s">
        <v>8</v>
      </c>
      <c r="M20" s="460" t="s">
        <v>9</v>
      </c>
      <c r="N20" s="460" t="s">
        <v>9</v>
      </c>
      <c r="O20" s="460" t="s">
        <v>10</v>
      </c>
      <c r="P20" s="460" t="s">
        <v>10</v>
      </c>
      <c r="Q20" s="460" t="s">
        <v>11</v>
      </c>
      <c r="R20" s="460" t="s">
        <v>11</v>
      </c>
      <c r="S20" s="460" t="s">
        <v>12</v>
      </c>
      <c r="T20" s="460" t="s">
        <v>12</v>
      </c>
      <c r="U20" s="460" t="s">
        <v>13</v>
      </c>
      <c r="V20" s="460" t="s">
        <v>13</v>
      </c>
      <c r="W20" s="460" t="s">
        <v>14</v>
      </c>
      <c r="X20" s="460" t="s">
        <v>14</v>
      </c>
      <c r="Y20" s="460" t="s">
        <v>15</v>
      </c>
      <c r="Z20" s="460" t="s">
        <v>15</v>
      </c>
      <c r="AA20" s="441" t="s">
        <v>16</v>
      </c>
      <c r="AB20" s="441" t="s">
        <v>17</v>
      </c>
      <c r="AC20" s="441" t="s">
        <v>18</v>
      </c>
      <c r="AD20" s="441" t="s">
        <v>19</v>
      </c>
      <c r="AE20" s="441" t="s">
        <v>20</v>
      </c>
      <c r="AF20" s="441" t="s">
        <v>21</v>
      </c>
      <c r="AG20" s="441" t="s">
        <v>22</v>
      </c>
      <c r="AH20" s="441" t="s">
        <v>23</v>
      </c>
    </row>
    <row r="21" spans="2:37" s="451" customFormat="1" ht="18.45">
      <c r="B21" s="459" t="s">
        <v>422</v>
      </c>
      <c r="C21" s="458">
        <v>5</v>
      </c>
      <c r="D21" s="458">
        <v>5</v>
      </c>
      <c r="E21" s="458">
        <v>0</v>
      </c>
      <c r="F21" s="458">
        <v>0</v>
      </c>
      <c r="G21" s="458">
        <v>0</v>
      </c>
      <c r="H21" s="854">
        <v>0</v>
      </c>
      <c r="I21" s="458">
        <v>0</v>
      </c>
      <c r="J21" s="854">
        <v>0</v>
      </c>
      <c r="K21" s="458">
        <v>0</v>
      </c>
      <c r="L21" s="458">
        <v>0</v>
      </c>
      <c r="M21" s="458">
        <v>0</v>
      </c>
      <c r="N21" s="458">
        <v>0</v>
      </c>
      <c r="O21" s="458">
        <v>0</v>
      </c>
      <c r="P21" s="458">
        <v>0</v>
      </c>
      <c r="Q21" s="458">
        <v>1</v>
      </c>
      <c r="R21" s="458" t="s">
        <v>303</v>
      </c>
      <c r="S21" s="458">
        <v>0</v>
      </c>
      <c r="T21" s="458">
        <v>0</v>
      </c>
      <c r="U21" s="458">
        <v>1</v>
      </c>
      <c r="V21" s="458" t="s">
        <v>303</v>
      </c>
      <c r="W21" s="458">
        <v>1</v>
      </c>
      <c r="X21" s="458" t="s">
        <v>303</v>
      </c>
      <c r="Y21" s="458">
        <v>0</v>
      </c>
      <c r="Z21" s="458">
        <v>0</v>
      </c>
      <c r="AA21" s="458">
        <v>0</v>
      </c>
      <c r="AB21" s="458">
        <v>0</v>
      </c>
      <c r="AC21" s="458">
        <v>1</v>
      </c>
      <c r="AD21" s="798">
        <v>0</v>
      </c>
      <c r="AE21" s="798">
        <v>0</v>
      </c>
      <c r="AF21" s="798">
        <v>0</v>
      </c>
      <c r="AG21" s="798">
        <v>1</v>
      </c>
      <c r="AH21" s="798">
        <v>0</v>
      </c>
    </row>
    <row r="22" spans="2:37" s="451" customFormat="1" ht="18.45">
      <c r="B22" s="459" t="s">
        <v>423</v>
      </c>
      <c r="C22" s="457">
        <v>38.271000000000001</v>
      </c>
      <c r="D22" s="457">
        <v>40</v>
      </c>
      <c r="E22" s="457">
        <v>25.513999999999999</v>
      </c>
      <c r="F22" s="457">
        <v>25</v>
      </c>
      <c r="G22" s="457">
        <v>2.835</v>
      </c>
      <c r="H22" s="854">
        <v>3</v>
      </c>
      <c r="I22" s="457">
        <v>1.843</v>
      </c>
      <c r="J22" s="854">
        <v>2</v>
      </c>
      <c r="K22" s="457">
        <v>0</v>
      </c>
      <c r="L22" s="457">
        <v>0</v>
      </c>
      <c r="M22" s="457">
        <v>9.2129999999999992</v>
      </c>
      <c r="N22" s="457">
        <v>10</v>
      </c>
      <c r="O22" s="457">
        <v>3.544</v>
      </c>
      <c r="P22" s="457">
        <v>0</v>
      </c>
      <c r="Q22" s="457">
        <v>3.1179999999999999</v>
      </c>
      <c r="R22" s="457">
        <v>3</v>
      </c>
      <c r="S22" s="457">
        <v>0</v>
      </c>
      <c r="T22" s="457">
        <v>0</v>
      </c>
      <c r="U22" s="457">
        <v>1.417</v>
      </c>
      <c r="V22" s="457">
        <v>1</v>
      </c>
      <c r="W22" s="457">
        <v>1.1339999999999999</v>
      </c>
      <c r="X22" s="457">
        <v>1</v>
      </c>
      <c r="Y22" s="457">
        <v>0.28299999999999997</v>
      </c>
      <c r="Z22" s="457">
        <v>0</v>
      </c>
      <c r="AA22" s="458">
        <v>0</v>
      </c>
      <c r="AB22" s="458">
        <v>0</v>
      </c>
      <c r="AC22" s="457">
        <v>9.9220000000000006</v>
      </c>
      <c r="AD22" s="457">
        <v>0.76300000000000001</v>
      </c>
      <c r="AE22" s="457">
        <v>0</v>
      </c>
      <c r="AF22" s="457">
        <v>0</v>
      </c>
      <c r="AG22" s="457">
        <v>12.757</v>
      </c>
      <c r="AH22" s="457">
        <v>0.27100000000000002</v>
      </c>
    </row>
    <row r="23" spans="2:37" s="451" customFormat="1" ht="18.899999999999999" thickBot="1">
      <c r="B23" s="456"/>
      <c r="C23" s="454"/>
      <c r="D23" s="454"/>
      <c r="E23" s="454"/>
      <c r="F23" s="454"/>
      <c r="G23" s="454"/>
      <c r="H23" s="996"/>
      <c r="I23" s="454"/>
      <c r="J23" s="996"/>
      <c r="K23" s="454"/>
      <c r="L23" s="454"/>
      <c r="M23" s="454"/>
      <c r="N23" s="454"/>
      <c r="O23" s="454"/>
      <c r="P23" s="454"/>
      <c r="Q23" s="454"/>
      <c r="R23" s="454"/>
      <c r="S23" s="454"/>
      <c r="T23" s="454"/>
      <c r="U23" s="454"/>
      <c r="V23" s="454"/>
      <c r="W23" s="454"/>
      <c r="X23" s="454"/>
      <c r="Y23" s="454"/>
      <c r="Z23" s="454"/>
      <c r="AA23" s="455"/>
      <c r="AB23" s="455"/>
      <c r="AC23" s="454"/>
      <c r="AD23" s="454"/>
      <c r="AE23" s="454"/>
      <c r="AF23" s="454"/>
      <c r="AG23" s="454"/>
      <c r="AH23" s="454"/>
    </row>
    <row r="24" spans="2:37" s="451" customFormat="1" ht="18.45">
      <c r="B24" s="1295" t="s">
        <v>168</v>
      </c>
      <c r="C24" s="1296"/>
      <c r="D24" s="1296"/>
      <c r="E24" s="1296"/>
      <c r="F24" s="1296"/>
      <c r="G24" s="1296"/>
      <c r="H24" s="1296"/>
      <c r="I24" s="1296"/>
      <c r="J24" s="1296"/>
      <c r="K24" s="1296"/>
      <c r="L24" s="1296"/>
      <c r="M24" s="1296"/>
      <c r="N24" s="1296"/>
      <c r="O24" s="1296"/>
      <c r="P24" s="1296"/>
      <c r="Q24" s="1296"/>
      <c r="R24" s="1296"/>
      <c r="S24" s="1296"/>
      <c r="T24" s="1296"/>
      <c r="U24" s="1296"/>
      <c r="V24" s="1296"/>
      <c r="W24" s="1296"/>
      <c r="X24" s="1296"/>
      <c r="Y24" s="1296"/>
      <c r="Z24" s="1296"/>
      <c r="AA24" s="1296"/>
      <c r="AB24" s="1296"/>
      <c r="AC24" s="1296"/>
      <c r="AD24" s="1296"/>
      <c r="AE24" s="1296"/>
      <c r="AF24" s="1296"/>
      <c r="AG24" s="1296"/>
      <c r="AH24" s="1297"/>
    </row>
    <row r="25" spans="2:37" s="451" customFormat="1" ht="18.45">
      <c r="B25" s="1298"/>
      <c r="C25" s="1299"/>
      <c r="D25" s="1299"/>
      <c r="E25" s="1299"/>
      <c r="F25" s="1299"/>
      <c r="G25" s="1299"/>
      <c r="H25" s="1299"/>
      <c r="I25" s="1299"/>
      <c r="J25" s="1299"/>
      <c r="K25" s="1299"/>
      <c r="L25" s="1299"/>
      <c r="M25" s="1299"/>
      <c r="N25" s="1299"/>
      <c r="O25" s="1299"/>
      <c r="P25" s="1299"/>
      <c r="Q25" s="1299"/>
      <c r="R25" s="1299"/>
      <c r="S25" s="1299"/>
      <c r="T25" s="1299"/>
      <c r="U25" s="1299"/>
      <c r="V25" s="1299"/>
      <c r="W25" s="1299"/>
      <c r="X25" s="1299"/>
      <c r="Y25" s="1299"/>
      <c r="Z25" s="1299"/>
      <c r="AA25" s="1299"/>
      <c r="AB25" s="1299"/>
      <c r="AC25" s="1299"/>
      <c r="AD25" s="1299"/>
      <c r="AE25" s="1299"/>
      <c r="AF25" s="1299"/>
      <c r="AG25" s="1299"/>
      <c r="AH25" s="1300"/>
    </row>
    <row r="26" spans="2:37" s="451" customFormat="1" ht="18.899999999999999" thickBot="1">
      <c r="B26" s="1301"/>
      <c r="C26" s="1302"/>
      <c r="D26" s="1302"/>
      <c r="E26" s="1302"/>
      <c r="F26" s="1302"/>
      <c r="G26" s="1302"/>
      <c r="H26" s="1302"/>
      <c r="I26" s="1302"/>
      <c r="J26" s="1302"/>
      <c r="K26" s="1302"/>
      <c r="L26" s="1302"/>
      <c r="M26" s="1302"/>
      <c r="N26" s="1302"/>
      <c r="O26" s="1302"/>
      <c r="P26" s="1302"/>
      <c r="Q26" s="1302"/>
      <c r="R26" s="1302"/>
      <c r="S26" s="1302"/>
      <c r="T26" s="1302"/>
      <c r="U26" s="1302"/>
      <c r="V26" s="1302"/>
      <c r="W26" s="1302"/>
      <c r="X26" s="1302"/>
      <c r="Y26" s="1302"/>
      <c r="Z26" s="1302"/>
      <c r="AA26" s="1302"/>
      <c r="AB26" s="1302"/>
      <c r="AC26" s="1302"/>
      <c r="AD26" s="1302"/>
      <c r="AE26" s="1302"/>
      <c r="AF26" s="1302"/>
      <c r="AG26" s="1302"/>
      <c r="AH26" s="1303"/>
    </row>
    <row r="27" spans="2:37" s="451" customFormat="1" ht="19.5" customHeight="1">
      <c r="H27" s="997"/>
      <c r="J27" s="997"/>
    </row>
    <row r="28" spans="2:37" hidden="1"/>
    <row r="29" spans="2:37" s="451" customFormat="1" ht="18.45" hidden="1">
      <c r="B29" s="453" t="s">
        <v>494</v>
      </c>
      <c r="C29" s="452" t="e">
        <f>(AVERAGE(C6:C15,#REF!)+C21+C22)</f>
        <v>#REF!</v>
      </c>
      <c r="D29" s="452"/>
      <c r="E29" s="452" t="e">
        <f>(AVERAGE(E6:E15,#REF!)+E21+E22)</f>
        <v>#REF!</v>
      </c>
      <c r="F29" s="452"/>
      <c r="G29" s="452" t="e">
        <f>(AVERAGE(G6:G15,#REF!)+G21+G22)</f>
        <v>#REF!</v>
      </c>
      <c r="H29" s="998"/>
      <c r="I29" s="452" t="e">
        <f>(AVERAGE(I6:I15,#REF!)+I21+I22)</f>
        <v>#REF!</v>
      </c>
      <c r="J29" s="998"/>
      <c r="K29" s="452" t="e">
        <f>(AVERAGE(K6:K15,#REF!)+K21+K22)</f>
        <v>#REF!</v>
      </c>
      <c r="L29" s="452"/>
      <c r="M29" s="452" t="e">
        <f>(AVERAGE(M6:M15,#REF!)+M21+M22)</f>
        <v>#REF!</v>
      </c>
      <c r="N29" s="452"/>
      <c r="O29" s="452" t="e">
        <f>(AVERAGE(O6:O15,#REF!)+O21+O22)</f>
        <v>#REF!</v>
      </c>
      <c r="P29" s="452"/>
      <c r="Q29" s="452" t="e">
        <f>(AVERAGE(Q6:Q15,#REF!)+Q21+Q22)</f>
        <v>#REF!</v>
      </c>
      <c r="R29" s="452"/>
      <c r="S29" s="452" t="e">
        <f>(AVERAGE(S6:S15,#REF!)+S21+S22)</f>
        <v>#REF!</v>
      </c>
      <c r="T29" s="452"/>
      <c r="U29" s="452" t="e">
        <f>(AVERAGE(U6:U15,#REF!)+U21+U22)</f>
        <v>#REF!</v>
      </c>
      <c r="V29" s="452"/>
      <c r="W29" s="452" t="e">
        <f>(AVERAGE(W6:W15,#REF!)+W21+W22)</f>
        <v>#REF!</v>
      </c>
      <c r="X29" s="452"/>
      <c r="Y29" s="452" t="e">
        <f>(AVERAGE(Y6:Y15,#REF!)+Y21+Y22)</f>
        <v>#REF!</v>
      </c>
      <c r="Z29" s="452"/>
      <c r="AA29" s="452" t="e">
        <f>(AVERAGE(AA6:AA15,#REF!)+AA21+AA22)</f>
        <v>#REF!</v>
      </c>
      <c r="AB29" s="452" t="e">
        <f>(AVERAGE(AB6:AB15,#REF!)+AB21+AB22)</f>
        <v>#REF!</v>
      </c>
      <c r="AC29" s="452" t="e">
        <f>(AVERAGE(AC6:AC15,#REF!)+AC21+AC22)</f>
        <v>#REF!</v>
      </c>
      <c r="AD29" s="452" t="e">
        <f>(AVERAGE(AD6:AD15,#REF!)+AD21+AD22)</f>
        <v>#REF!</v>
      </c>
      <c r="AE29" s="452" t="e">
        <f>(AVERAGE(AE6:AE15,#REF!)+AE21+AE22)</f>
        <v>#REF!</v>
      </c>
      <c r="AF29" s="452" t="e">
        <f>(AVERAGE(AF6:AF15,#REF!)+AF21+AF22)</f>
        <v>#REF!</v>
      </c>
      <c r="AG29" s="452" t="e">
        <f>(AVERAGE(AG6:AG15,#REF!)+AG21+AG22)</f>
        <v>#REF!</v>
      </c>
      <c r="AH29" s="452" t="e">
        <f>(AVERAGE(AH6:AH15,#REF!)+AH21+AH22)</f>
        <v>#REF!</v>
      </c>
    </row>
    <row r="30" spans="2:37" s="451" customFormat="1" ht="18.45" hidden="1">
      <c r="B30" s="373"/>
      <c r="C30" s="452" t="str">
        <f>(MIN(C6:C15))&amp;" - "&amp;(MAX(C6:C15)+C21+C22)</f>
        <v>788.243 - 1227.289</v>
      </c>
      <c r="D30" s="452"/>
      <c r="E30" s="452" t="str">
        <f>(MIN(E6:E15))&amp;" - "&amp;(MAX(E6:E15)+E21+E22)</f>
        <v>302.327 - 699.006</v>
      </c>
      <c r="F30" s="452"/>
      <c r="G30" s="452" t="str">
        <f>(MIN(G6:G15))&amp;" - "&amp;(MAX(G6:G15)+G21+G22)</f>
        <v>33.592 - 77.667</v>
      </c>
      <c r="H30" s="998"/>
      <c r="I30" s="452" t="str">
        <f>(MIN(I6:I15))&amp;" - "&amp;(MAX(I6:I15)+I21+I22)</f>
        <v>20.239 - 34.9</v>
      </c>
      <c r="J30" s="998"/>
      <c r="K30" s="452" t="str">
        <f>(MIN(K6:K15))&amp;" - "&amp;(MAX(K6:K15)+K21+K22)</f>
        <v>0.103 - 0.103</v>
      </c>
      <c r="L30" s="452"/>
      <c r="M30" s="452" t="str">
        <f>(MIN(M6:M15))&amp;" - "&amp;(MAX(M6:M15)+M21+M22)</f>
        <v>181.241 - 232.081</v>
      </c>
      <c r="N30" s="452"/>
      <c r="O30" s="452" t="str">
        <f>(MIN(O6:O15))&amp;" - "&amp;(MAX(O6:O15)+O21+O22)</f>
        <v>421.592 - 785.522</v>
      </c>
      <c r="P30" s="452"/>
      <c r="Q30" s="452" t="str">
        <f>(MIN(Q6:Q15))&amp;" - "&amp;(MAX(Q6:Q15)+Q21+Q22)</f>
        <v>107.625 - 161.82</v>
      </c>
      <c r="R30" s="452"/>
      <c r="S30" s="452" t="str">
        <f>(MIN(S6:S15))&amp;" - "&amp;(MAX(S6:S15)+S21+S22)</f>
        <v>0.009 - 27.041</v>
      </c>
      <c r="T30" s="452"/>
      <c r="U30" s="452" t="str">
        <f>(MIN(U6:U15))&amp;" - "&amp;(MAX(U6:U15)+U21+U22)</f>
        <v>85.876 - 124.046</v>
      </c>
      <c r="V30" s="452"/>
      <c r="W30" s="452" t="str">
        <f>(MIN(W6:W15))&amp;" - "&amp;(MAX(W6:W15)+W21+W22)</f>
        <v>0 - 42.916</v>
      </c>
      <c r="X30" s="452"/>
      <c r="Y30" s="452" t="str">
        <f>(MIN(Y6:Y15))&amp;" - "&amp;(MAX(Y6:Y15)+Y21+Y22)</f>
        <v>16.487 - 29.329</v>
      </c>
      <c r="Z30" s="452"/>
      <c r="AA30" s="452" t="e">
        <f>(MIN(AA6:AA15,#REF!))&amp;" - "&amp;(MAX(AA6:AA15,#REF!)+AA21+AA22)</f>
        <v>#REF!</v>
      </c>
      <c r="AB30" s="452" t="e">
        <f>(MIN(AB6:AB15,#REF!))&amp;" - "&amp;(MAX(AB6:AB15,#REF!)+AB21+AB22)</f>
        <v>#REF!</v>
      </c>
      <c r="AC30" s="452" t="e">
        <f>(MIN(AC6:AC15,#REF!))&amp;" - "&amp;(MAX(AC6:AC15,#REF!)+AC21+AC22)</f>
        <v>#REF!</v>
      </c>
      <c r="AD30" s="452" t="e">
        <f>(MIN(AD6:AD15,#REF!))&amp;" - "&amp;(MAX(AD6:AD15,#REF!)+AD21+AD22)</f>
        <v>#REF!</v>
      </c>
      <c r="AE30" s="452" t="e">
        <f>(MIN(AE6:AE15,#REF!))&amp;" - "&amp;(MAX(AE6:AE15,#REF!)+AE21+AE22)</f>
        <v>#REF!</v>
      </c>
      <c r="AF30" s="452" t="e">
        <f>(MIN(AF6:AF15,#REF!))&amp;" - "&amp;(MAX(AF6:AF15,#REF!)+AF21+AF22)</f>
        <v>#REF!</v>
      </c>
      <c r="AG30" s="452" t="e">
        <f>(MIN(AG6:AG15,#REF!))&amp;" - "&amp;(MAX(AG6:AG15,#REF!)+AG21+AG22)</f>
        <v>#REF!</v>
      </c>
      <c r="AH30" s="452" t="e">
        <f>(MIN(AH6:AH15,#REF!))&amp;" - "&amp;(MAX(AH6:AH15,#REF!)+AH21+AH22)</f>
        <v>#REF!</v>
      </c>
    </row>
    <row r="31" spans="2:37" s="451" customFormat="1" ht="18.45">
      <c r="H31" s="997"/>
      <c r="J31" s="997"/>
    </row>
    <row r="32" spans="2:37" ht="13.3" thickBot="1"/>
    <row r="33" spans="2:26" ht="36.9">
      <c r="B33" s="982" t="s">
        <v>496</v>
      </c>
      <c r="C33" s="460" t="s">
        <v>4</v>
      </c>
      <c r="D33" s="460" t="s">
        <v>4</v>
      </c>
      <c r="E33" s="460" t="s">
        <v>5</v>
      </c>
      <c r="F33" s="460" t="s">
        <v>5</v>
      </c>
      <c r="G33" s="460" t="s">
        <v>6</v>
      </c>
      <c r="H33" s="986" t="s">
        <v>6</v>
      </c>
      <c r="I33" s="460" t="s">
        <v>7</v>
      </c>
      <c r="J33" s="986" t="s">
        <v>7</v>
      </c>
      <c r="K33" s="460" t="s">
        <v>8</v>
      </c>
      <c r="L33" s="460" t="s">
        <v>8</v>
      </c>
      <c r="M33" s="460" t="s">
        <v>9</v>
      </c>
      <c r="N33" s="460" t="s">
        <v>9</v>
      </c>
      <c r="O33" s="460" t="s">
        <v>10</v>
      </c>
      <c r="P33" s="460" t="s">
        <v>10</v>
      </c>
      <c r="Q33" s="460" t="s">
        <v>11</v>
      </c>
      <c r="R33" s="460" t="s">
        <v>11</v>
      </c>
      <c r="S33" s="460" t="s">
        <v>12</v>
      </c>
      <c r="T33" s="460" t="s">
        <v>12</v>
      </c>
      <c r="U33" s="460" t="s">
        <v>13</v>
      </c>
      <c r="V33" s="460" t="s">
        <v>13</v>
      </c>
      <c r="W33" s="460" t="s">
        <v>14</v>
      </c>
      <c r="X33" s="460" t="s">
        <v>14</v>
      </c>
      <c r="Y33" s="460" t="s">
        <v>15</v>
      </c>
      <c r="Z33" s="460" t="s">
        <v>15</v>
      </c>
    </row>
    <row r="34" spans="2:26" ht="18.45">
      <c r="B34" s="983" t="s">
        <v>497</v>
      </c>
      <c r="C34" s="984">
        <f>MIN(D5:D15)</f>
        <v>760</v>
      </c>
      <c r="D34" s="990">
        <f>MAX(D5:D15)</f>
        <v>1180</v>
      </c>
      <c r="E34" s="984">
        <f>MIN(F5:F15)</f>
        <v>300</v>
      </c>
      <c r="F34" s="990">
        <f>MAX(F5:F15)</f>
        <v>670</v>
      </c>
      <c r="G34" s="984">
        <f>MIN(H5:H15)</f>
        <v>34</v>
      </c>
      <c r="H34" s="987">
        <f>MAX(H5:H15)</f>
        <v>75</v>
      </c>
      <c r="I34" s="984">
        <f>MIN(J5:J15)</f>
        <v>20</v>
      </c>
      <c r="J34" s="987">
        <f>MAX(J5:J15)</f>
        <v>33</v>
      </c>
      <c r="K34" s="984">
        <f>MIN(L5:L15)</f>
        <v>0</v>
      </c>
      <c r="L34" s="990">
        <f>MAX(L5:L15)</f>
        <v>0</v>
      </c>
      <c r="M34" s="984">
        <f>MIN(N5:N15)</f>
        <v>180</v>
      </c>
      <c r="N34" s="990">
        <f>MAX(N5:N15)</f>
        <v>225</v>
      </c>
      <c r="O34" s="984">
        <f>MIN(P5:P15)</f>
        <v>420</v>
      </c>
      <c r="P34" s="990">
        <f>MAX(P5:P15)</f>
        <v>780</v>
      </c>
      <c r="Q34" s="984">
        <f>MIN(R5:R15)</f>
        <v>96</v>
      </c>
      <c r="R34" s="990">
        <f>MAX(R5:R15)</f>
        <v>158</v>
      </c>
      <c r="S34" s="984">
        <f>MIN(T5:T15)</f>
        <v>0</v>
      </c>
      <c r="T34" s="990">
        <f>MAX(T5:T15)</f>
        <v>27</v>
      </c>
      <c r="U34" s="984">
        <f>MIN(V5:V15)</f>
        <v>80</v>
      </c>
      <c r="V34" s="990">
        <f>MAX(V5:V15)</f>
        <v>122</v>
      </c>
      <c r="W34" s="984">
        <f>MIN(X5:X15)</f>
        <v>0</v>
      </c>
      <c r="X34" s="990">
        <f>MAX(X5:X15)</f>
        <v>41</v>
      </c>
      <c r="Y34" s="984">
        <f>MIN(Z5:Z15)</f>
        <v>16</v>
      </c>
      <c r="Z34" s="990">
        <f>MAX(Z5:Z15)</f>
        <v>29</v>
      </c>
    </row>
    <row r="35" spans="2:26" ht="18.45">
      <c r="B35" s="857" t="s">
        <v>498</v>
      </c>
      <c r="C35" s="990">
        <v>0</v>
      </c>
      <c r="D35" s="984">
        <f>SUM(D21:D22)</f>
        <v>45</v>
      </c>
      <c r="E35" s="990">
        <v>0</v>
      </c>
      <c r="F35" s="984">
        <f>SUM(F21:F22)</f>
        <v>25</v>
      </c>
      <c r="G35" s="990">
        <v>0</v>
      </c>
      <c r="H35" s="988">
        <f>SUM(H21:H22)</f>
        <v>3</v>
      </c>
      <c r="I35" s="990">
        <v>0</v>
      </c>
      <c r="J35" s="988">
        <f>SUM(J21:J22)</f>
        <v>2</v>
      </c>
      <c r="K35" s="990">
        <v>0</v>
      </c>
      <c r="L35" s="984">
        <f>SUM(L21:L22)</f>
        <v>0</v>
      </c>
      <c r="M35" s="990">
        <v>0</v>
      </c>
      <c r="N35" s="984">
        <f>SUM(N21:N22)</f>
        <v>10</v>
      </c>
      <c r="O35" s="990">
        <v>0</v>
      </c>
      <c r="P35" s="984">
        <f>SUM(P21:P22)</f>
        <v>0</v>
      </c>
      <c r="Q35" s="990">
        <v>0</v>
      </c>
      <c r="R35" s="984">
        <f>SUM(R21:R22)</f>
        <v>3</v>
      </c>
      <c r="S35" s="990">
        <v>0</v>
      </c>
      <c r="T35" s="984">
        <f>SUM(T21:T22)</f>
        <v>0</v>
      </c>
      <c r="U35" s="990">
        <v>0</v>
      </c>
      <c r="V35" s="984">
        <f>SUM(V21:V22)</f>
        <v>1</v>
      </c>
      <c r="W35" s="990">
        <v>0</v>
      </c>
      <c r="X35" s="984">
        <f>SUM(X21:X22)</f>
        <v>1</v>
      </c>
      <c r="Y35" s="990">
        <v>0</v>
      </c>
      <c r="Z35" s="984">
        <f>SUM(Z21:Z22)</f>
        <v>0</v>
      </c>
    </row>
    <row r="36" spans="2:26">
      <c r="C36" s="901"/>
      <c r="D36" s="844"/>
      <c r="E36" s="901"/>
      <c r="G36" s="901"/>
      <c r="I36" s="901"/>
      <c r="K36" s="901"/>
      <c r="M36" s="901"/>
      <c r="O36" s="901"/>
      <c r="Q36" s="901"/>
      <c r="R36" s="844"/>
      <c r="S36" s="901"/>
      <c r="U36" s="901"/>
      <c r="W36" s="901"/>
      <c r="X36" s="844"/>
      <c r="Y36" s="901"/>
    </row>
    <row r="37" spans="2:26">
      <c r="C37" s="991">
        <f t="shared" ref="C37:Z37" si="29">SUM(C34:C35)</f>
        <v>760</v>
      </c>
      <c r="D37" s="991">
        <f t="shared" si="29"/>
        <v>1225</v>
      </c>
      <c r="E37" s="991">
        <f t="shared" si="29"/>
        <v>300</v>
      </c>
      <c r="F37" s="991">
        <f t="shared" si="29"/>
        <v>695</v>
      </c>
      <c r="G37" s="991">
        <f t="shared" si="29"/>
        <v>34</v>
      </c>
      <c r="H37" s="999">
        <f t="shared" si="29"/>
        <v>78</v>
      </c>
      <c r="I37" s="991">
        <f t="shared" si="29"/>
        <v>20</v>
      </c>
      <c r="J37" s="999">
        <f t="shared" si="29"/>
        <v>35</v>
      </c>
      <c r="K37" s="991">
        <f t="shared" si="29"/>
        <v>0</v>
      </c>
      <c r="L37" s="991">
        <f t="shared" si="29"/>
        <v>0</v>
      </c>
      <c r="M37" s="991">
        <f t="shared" si="29"/>
        <v>180</v>
      </c>
      <c r="N37" s="991">
        <f t="shared" si="29"/>
        <v>235</v>
      </c>
      <c r="O37" s="991">
        <f t="shared" si="29"/>
        <v>420</v>
      </c>
      <c r="P37" s="991">
        <f t="shared" si="29"/>
        <v>780</v>
      </c>
      <c r="Q37" s="991">
        <f t="shared" si="29"/>
        <v>96</v>
      </c>
      <c r="R37" s="991">
        <f t="shared" si="29"/>
        <v>161</v>
      </c>
      <c r="S37" s="991">
        <f t="shared" si="29"/>
        <v>0</v>
      </c>
      <c r="T37" s="991">
        <f t="shared" si="29"/>
        <v>27</v>
      </c>
      <c r="U37" s="991">
        <f t="shared" si="29"/>
        <v>80</v>
      </c>
      <c r="V37" s="991">
        <f t="shared" si="29"/>
        <v>123</v>
      </c>
      <c r="W37" s="991">
        <f t="shared" si="29"/>
        <v>0</v>
      </c>
      <c r="X37" s="991">
        <f t="shared" si="29"/>
        <v>42</v>
      </c>
      <c r="Y37" s="991">
        <f t="shared" si="29"/>
        <v>16</v>
      </c>
      <c r="Z37" s="991">
        <f t="shared" si="29"/>
        <v>29</v>
      </c>
    </row>
    <row r="38" spans="2:26">
      <c r="D38" s="855"/>
      <c r="F38" s="844"/>
      <c r="N38" s="844"/>
    </row>
    <row r="40" spans="2:26">
      <c r="C40" s="856"/>
      <c r="D40" s="856"/>
    </row>
  </sheetData>
  <autoFilter ref="B3:BK3" xr:uid="{A3C9A17C-91AC-4F14-B033-C8FD83428C2D}"/>
  <mergeCells count="5">
    <mergeCell ref="B1:AH1"/>
    <mergeCell ref="B2:AH2"/>
    <mergeCell ref="B18:AH18"/>
    <mergeCell ref="B19:AH19"/>
    <mergeCell ref="B24:AH26"/>
  </mergeCells>
  <pageMargins left="0.7" right="0.7" top="0.75" bottom="0.75" header="0.3" footer="0.3"/>
  <pageSetup scale="51" fitToHeight="0" orientation="landscape" r:id="rId1"/>
  <headerFooter>
    <oddHeader xml:space="preserve">&amp;R&amp;14 2024 Nutrition Information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pageSetUpPr fitToPage="1"/>
  </sheetPr>
  <dimension ref="A1:Q96"/>
  <sheetViews>
    <sheetView zoomScaleNormal="100" zoomScalePageLayoutView="77" workbookViewId="0">
      <selection activeCell="C30" sqref="C4:Q30"/>
    </sheetView>
    <sheetView workbookViewId="1">
      <selection sqref="A1:Q1"/>
    </sheetView>
    <sheetView workbookViewId="2">
      <selection sqref="A1:Q1"/>
    </sheetView>
  </sheetViews>
  <sheetFormatPr defaultColWidth="8.84375" defaultRowHeight="14.6"/>
  <cols>
    <col min="1" max="1" width="6.53515625" style="10" customWidth="1"/>
    <col min="2" max="2" width="42.84375" style="10" customWidth="1"/>
    <col min="3" max="3" width="10.53515625" style="6" customWidth="1"/>
    <col min="4" max="4" width="10.53515625" style="10" customWidth="1"/>
    <col min="5" max="5" width="8.53515625" style="10" customWidth="1"/>
    <col min="6" max="6" width="11.53515625" style="10" customWidth="1"/>
    <col min="7" max="7" width="8.53515625" style="10" customWidth="1"/>
    <col min="8" max="8" width="13" style="10" customWidth="1"/>
    <col min="9" max="9" width="9" style="10" customWidth="1"/>
    <col min="10" max="10" width="16.84375" style="10" customWidth="1"/>
    <col min="11" max="11" width="9" style="10" customWidth="1"/>
    <col min="12" max="12" width="7.84375" style="10" customWidth="1"/>
    <col min="13" max="13" width="9" style="10" customWidth="1"/>
    <col min="14" max="16" width="11.53515625" style="6" customWidth="1"/>
    <col min="17" max="17" width="9" style="6" customWidth="1"/>
    <col min="18" max="16384" width="8.84375" style="10"/>
  </cols>
  <sheetData>
    <row r="1" spans="1:17" ht="22.75">
      <c r="A1" s="1304" t="s">
        <v>500</v>
      </c>
      <c r="B1" s="1305"/>
      <c r="C1" s="1305"/>
      <c r="D1" s="1305"/>
      <c r="E1" s="1305"/>
      <c r="F1" s="1305"/>
      <c r="G1" s="1305"/>
      <c r="H1" s="1305"/>
      <c r="I1" s="1305"/>
      <c r="J1" s="1305"/>
      <c r="K1" s="1305"/>
      <c r="L1" s="1305"/>
      <c r="M1" s="1305"/>
      <c r="N1" s="1305"/>
      <c r="O1" s="1305"/>
      <c r="P1" s="1305"/>
      <c r="Q1" s="1306"/>
    </row>
    <row r="2" spans="1:17" ht="18" customHeight="1" thickBot="1">
      <c r="A2" s="1307" t="s">
        <v>382</v>
      </c>
      <c r="B2" s="1308"/>
      <c r="C2" s="1308"/>
      <c r="D2" s="1308"/>
      <c r="E2" s="1308"/>
      <c r="F2" s="1308"/>
      <c r="G2" s="1308"/>
      <c r="H2" s="1308"/>
      <c r="I2" s="1308"/>
      <c r="J2" s="1308"/>
      <c r="K2" s="1308"/>
      <c r="L2" s="1308"/>
      <c r="M2" s="1308"/>
      <c r="N2" s="1308"/>
      <c r="O2" s="1308"/>
      <c r="P2" s="1308"/>
      <c r="Q2" s="1309"/>
    </row>
    <row r="3" spans="1:17" s="32" customFormat="1" ht="37.5" customHeight="1" thickBot="1">
      <c r="A3" s="8"/>
      <c r="B3" s="9" t="s">
        <v>501</v>
      </c>
      <c r="C3" s="1" t="s">
        <v>4</v>
      </c>
      <c r="D3" s="1" t="s">
        <v>5</v>
      </c>
      <c r="E3" s="1" t="s">
        <v>6</v>
      </c>
      <c r="F3" s="1" t="s">
        <v>7</v>
      </c>
      <c r="G3" s="1" t="s">
        <v>8</v>
      </c>
      <c r="H3" s="1" t="s">
        <v>9</v>
      </c>
      <c r="I3" s="1" t="s">
        <v>10</v>
      </c>
      <c r="J3" s="1" t="s">
        <v>11</v>
      </c>
      <c r="K3" s="1" t="s">
        <v>12</v>
      </c>
      <c r="L3" s="1" t="s">
        <v>502</v>
      </c>
      <c r="M3" s="1" t="s">
        <v>15</v>
      </c>
      <c r="N3" s="2" t="s">
        <v>503</v>
      </c>
      <c r="O3" s="2" t="s">
        <v>504</v>
      </c>
      <c r="P3" s="2" t="s">
        <v>19</v>
      </c>
      <c r="Q3" s="3" t="s">
        <v>21</v>
      </c>
    </row>
    <row r="4" spans="1:17">
      <c r="A4" s="1310" t="s">
        <v>501</v>
      </c>
      <c r="B4" s="49" t="s">
        <v>26</v>
      </c>
      <c r="C4" s="129">
        <v>400</v>
      </c>
      <c r="D4" s="78">
        <v>160</v>
      </c>
      <c r="E4" s="78">
        <v>18</v>
      </c>
      <c r="F4" s="78">
        <v>11</v>
      </c>
      <c r="G4" s="78">
        <v>0</v>
      </c>
      <c r="H4" s="78">
        <v>105</v>
      </c>
      <c r="I4" s="78">
        <v>240</v>
      </c>
      <c r="J4" s="78">
        <v>56</v>
      </c>
      <c r="K4" s="78">
        <v>0</v>
      </c>
      <c r="L4" s="78">
        <v>47</v>
      </c>
      <c r="M4" s="78">
        <v>7</v>
      </c>
      <c r="N4" s="78">
        <v>8</v>
      </c>
      <c r="O4" s="78">
        <v>0</v>
      </c>
      <c r="P4" s="78">
        <v>269</v>
      </c>
      <c r="Q4" s="80">
        <v>0</v>
      </c>
    </row>
    <row r="5" spans="1:17">
      <c r="A5" s="1311"/>
      <c r="B5" s="41" t="s">
        <v>94</v>
      </c>
      <c r="C5" s="131">
        <v>780</v>
      </c>
      <c r="D5" s="87">
        <v>270</v>
      </c>
      <c r="E5" s="87">
        <v>30</v>
      </c>
      <c r="F5" s="87">
        <v>19</v>
      </c>
      <c r="G5" s="87">
        <v>0</v>
      </c>
      <c r="H5" s="87">
        <v>115</v>
      </c>
      <c r="I5" s="87">
        <v>550</v>
      </c>
      <c r="J5" s="87">
        <v>121</v>
      </c>
      <c r="K5" s="87">
        <v>0</v>
      </c>
      <c r="L5" s="87">
        <v>80</v>
      </c>
      <c r="M5" s="87">
        <v>10</v>
      </c>
      <c r="N5" s="87">
        <v>8</v>
      </c>
      <c r="O5" s="87">
        <v>0</v>
      </c>
      <c r="P5" s="87">
        <v>290</v>
      </c>
      <c r="Q5" s="95">
        <v>2</v>
      </c>
    </row>
    <row r="6" spans="1:17">
      <c r="A6" s="1311"/>
      <c r="B6" s="42" t="s">
        <v>486</v>
      </c>
      <c r="C6" s="127">
        <v>430</v>
      </c>
      <c r="D6" s="81">
        <v>200</v>
      </c>
      <c r="E6" s="81">
        <v>22</v>
      </c>
      <c r="F6" s="81">
        <v>15</v>
      </c>
      <c r="G6" s="81">
        <v>0</v>
      </c>
      <c r="H6" s="81">
        <v>110</v>
      </c>
      <c r="I6" s="81">
        <v>290</v>
      </c>
      <c r="J6" s="81">
        <v>53</v>
      </c>
      <c r="K6" s="81">
        <v>0</v>
      </c>
      <c r="L6" s="81">
        <v>44</v>
      </c>
      <c r="M6" s="81">
        <v>8</v>
      </c>
      <c r="N6" s="81">
        <v>8</v>
      </c>
      <c r="O6" s="81">
        <v>0</v>
      </c>
      <c r="P6" s="81">
        <v>318</v>
      </c>
      <c r="Q6" s="82">
        <v>0</v>
      </c>
    </row>
    <row r="7" spans="1:17">
      <c r="A7" s="1311"/>
      <c r="B7" s="42" t="s">
        <v>505</v>
      </c>
      <c r="C7" s="152">
        <v>400</v>
      </c>
      <c r="D7" s="132">
        <v>160</v>
      </c>
      <c r="E7" s="132">
        <v>18</v>
      </c>
      <c r="F7" s="132">
        <v>12</v>
      </c>
      <c r="G7" s="132">
        <v>0</v>
      </c>
      <c r="H7" s="132">
        <v>105</v>
      </c>
      <c r="I7" s="132">
        <v>240</v>
      </c>
      <c r="J7" s="132">
        <v>54</v>
      </c>
      <c r="K7" s="132">
        <v>0</v>
      </c>
      <c r="L7" s="132">
        <v>45</v>
      </c>
      <c r="M7" s="132">
        <v>7</v>
      </c>
      <c r="N7" s="132">
        <v>8</v>
      </c>
      <c r="O7" s="132">
        <v>0</v>
      </c>
      <c r="P7" s="132">
        <v>274</v>
      </c>
      <c r="Q7" s="153">
        <v>0</v>
      </c>
    </row>
    <row r="8" spans="1:17">
      <c r="A8" s="1311"/>
      <c r="B8" s="42" t="s">
        <v>404</v>
      </c>
      <c r="C8" s="152">
        <v>400</v>
      </c>
      <c r="D8" s="132">
        <v>160</v>
      </c>
      <c r="E8" s="132">
        <v>18</v>
      </c>
      <c r="F8" s="132">
        <v>12</v>
      </c>
      <c r="G8" s="132">
        <v>0</v>
      </c>
      <c r="H8" s="132">
        <v>105</v>
      </c>
      <c r="I8" s="132">
        <v>240</v>
      </c>
      <c r="J8" s="132">
        <v>55</v>
      </c>
      <c r="K8" s="132">
        <v>0</v>
      </c>
      <c r="L8" s="132">
        <v>46</v>
      </c>
      <c r="M8" s="132">
        <v>7</v>
      </c>
      <c r="N8" s="132">
        <v>8</v>
      </c>
      <c r="O8" s="132">
        <v>0</v>
      </c>
      <c r="P8" s="132">
        <v>275</v>
      </c>
      <c r="Q8" s="153">
        <v>0</v>
      </c>
    </row>
    <row r="9" spans="1:17">
      <c r="A9" s="1311"/>
      <c r="B9" s="42" t="s">
        <v>487</v>
      </c>
      <c r="C9" s="127">
        <v>520</v>
      </c>
      <c r="D9" s="81">
        <v>170</v>
      </c>
      <c r="E9" s="81">
        <v>19</v>
      </c>
      <c r="F9" s="81">
        <v>12</v>
      </c>
      <c r="G9" s="81">
        <v>0</v>
      </c>
      <c r="H9" s="81">
        <v>110</v>
      </c>
      <c r="I9" s="81">
        <v>350</v>
      </c>
      <c r="J9" s="81">
        <v>80</v>
      </c>
      <c r="K9" s="81">
        <v>0</v>
      </c>
      <c r="L9" s="81">
        <v>61</v>
      </c>
      <c r="M9" s="81">
        <v>7</v>
      </c>
      <c r="N9" s="81">
        <v>8</v>
      </c>
      <c r="O9" s="81">
        <v>0</v>
      </c>
      <c r="P9" s="81">
        <v>279</v>
      </c>
      <c r="Q9" s="82">
        <v>0</v>
      </c>
    </row>
    <row r="10" spans="1:17">
      <c r="A10" s="1311"/>
      <c r="B10" s="42" t="s">
        <v>98</v>
      </c>
      <c r="C10" s="152">
        <v>410</v>
      </c>
      <c r="D10" s="132">
        <v>160</v>
      </c>
      <c r="E10" s="132">
        <v>17</v>
      </c>
      <c r="F10" s="132">
        <v>11</v>
      </c>
      <c r="G10" s="132">
        <v>0</v>
      </c>
      <c r="H10" s="132">
        <v>100</v>
      </c>
      <c r="I10" s="132">
        <v>230</v>
      </c>
      <c r="J10" s="132">
        <v>59</v>
      </c>
      <c r="K10" s="132">
        <v>0</v>
      </c>
      <c r="L10" s="132">
        <v>50</v>
      </c>
      <c r="M10" s="132">
        <v>7</v>
      </c>
      <c r="N10" s="132">
        <v>8</v>
      </c>
      <c r="O10" s="132">
        <v>0</v>
      </c>
      <c r="P10" s="132">
        <v>262</v>
      </c>
      <c r="Q10" s="153">
        <v>0</v>
      </c>
    </row>
    <row r="11" spans="1:17">
      <c r="A11" s="1311"/>
      <c r="B11" s="42" t="s">
        <v>34</v>
      </c>
      <c r="C11" s="127">
        <v>420</v>
      </c>
      <c r="D11" s="81">
        <v>150</v>
      </c>
      <c r="E11" s="81">
        <v>17</v>
      </c>
      <c r="F11" s="81">
        <v>10</v>
      </c>
      <c r="G11" s="81">
        <v>0</v>
      </c>
      <c r="H11" s="81">
        <v>90</v>
      </c>
      <c r="I11" s="81">
        <v>210</v>
      </c>
      <c r="J11" s="81">
        <v>61</v>
      </c>
      <c r="K11" s="81">
        <v>0</v>
      </c>
      <c r="L11" s="81">
        <v>50</v>
      </c>
      <c r="M11" s="81">
        <v>7</v>
      </c>
      <c r="N11" s="81">
        <v>8</v>
      </c>
      <c r="O11" s="81">
        <v>0</v>
      </c>
      <c r="P11" s="81">
        <v>197</v>
      </c>
      <c r="Q11" s="82">
        <v>2</v>
      </c>
    </row>
    <row r="12" spans="1:17">
      <c r="A12" s="1311"/>
      <c r="B12" s="42" t="s">
        <v>506</v>
      </c>
      <c r="C12" s="127">
        <v>420</v>
      </c>
      <c r="D12" s="81">
        <v>150</v>
      </c>
      <c r="E12" s="81">
        <v>17</v>
      </c>
      <c r="F12" s="81">
        <v>10</v>
      </c>
      <c r="G12" s="81">
        <v>0</v>
      </c>
      <c r="H12" s="81">
        <v>90</v>
      </c>
      <c r="I12" s="81">
        <v>210</v>
      </c>
      <c r="J12" s="81">
        <v>61</v>
      </c>
      <c r="K12" s="81">
        <v>0</v>
      </c>
      <c r="L12" s="81">
        <v>50</v>
      </c>
      <c r="M12" s="81">
        <v>7</v>
      </c>
      <c r="N12" s="81">
        <v>8</v>
      </c>
      <c r="O12" s="81">
        <v>0</v>
      </c>
      <c r="P12" s="81">
        <v>197</v>
      </c>
      <c r="Q12" s="82">
        <v>2</v>
      </c>
    </row>
    <row r="13" spans="1:17">
      <c r="A13" s="1311"/>
      <c r="B13" s="42" t="s">
        <v>101</v>
      </c>
      <c r="C13" s="127">
        <v>430</v>
      </c>
      <c r="D13" s="81">
        <v>150</v>
      </c>
      <c r="E13" s="81">
        <v>17</v>
      </c>
      <c r="F13" s="81">
        <v>10</v>
      </c>
      <c r="G13" s="81">
        <v>0</v>
      </c>
      <c r="H13" s="81">
        <v>90</v>
      </c>
      <c r="I13" s="81">
        <v>210</v>
      </c>
      <c r="J13" s="81">
        <v>66</v>
      </c>
      <c r="K13" s="81">
        <v>0</v>
      </c>
      <c r="L13" s="81">
        <v>53</v>
      </c>
      <c r="M13" s="81">
        <v>8</v>
      </c>
      <c r="N13" s="81">
        <v>8</v>
      </c>
      <c r="O13" s="81">
        <v>13</v>
      </c>
      <c r="P13" s="81">
        <v>203</v>
      </c>
      <c r="Q13" s="82">
        <v>2</v>
      </c>
    </row>
    <row r="14" spans="1:17">
      <c r="A14" s="1311"/>
      <c r="B14" s="42" t="s">
        <v>507</v>
      </c>
      <c r="C14" s="127">
        <v>570</v>
      </c>
      <c r="D14" s="81">
        <v>230</v>
      </c>
      <c r="E14" s="81">
        <v>26</v>
      </c>
      <c r="F14" s="81">
        <v>15</v>
      </c>
      <c r="G14" s="81">
        <v>0</v>
      </c>
      <c r="H14" s="81">
        <v>95</v>
      </c>
      <c r="I14" s="81">
        <v>300</v>
      </c>
      <c r="J14" s="81">
        <v>78</v>
      </c>
      <c r="K14" s="81">
        <v>0</v>
      </c>
      <c r="L14" s="81">
        <v>67</v>
      </c>
      <c r="M14" s="81">
        <v>8</v>
      </c>
      <c r="N14" s="81">
        <v>8</v>
      </c>
      <c r="O14" s="81">
        <v>0</v>
      </c>
      <c r="P14" s="81">
        <v>216</v>
      </c>
      <c r="Q14" s="82">
        <v>2</v>
      </c>
    </row>
    <row r="15" spans="1:17">
      <c r="A15" s="1311"/>
      <c r="B15" s="42" t="s">
        <v>508</v>
      </c>
      <c r="C15" s="127">
        <v>480</v>
      </c>
      <c r="D15" s="81">
        <v>170</v>
      </c>
      <c r="E15" s="81">
        <v>19</v>
      </c>
      <c r="F15" s="81">
        <v>12</v>
      </c>
      <c r="G15" s="81">
        <v>0</v>
      </c>
      <c r="H15" s="81">
        <v>110</v>
      </c>
      <c r="I15" s="81">
        <v>270</v>
      </c>
      <c r="J15" s="81">
        <v>74</v>
      </c>
      <c r="K15" s="81">
        <v>0</v>
      </c>
      <c r="L15" s="81">
        <v>58</v>
      </c>
      <c r="M15" s="81">
        <v>8</v>
      </c>
      <c r="N15" s="81">
        <v>8</v>
      </c>
      <c r="O15" s="81">
        <v>0</v>
      </c>
      <c r="P15" s="81">
        <v>286</v>
      </c>
      <c r="Q15" s="82">
        <v>1</v>
      </c>
    </row>
    <row r="16" spans="1:17">
      <c r="A16" s="1311"/>
      <c r="B16" s="42" t="s">
        <v>357</v>
      </c>
      <c r="C16" s="127">
        <v>400</v>
      </c>
      <c r="D16" s="81">
        <v>160</v>
      </c>
      <c r="E16" s="81">
        <v>18</v>
      </c>
      <c r="F16" s="81">
        <v>12</v>
      </c>
      <c r="G16" s="81">
        <v>0</v>
      </c>
      <c r="H16" s="81">
        <v>105</v>
      </c>
      <c r="I16" s="81">
        <v>250</v>
      </c>
      <c r="J16" s="81">
        <v>54</v>
      </c>
      <c r="K16" s="81">
        <v>0</v>
      </c>
      <c r="L16" s="81">
        <v>45</v>
      </c>
      <c r="M16" s="81">
        <v>7</v>
      </c>
      <c r="N16" s="81">
        <v>8</v>
      </c>
      <c r="O16" s="81">
        <v>0</v>
      </c>
      <c r="P16" s="81">
        <v>277</v>
      </c>
      <c r="Q16" s="82">
        <v>0</v>
      </c>
    </row>
    <row r="17" spans="1:17">
      <c r="A17" s="1311"/>
      <c r="B17" s="42" t="s">
        <v>36</v>
      </c>
      <c r="C17" s="152">
        <v>400</v>
      </c>
      <c r="D17" s="132">
        <v>160</v>
      </c>
      <c r="E17" s="132">
        <v>18</v>
      </c>
      <c r="F17" s="132">
        <v>11</v>
      </c>
      <c r="G17" s="132">
        <v>0</v>
      </c>
      <c r="H17" s="132">
        <v>105</v>
      </c>
      <c r="I17" s="132">
        <v>240</v>
      </c>
      <c r="J17" s="132">
        <v>56</v>
      </c>
      <c r="K17" s="132">
        <v>0</v>
      </c>
      <c r="L17" s="132">
        <v>48</v>
      </c>
      <c r="M17" s="132">
        <v>7</v>
      </c>
      <c r="N17" s="132">
        <v>8</v>
      </c>
      <c r="O17" s="132">
        <v>0</v>
      </c>
      <c r="P17" s="132">
        <v>270</v>
      </c>
      <c r="Q17" s="153">
        <v>0</v>
      </c>
    </row>
    <row r="18" spans="1:17">
      <c r="A18" s="1311"/>
      <c r="B18" s="42" t="s">
        <v>148</v>
      </c>
      <c r="C18" s="127">
        <v>450</v>
      </c>
      <c r="D18" s="81">
        <v>170</v>
      </c>
      <c r="E18" s="81">
        <v>19</v>
      </c>
      <c r="F18" s="81">
        <v>12</v>
      </c>
      <c r="G18" s="81">
        <v>0</v>
      </c>
      <c r="H18" s="81">
        <v>110</v>
      </c>
      <c r="I18" s="81">
        <v>320</v>
      </c>
      <c r="J18" s="81">
        <v>64</v>
      </c>
      <c r="K18" s="81">
        <v>0</v>
      </c>
      <c r="L18" s="81">
        <v>49</v>
      </c>
      <c r="M18" s="81">
        <v>8</v>
      </c>
      <c r="N18" s="81">
        <v>16</v>
      </c>
      <c r="O18" s="81">
        <v>3</v>
      </c>
      <c r="P18" s="81">
        <v>279</v>
      </c>
      <c r="Q18" s="82">
        <v>1</v>
      </c>
    </row>
    <row r="19" spans="1:17">
      <c r="A19" s="1311"/>
      <c r="B19" s="42" t="s">
        <v>48</v>
      </c>
      <c r="C19" s="131">
        <v>400</v>
      </c>
      <c r="D19" s="87">
        <v>160</v>
      </c>
      <c r="E19" s="87">
        <v>18</v>
      </c>
      <c r="F19" s="87">
        <v>12</v>
      </c>
      <c r="G19" s="87">
        <v>0</v>
      </c>
      <c r="H19" s="87">
        <v>105</v>
      </c>
      <c r="I19" s="87">
        <v>240</v>
      </c>
      <c r="J19" s="87">
        <v>55</v>
      </c>
      <c r="K19" s="87">
        <v>0</v>
      </c>
      <c r="L19" s="87">
        <v>46</v>
      </c>
      <c r="M19" s="87">
        <v>7</v>
      </c>
      <c r="N19" s="87">
        <v>8</v>
      </c>
      <c r="O19" s="87">
        <v>0</v>
      </c>
      <c r="P19" s="87">
        <v>273</v>
      </c>
      <c r="Q19" s="95">
        <v>0</v>
      </c>
    </row>
    <row r="20" spans="1:17">
      <c r="A20" s="1311"/>
      <c r="B20" s="42" t="s">
        <v>137</v>
      </c>
      <c r="C20" s="152">
        <v>400</v>
      </c>
      <c r="D20" s="132">
        <v>160</v>
      </c>
      <c r="E20" s="132">
        <v>18</v>
      </c>
      <c r="F20" s="132">
        <v>12</v>
      </c>
      <c r="G20" s="132">
        <v>0</v>
      </c>
      <c r="H20" s="132">
        <v>105</v>
      </c>
      <c r="I20" s="132">
        <v>240</v>
      </c>
      <c r="J20" s="132">
        <v>53</v>
      </c>
      <c r="K20" s="132">
        <v>0</v>
      </c>
      <c r="L20" s="132">
        <v>45</v>
      </c>
      <c r="M20" s="132">
        <v>7</v>
      </c>
      <c r="N20" s="132">
        <v>8</v>
      </c>
      <c r="O20" s="132">
        <v>0</v>
      </c>
      <c r="P20" s="132">
        <v>275</v>
      </c>
      <c r="Q20" s="153">
        <v>0</v>
      </c>
    </row>
    <row r="21" spans="1:17">
      <c r="A21" s="1311"/>
      <c r="B21" s="42" t="s">
        <v>416</v>
      </c>
      <c r="C21" s="127">
        <v>400</v>
      </c>
      <c r="D21" s="81">
        <v>160</v>
      </c>
      <c r="E21" s="81">
        <v>18</v>
      </c>
      <c r="F21" s="81">
        <v>11</v>
      </c>
      <c r="G21" s="81">
        <v>0</v>
      </c>
      <c r="H21" s="81">
        <v>105</v>
      </c>
      <c r="I21" s="81">
        <v>240</v>
      </c>
      <c r="J21" s="81">
        <v>55</v>
      </c>
      <c r="K21" s="81">
        <v>0</v>
      </c>
      <c r="L21" s="81">
        <v>46</v>
      </c>
      <c r="M21" s="81">
        <v>7</v>
      </c>
      <c r="N21" s="81">
        <v>8</v>
      </c>
      <c r="O21" s="81">
        <v>0</v>
      </c>
      <c r="P21" s="81">
        <v>273</v>
      </c>
      <c r="Q21" s="82">
        <v>0</v>
      </c>
    </row>
    <row r="22" spans="1:17">
      <c r="A22" s="1311"/>
      <c r="B22" s="43" t="s">
        <v>509</v>
      </c>
      <c r="C22" s="127">
        <v>520</v>
      </c>
      <c r="D22" s="81">
        <v>210</v>
      </c>
      <c r="E22" s="81">
        <v>23</v>
      </c>
      <c r="F22" s="81">
        <v>13</v>
      </c>
      <c r="G22" s="81">
        <v>0</v>
      </c>
      <c r="H22" s="81">
        <v>110</v>
      </c>
      <c r="I22" s="81">
        <v>390</v>
      </c>
      <c r="J22" s="81">
        <v>72</v>
      </c>
      <c r="K22" s="81">
        <v>0</v>
      </c>
      <c r="L22" s="81">
        <v>56</v>
      </c>
      <c r="M22" s="81">
        <v>8</v>
      </c>
      <c r="N22" s="81">
        <v>8</v>
      </c>
      <c r="O22" s="81">
        <v>0</v>
      </c>
      <c r="P22" s="81">
        <v>279</v>
      </c>
      <c r="Q22" s="82">
        <v>1</v>
      </c>
    </row>
    <row r="23" spans="1:17">
      <c r="A23" s="1311"/>
      <c r="B23" s="43" t="s">
        <v>139</v>
      </c>
      <c r="C23" s="152">
        <v>400</v>
      </c>
      <c r="D23" s="132">
        <v>160</v>
      </c>
      <c r="E23" s="132">
        <v>18</v>
      </c>
      <c r="F23" s="132">
        <v>12</v>
      </c>
      <c r="G23" s="132">
        <v>0</v>
      </c>
      <c r="H23" s="132">
        <v>105</v>
      </c>
      <c r="I23" s="132">
        <v>240</v>
      </c>
      <c r="J23" s="132">
        <v>55</v>
      </c>
      <c r="K23" s="132">
        <v>0</v>
      </c>
      <c r="L23" s="132">
        <v>46</v>
      </c>
      <c r="M23" s="132">
        <v>7</v>
      </c>
      <c r="N23" s="132">
        <v>8</v>
      </c>
      <c r="O23" s="132">
        <v>0</v>
      </c>
      <c r="P23" s="132">
        <v>275</v>
      </c>
      <c r="Q23" s="153">
        <v>0</v>
      </c>
    </row>
    <row r="24" spans="1:17">
      <c r="A24" s="1311"/>
      <c r="B24" s="43" t="s">
        <v>140</v>
      </c>
      <c r="C24" s="152">
        <v>400</v>
      </c>
      <c r="D24" s="132">
        <v>160</v>
      </c>
      <c r="E24" s="132">
        <v>18</v>
      </c>
      <c r="F24" s="132">
        <v>11</v>
      </c>
      <c r="G24" s="132">
        <v>0</v>
      </c>
      <c r="H24" s="132">
        <v>105</v>
      </c>
      <c r="I24" s="132">
        <v>240</v>
      </c>
      <c r="J24" s="132">
        <v>56</v>
      </c>
      <c r="K24" s="132">
        <v>0</v>
      </c>
      <c r="L24" s="132">
        <v>48</v>
      </c>
      <c r="M24" s="132">
        <v>7</v>
      </c>
      <c r="N24" s="132">
        <v>8</v>
      </c>
      <c r="O24" s="132">
        <v>0</v>
      </c>
      <c r="P24" s="132">
        <v>271</v>
      </c>
      <c r="Q24" s="153">
        <v>0</v>
      </c>
    </row>
    <row r="25" spans="1:17">
      <c r="A25" s="1311"/>
      <c r="B25" s="43" t="s">
        <v>510</v>
      </c>
      <c r="C25" s="127">
        <v>670</v>
      </c>
      <c r="D25" s="81">
        <v>410</v>
      </c>
      <c r="E25" s="81">
        <v>46</v>
      </c>
      <c r="F25" s="81">
        <v>17</v>
      </c>
      <c r="G25" s="81">
        <v>0</v>
      </c>
      <c r="H25" s="81">
        <v>110</v>
      </c>
      <c r="I25" s="81">
        <v>590</v>
      </c>
      <c r="J25" s="81">
        <v>50</v>
      </c>
      <c r="K25" s="81">
        <v>0</v>
      </c>
      <c r="L25" s="81">
        <v>36</v>
      </c>
      <c r="M25" s="81">
        <v>15</v>
      </c>
      <c r="N25" s="81">
        <v>8</v>
      </c>
      <c r="O25" s="81">
        <v>0</v>
      </c>
      <c r="P25" s="81">
        <v>279</v>
      </c>
      <c r="Q25" s="82">
        <v>2</v>
      </c>
    </row>
    <row r="26" spans="1:17">
      <c r="A26" s="1311"/>
      <c r="B26" s="43" t="s">
        <v>360</v>
      </c>
      <c r="C26" s="131">
        <v>400</v>
      </c>
      <c r="D26" s="87">
        <v>160</v>
      </c>
      <c r="E26" s="87">
        <v>18</v>
      </c>
      <c r="F26" s="87">
        <v>12</v>
      </c>
      <c r="G26" s="87">
        <v>0</v>
      </c>
      <c r="H26" s="87">
        <v>105</v>
      </c>
      <c r="I26" s="87">
        <v>240</v>
      </c>
      <c r="J26" s="87">
        <v>55</v>
      </c>
      <c r="K26" s="87">
        <v>0</v>
      </c>
      <c r="L26" s="87">
        <v>46</v>
      </c>
      <c r="M26" s="87">
        <v>7</v>
      </c>
      <c r="N26" s="87">
        <v>8</v>
      </c>
      <c r="O26" s="87">
        <v>0</v>
      </c>
      <c r="P26" s="87">
        <v>275</v>
      </c>
      <c r="Q26" s="95">
        <v>0</v>
      </c>
    </row>
    <row r="27" spans="1:17">
      <c r="A27" s="1311"/>
      <c r="B27" s="43" t="s">
        <v>66</v>
      </c>
      <c r="C27" s="127">
        <v>420</v>
      </c>
      <c r="D27" s="81">
        <v>170</v>
      </c>
      <c r="E27" s="81">
        <v>19</v>
      </c>
      <c r="F27" s="81">
        <v>12</v>
      </c>
      <c r="G27" s="81">
        <v>0</v>
      </c>
      <c r="H27" s="81">
        <v>110</v>
      </c>
      <c r="I27" s="81">
        <v>250</v>
      </c>
      <c r="J27" s="81">
        <v>60</v>
      </c>
      <c r="K27" s="81">
        <v>0</v>
      </c>
      <c r="L27" s="81">
        <v>48</v>
      </c>
      <c r="M27" s="81">
        <v>8</v>
      </c>
      <c r="N27" s="81">
        <v>8</v>
      </c>
      <c r="O27" s="81">
        <v>13</v>
      </c>
      <c r="P27" s="81">
        <v>284</v>
      </c>
      <c r="Q27" s="82">
        <v>0</v>
      </c>
    </row>
    <row r="28" spans="1:17">
      <c r="A28" s="1311"/>
      <c r="B28" s="43" t="s">
        <v>511</v>
      </c>
      <c r="C28" s="127">
        <v>540</v>
      </c>
      <c r="D28" s="81">
        <v>190</v>
      </c>
      <c r="E28" s="81">
        <v>22</v>
      </c>
      <c r="F28" s="81">
        <v>13</v>
      </c>
      <c r="G28" s="81">
        <v>0</v>
      </c>
      <c r="H28" s="81">
        <v>110</v>
      </c>
      <c r="I28" s="81">
        <v>400</v>
      </c>
      <c r="J28" s="81">
        <v>82</v>
      </c>
      <c r="K28" s="81">
        <v>0</v>
      </c>
      <c r="L28" s="81">
        <v>59</v>
      </c>
      <c r="M28" s="81">
        <v>9</v>
      </c>
      <c r="N28" s="81">
        <v>8</v>
      </c>
      <c r="O28" s="81">
        <v>13</v>
      </c>
      <c r="P28" s="81">
        <v>290</v>
      </c>
      <c r="Q28" s="82">
        <v>1</v>
      </c>
    </row>
    <row r="29" spans="1:17">
      <c r="A29" s="1311"/>
      <c r="B29" s="43" t="s">
        <v>75</v>
      </c>
      <c r="C29" s="127">
        <v>400</v>
      </c>
      <c r="D29" s="81">
        <v>170</v>
      </c>
      <c r="E29" s="81">
        <v>18</v>
      </c>
      <c r="F29" s="81">
        <v>12</v>
      </c>
      <c r="G29" s="81">
        <v>0</v>
      </c>
      <c r="H29" s="81">
        <v>110</v>
      </c>
      <c r="I29" s="81">
        <v>250</v>
      </c>
      <c r="J29" s="81">
        <v>54</v>
      </c>
      <c r="K29" s="81">
        <v>0</v>
      </c>
      <c r="L29" s="81">
        <v>45</v>
      </c>
      <c r="M29" s="81">
        <v>7</v>
      </c>
      <c r="N29" s="81">
        <v>8</v>
      </c>
      <c r="O29" s="81">
        <v>0</v>
      </c>
      <c r="P29" s="81">
        <v>279</v>
      </c>
      <c r="Q29" s="82">
        <v>0</v>
      </c>
    </row>
    <row r="30" spans="1:17" ht="15" thickBot="1">
      <c r="A30" s="1312"/>
      <c r="B30" s="50" t="s">
        <v>512</v>
      </c>
      <c r="C30" s="130">
        <v>550</v>
      </c>
      <c r="D30" s="83">
        <v>250</v>
      </c>
      <c r="E30" s="83">
        <v>28</v>
      </c>
      <c r="F30" s="83">
        <v>17</v>
      </c>
      <c r="G30" s="83">
        <v>0</v>
      </c>
      <c r="H30" s="83">
        <v>115</v>
      </c>
      <c r="I30" s="83">
        <v>340</v>
      </c>
      <c r="J30" s="83">
        <v>72</v>
      </c>
      <c r="K30" s="83">
        <v>0</v>
      </c>
      <c r="L30" s="83">
        <v>62</v>
      </c>
      <c r="M30" s="83">
        <v>8</v>
      </c>
      <c r="N30" s="83">
        <v>8</v>
      </c>
      <c r="O30" s="83">
        <v>0</v>
      </c>
      <c r="P30" s="83">
        <v>298</v>
      </c>
      <c r="Q30" s="84">
        <v>0</v>
      </c>
    </row>
    <row r="31" spans="1:17">
      <c r="B31" s="33"/>
      <c r="C31" s="34"/>
      <c r="D31" s="34"/>
      <c r="E31" s="34"/>
      <c r="F31" s="34"/>
      <c r="G31" s="34"/>
      <c r="H31" s="34"/>
      <c r="I31" s="34"/>
      <c r="J31" s="34"/>
      <c r="K31" s="34"/>
      <c r="L31" s="34"/>
      <c r="M31" s="34"/>
      <c r="N31" s="34"/>
      <c r="O31" s="34"/>
      <c r="P31" s="34"/>
      <c r="Q31" s="34"/>
    </row>
    <row r="32" spans="1:17" ht="14.25" customHeight="1">
      <c r="B32" s="1227" t="s">
        <v>168</v>
      </c>
      <c r="C32" s="1227"/>
      <c r="D32" s="1227"/>
      <c r="E32" s="1227"/>
      <c r="F32" s="1227"/>
      <c r="G32" s="1227"/>
      <c r="H32" s="1227"/>
      <c r="I32" s="1227"/>
      <c r="J32" s="1227"/>
      <c r="K32" s="1227"/>
      <c r="L32" s="1227"/>
      <c r="M32" s="1227"/>
      <c r="N32" s="1227"/>
      <c r="O32" s="1227"/>
      <c r="P32" s="1227"/>
      <c r="Q32" s="1227"/>
    </row>
    <row r="33" spans="2:17" ht="14.25" customHeight="1">
      <c r="B33" s="1227"/>
      <c r="C33" s="1227"/>
      <c r="D33" s="1227"/>
      <c r="E33" s="1227"/>
      <c r="F33" s="1227"/>
      <c r="G33" s="1227"/>
      <c r="H33" s="1227"/>
      <c r="I33" s="1227"/>
      <c r="J33" s="1227"/>
      <c r="K33" s="1227"/>
      <c r="L33" s="1227"/>
      <c r="M33" s="1227"/>
      <c r="N33" s="1227"/>
      <c r="O33" s="1227"/>
      <c r="P33" s="1227"/>
      <c r="Q33" s="1227"/>
    </row>
    <row r="34" spans="2:17">
      <c r="B34" s="1227"/>
      <c r="C34" s="1227"/>
      <c r="D34" s="1227"/>
      <c r="E34" s="1227"/>
      <c r="F34" s="1227"/>
      <c r="G34" s="1227"/>
      <c r="H34" s="1227"/>
      <c r="I34" s="1227"/>
      <c r="J34" s="1227"/>
      <c r="K34" s="1227"/>
      <c r="L34" s="1227"/>
      <c r="M34" s="1227"/>
      <c r="N34" s="1227"/>
      <c r="O34" s="1227"/>
      <c r="P34" s="1227"/>
      <c r="Q34" s="1227"/>
    </row>
    <row r="35" spans="2:17">
      <c r="B35" s="33"/>
      <c r="C35" s="34"/>
      <c r="D35" s="34"/>
      <c r="E35" s="34"/>
      <c r="F35" s="34"/>
      <c r="G35" s="34"/>
      <c r="H35" s="34"/>
      <c r="I35" s="34"/>
      <c r="J35" s="34"/>
      <c r="K35" s="34"/>
      <c r="L35" s="34"/>
      <c r="M35" s="34"/>
      <c r="N35" s="34"/>
      <c r="O35" s="34"/>
      <c r="P35" s="34"/>
      <c r="Q35" s="34"/>
    </row>
    <row r="36" spans="2:17">
      <c r="B36" s="5" t="s">
        <v>424</v>
      </c>
      <c r="C36" s="4">
        <f>AVERAGE(C4:C30)</f>
        <v>459.62962962962962</v>
      </c>
      <c r="D36" s="4">
        <f t="shared" ref="D36:Q36" si="0">AVERAGE(D4:D30)</f>
        <v>184.44444444444446</v>
      </c>
      <c r="E36" s="4">
        <f t="shared" si="0"/>
        <v>20.62962962962963</v>
      </c>
      <c r="F36" s="4">
        <f t="shared" si="0"/>
        <v>12.518518518518519</v>
      </c>
      <c r="G36" s="4">
        <f t="shared" si="0"/>
        <v>0</v>
      </c>
      <c r="H36" s="4">
        <f t="shared" si="0"/>
        <v>105.18518518518519</v>
      </c>
      <c r="I36" s="4">
        <f t="shared" si="0"/>
        <v>289.25925925925924</v>
      </c>
      <c r="J36" s="4">
        <f t="shared" si="0"/>
        <v>63.370370370370374</v>
      </c>
      <c r="K36" s="4">
        <f t="shared" si="0"/>
        <v>0</v>
      </c>
      <c r="L36" s="4">
        <f t="shared" si="0"/>
        <v>50.962962962962962</v>
      </c>
      <c r="M36" s="4">
        <f t="shared" si="0"/>
        <v>7.7777777777777777</v>
      </c>
      <c r="N36" s="4">
        <f t="shared" si="0"/>
        <v>8.2962962962962958</v>
      </c>
      <c r="O36" s="4">
        <f t="shared" si="0"/>
        <v>1.5555555555555556</v>
      </c>
      <c r="P36" s="4">
        <f t="shared" si="0"/>
        <v>268.25925925925924</v>
      </c>
      <c r="Q36" s="4">
        <f t="shared" si="0"/>
        <v>0.59259259259259256</v>
      </c>
    </row>
    <row r="37" spans="2:17" ht="29.15">
      <c r="B37" s="70" t="s">
        <v>425</v>
      </c>
      <c r="C37" s="5" t="str">
        <f xml:space="preserve"> ROUND(MIN(C4:C30),0) &amp; " - " &amp; ROUND(MAX(C4:C30),0)</f>
        <v>400 - 780</v>
      </c>
      <c r="D37" s="5" t="str">
        <f t="shared" ref="D37:Q37" si="1" xml:space="preserve"> ROUND(MIN(D4:D30),0) &amp; " - " &amp; ROUND(MAX(D4:D30),0)</f>
        <v>150 - 410</v>
      </c>
      <c r="E37" s="5" t="str">
        <f t="shared" si="1"/>
        <v>17 - 46</v>
      </c>
      <c r="F37" s="5" t="str">
        <f t="shared" si="1"/>
        <v>10 - 19</v>
      </c>
      <c r="G37" s="5" t="str">
        <f t="shared" si="1"/>
        <v>0 - 0</v>
      </c>
      <c r="H37" s="5" t="str">
        <f t="shared" si="1"/>
        <v>90 - 115</v>
      </c>
      <c r="I37" s="5" t="str">
        <f t="shared" si="1"/>
        <v>210 - 590</v>
      </c>
      <c r="J37" s="5" t="str">
        <f t="shared" si="1"/>
        <v>50 - 121</v>
      </c>
      <c r="K37" s="5" t="str">
        <f t="shared" si="1"/>
        <v>0 - 0</v>
      </c>
      <c r="L37" s="5" t="str">
        <f t="shared" si="1"/>
        <v>36 - 80</v>
      </c>
      <c r="M37" s="5" t="str">
        <f t="shared" si="1"/>
        <v>7 - 15</v>
      </c>
      <c r="N37" s="5" t="str">
        <f t="shared" si="1"/>
        <v>8 - 16</v>
      </c>
      <c r="O37" s="5" t="str">
        <f t="shared" si="1"/>
        <v>0 - 13</v>
      </c>
      <c r="P37" s="5" t="str">
        <f t="shared" si="1"/>
        <v>197 - 318</v>
      </c>
      <c r="Q37" s="5" t="str">
        <f t="shared" si="1"/>
        <v>0 - 2</v>
      </c>
    </row>
    <row r="89" spans="1:17">
      <c r="B89" s="32"/>
      <c r="C89" s="20"/>
      <c r="D89" s="20"/>
      <c r="E89" s="20"/>
      <c r="F89" s="20"/>
      <c r="G89" s="20"/>
      <c r="H89" s="20"/>
      <c r="I89" s="20"/>
      <c r="J89" s="20"/>
      <c r="K89" s="20"/>
      <c r="L89" s="20"/>
      <c r="M89" s="20"/>
      <c r="N89" s="20"/>
      <c r="O89" s="20"/>
      <c r="P89" s="20"/>
      <c r="Q89" s="20"/>
    </row>
    <row r="90" spans="1:17">
      <c r="B90" s="36"/>
      <c r="D90" s="6"/>
      <c r="E90" s="6"/>
      <c r="F90" s="6"/>
      <c r="G90" s="6"/>
      <c r="H90" s="6"/>
      <c r="I90" s="6"/>
      <c r="J90" s="6"/>
      <c r="K90" s="6"/>
      <c r="L90" s="6"/>
      <c r="M90" s="6"/>
    </row>
    <row r="91" spans="1:17" s="35" customFormat="1">
      <c r="A91" s="10"/>
      <c r="B91" s="10"/>
      <c r="C91" s="20"/>
      <c r="D91" s="20"/>
      <c r="E91" s="20"/>
      <c r="F91" s="20"/>
      <c r="G91" s="20"/>
      <c r="H91" s="20"/>
      <c r="I91" s="20"/>
      <c r="J91" s="20"/>
      <c r="K91" s="20"/>
      <c r="L91" s="20"/>
      <c r="M91" s="20"/>
      <c r="N91" s="20"/>
      <c r="O91" s="20"/>
      <c r="P91" s="20"/>
      <c r="Q91" s="20"/>
    </row>
    <row r="92" spans="1:17" s="33" customFormat="1">
      <c r="A92" s="35"/>
      <c r="B92" s="10"/>
      <c r="C92" s="6"/>
      <c r="D92" s="6"/>
      <c r="E92" s="6"/>
      <c r="F92" s="6"/>
      <c r="G92" s="6"/>
      <c r="H92" s="6"/>
      <c r="I92" s="6"/>
      <c r="J92" s="6"/>
      <c r="K92" s="6"/>
      <c r="L92" s="6"/>
      <c r="M92" s="6"/>
      <c r="N92" s="6"/>
      <c r="O92" s="6"/>
      <c r="P92" s="6"/>
      <c r="Q92" s="6"/>
    </row>
    <row r="93" spans="1:17">
      <c r="A93" s="33"/>
      <c r="C93" s="20"/>
      <c r="D93" s="20"/>
      <c r="E93" s="20"/>
      <c r="F93" s="20"/>
      <c r="G93" s="20"/>
      <c r="H93" s="20"/>
      <c r="I93" s="20"/>
      <c r="J93" s="20"/>
      <c r="K93" s="20"/>
      <c r="L93" s="20"/>
      <c r="M93" s="20"/>
      <c r="N93" s="20"/>
      <c r="O93" s="20"/>
      <c r="P93" s="20"/>
      <c r="Q93" s="20"/>
    </row>
    <row r="94" spans="1:17">
      <c r="D94" s="6"/>
      <c r="E94" s="6"/>
      <c r="F94" s="6"/>
      <c r="G94" s="6"/>
      <c r="H94" s="6"/>
      <c r="I94" s="6"/>
      <c r="J94" s="6"/>
      <c r="K94" s="6"/>
      <c r="L94" s="6"/>
      <c r="M94" s="6"/>
    </row>
    <row r="95" spans="1:17">
      <c r="C95" s="20"/>
      <c r="D95" s="20"/>
      <c r="E95" s="20"/>
      <c r="F95" s="20"/>
      <c r="G95" s="20"/>
      <c r="H95" s="20"/>
      <c r="I95" s="20"/>
      <c r="J95" s="20"/>
      <c r="K95" s="20"/>
      <c r="L95" s="20"/>
      <c r="M95" s="20"/>
      <c r="N95" s="20"/>
      <c r="O95" s="20"/>
      <c r="P95" s="20"/>
      <c r="Q95" s="20"/>
    </row>
    <row r="96" spans="1:17">
      <c r="D96" s="6"/>
      <c r="E96" s="6"/>
      <c r="F96" s="6"/>
      <c r="G96" s="6"/>
      <c r="H96" s="6"/>
      <c r="I96" s="6"/>
      <c r="J96" s="6"/>
      <c r="K96" s="6"/>
      <c r="L96" s="6"/>
      <c r="M96" s="6"/>
    </row>
  </sheetData>
  <mergeCells count="4">
    <mergeCell ref="A1:Q1"/>
    <mergeCell ref="A2:Q2"/>
    <mergeCell ref="A4:A30"/>
    <mergeCell ref="B32:Q34"/>
  </mergeCells>
  <pageMargins left="0.7" right="0.7" top="0.75" bottom="0.75" header="0.3" footer="0.3"/>
  <pageSetup scale="60" fitToHeight="0" orientation="landscape" r:id="rId1"/>
  <headerFooter>
    <oddHeader>&amp;LRita's Nutrition Supplement&amp;RUpdated:  8/23/16</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A1:X121"/>
  <sheetViews>
    <sheetView zoomScale="90" zoomScaleNormal="90" zoomScalePageLayoutView="78" workbookViewId="0">
      <selection activeCell="C5" sqref="C5"/>
    </sheetView>
    <sheetView workbookViewId="1">
      <selection sqref="A1:X1"/>
    </sheetView>
    <sheetView workbookViewId="2">
      <selection sqref="A1:X1"/>
    </sheetView>
  </sheetViews>
  <sheetFormatPr defaultColWidth="8.84375" defaultRowHeight="14.6"/>
  <cols>
    <col min="1" max="1" width="6.53515625" style="10" customWidth="1"/>
    <col min="2" max="2" width="42.84375" style="10" customWidth="1"/>
    <col min="3" max="3" width="10.53515625" style="6" customWidth="1"/>
    <col min="4" max="4" width="10.53515625" style="10" customWidth="1"/>
    <col min="5" max="5" width="8.53515625" style="10" customWidth="1"/>
    <col min="6" max="6" width="11.53515625" style="10" customWidth="1"/>
    <col min="7" max="7" width="8.53515625" style="10" customWidth="1"/>
    <col min="8" max="8" width="13" style="10" customWidth="1"/>
    <col min="9" max="9" width="9" style="10" customWidth="1"/>
    <col min="10" max="10" width="16.84375" style="10" customWidth="1"/>
    <col min="11" max="11" width="9" style="10" customWidth="1"/>
    <col min="12" max="12" width="7.84375" style="10" customWidth="1"/>
    <col min="13" max="13" width="9" style="10" customWidth="1"/>
    <col min="14" max="16" width="11.53515625" style="6" customWidth="1"/>
    <col min="17" max="17" width="9" style="6" customWidth="1"/>
    <col min="18" max="16384" width="8.84375" style="10"/>
  </cols>
  <sheetData>
    <row r="1" spans="1:24" ht="22.5" customHeight="1">
      <c r="A1" s="1313" t="s">
        <v>513</v>
      </c>
      <c r="B1" s="1225"/>
      <c r="C1" s="1225"/>
      <c r="D1" s="1225"/>
      <c r="E1" s="1225"/>
      <c r="F1" s="1225"/>
      <c r="G1" s="1225"/>
      <c r="H1" s="1225"/>
      <c r="I1" s="1225"/>
      <c r="J1" s="1225"/>
      <c r="K1" s="1225"/>
      <c r="L1" s="1225"/>
      <c r="M1" s="1225"/>
      <c r="N1" s="1225"/>
      <c r="O1" s="1225"/>
      <c r="P1" s="1225"/>
      <c r="Q1" s="1225"/>
      <c r="R1" s="1225"/>
      <c r="S1" s="1225"/>
      <c r="T1" s="1225"/>
      <c r="U1" s="1225"/>
      <c r="V1" s="1225"/>
      <c r="W1" s="1225"/>
      <c r="X1" s="1225"/>
    </row>
    <row r="2" spans="1:24" ht="18" customHeight="1" thickBot="1">
      <c r="A2" s="1307" t="s">
        <v>382</v>
      </c>
      <c r="B2" s="1308"/>
      <c r="C2" s="1308"/>
      <c r="D2" s="1308"/>
      <c r="E2" s="1308"/>
      <c r="F2" s="1308"/>
      <c r="G2" s="1308"/>
      <c r="H2" s="1308"/>
      <c r="I2" s="1308"/>
      <c r="J2" s="1308"/>
      <c r="K2" s="1308"/>
      <c r="L2" s="1308"/>
      <c r="M2" s="1308"/>
      <c r="N2" s="1308"/>
      <c r="O2" s="1308"/>
      <c r="P2" s="1308"/>
      <c r="Q2" s="1308"/>
      <c r="R2" s="1308"/>
      <c r="S2" s="1308"/>
      <c r="T2" s="1308"/>
      <c r="U2" s="1308"/>
      <c r="V2" s="1308"/>
      <c r="W2" s="1308"/>
      <c r="X2" s="1308"/>
    </row>
    <row r="3" spans="1:24" s="32" customFormat="1" ht="37.5" customHeight="1" thickBot="1">
      <c r="A3" s="77"/>
      <c r="B3" s="48" t="s">
        <v>3</v>
      </c>
      <c r="C3" s="1" t="s">
        <v>4</v>
      </c>
      <c r="D3" s="1" t="s">
        <v>5</v>
      </c>
      <c r="E3" s="1" t="s">
        <v>6</v>
      </c>
      <c r="F3" s="1" t="s">
        <v>7</v>
      </c>
      <c r="G3" s="1" t="s">
        <v>8</v>
      </c>
      <c r="H3" s="1" t="s">
        <v>9</v>
      </c>
      <c r="I3" s="1" t="s">
        <v>10</v>
      </c>
      <c r="J3" s="1" t="s">
        <v>11</v>
      </c>
      <c r="K3" s="1" t="s">
        <v>12</v>
      </c>
      <c r="L3" s="1" t="s">
        <v>13</v>
      </c>
      <c r="M3" s="1" t="s">
        <v>14</v>
      </c>
      <c r="N3" s="1" t="s">
        <v>15</v>
      </c>
      <c r="O3" s="2" t="s">
        <v>16</v>
      </c>
      <c r="P3" s="2" t="s">
        <v>17</v>
      </c>
      <c r="Q3" s="2" t="s">
        <v>18</v>
      </c>
      <c r="R3" s="2" t="s">
        <v>19</v>
      </c>
      <c r="S3" s="2" t="s">
        <v>20</v>
      </c>
      <c r="T3" s="2" t="s">
        <v>21</v>
      </c>
      <c r="U3" s="2" t="s">
        <v>22</v>
      </c>
      <c r="V3" s="2" t="s">
        <v>23</v>
      </c>
      <c r="W3" s="2" t="s">
        <v>377</v>
      </c>
      <c r="X3" s="3" t="s">
        <v>378</v>
      </c>
    </row>
    <row r="4" spans="1:24" s="32" customFormat="1" ht="15" customHeight="1">
      <c r="A4" s="1317" t="s">
        <v>24</v>
      </c>
      <c r="B4" s="65" t="s">
        <v>26</v>
      </c>
      <c r="C4" s="133" t="e">
        <f>(#REF!/15)*11.5</f>
        <v>#REF!</v>
      </c>
      <c r="D4" s="133" t="e">
        <f>(#REF!/15)*11.5</f>
        <v>#REF!</v>
      </c>
      <c r="E4" s="133" t="e">
        <f>(#REF!/15)*11.5</f>
        <v>#REF!</v>
      </c>
      <c r="F4" s="133" t="e">
        <f>(#REF!/15)*11.5</f>
        <v>#REF!</v>
      </c>
      <c r="G4" s="133" t="e">
        <f>(#REF!/15)*11.5</f>
        <v>#REF!</v>
      </c>
      <c r="H4" s="133" t="e">
        <f>(#REF!/15)*11.5</f>
        <v>#REF!</v>
      </c>
      <c r="I4" s="133" t="e">
        <f>(#REF!/15)*11.5</f>
        <v>#REF!</v>
      </c>
      <c r="J4" s="133" t="e">
        <f>(#REF!/15)*11.5</f>
        <v>#REF!</v>
      </c>
      <c r="K4" s="133" t="e">
        <f>(#REF!/15)*11.5</f>
        <v>#REF!</v>
      </c>
      <c r="L4" s="133" t="e">
        <f>(#REF!/15)*11.5</f>
        <v>#REF!</v>
      </c>
      <c r="M4" s="133" t="e">
        <f>(#REF!/15)*11.5</f>
        <v>#REF!</v>
      </c>
      <c r="N4" s="133" t="e">
        <f>(#REF!/15)*11.5</f>
        <v>#REF!</v>
      </c>
      <c r="O4" s="133" t="e">
        <f>(#REF!/15)*11.5</f>
        <v>#REF!</v>
      </c>
      <c r="P4" s="133" t="e">
        <f>(#REF!/15)*11.5</f>
        <v>#REF!</v>
      </c>
      <c r="Q4" s="133" t="e">
        <f>(#REF!/15)*11.5</f>
        <v>#REF!</v>
      </c>
      <c r="R4" s="133" t="e">
        <f>(#REF!/15)*11.5</f>
        <v>#REF!</v>
      </c>
      <c r="S4" s="133" t="e">
        <f>(#REF!/15)*11.5</f>
        <v>#REF!</v>
      </c>
      <c r="T4" s="133" t="e">
        <f>(#REF!/15)*11.5</f>
        <v>#REF!</v>
      </c>
      <c r="U4" s="133" t="e">
        <f>(#REF!/15)*11.5</f>
        <v>#REF!</v>
      </c>
      <c r="V4" s="133" t="e">
        <f>(#REF!/15)*11.5</f>
        <v>#REF!</v>
      </c>
      <c r="W4" s="133" t="e">
        <f>(#REF!/15)*11.5</f>
        <v>#REF!</v>
      </c>
      <c r="X4" s="150" t="e">
        <f>(#REF!/15)*11.5</f>
        <v>#REF!</v>
      </c>
    </row>
    <row r="5" spans="1:24">
      <c r="A5" s="1318"/>
      <c r="B5" s="66" t="s">
        <v>27</v>
      </c>
      <c r="C5" s="87" t="e">
        <f>(#REF!/15)*11.5</f>
        <v>#REF!</v>
      </c>
      <c r="D5" s="87" t="e">
        <f>(#REF!/15)*11.5</f>
        <v>#REF!</v>
      </c>
      <c r="E5" s="87" t="e">
        <f>(#REF!/15)*11.5</f>
        <v>#REF!</v>
      </c>
      <c r="F5" s="87" t="e">
        <f>(#REF!/15)*11.5</f>
        <v>#REF!</v>
      </c>
      <c r="G5" s="87" t="e">
        <f>(#REF!/15)*11.5</f>
        <v>#REF!</v>
      </c>
      <c r="H5" s="87" t="e">
        <f>(#REF!/15)*11.5</f>
        <v>#REF!</v>
      </c>
      <c r="I5" s="87" t="e">
        <f>(#REF!/15)*11.5</f>
        <v>#REF!</v>
      </c>
      <c r="J5" s="87" t="e">
        <f>(#REF!/15)*11.5</f>
        <v>#REF!</v>
      </c>
      <c r="K5" s="87" t="e">
        <f>(#REF!/15)*11.5</f>
        <v>#REF!</v>
      </c>
      <c r="L5" s="87" t="e">
        <f>(#REF!/15)*11.5</f>
        <v>#REF!</v>
      </c>
      <c r="M5" s="87" t="e">
        <f>(#REF!/15)*11.5</f>
        <v>#REF!</v>
      </c>
      <c r="N5" s="87" t="e">
        <f>(#REF!/15)*11.5</f>
        <v>#REF!</v>
      </c>
      <c r="O5" s="87" t="e">
        <f>(#REF!/15)*11.5</f>
        <v>#REF!</v>
      </c>
      <c r="P5" s="87" t="e">
        <f>(#REF!/15)*11.5</f>
        <v>#REF!</v>
      </c>
      <c r="Q5" s="87" t="e">
        <f>(#REF!/15)*11.5</f>
        <v>#REF!</v>
      </c>
      <c r="R5" s="87" t="e">
        <f>(#REF!/15)*11.5</f>
        <v>#REF!</v>
      </c>
      <c r="S5" s="87" t="e">
        <f>(#REF!/15)*11.5</f>
        <v>#REF!</v>
      </c>
      <c r="T5" s="87" t="e">
        <f>(#REF!/15)*11.5</f>
        <v>#REF!</v>
      </c>
      <c r="U5" s="87" t="e">
        <f>(#REF!/15)*11.5</f>
        <v>#REF!</v>
      </c>
      <c r="V5" s="87" t="e">
        <f>(#REF!/15)*11.5</f>
        <v>#REF!</v>
      </c>
      <c r="W5" s="87" t="e">
        <f>(#REF!/15)*11.5</f>
        <v>#REF!</v>
      </c>
      <c r="X5" s="95" t="e">
        <f>(#REF!/15)*11.5</f>
        <v>#REF!</v>
      </c>
    </row>
    <row r="6" spans="1:24">
      <c r="A6" s="1318"/>
      <c r="B6" s="66" t="s">
        <v>28</v>
      </c>
      <c r="C6" s="136" t="e">
        <f>(#REF!/15)*11.5</f>
        <v>#REF!</v>
      </c>
      <c r="D6" s="136" t="e">
        <f>(#REF!/15)*11.5</f>
        <v>#REF!</v>
      </c>
      <c r="E6" s="136" t="e">
        <f>(#REF!/15)*11.5</f>
        <v>#REF!</v>
      </c>
      <c r="F6" s="136" t="e">
        <f>(#REF!/15)*11.5</f>
        <v>#REF!</v>
      </c>
      <c r="G6" s="136" t="e">
        <f>(#REF!/15)*11.5</f>
        <v>#REF!</v>
      </c>
      <c r="H6" s="136" t="e">
        <f>(#REF!/15)*11.5</f>
        <v>#REF!</v>
      </c>
      <c r="I6" s="136" t="e">
        <f>(#REF!/15)*11.5</f>
        <v>#REF!</v>
      </c>
      <c r="J6" s="136" t="e">
        <f>(#REF!/15)*11.5</f>
        <v>#REF!</v>
      </c>
      <c r="K6" s="136" t="e">
        <f>(#REF!/15)*11.5</f>
        <v>#REF!</v>
      </c>
      <c r="L6" s="136" t="e">
        <f>(#REF!/15)*11.5</f>
        <v>#REF!</v>
      </c>
      <c r="M6" s="136" t="e">
        <f>(#REF!/15)*11.5</f>
        <v>#REF!</v>
      </c>
      <c r="N6" s="136" t="e">
        <f>(#REF!/15)*11.5</f>
        <v>#REF!</v>
      </c>
      <c r="O6" s="136" t="e">
        <f>(#REF!/15)*11.5</f>
        <v>#REF!</v>
      </c>
      <c r="P6" s="136" t="e">
        <f>(#REF!/15)*11.5</f>
        <v>#REF!</v>
      </c>
      <c r="Q6" s="136" t="e">
        <f>(#REF!/15)*11.5</f>
        <v>#REF!</v>
      </c>
      <c r="R6" s="136" t="e">
        <f>(#REF!/15)*11.5</f>
        <v>#REF!</v>
      </c>
      <c r="S6" s="136" t="e">
        <f>(#REF!/15)*11.5</f>
        <v>#REF!</v>
      </c>
      <c r="T6" s="136" t="e">
        <f>(#REF!/15)*11.5</f>
        <v>#REF!</v>
      </c>
      <c r="U6" s="136" t="e">
        <f>(#REF!/15)*11.5</f>
        <v>#REF!</v>
      </c>
      <c r="V6" s="136" t="e">
        <f>(#REF!/15)*11.5</f>
        <v>#REF!</v>
      </c>
      <c r="W6" s="136" t="e">
        <f>(#REF!/15)*11.5</f>
        <v>#REF!</v>
      </c>
      <c r="X6" s="143" t="e">
        <f>(#REF!/15)*11.5</f>
        <v>#REF!</v>
      </c>
    </row>
    <row r="7" spans="1:24">
      <c r="A7" s="1318"/>
      <c r="B7" s="66" t="s">
        <v>29</v>
      </c>
      <c r="C7" s="136" t="e">
        <f>(#REF!/15)*11.5</f>
        <v>#REF!</v>
      </c>
      <c r="D7" s="136" t="e">
        <f>(#REF!/15)*11.5</f>
        <v>#REF!</v>
      </c>
      <c r="E7" s="136" t="e">
        <f>(#REF!/15)*11.5</f>
        <v>#REF!</v>
      </c>
      <c r="F7" s="136" t="e">
        <f>(#REF!/15)*11.5</f>
        <v>#REF!</v>
      </c>
      <c r="G7" s="136" t="e">
        <f>(#REF!/15)*11.5</f>
        <v>#REF!</v>
      </c>
      <c r="H7" s="136" t="e">
        <f>(#REF!/15)*11.5</f>
        <v>#REF!</v>
      </c>
      <c r="I7" s="136" t="e">
        <f>(#REF!/15)*11.5</f>
        <v>#REF!</v>
      </c>
      <c r="J7" s="136" t="e">
        <f>(#REF!/15)*11.5</f>
        <v>#REF!</v>
      </c>
      <c r="K7" s="136" t="e">
        <f>(#REF!/15)*11.5</f>
        <v>#REF!</v>
      </c>
      <c r="L7" s="136" t="e">
        <f>(#REF!/15)*11.5</f>
        <v>#REF!</v>
      </c>
      <c r="M7" s="136" t="e">
        <f>(#REF!/15)*11.5</f>
        <v>#REF!</v>
      </c>
      <c r="N7" s="136" t="e">
        <f>(#REF!/15)*11.5</f>
        <v>#REF!</v>
      </c>
      <c r="O7" s="136" t="e">
        <f>(#REF!/15)*11.5</f>
        <v>#REF!</v>
      </c>
      <c r="P7" s="136" t="e">
        <f>(#REF!/15)*11.5</f>
        <v>#REF!</v>
      </c>
      <c r="Q7" s="136" t="e">
        <f>(#REF!/15)*11.5</f>
        <v>#REF!</v>
      </c>
      <c r="R7" s="136" t="e">
        <f>(#REF!/15)*11.5</f>
        <v>#REF!</v>
      </c>
      <c r="S7" s="136" t="e">
        <f>(#REF!/15)*11.5</f>
        <v>#REF!</v>
      </c>
      <c r="T7" s="136" t="e">
        <f>(#REF!/15)*11.5</f>
        <v>#REF!</v>
      </c>
      <c r="U7" s="136" t="e">
        <f>(#REF!/15)*11.5</f>
        <v>#REF!</v>
      </c>
      <c r="V7" s="136" t="e">
        <f>(#REF!/15)*11.5</f>
        <v>#REF!</v>
      </c>
      <c r="W7" s="136" t="e">
        <f>(#REF!/15)*11.5</f>
        <v>#REF!</v>
      </c>
      <c r="X7" s="143" t="e">
        <f>(#REF!/15)*11.5</f>
        <v>#REF!</v>
      </c>
    </row>
    <row r="8" spans="1:24">
      <c r="A8" s="1318"/>
      <c r="B8" s="66" t="s">
        <v>30</v>
      </c>
      <c r="C8" s="136" t="e">
        <f>(#REF!/15)*11.5</f>
        <v>#REF!</v>
      </c>
      <c r="D8" s="136" t="e">
        <f>(#REF!/15)*11.5</f>
        <v>#REF!</v>
      </c>
      <c r="E8" s="136" t="e">
        <f>(#REF!/15)*11.5</f>
        <v>#REF!</v>
      </c>
      <c r="F8" s="136" t="e">
        <f>(#REF!/15)*11.5</f>
        <v>#REF!</v>
      </c>
      <c r="G8" s="136" t="e">
        <f>(#REF!/15)*11.5</f>
        <v>#REF!</v>
      </c>
      <c r="H8" s="136" t="e">
        <f>(#REF!/15)*11.5</f>
        <v>#REF!</v>
      </c>
      <c r="I8" s="136" t="e">
        <f>(#REF!/15)*11.5</f>
        <v>#REF!</v>
      </c>
      <c r="J8" s="136" t="e">
        <f>(#REF!/15)*11.5</f>
        <v>#REF!</v>
      </c>
      <c r="K8" s="136" t="e">
        <f>(#REF!/15)*11.5</f>
        <v>#REF!</v>
      </c>
      <c r="L8" s="136" t="e">
        <f>(#REF!/15)*11.5</f>
        <v>#REF!</v>
      </c>
      <c r="M8" s="136" t="e">
        <f>(#REF!/15)*11.5</f>
        <v>#REF!</v>
      </c>
      <c r="N8" s="136" t="e">
        <f>(#REF!/15)*11.5</f>
        <v>#REF!</v>
      </c>
      <c r="O8" s="136" t="e">
        <f>(#REF!/15)*11.5</f>
        <v>#REF!</v>
      </c>
      <c r="P8" s="136" t="e">
        <f>(#REF!/15)*11.5</f>
        <v>#REF!</v>
      </c>
      <c r="Q8" s="136" t="e">
        <f>(#REF!/15)*11.5</f>
        <v>#REF!</v>
      </c>
      <c r="R8" s="136" t="e">
        <f>(#REF!/15)*11.5</f>
        <v>#REF!</v>
      </c>
      <c r="S8" s="136" t="e">
        <f>(#REF!/15)*11.5</f>
        <v>#REF!</v>
      </c>
      <c r="T8" s="136" t="e">
        <f>(#REF!/15)*11.5</f>
        <v>#REF!</v>
      </c>
      <c r="U8" s="136" t="e">
        <f>(#REF!/15)*11.5</f>
        <v>#REF!</v>
      </c>
      <c r="V8" s="136" t="e">
        <f>(#REF!/15)*11.5</f>
        <v>#REF!</v>
      </c>
      <c r="W8" s="136" t="e">
        <f>(#REF!/15)*11.5</f>
        <v>#REF!</v>
      </c>
      <c r="X8" s="143" t="e">
        <f>(#REF!/15)*11.5</f>
        <v>#REF!</v>
      </c>
    </row>
    <row r="9" spans="1:24">
      <c r="A9" s="1318"/>
      <c r="B9" s="66" t="s">
        <v>31</v>
      </c>
      <c r="C9" s="136" t="e">
        <f>(#REF!/15)*11.5</f>
        <v>#REF!</v>
      </c>
      <c r="D9" s="136" t="e">
        <f>(#REF!/15)*11.5</f>
        <v>#REF!</v>
      </c>
      <c r="E9" s="136" t="e">
        <f>(#REF!/15)*11.5</f>
        <v>#REF!</v>
      </c>
      <c r="F9" s="136" t="e">
        <f>(#REF!/15)*11.5</f>
        <v>#REF!</v>
      </c>
      <c r="G9" s="136" t="e">
        <f>(#REF!/15)*11.5</f>
        <v>#REF!</v>
      </c>
      <c r="H9" s="136" t="e">
        <f>(#REF!/15)*11.5</f>
        <v>#REF!</v>
      </c>
      <c r="I9" s="136" t="e">
        <f>(#REF!/15)*11.5</f>
        <v>#REF!</v>
      </c>
      <c r="J9" s="136" t="e">
        <f>(#REF!/15)*11.5</f>
        <v>#REF!</v>
      </c>
      <c r="K9" s="136" t="e">
        <f>(#REF!/15)*11.5</f>
        <v>#REF!</v>
      </c>
      <c r="L9" s="136" t="e">
        <f>(#REF!/15)*11.5</f>
        <v>#REF!</v>
      </c>
      <c r="M9" s="136" t="e">
        <f>(#REF!/15)*11.5</f>
        <v>#REF!</v>
      </c>
      <c r="N9" s="136" t="e">
        <f>(#REF!/15)*11.5</f>
        <v>#REF!</v>
      </c>
      <c r="O9" s="136" t="e">
        <f>(#REF!/15)*11.5</f>
        <v>#REF!</v>
      </c>
      <c r="P9" s="136" t="e">
        <f>(#REF!/15)*11.5</f>
        <v>#REF!</v>
      </c>
      <c r="Q9" s="136" t="e">
        <f>(#REF!/15)*11.5</f>
        <v>#REF!</v>
      </c>
      <c r="R9" s="136" t="e">
        <f>(#REF!/15)*11.5</f>
        <v>#REF!</v>
      </c>
      <c r="S9" s="136" t="e">
        <f>(#REF!/15)*11.5</f>
        <v>#REF!</v>
      </c>
      <c r="T9" s="136" t="e">
        <f>(#REF!/15)*11.5</f>
        <v>#REF!</v>
      </c>
      <c r="U9" s="136" t="e">
        <f>(#REF!/15)*11.5</f>
        <v>#REF!</v>
      </c>
      <c r="V9" s="136" t="e">
        <f>(#REF!/15)*11.5</f>
        <v>#REF!</v>
      </c>
      <c r="W9" s="136" t="e">
        <f>(#REF!/15)*11.5</f>
        <v>#REF!</v>
      </c>
      <c r="X9" s="143" t="e">
        <f>(#REF!/15)*11.5</f>
        <v>#REF!</v>
      </c>
    </row>
    <row r="10" spans="1:24">
      <c r="A10" s="1318"/>
      <c r="B10" s="66" t="s">
        <v>32</v>
      </c>
      <c r="C10" s="136" t="e">
        <f>(#REF!/15)*11.5</f>
        <v>#REF!</v>
      </c>
      <c r="D10" s="136" t="e">
        <f>(#REF!/15)*11.5</f>
        <v>#REF!</v>
      </c>
      <c r="E10" s="136" t="e">
        <f>(#REF!/15)*11.5</f>
        <v>#REF!</v>
      </c>
      <c r="F10" s="136" t="e">
        <f>(#REF!/15)*11.5</f>
        <v>#REF!</v>
      </c>
      <c r="G10" s="136" t="e">
        <f>(#REF!/15)*11.5</f>
        <v>#REF!</v>
      </c>
      <c r="H10" s="136" t="e">
        <f>(#REF!/15)*11.5</f>
        <v>#REF!</v>
      </c>
      <c r="I10" s="136" t="e">
        <f>(#REF!/15)*11.5</f>
        <v>#REF!</v>
      </c>
      <c r="J10" s="136" t="e">
        <f>(#REF!/15)*11.5</f>
        <v>#REF!</v>
      </c>
      <c r="K10" s="136" t="e">
        <f>(#REF!/15)*11.5</f>
        <v>#REF!</v>
      </c>
      <c r="L10" s="136" t="e">
        <f>(#REF!/15)*11.5</f>
        <v>#REF!</v>
      </c>
      <c r="M10" s="136" t="e">
        <f>(#REF!/15)*11.5</f>
        <v>#REF!</v>
      </c>
      <c r="N10" s="136" t="e">
        <f>(#REF!/15)*11.5</f>
        <v>#REF!</v>
      </c>
      <c r="O10" s="136" t="e">
        <f>(#REF!/15)*11.5</f>
        <v>#REF!</v>
      </c>
      <c r="P10" s="136" t="e">
        <f>(#REF!/15)*11.5</f>
        <v>#REF!</v>
      </c>
      <c r="Q10" s="136" t="e">
        <f>(#REF!/15)*11.5</f>
        <v>#REF!</v>
      </c>
      <c r="R10" s="136" t="e">
        <f>(#REF!/15)*11.5</f>
        <v>#REF!</v>
      </c>
      <c r="S10" s="136" t="e">
        <f>(#REF!/15)*11.5</f>
        <v>#REF!</v>
      </c>
      <c r="T10" s="136" t="e">
        <f>(#REF!/15)*11.5</f>
        <v>#REF!</v>
      </c>
      <c r="U10" s="136" t="e">
        <f>(#REF!/15)*11.5</f>
        <v>#REF!</v>
      </c>
      <c r="V10" s="136" t="e">
        <f>(#REF!/15)*11.5</f>
        <v>#REF!</v>
      </c>
      <c r="W10" s="136" t="e">
        <f>(#REF!/15)*11.5</f>
        <v>#REF!</v>
      </c>
      <c r="X10" s="143" t="e">
        <f>(#REF!/15)*11.5</f>
        <v>#REF!</v>
      </c>
    </row>
    <row r="11" spans="1:24">
      <c r="A11" s="1318"/>
      <c r="B11" s="66" t="s">
        <v>33</v>
      </c>
      <c r="C11" s="136" t="e">
        <f>(#REF!/15)*11.5</f>
        <v>#REF!</v>
      </c>
      <c r="D11" s="136" t="e">
        <f>(#REF!/15)*11.5</f>
        <v>#REF!</v>
      </c>
      <c r="E11" s="136" t="e">
        <f>(#REF!/15)*11.5</f>
        <v>#REF!</v>
      </c>
      <c r="F11" s="136" t="e">
        <f>(#REF!/15)*11.5</f>
        <v>#REF!</v>
      </c>
      <c r="G11" s="136" t="e">
        <f>(#REF!/15)*11.5</f>
        <v>#REF!</v>
      </c>
      <c r="H11" s="136" t="e">
        <f>(#REF!/15)*11.5</f>
        <v>#REF!</v>
      </c>
      <c r="I11" s="136" t="e">
        <f>(#REF!/15)*11.5</f>
        <v>#REF!</v>
      </c>
      <c r="J11" s="136" t="e">
        <f>(#REF!/15)*11.5</f>
        <v>#REF!</v>
      </c>
      <c r="K11" s="136" t="e">
        <f>(#REF!/15)*11.5</f>
        <v>#REF!</v>
      </c>
      <c r="L11" s="136" t="e">
        <f>(#REF!/15)*11.5</f>
        <v>#REF!</v>
      </c>
      <c r="M11" s="136" t="e">
        <f>(#REF!/15)*11.5</f>
        <v>#REF!</v>
      </c>
      <c r="N11" s="136" t="e">
        <f>(#REF!/15)*11.5</f>
        <v>#REF!</v>
      </c>
      <c r="O11" s="136" t="e">
        <f>(#REF!/15)*11.5</f>
        <v>#REF!</v>
      </c>
      <c r="P11" s="136" t="e">
        <f>(#REF!/15)*11.5</f>
        <v>#REF!</v>
      </c>
      <c r="Q11" s="136" t="e">
        <f>(#REF!/15)*11.5</f>
        <v>#REF!</v>
      </c>
      <c r="R11" s="136" t="e">
        <f>(#REF!/15)*11.5</f>
        <v>#REF!</v>
      </c>
      <c r="S11" s="136" t="e">
        <f>(#REF!/15)*11.5</f>
        <v>#REF!</v>
      </c>
      <c r="T11" s="136" t="e">
        <f>(#REF!/15)*11.5</f>
        <v>#REF!</v>
      </c>
      <c r="U11" s="136" t="e">
        <f>(#REF!/15)*11.5</f>
        <v>#REF!</v>
      </c>
      <c r="V11" s="136" t="e">
        <f>(#REF!/15)*11.5</f>
        <v>#REF!</v>
      </c>
      <c r="W11" s="136" t="e">
        <f>(#REF!/15)*11.5</f>
        <v>#REF!</v>
      </c>
      <c r="X11" s="143" t="e">
        <f>(#REF!/15)*11.5</f>
        <v>#REF!</v>
      </c>
    </row>
    <row r="12" spans="1:24">
      <c r="A12" s="1318"/>
      <c r="B12" s="66" t="s">
        <v>34</v>
      </c>
      <c r="C12" s="136" t="e">
        <f>(#REF!/15)*11.5</f>
        <v>#REF!</v>
      </c>
      <c r="D12" s="136" t="e">
        <f>(#REF!/15)*11.5</f>
        <v>#REF!</v>
      </c>
      <c r="E12" s="136" t="e">
        <f>(#REF!/15)*11.5</f>
        <v>#REF!</v>
      </c>
      <c r="F12" s="136" t="e">
        <f>(#REF!/15)*11.5</f>
        <v>#REF!</v>
      </c>
      <c r="G12" s="136" t="e">
        <f>(#REF!/15)*11.5</f>
        <v>#REF!</v>
      </c>
      <c r="H12" s="136" t="e">
        <f>(#REF!/15)*11.5</f>
        <v>#REF!</v>
      </c>
      <c r="I12" s="136" t="e">
        <f>(#REF!/15)*11.5</f>
        <v>#REF!</v>
      </c>
      <c r="J12" s="136" t="e">
        <f>(#REF!/15)*11.5</f>
        <v>#REF!</v>
      </c>
      <c r="K12" s="136" t="e">
        <f>(#REF!/15)*11.5</f>
        <v>#REF!</v>
      </c>
      <c r="L12" s="136" t="e">
        <f>(#REF!/15)*11.5</f>
        <v>#REF!</v>
      </c>
      <c r="M12" s="136" t="e">
        <f>(#REF!/15)*11.5</f>
        <v>#REF!</v>
      </c>
      <c r="N12" s="136" t="e">
        <f>(#REF!/15)*11.5</f>
        <v>#REF!</v>
      </c>
      <c r="O12" s="136" t="e">
        <f>(#REF!/15)*11.5</f>
        <v>#REF!</v>
      </c>
      <c r="P12" s="136" t="e">
        <f>(#REF!/15)*11.5</f>
        <v>#REF!</v>
      </c>
      <c r="Q12" s="136" t="e">
        <f>(#REF!/15)*11.5</f>
        <v>#REF!</v>
      </c>
      <c r="R12" s="136" t="e">
        <f>(#REF!/15)*11.5</f>
        <v>#REF!</v>
      </c>
      <c r="S12" s="136" t="e">
        <f>(#REF!/15)*11.5</f>
        <v>#REF!</v>
      </c>
      <c r="T12" s="136" t="e">
        <f>(#REF!/15)*11.5</f>
        <v>#REF!</v>
      </c>
      <c r="U12" s="136" t="e">
        <f>(#REF!/15)*11.5</f>
        <v>#REF!</v>
      </c>
      <c r="V12" s="136" t="e">
        <f>(#REF!/15)*11.5</f>
        <v>#REF!</v>
      </c>
      <c r="W12" s="136" t="e">
        <f>(#REF!/15)*11.5</f>
        <v>#REF!</v>
      </c>
      <c r="X12" s="143" t="e">
        <f>(#REF!/15)*11.5</f>
        <v>#REF!</v>
      </c>
    </row>
    <row r="13" spans="1:24">
      <c r="A13" s="1318"/>
      <c r="B13" s="66" t="s">
        <v>35</v>
      </c>
      <c r="C13" s="87" t="e">
        <f>(#REF!/15)*11.5</f>
        <v>#REF!</v>
      </c>
      <c r="D13" s="87" t="e">
        <f>(#REF!/15)*11.5</f>
        <v>#REF!</v>
      </c>
      <c r="E13" s="87" t="e">
        <f>(#REF!/15)*11.5</f>
        <v>#REF!</v>
      </c>
      <c r="F13" s="87" t="e">
        <f>(#REF!/15)*11.5</f>
        <v>#REF!</v>
      </c>
      <c r="G13" s="87" t="e">
        <f>(#REF!/15)*11.5</f>
        <v>#REF!</v>
      </c>
      <c r="H13" s="87" t="e">
        <f>(#REF!/15)*11.5</f>
        <v>#REF!</v>
      </c>
      <c r="I13" s="87" t="e">
        <f>(#REF!/15)*11.5</f>
        <v>#REF!</v>
      </c>
      <c r="J13" s="87" t="e">
        <f>(#REF!/15)*11.5</f>
        <v>#REF!</v>
      </c>
      <c r="K13" s="87" t="e">
        <f>(#REF!/15)*11.5</f>
        <v>#REF!</v>
      </c>
      <c r="L13" s="87" t="e">
        <f>(#REF!/15)*11.5</f>
        <v>#REF!</v>
      </c>
      <c r="M13" s="87" t="e">
        <f>(#REF!/15)*11.5</f>
        <v>#REF!</v>
      </c>
      <c r="N13" s="87" t="e">
        <f>(#REF!/15)*11.5</f>
        <v>#REF!</v>
      </c>
      <c r="O13" s="87" t="e">
        <f>(#REF!/15)*11.5</f>
        <v>#REF!</v>
      </c>
      <c r="P13" s="87" t="e">
        <f>(#REF!/15)*11.5</f>
        <v>#REF!</v>
      </c>
      <c r="Q13" s="87" t="e">
        <f>(#REF!/15)*11.5</f>
        <v>#REF!</v>
      </c>
      <c r="R13" s="87" t="e">
        <f>(#REF!/15)*11.5</f>
        <v>#REF!</v>
      </c>
      <c r="S13" s="87" t="e">
        <f>(#REF!/15)*11.5</f>
        <v>#REF!</v>
      </c>
      <c r="T13" s="87" t="e">
        <f>(#REF!/15)*11.5</f>
        <v>#REF!</v>
      </c>
      <c r="U13" s="87" t="e">
        <f>(#REF!/15)*11.5</f>
        <v>#REF!</v>
      </c>
      <c r="V13" s="87" t="e">
        <f>(#REF!/15)*11.5</f>
        <v>#REF!</v>
      </c>
      <c r="W13" s="87" t="e">
        <f>(#REF!/15)*11.5</f>
        <v>#REF!</v>
      </c>
      <c r="X13" s="95" t="e">
        <f>(#REF!/15)*11.5</f>
        <v>#REF!</v>
      </c>
    </row>
    <row r="14" spans="1:24">
      <c r="A14" s="1318"/>
      <c r="B14" s="66" t="s">
        <v>36</v>
      </c>
      <c r="C14" s="136" t="e">
        <f>(#REF!/15)*11.5</f>
        <v>#REF!</v>
      </c>
      <c r="D14" s="136" t="e">
        <f>(#REF!/15)*11.5</f>
        <v>#REF!</v>
      </c>
      <c r="E14" s="136" t="e">
        <f>(#REF!/15)*11.5</f>
        <v>#REF!</v>
      </c>
      <c r="F14" s="136" t="e">
        <f>(#REF!/15)*11.5</f>
        <v>#REF!</v>
      </c>
      <c r="G14" s="136" t="e">
        <f>(#REF!/15)*11.5</f>
        <v>#REF!</v>
      </c>
      <c r="H14" s="136" t="e">
        <f>(#REF!/15)*11.5</f>
        <v>#REF!</v>
      </c>
      <c r="I14" s="136" t="e">
        <f>(#REF!/15)*11.5</f>
        <v>#REF!</v>
      </c>
      <c r="J14" s="136" t="e">
        <f>(#REF!/15)*11.5</f>
        <v>#REF!</v>
      </c>
      <c r="K14" s="136" t="e">
        <f>(#REF!/15)*11.5</f>
        <v>#REF!</v>
      </c>
      <c r="L14" s="136" t="e">
        <f>(#REF!/15)*11.5</f>
        <v>#REF!</v>
      </c>
      <c r="M14" s="136" t="e">
        <f>(#REF!/15)*11.5</f>
        <v>#REF!</v>
      </c>
      <c r="N14" s="136" t="e">
        <f>(#REF!/15)*11.5</f>
        <v>#REF!</v>
      </c>
      <c r="O14" s="136" t="e">
        <f>(#REF!/15)*11.5</f>
        <v>#REF!</v>
      </c>
      <c r="P14" s="136" t="e">
        <f>(#REF!/15)*11.5</f>
        <v>#REF!</v>
      </c>
      <c r="Q14" s="136" t="e">
        <f>(#REF!/15)*11.5</f>
        <v>#REF!</v>
      </c>
      <c r="R14" s="136" t="e">
        <f>(#REF!/15)*11.5</f>
        <v>#REF!</v>
      </c>
      <c r="S14" s="136" t="e">
        <f>(#REF!/15)*11.5</f>
        <v>#REF!</v>
      </c>
      <c r="T14" s="136" t="e">
        <f>(#REF!/15)*11.5</f>
        <v>#REF!</v>
      </c>
      <c r="U14" s="136" t="e">
        <f>(#REF!/15)*11.5</f>
        <v>#REF!</v>
      </c>
      <c r="V14" s="136" t="e">
        <f>(#REF!/15)*11.5</f>
        <v>#REF!</v>
      </c>
      <c r="W14" s="136" t="e">
        <f>(#REF!/15)*11.5</f>
        <v>#REF!</v>
      </c>
      <c r="X14" s="143" t="e">
        <f>(#REF!/15)*11.5</f>
        <v>#REF!</v>
      </c>
    </row>
    <row r="15" spans="1:24">
      <c r="A15" s="1318"/>
      <c r="B15" s="66" t="s">
        <v>37</v>
      </c>
      <c r="C15" s="87" t="e">
        <f>(#REF!/15)*11.5</f>
        <v>#REF!</v>
      </c>
      <c r="D15" s="87" t="e">
        <f>(#REF!/15)*11.5</f>
        <v>#REF!</v>
      </c>
      <c r="E15" s="87" t="e">
        <f>(#REF!/15)*11.5</f>
        <v>#REF!</v>
      </c>
      <c r="F15" s="87" t="e">
        <f>(#REF!/15)*11.5</f>
        <v>#REF!</v>
      </c>
      <c r="G15" s="87" t="e">
        <f>(#REF!/15)*11.5</f>
        <v>#REF!</v>
      </c>
      <c r="H15" s="87" t="e">
        <f>(#REF!/15)*11.5</f>
        <v>#REF!</v>
      </c>
      <c r="I15" s="87" t="e">
        <f>(#REF!/15)*11.5</f>
        <v>#REF!</v>
      </c>
      <c r="J15" s="87" t="e">
        <f>(#REF!/15)*11.5</f>
        <v>#REF!</v>
      </c>
      <c r="K15" s="87" t="e">
        <f>(#REF!/15)*11.5</f>
        <v>#REF!</v>
      </c>
      <c r="L15" s="87" t="e">
        <f>(#REF!/15)*11.5</f>
        <v>#REF!</v>
      </c>
      <c r="M15" s="87" t="e">
        <f>(#REF!/15)*11.5</f>
        <v>#REF!</v>
      </c>
      <c r="N15" s="87" t="e">
        <f>(#REF!/15)*11.5</f>
        <v>#REF!</v>
      </c>
      <c r="O15" s="87" t="e">
        <f>(#REF!/15)*11.5</f>
        <v>#REF!</v>
      </c>
      <c r="P15" s="87" t="e">
        <f>(#REF!/15)*11.5</f>
        <v>#REF!</v>
      </c>
      <c r="Q15" s="87" t="e">
        <f>(#REF!/15)*11.5</f>
        <v>#REF!</v>
      </c>
      <c r="R15" s="87" t="e">
        <f>(#REF!/15)*11.5</f>
        <v>#REF!</v>
      </c>
      <c r="S15" s="87" t="e">
        <f>(#REF!/15)*11.5</f>
        <v>#REF!</v>
      </c>
      <c r="T15" s="87" t="e">
        <f>(#REF!/15)*11.5</f>
        <v>#REF!</v>
      </c>
      <c r="U15" s="87" t="e">
        <f>(#REF!/15)*11.5</f>
        <v>#REF!</v>
      </c>
      <c r="V15" s="87" t="e">
        <f>(#REF!/15)*11.5</f>
        <v>#REF!</v>
      </c>
      <c r="W15" s="87" t="e">
        <f>(#REF!/15)*11.5</f>
        <v>#REF!</v>
      </c>
      <c r="X15" s="95" t="e">
        <f>(#REF!/15)*11.5</f>
        <v>#REF!</v>
      </c>
    </row>
    <row r="16" spans="1:24">
      <c r="A16" s="1318"/>
      <c r="B16" s="66" t="s">
        <v>38</v>
      </c>
      <c r="C16" s="136" t="e">
        <f>(#REF!/15)*11.5</f>
        <v>#REF!</v>
      </c>
      <c r="D16" s="136" t="e">
        <f>(#REF!/15)*11.5</f>
        <v>#REF!</v>
      </c>
      <c r="E16" s="136" t="e">
        <f>(#REF!/15)*11.5</f>
        <v>#REF!</v>
      </c>
      <c r="F16" s="136" t="e">
        <f>(#REF!/15)*11.5</f>
        <v>#REF!</v>
      </c>
      <c r="G16" s="136" t="e">
        <f>(#REF!/15)*11.5</f>
        <v>#REF!</v>
      </c>
      <c r="H16" s="136" t="e">
        <f>(#REF!/15)*11.5</f>
        <v>#REF!</v>
      </c>
      <c r="I16" s="136" t="e">
        <f>(#REF!/15)*11.5</f>
        <v>#REF!</v>
      </c>
      <c r="J16" s="136" t="e">
        <f>(#REF!/15)*11.5</f>
        <v>#REF!</v>
      </c>
      <c r="K16" s="136" t="e">
        <f>(#REF!/15)*11.5</f>
        <v>#REF!</v>
      </c>
      <c r="L16" s="136" t="e">
        <f>(#REF!/15)*11.5</f>
        <v>#REF!</v>
      </c>
      <c r="M16" s="136" t="e">
        <f>(#REF!/15)*11.5</f>
        <v>#REF!</v>
      </c>
      <c r="N16" s="136" t="e">
        <f>(#REF!/15)*11.5</f>
        <v>#REF!</v>
      </c>
      <c r="O16" s="136" t="e">
        <f>(#REF!/15)*11.5</f>
        <v>#REF!</v>
      </c>
      <c r="P16" s="136" t="e">
        <f>(#REF!/15)*11.5</f>
        <v>#REF!</v>
      </c>
      <c r="Q16" s="136" t="e">
        <f>(#REF!/15)*11.5</f>
        <v>#REF!</v>
      </c>
      <c r="R16" s="136" t="e">
        <f>(#REF!/15)*11.5</f>
        <v>#REF!</v>
      </c>
      <c r="S16" s="136" t="e">
        <f>(#REF!/15)*11.5</f>
        <v>#REF!</v>
      </c>
      <c r="T16" s="136" t="e">
        <f>(#REF!/15)*11.5</f>
        <v>#REF!</v>
      </c>
      <c r="U16" s="136" t="e">
        <f>(#REF!/15)*11.5</f>
        <v>#REF!</v>
      </c>
      <c r="V16" s="136" t="e">
        <f>(#REF!/15)*11.5</f>
        <v>#REF!</v>
      </c>
      <c r="W16" s="136" t="e">
        <f>(#REF!/15)*11.5</f>
        <v>#REF!</v>
      </c>
      <c r="X16" s="143" t="e">
        <f>(#REF!/15)*11.5</f>
        <v>#REF!</v>
      </c>
    </row>
    <row r="17" spans="1:24">
      <c r="A17" s="1318"/>
      <c r="B17" s="66" t="s">
        <v>39</v>
      </c>
      <c r="C17" s="136" t="e">
        <f>(#REF!/15)*11.5</f>
        <v>#REF!</v>
      </c>
      <c r="D17" s="136" t="e">
        <f>(#REF!/15)*11.5</f>
        <v>#REF!</v>
      </c>
      <c r="E17" s="136" t="e">
        <f>(#REF!/15)*11.5</f>
        <v>#REF!</v>
      </c>
      <c r="F17" s="136" t="e">
        <f>(#REF!/15)*11.5</f>
        <v>#REF!</v>
      </c>
      <c r="G17" s="136" t="e">
        <f>(#REF!/15)*11.5</f>
        <v>#REF!</v>
      </c>
      <c r="H17" s="136" t="e">
        <f>(#REF!/15)*11.5</f>
        <v>#REF!</v>
      </c>
      <c r="I17" s="136" t="e">
        <f>(#REF!/15)*11.5</f>
        <v>#REF!</v>
      </c>
      <c r="J17" s="136" t="e">
        <f>(#REF!/15)*11.5</f>
        <v>#REF!</v>
      </c>
      <c r="K17" s="136" t="e">
        <f>(#REF!/15)*11.5</f>
        <v>#REF!</v>
      </c>
      <c r="L17" s="136" t="e">
        <f>(#REF!/15)*11.5</f>
        <v>#REF!</v>
      </c>
      <c r="M17" s="136" t="e">
        <f>(#REF!/15)*11.5</f>
        <v>#REF!</v>
      </c>
      <c r="N17" s="136" t="e">
        <f>(#REF!/15)*11.5</f>
        <v>#REF!</v>
      </c>
      <c r="O17" s="136" t="e">
        <f>(#REF!/15)*11.5</f>
        <v>#REF!</v>
      </c>
      <c r="P17" s="136" t="e">
        <f>(#REF!/15)*11.5</f>
        <v>#REF!</v>
      </c>
      <c r="Q17" s="136" t="e">
        <f>(#REF!/15)*11.5</f>
        <v>#REF!</v>
      </c>
      <c r="R17" s="136" t="e">
        <f>(#REF!/15)*11.5</f>
        <v>#REF!</v>
      </c>
      <c r="S17" s="136" t="e">
        <f>(#REF!/15)*11.5</f>
        <v>#REF!</v>
      </c>
      <c r="T17" s="136" t="e">
        <f>(#REF!/15)*11.5</f>
        <v>#REF!</v>
      </c>
      <c r="U17" s="136" t="e">
        <f>(#REF!/15)*11.5</f>
        <v>#REF!</v>
      </c>
      <c r="V17" s="136" t="e">
        <f>(#REF!/15)*11.5</f>
        <v>#REF!</v>
      </c>
      <c r="W17" s="136" t="e">
        <f>(#REF!/15)*11.5</f>
        <v>#REF!</v>
      </c>
      <c r="X17" s="143" t="e">
        <f>(#REF!/15)*11.5</f>
        <v>#REF!</v>
      </c>
    </row>
    <row r="18" spans="1:24" s="33" customFormat="1">
      <c r="A18" s="1318"/>
      <c r="B18" s="66" t="s">
        <v>40</v>
      </c>
      <c r="C18" s="136" t="e">
        <f>(#REF!/15)*11.5</f>
        <v>#REF!</v>
      </c>
      <c r="D18" s="136" t="e">
        <f>(#REF!/15)*11.5</f>
        <v>#REF!</v>
      </c>
      <c r="E18" s="136" t="e">
        <f>(#REF!/15)*11.5</f>
        <v>#REF!</v>
      </c>
      <c r="F18" s="136" t="e">
        <f>(#REF!/15)*11.5</f>
        <v>#REF!</v>
      </c>
      <c r="G18" s="136" t="e">
        <f>(#REF!/15)*11.5</f>
        <v>#REF!</v>
      </c>
      <c r="H18" s="136" t="e">
        <f>(#REF!/15)*11.5</f>
        <v>#REF!</v>
      </c>
      <c r="I18" s="136" t="e">
        <f>(#REF!/15)*11.5</f>
        <v>#REF!</v>
      </c>
      <c r="J18" s="136" t="e">
        <f>(#REF!/15)*11.5</f>
        <v>#REF!</v>
      </c>
      <c r="K18" s="136" t="e">
        <f>(#REF!/15)*11.5</f>
        <v>#REF!</v>
      </c>
      <c r="L18" s="136" t="e">
        <f>(#REF!/15)*11.5</f>
        <v>#REF!</v>
      </c>
      <c r="M18" s="136" t="e">
        <f>(#REF!/15)*11.5</f>
        <v>#REF!</v>
      </c>
      <c r="N18" s="136" t="e">
        <f>(#REF!/15)*11.5</f>
        <v>#REF!</v>
      </c>
      <c r="O18" s="136" t="e">
        <f>(#REF!/15)*11.5</f>
        <v>#REF!</v>
      </c>
      <c r="P18" s="136" t="e">
        <f>(#REF!/15)*11.5</f>
        <v>#REF!</v>
      </c>
      <c r="Q18" s="136" t="e">
        <f>(#REF!/15)*11.5</f>
        <v>#REF!</v>
      </c>
      <c r="R18" s="136" t="e">
        <f>(#REF!/15)*11.5</f>
        <v>#REF!</v>
      </c>
      <c r="S18" s="136" t="e">
        <f>(#REF!/15)*11.5</f>
        <v>#REF!</v>
      </c>
      <c r="T18" s="136" t="e">
        <f>(#REF!/15)*11.5</f>
        <v>#REF!</v>
      </c>
      <c r="U18" s="136" t="e">
        <f>(#REF!/15)*11.5</f>
        <v>#REF!</v>
      </c>
      <c r="V18" s="136" t="e">
        <f>(#REF!/15)*11.5</f>
        <v>#REF!</v>
      </c>
      <c r="W18" s="136" t="e">
        <f>(#REF!/15)*11.5</f>
        <v>#REF!</v>
      </c>
      <c r="X18" s="143" t="e">
        <f>(#REF!/15)*11.5</f>
        <v>#REF!</v>
      </c>
    </row>
    <row r="19" spans="1:24">
      <c r="A19" s="1318"/>
      <c r="B19" s="66" t="s">
        <v>41</v>
      </c>
      <c r="C19" s="87" t="e">
        <f>(#REF!/15)*11.5</f>
        <v>#REF!</v>
      </c>
      <c r="D19" s="87" t="e">
        <f>(#REF!/15)*11.5</f>
        <v>#REF!</v>
      </c>
      <c r="E19" s="87" t="e">
        <f>(#REF!/15)*11.5</f>
        <v>#REF!</v>
      </c>
      <c r="F19" s="87" t="e">
        <f>(#REF!/15)*11.5</f>
        <v>#REF!</v>
      </c>
      <c r="G19" s="87" t="e">
        <f>(#REF!/15)*11.5</f>
        <v>#REF!</v>
      </c>
      <c r="H19" s="87" t="e">
        <f>(#REF!/15)*11.5</f>
        <v>#REF!</v>
      </c>
      <c r="I19" s="87" t="e">
        <f>(#REF!/15)*11.5</f>
        <v>#REF!</v>
      </c>
      <c r="J19" s="87" t="e">
        <f>(#REF!/15)*11.5</f>
        <v>#REF!</v>
      </c>
      <c r="K19" s="87" t="e">
        <f>(#REF!/15)*11.5</f>
        <v>#REF!</v>
      </c>
      <c r="L19" s="87" t="e">
        <f>(#REF!/15)*11.5</f>
        <v>#REF!</v>
      </c>
      <c r="M19" s="87" t="e">
        <f>(#REF!/15)*11.5</f>
        <v>#REF!</v>
      </c>
      <c r="N19" s="87" t="e">
        <f>(#REF!/15)*11.5</f>
        <v>#REF!</v>
      </c>
      <c r="O19" s="87" t="e">
        <f>(#REF!/15)*11.5</f>
        <v>#REF!</v>
      </c>
      <c r="P19" s="87" t="e">
        <f>(#REF!/15)*11.5</f>
        <v>#REF!</v>
      </c>
      <c r="Q19" s="87" t="e">
        <f>(#REF!/15)*11.5</f>
        <v>#REF!</v>
      </c>
      <c r="R19" s="87" t="e">
        <f>(#REF!/15)*11.5</f>
        <v>#REF!</v>
      </c>
      <c r="S19" s="87" t="e">
        <f>(#REF!/15)*11.5</f>
        <v>#REF!</v>
      </c>
      <c r="T19" s="87" t="e">
        <f>(#REF!/15)*11.5</f>
        <v>#REF!</v>
      </c>
      <c r="U19" s="87" t="e">
        <f>(#REF!/15)*11.5</f>
        <v>#REF!</v>
      </c>
      <c r="V19" s="87" t="e">
        <f>(#REF!/15)*11.5</f>
        <v>#REF!</v>
      </c>
      <c r="W19" s="87" t="e">
        <f>(#REF!/15)*11.5</f>
        <v>#REF!</v>
      </c>
      <c r="X19" s="95" t="e">
        <f>(#REF!/15)*11.5</f>
        <v>#REF!</v>
      </c>
    </row>
    <row r="20" spans="1:24">
      <c r="A20" s="1318"/>
      <c r="B20" s="66" t="s">
        <v>42</v>
      </c>
      <c r="C20" s="136" t="e">
        <f>(#REF!/15)*11.5</f>
        <v>#REF!</v>
      </c>
      <c r="D20" s="136" t="e">
        <f>(#REF!/15)*11.5</f>
        <v>#REF!</v>
      </c>
      <c r="E20" s="136" t="e">
        <f>(#REF!/15)*11.5</f>
        <v>#REF!</v>
      </c>
      <c r="F20" s="136" t="e">
        <f>(#REF!/15)*11.5</f>
        <v>#REF!</v>
      </c>
      <c r="G20" s="136" t="e">
        <f>(#REF!/15)*11.5</f>
        <v>#REF!</v>
      </c>
      <c r="H20" s="136" t="e">
        <f>(#REF!/15)*11.5</f>
        <v>#REF!</v>
      </c>
      <c r="I20" s="136" t="e">
        <f>(#REF!/15)*11.5</f>
        <v>#REF!</v>
      </c>
      <c r="J20" s="136" t="e">
        <f>(#REF!/15)*11.5</f>
        <v>#REF!</v>
      </c>
      <c r="K20" s="136" t="e">
        <f>(#REF!/15)*11.5</f>
        <v>#REF!</v>
      </c>
      <c r="L20" s="136" t="e">
        <f>(#REF!/15)*11.5</f>
        <v>#REF!</v>
      </c>
      <c r="M20" s="136" t="e">
        <f>(#REF!/15)*11.5</f>
        <v>#REF!</v>
      </c>
      <c r="N20" s="136" t="e">
        <f>(#REF!/15)*11.5</f>
        <v>#REF!</v>
      </c>
      <c r="O20" s="136" t="e">
        <f>(#REF!/15)*11.5</f>
        <v>#REF!</v>
      </c>
      <c r="P20" s="136" t="e">
        <f>(#REF!/15)*11.5</f>
        <v>#REF!</v>
      </c>
      <c r="Q20" s="136" t="e">
        <f>(#REF!/15)*11.5</f>
        <v>#REF!</v>
      </c>
      <c r="R20" s="136" t="e">
        <f>(#REF!/15)*11.5</f>
        <v>#REF!</v>
      </c>
      <c r="S20" s="136" t="e">
        <f>(#REF!/15)*11.5</f>
        <v>#REF!</v>
      </c>
      <c r="T20" s="136" t="e">
        <f>(#REF!/15)*11.5</f>
        <v>#REF!</v>
      </c>
      <c r="U20" s="136" t="e">
        <f>(#REF!/15)*11.5</f>
        <v>#REF!</v>
      </c>
      <c r="V20" s="136" t="e">
        <f>(#REF!/15)*11.5</f>
        <v>#REF!</v>
      </c>
      <c r="W20" s="136" t="e">
        <f>(#REF!/15)*11.5</f>
        <v>#REF!</v>
      </c>
      <c r="X20" s="143" t="e">
        <f>(#REF!/15)*11.5</f>
        <v>#REF!</v>
      </c>
    </row>
    <row r="21" spans="1:24">
      <c r="A21" s="1318"/>
      <c r="B21" s="66" t="s">
        <v>43</v>
      </c>
      <c r="C21" s="136" t="e">
        <f>(#REF!/15)*11.5</f>
        <v>#REF!</v>
      </c>
      <c r="D21" s="136" t="e">
        <f>(#REF!/15)*11.5</f>
        <v>#REF!</v>
      </c>
      <c r="E21" s="136" t="e">
        <f>(#REF!/15)*11.5</f>
        <v>#REF!</v>
      </c>
      <c r="F21" s="136" t="e">
        <f>(#REF!/15)*11.5</f>
        <v>#REF!</v>
      </c>
      <c r="G21" s="136" t="e">
        <f>(#REF!/15)*11.5</f>
        <v>#REF!</v>
      </c>
      <c r="H21" s="136" t="e">
        <f>(#REF!/15)*11.5</f>
        <v>#REF!</v>
      </c>
      <c r="I21" s="136" t="e">
        <f>(#REF!/15)*11.5</f>
        <v>#REF!</v>
      </c>
      <c r="J21" s="136" t="e">
        <f>(#REF!/15)*11.5</f>
        <v>#REF!</v>
      </c>
      <c r="K21" s="136" t="e">
        <f>(#REF!/15)*11.5</f>
        <v>#REF!</v>
      </c>
      <c r="L21" s="136" t="e">
        <f>(#REF!/15)*11.5</f>
        <v>#REF!</v>
      </c>
      <c r="M21" s="136" t="e">
        <f>(#REF!/15)*11.5</f>
        <v>#REF!</v>
      </c>
      <c r="N21" s="136" t="e">
        <f>(#REF!/15)*11.5</f>
        <v>#REF!</v>
      </c>
      <c r="O21" s="136" t="e">
        <f>(#REF!/15)*11.5</f>
        <v>#REF!</v>
      </c>
      <c r="P21" s="136" t="e">
        <f>(#REF!/15)*11.5</f>
        <v>#REF!</v>
      </c>
      <c r="Q21" s="136" t="e">
        <f>(#REF!/15)*11.5</f>
        <v>#REF!</v>
      </c>
      <c r="R21" s="136" t="e">
        <f>(#REF!/15)*11.5</f>
        <v>#REF!</v>
      </c>
      <c r="S21" s="136" t="e">
        <f>(#REF!/15)*11.5</f>
        <v>#REF!</v>
      </c>
      <c r="T21" s="136" t="e">
        <f>(#REF!/15)*11.5</f>
        <v>#REF!</v>
      </c>
      <c r="U21" s="136" t="e">
        <f>(#REF!/15)*11.5</f>
        <v>#REF!</v>
      </c>
      <c r="V21" s="136" t="e">
        <f>(#REF!/15)*11.5</f>
        <v>#REF!</v>
      </c>
      <c r="W21" s="136" t="e">
        <f>(#REF!/15)*11.5</f>
        <v>#REF!</v>
      </c>
      <c r="X21" s="143" t="e">
        <f>(#REF!/15)*11.5</f>
        <v>#REF!</v>
      </c>
    </row>
    <row r="22" spans="1:24">
      <c r="A22" s="1318"/>
      <c r="B22" s="66" t="s">
        <v>44</v>
      </c>
      <c r="C22" s="136" t="e">
        <f>(#REF!/15)*11.5</f>
        <v>#REF!</v>
      </c>
      <c r="D22" s="136" t="e">
        <f>(#REF!/15)*11.5</f>
        <v>#REF!</v>
      </c>
      <c r="E22" s="136" t="e">
        <f>(#REF!/15)*11.5</f>
        <v>#REF!</v>
      </c>
      <c r="F22" s="136" t="e">
        <f>(#REF!/15)*11.5</f>
        <v>#REF!</v>
      </c>
      <c r="G22" s="136" t="e">
        <f>(#REF!/15)*11.5</f>
        <v>#REF!</v>
      </c>
      <c r="H22" s="136" t="e">
        <f>(#REF!/15)*11.5</f>
        <v>#REF!</v>
      </c>
      <c r="I22" s="136" t="e">
        <f>(#REF!/15)*11.5</f>
        <v>#REF!</v>
      </c>
      <c r="J22" s="136" t="e">
        <f>(#REF!/15)*11.5</f>
        <v>#REF!</v>
      </c>
      <c r="K22" s="136" t="e">
        <f>(#REF!/15)*11.5</f>
        <v>#REF!</v>
      </c>
      <c r="L22" s="136" t="e">
        <f>(#REF!/15)*11.5</f>
        <v>#REF!</v>
      </c>
      <c r="M22" s="136" t="e">
        <f>(#REF!/15)*11.5</f>
        <v>#REF!</v>
      </c>
      <c r="N22" s="136" t="e">
        <f>(#REF!/15)*11.5</f>
        <v>#REF!</v>
      </c>
      <c r="O22" s="136" t="e">
        <f>(#REF!/15)*11.5</f>
        <v>#REF!</v>
      </c>
      <c r="P22" s="136" t="e">
        <f>(#REF!/15)*11.5</f>
        <v>#REF!</v>
      </c>
      <c r="Q22" s="136" t="e">
        <f>(#REF!/15)*11.5</f>
        <v>#REF!</v>
      </c>
      <c r="R22" s="136" t="e">
        <f>(#REF!/15)*11.5</f>
        <v>#REF!</v>
      </c>
      <c r="S22" s="136" t="e">
        <f>(#REF!/15)*11.5</f>
        <v>#REF!</v>
      </c>
      <c r="T22" s="136" t="e">
        <f>(#REF!/15)*11.5</f>
        <v>#REF!</v>
      </c>
      <c r="U22" s="136" t="e">
        <f>(#REF!/15)*11.5</f>
        <v>#REF!</v>
      </c>
      <c r="V22" s="136" t="e">
        <f>(#REF!/15)*11.5</f>
        <v>#REF!</v>
      </c>
      <c r="W22" s="136" t="e">
        <f>(#REF!/15)*11.5</f>
        <v>#REF!</v>
      </c>
      <c r="X22" s="143" t="e">
        <f>(#REF!/15)*11.5</f>
        <v>#REF!</v>
      </c>
    </row>
    <row r="23" spans="1:24">
      <c r="A23" s="1318"/>
      <c r="B23" s="66" t="s">
        <v>45</v>
      </c>
      <c r="C23" s="136" t="e">
        <f>(#REF!/15)*11.5</f>
        <v>#REF!</v>
      </c>
      <c r="D23" s="136" t="e">
        <f>(#REF!/15)*11.5</f>
        <v>#REF!</v>
      </c>
      <c r="E23" s="136" t="e">
        <f>(#REF!/15)*11.5</f>
        <v>#REF!</v>
      </c>
      <c r="F23" s="136" t="e">
        <f>(#REF!/15)*11.5</f>
        <v>#REF!</v>
      </c>
      <c r="G23" s="136" t="e">
        <f>(#REF!/15)*11.5</f>
        <v>#REF!</v>
      </c>
      <c r="H23" s="136" t="e">
        <f>(#REF!/15)*11.5</f>
        <v>#REF!</v>
      </c>
      <c r="I23" s="136" t="e">
        <f>(#REF!/15)*11.5</f>
        <v>#REF!</v>
      </c>
      <c r="J23" s="136" t="e">
        <f>(#REF!/15)*11.5</f>
        <v>#REF!</v>
      </c>
      <c r="K23" s="136" t="e">
        <f>(#REF!/15)*11.5</f>
        <v>#REF!</v>
      </c>
      <c r="L23" s="136" t="e">
        <f>(#REF!/15)*11.5</f>
        <v>#REF!</v>
      </c>
      <c r="M23" s="136" t="e">
        <f>(#REF!/15)*11.5</f>
        <v>#REF!</v>
      </c>
      <c r="N23" s="136" t="e">
        <f>(#REF!/15)*11.5</f>
        <v>#REF!</v>
      </c>
      <c r="O23" s="136" t="e">
        <f>(#REF!/15)*11.5</f>
        <v>#REF!</v>
      </c>
      <c r="P23" s="136" t="e">
        <f>(#REF!/15)*11.5</f>
        <v>#REF!</v>
      </c>
      <c r="Q23" s="136" t="e">
        <f>(#REF!/15)*11.5</f>
        <v>#REF!</v>
      </c>
      <c r="R23" s="136" t="e">
        <f>(#REF!/15)*11.5</f>
        <v>#REF!</v>
      </c>
      <c r="S23" s="136" t="e">
        <f>(#REF!/15)*11.5</f>
        <v>#REF!</v>
      </c>
      <c r="T23" s="136" t="e">
        <f>(#REF!/15)*11.5</f>
        <v>#REF!</v>
      </c>
      <c r="U23" s="136" t="e">
        <f>(#REF!/15)*11.5</f>
        <v>#REF!</v>
      </c>
      <c r="V23" s="136" t="e">
        <f>(#REF!/15)*11.5</f>
        <v>#REF!</v>
      </c>
      <c r="W23" s="136" t="e">
        <f>(#REF!/15)*11.5</f>
        <v>#REF!</v>
      </c>
      <c r="X23" s="143" t="e">
        <f>(#REF!/15)*11.5</f>
        <v>#REF!</v>
      </c>
    </row>
    <row r="24" spans="1:24">
      <c r="A24" s="1318"/>
      <c r="B24" s="66" t="s">
        <v>46</v>
      </c>
      <c r="C24" s="136" t="e">
        <f>(#REF!/15)*11.5</f>
        <v>#REF!</v>
      </c>
      <c r="D24" s="136" t="e">
        <f>(#REF!/15)*11.5</f>
        <v>#REF!</v>
      </c>
      <c r="E24" s="136" t="e">
        <f>(#REF!/15)*11.5</f>
        <v>#REF!</v>
      </c>
      <c r="F24" s="136" t="e">
        <f>(#REF!/15)*11.5</f>
        <v>#REF!</v>
      </c>
      <c r="G24" s="136" t="e">
        <f>(#REF!/15)*11.5</f>
        <v>#REF!</v>
      </c>
      <c r="H24" s="136" t="e">
        <f>(#REF!/15)*11.5</f>
        <v>#REF!</v>
      </c>
      <c r="I24" s="136" t="e">
        <f>(#REF!/15)*11.5</f>
        <v>#REF!</v>
      </c>
      <c r="J24" s="136" t="e">
        <f>(#REF!/15)*11.5</f>
        <v>#REF!</v>
      </c>
      <c r="K24" s="136" t="e">
        <f>(#REF!/15)*11.5</f>
        <v>#REF!</v>
      </c>
      <c r="L24" s="136" t="e">
        <f>(#REF!/15)*11.5</f>
        <v>#REF!</v>
      </c>
      <c r="M24" s="136" t="e">
        <f>(#REF!/15)*11.5</f>
        <v>#REF!</v>
      </c>
      <c r="N24" s="136" t="e">
        <f>(#REF!/15)*11.5</f>
        <v>#REF!</v>
      </c>
      <c r="O24" s="136" t="e">
        <f>(#REF!/15)*11.5</f>
        <v>#REF!</v>
      </c>
      <c r="P24" s="136" t="e">
        <f>(#REF!/15)*11.5</f>
        <v>#REF!</v>
      </c>
      <c r="Q24" s="136" t="e">
        <f>(#REF!/15)*11.5</f>
        <v>#REF!</v>
      </c>
      <c r="R24" s="136" t="e">
        <f>(#REF!/15)*11.5</f>
        <v>#REF!</v>
      </c>
      <c r="S24" s="136" t="e">
        <f>(#REF!/15)*11.5</f>
        <v>#REF!</v>
      </c>
      <c r="T24" s="136" t="e">
        <f>(#REF!/15)*11.5</f>
        <v>#REF!</v>
      </c>
      <c r="U24" s="136" t="e">
        <f>(#REF!/15)*11.5</f>
        <v>#REF!</v>
      </c>
      <c r="V24" s="136" t="e">
        <f>(#REF!/15)*11.5</f>
        <v>#REF!</v>
      </c>
      <c r="W24" s="136" t="e">
        <f>(#REF!/15)*11.5</f>
        <v>#REF!</v>
      </c>
      <c r="X24" s="143" t="e">
        <f>(#REF!/15)*11.5</f>
        <v>#REF!</v>
      </c>
    </row>
    <row r="25" spans="1:24">
      <c r="A25" s="1318"/>
      <c r="B25" s="66" t="s">
        <v>47</v>
      </c>
      <c r="C25" s="136" t="e">
        <f>(#REF!/15)*11.5</f>
        <v>#REF!</v>
      </c>
      <c r="D25" s="136" t="e">
        <f>(#REF!/15)*11.5</f>
        <v>#REF!</v>
      </c>
      <c r="E25" s="136" t="e">
        <f>(#REF!/15)*11.5</f>
        <v>#REF!</v>
      </c>
      <c r="F25" s="136" t="e">
        <f>(#REF!/15)*11.5</f>
        <v>#REF!</v>
      </c>
      <c r="G25" s="136" t="e">
        <f>(#REF!/15)*11.5</f>
        <v>#REF!</v>
      </c>
      <c r="H25" s="136" t="e">
        <f>(#REF!/15)*11.5</f>
        <v>#REF!</v>
      </c>
      <c r="I25" s="136" t="e">
        <f>(#REF!/15)*11.5</f>
        <v>#REF!</v>
      </c>
      <c r="J25" s="136" t="e">
        <f>(#REF!/15)*11.5</f>
        <v>#REF!</v>
      </c>
      <c r="K25" s="136" t="e">
        <f>(#REF!/15)*11.5</f>
        <v>#REF!</v>
      </c>
      <c r="L25" s="136" t="e">
        <f>(#REF!/15)*11.5</f>
        <v>#REF!</v>
      </c>
      <c r="M25" s="136" t="e">
        <f>(#REF!/15)*11.5</f>
        <v>#REF!</v>
      </c>
      <c r="N25" s="136" t="e">
        <f>(#REF!/15)*11.5</f>
        <v>#REF!</v>
      </c>
      <c r="O25" s="136" t="e">
        <f>(#REF!/15)*11.5</f>
        <v>#REF!</v>
      </c>
      <c r="P25" s="136" t="e">
        <f>(#REF!/15)*11.5</f>
        <v>#REF!</v>
      </c>
      <c r="Q25" s="136" t="e">
        <f>(#REF!/15)*11.5</f>
        <v>#REF!</v>
      </c>
      <c r="R25" s="136" t="e">
        <f>(#REF!/15)*11.5</f>
        <v>#REF!</v>
      </c>
      <c r="S25" s="136" t="e">
        <f>(#REF!/15)*11.5</f>
        <v>#REF!</v>
      </c>
      <c r="T25" s="136" t="e">
        <f>(#REF!/15)*11.5</f>
        <v>#REF!</v>
      </c>
      <c r="U25" s="136" t="e">
        <f>(#REF!/15)*11.5</f>
        <v>#REF!</v>
      </c>
      <c r="V25" s="136" t="e">
        <f>(#REF!/15)*11.5</f>
        <v>#REF!</v>
      </c>
      <c r="W25" s="136" t="e">
        <f>(#REF!/15)*11.5</f>
        <v>#REF!</v>
      </c>
      <c r="X25" s="143" t="e">
        <f>(#REF!/15)*11.5</f>
        <v>#REF!</v>
      </c>
    </row>
    <row r="26" spans="1:24">
      <c r="A26" s="1318"/>
      <c r="B26" s="66" t="s">
        <v>48</v>
      </c>
      <c r="C26" s="136" t="e">
        <f>(#REF!/15)*11.5</f>
        <v>#REF!</v>
      </c>
      <c r="D26" s="136" t="e">
        <f>(#REF!/15)*11.5</f>
        <v>#REF!</v>
      </c>
      <c r="E26" s="136" t="e">
        <f>(#REF!/15)*11.5</f>
        <v>#REF!</v>
      </c>
      <c r="F26" s="136" t="e">
        <f>(#REF!/15)*11.5</f>
        <v>#REF!</v>
      </c>
      <c r="G26" s="136" t="e">
        <f>(#REF!/15)*11.5</f>
        <v>#REF!</v>
      </c>
      <c r="H26" s="136" t="e">
        <f>(#REF!/15)*11.5</f>
        <v>#REF!</v>
      </c>
      <c r="I26" s="136" t="e">
        <f>(#REF!/15)*11.5</f>
        <v>#REF!</v>
      </c>
      <c r="J26" s="136" t="e">
        <f>(#REF!/15)*11.5</f>
        <v>#REF!</v>
      </c>
      <c r="K26" s="136" t="e">
        <f>(#REF!/15)*11.5</f>
        <v>#REF!</v>
      </c>
      <c r="L26" s="136" t="e">
        <f>(#REF!/15)*11.5</f>
        <v>#REF!</v>
      </c>
      <c r="M26" s="136" t="e">
        <f>(#REF!/15)*11.5</f>
        <v>#REF!</v>
      </c>
      <c r="N26" s="136" t="e">
        <f>(#REF!/15)*11.5</f>
        <v>#REF!</v>
      </c>
      <c r="O26" s="136" t="e">
        <f>(#REF!/15)*11.5</f>
        <v>#REF!</v>
      </c>
      <c r="P26" s="136" t="e">
        <f>(#REF!/15)*11.5</f>
        <v>#REF!</v>
      </c>
      <c r="Q26" s="136" t="e">
        <f>(#REF!/15)*11.5</f>
        <v>#REF!</v>
      </c>
      <c r="R26" s="136" t="e">
        <f>(#REF!/15)*11.5</f>
        <v>#REF!</v>
      </c>
      <c r="S26" s="136" t="e">
        <f>(#REF!/15)*11.5</f>
        <v>#REF!</v>
      </c>
      <c r="T26" s="136" t="e">
        <f>(#REF!/15)*11.5</f>
        <v>#REF!</v>
      </c>
      <c r="U26" s="136" t="e">
        <f>(#REF!/15)*11.5</f>
        <v>#REF!</v>
      </c>
      <c r="V26" s="136" t="e">
        <f>(#REF!/15)*11.5</f>
        <v>#REF!</v>
      </c>
      <c r="W26" s="136" t="e">
        <f>(#REF!/15)*11.5</f>
        <v>#REF!</v>
      </c>
      <c r="X26" s="143" t="e">
        <f>(#REF!/15)*11.5</f>
        <v>#REF!</v>
      </c>
    </row>
    <row r="27" spans="1:24">
      <c r="A27" s="1318"/>
      <c r="B27" s="66" t="s">
        <v>49</v>
      </c>
      <c r="C27" s="136" t="e">
        <f>(#REF!/15)*11.5</f>
        <v>#REF!</v>
      </c>
      <c r="D27" s="136" t="e">
        <f>(#REF!/15)*11.5</f>
        <v>#REF!</v>
      </c>
      <c r="E27" s="136" t="e">
        <f>(#REF!/15)*11.5</f>
        <v>#REF!</v>
      </c>
      <c r="F27" s="136" t="e">
        <f>(#REF!/15)*11.5</f>
        <v>#REF!</v>
      </c>
      <c r="G27" s="136" t="e">
        <f>(#REF!/15)*11.5</f>
        <v>#REF!</v>
      </c>
      <c r="H27" s="136" t="e">
        <f>(#REF!/15)*11.5</f>
        <v>#REF!</v>
      </c>
      <c r="I27" s="136" t="e">
        <f>(#REF!/15)*11.5</f>
        <v>#REF!</v>
      </c>
      <c r="J27" s="136" t="e">
        <f>(#REF!/15)*11.5</f>
        <v>#REF!</v>
      </c>
      <c r="K27" s="136" t="e">
        <f>(#REF!/15)*11.5</f>
        <v>#REF!</v>
      </c>
      <c r="L27" s="136" t="e">
        <f>(#REF!/15)*11.5</f>
        <v>#REF!</v>
      </c>
      <c r="M27" s="136" t="e">
        <f>(#REF!/15)*11.5</f>
        <v>#REF!</v>
      </c>
      <c r="N27" s="136" t="e">
        <f>(#REF!/15)*11.5</f>
        <v>#REF!</v>
      </c>
      <c r="O27" s="136" t="e">
        <f>(#REF!/15)*11.5</f>
        <v>#REF!</v>
      </c>
      <c r="P27" s="136" t="e">
        <f>(#REF!/15)*11.5</f>
        <v>#REF!</v>
      </c>
      <c r="Q27" s="136" t="e">
        <f>(#REF!/15)*11.5</f>
        <v>#REF!</v>
      </c>
      <c r="R27" s="136" t="e">
        <f>(#REF!/15)*11.5</f>
        <v>#REF!</v>
      </c>
      <c r="S27" s="136" t="e">
        <f>(#REF!/15)*11.5</f>
        <v>#REF!</v>
      </c>
      <c r="T27" s="136" t="e">
        <f>(#REF!/15)*11.5</f>
        <v>#REF!</v>
      </c>
      <c r="U27" s="136" t="e">
        <f>(#REF!/15)*11.5</f>
        <v>#REF!</v>
      </c>
      <c r="V27" s="136" t="e">
        <f>(#REF!/15)*11.5</f>
        <v>#REF!</v>
      </c>
      <c r="W27" s="136" t="e">
        <f>(#REF!/15)*11.5</f>
        <v>#REF!</v>
      </c>
      <c r="X27" s="143" t="e">
        <f>(#REF!/15)*11.5</f>
        <v>#REF!</v>
      </c>
    </row>
    <row r="28" spans="1:24">
      <c r="A28" s="1318"/>
      <c r="B28" s="66" t="s">
        <v>50</v>
      </c>
      <c r="C28" s="136" t="e">
        <f>(#REF!/15)*11.5</f>
        <v>#REF!</v>
      </c>
      <c r="D28" s="136" t="e">
        <f>(#REF!/15)*11.5</f>
        <v>#REF!</v>
      </c>
      <c r="E28" s="136" t="e">
        <f>(#REF!/15)*11.5</f>
        <v>#REF!</v>
      </c>
      <c r="F28" s="136" t="e">
        <f>(#REF!/15)*11.5</f>
        <v>#REF!</v>
      </c>
      <c r="G28" s="136" t="e">
        <f>(#REF!/15)*11.5</f>
        <v>#REF!</v>
      </c>
      <c r="H28" s="136" t="e">
        <f>(#REF!/15)*11.5</f>
        <v>#REF!</v>
      </c>
      <c r="I28" s="136" t="e">
        <f>(#REF!/15)*11.5</f>
        <v>#REF!</v>
      </c>
      <c r="J28" s="136" t="e">
        <f>(#REF!/15)*11.5</f>
        <v>#REF!</v>
      </c>
      <c r="K28" s="136" t="e">
        <f>(#REF!/15)*11.5</f>
        <v>#REF!</v>
      </c>
      <c r="L28" s="136" t="e">
        <f>(#REF!/15)*11.5</f>
        <v>#REF!</v>
      </c>
      <c r="M28" s="136" t="e">
        <f>(#REF!/15)*11.5</f>
        <v>#REF!</v>
      </c>
      <c r="N28" s="136" t="e">
        <f>(#REF!/15)*11.5</f>
        <v>#REF!</v>
      </c>
      <c r="O28" s="136" t="e">
        <f>(#REF!/15)*11.5</f>
        <v>#REF!</v>
      </c>
      <c r="P28" s="136" t="e">
        <f>(#REF!/15)*11.5</f>
        <v>#REF!</v>
      </c>
      <c r="Q28" s="136" t="e">
        <f>(#REF!/15)*11.5</f>
        <v>#REF!</v>
      </c>
      <c r="R28" s="136" t="e">
        <f>(#REF!/15)*11.5</f>
        <v>#REF!</v>
      </c>
      <c r="S28" s="136" t="e">
        <f>(#REF!/15)*11.5</f>
        <v>#REF!</v>
      </c>
      <c r="T28" s="136" t="e">
        <f>(#REF!/15)*11.5</f>
        <v>#REF!</v>
      </c>
      <c r="U28" s="136" t="e">
        <f>(#REF!/15)*11.5</f>
        <v>#REF!</v>
      </c>
      <c r="V28" s="136" t="e">
        <f>(#REF!/15)*11.5</f>
        <v>#REF!</v>
      </c>
      <c r="W28" s="136" t="e">
        <f>(#REF!/15)*11.5</f>
        <v>#REF!</v>
      </c>
      <c r="X28" s="143" t="e">
        <f>(#REF!/15)*11.5</f>
        <v>#REF!</v>
      </c>
    </row>
    <row r="29" spans="1:24">
      <c r="A29" s="1318"/>
      <c r="B29" s="66" t="s">
        <v>51</v>
      </c>
      <c r="C29" s="136" t="e">
        <f>(#REF!/15)*11.5</f>
        <v>#REF!</v>
      </c>
      <c r="D29" s="136" t="e">
        <f>(#REF!/15)*11.5</f>
        <v>#REF!</v>
      </c>
      <c r="E29" s="136" t="e">
        <f>(#REF!/15)*11.5</f>
        <v>#REF!</v>
      </c>
      <c r="F29" s="136" t="e">
        <f>(#REF!/15)*11.5</f>
        <v>#REF!</v>
      </c>
      <c r="G29" s="136" t="e">
        <f>(#REF!/15)*11.5</f>
        <v>#REF!</v>
      </c>
      <c r="H29" s="136" t="e">
        <f>(#REF!/15)*11.5</f>
        <v>#REF!</v>
      </c>
      <c r="I29" s="136" t="e">
        <f>(#REF!/15)*11.5</f>
        <v>#REF!</v>
      </c>
      <c r="J29" s="136" t="e">
        <f>(#REF!/15)*11.5</f>
        <v>#REF!</v>
      </c>
      <c r="K29" s="136" t="e">
        <f>(#REF!/15)*11.5</f>
        <v>#REF!</v>
      </c>
      <c r="L29" s="136" t="e">
        <f>(#REF!/15)*11.5</f>
        <v>#REF!</v>
      </c>
      <c r="M29" s="136" t="e">
        <f>(#REF!/15)*11.5</f>
        <v>#REF!</v>
      </c>
      <c r="N29" s="136" t="e">
        <f>(#REF!/15)*11.5</f>
        <v>#REF!</v>
      </c>
      <c r="O29" s="136" t="e">
        <f>(#REF!/15)*11.5</f>
        <v>#REF!</v>
      </c>
      <c r="P29" s="136" t="e">
        <f>(#REF!/15)*11.5</f>
        <v>#REF!</v>
      </c>
      <c r="Q29" s="136" t="e">
        <f>(#REF!/15)*11.5</f>
        <v>#REF!</v>
      </c>
      <c r="R29" s="136" t="e">
        <f>(#REF!/15)*11.5</f>
        <v>#REF!</v>
      </c>
      <c r="S29" s="136" t="e">
        <f>(#REF!/15)*11.5</f>
        <v>#REF!</v>
      </c>
      <c r="T29" s="136" t="e">
        <f>(#REF!/15)*11.5</f>
        <v>#REF!</v>
      </c>
      <c r="U29" s="136" t="e">
        <f>(#REF!/15)*11.5</f>
        <v>#REF!</v>
      </c>
      <c r="V29" s="136" t="e">
        <f>(#REF!/15)*11.5</f>
        <v>#REF!</v>
      </c>
      <c r="W29" s="136" t="e">
        <f>(#REF!/15)*11.5</f>
        <v>#REF!</v>
      </c>
      <c r="X29" s="143" t="e">
        <f>(#REF!/15)*11.5</f>
        <v>#REF!</v>
      </c>
    </row>
    <row r="30" spans="1:24">
      <c r="A30" s="1318"/>
      <c r="B30" s="66" t="s">
        <v>53</v>
      </c>
      <c r="C30" s="136" t="e">
        <f>(#REF!/15)*11.5</f>
        <v>#REF!</v>
      </c>
      <c r="D30" s="136" t="e">
        <f>(#REF!/15)*11.5</f>
        <v>#REF!</v>
      </c>
      <c r="E30" s="136" t="e">
        <f>(#REF!/15)*11.5</f>
        <v>#REF!</v>
      </c>
      <c r="F30" s="136" t="e">
        <f>(#REF!/15)*11.5</f>
        <v>#REF!</v>
      </c>
      <c r="G30" s="136" t="e">
        <f>(#REF!/15)*11.5</f>
        <v>#REF!</v>
      </c>
      <c r="H30" s="136" t="e">
        <f>(#REF!/15)*11.5</f>
        <v>#REF!</v>
      </c>
      <c r="I30" s="136" t="e">
        <f>(#REF!/15)*11.5</f>
        <v>#REF!</v>
      </c>
      <c r="J30" s="136" t="e">
        <f>(#REF!/15)*11.5</f>
        <v>#REF!</v>
      </c>
      <c r="K30" s="136" t="e">
        <f>(#REF!/15)*11.5</f>
        <v>#REF!</v>
      </c>
      <c r="L30" s="136" t="e">
        <f>(#REF!/15)*11.5</f>
        <v>#REF!</v>
      </c>
      <c r="M30" s="136" t="e">
        <f>(#REF!/15)*11.5</f>
        <v>#REF!</v>
      </c>
      <c r="N30" s="136" t="e">
        <f>(#REF!/15)*11.5</f>
        <v>#REF!</v>
      </c>
      <c r="O30" s="136" t="e">
        <f>(#REF!/15)*11.5</f>
        <v>#REF!</v>
      </c>
      <c r="P30" s="136" t="e">
        <f>(#REF!/15)*11.5</f>
        <v>#REF!</v>
      </c>
      <c r="Q30" s="136" t="e">
        <f>(#REF!/15)*11.5</f>
        <v>#REF!</v>
      </c>
      <c r="R30" s="136" t="e">
        <f>(#REF!/15)*11.5</f>
        <v>#REF!</v>
      </c>
      <c r="S30" s="136" t="e">
        <f>(#REF!/15)*11.5</f>
        <v>#REF!</v>
      </c>
      <c r="T30" s="136" t="e">
        <f>(#REF!/15)*11.5</f>
        <v>#REF!</v>
      </c>
      <c r="U30" s="136" t="e">
        <f>(#REF!/15)*11.5</f>
        <v>#REF!</v>
      </c>
      <c r="V30" s="136" t="e">
        <f>(#REF!/15)*11.5</f>
        <v>#REF!</v>
      </c>
      <c r="W30" s="136" t="e">
        <f>(#REF!/15)*11.5</f>
        <v>#REF!</v>
      </c>
      <c r="X30" s="143" t="e">
        <f>(#REF!/15)*11.5</f>
        <v>#REF!</v>
      </c>
    </row>
    <row r="31" spans="1:24">
      <c r="A31" s="1318"/>
      <c r="B31" s="66" t="s">
        <v>54</v>
      </c>
      <c r="C31" s="136" t="e">
        <f>(#REF!/15)*11.5</f>
        <v>#REF!</v>
      </c>
      <c r="D31" s="136" t="e">
        <f>(#REF!/15)*11.5</f>
        <v>#REF!</v>
      </c>
      <c r="E31" s="136" t="e">
        <f>(#REF!/15)*11.5</f>
        <v>#REF!</v>
      </c>
      <c r="F31" s="136" t="e">
        <f>(#REF!/15)*11.5</f>
        <v>#REF!</v>
      </c>
      <c r="G31" s="136" t="e">
        <f>(#REF!/15)*11.5</f>
        <v>#REF!</v>
      </c>
      <c r="H31" s="136" t="e">
        <f>(#REF!/15)*11.5</f>
        <v>#REF!</v>
      </c>
      <c r="I31" s="136" t="e">
        <f>(#REF!/15)*11.5</f>
        <v>#REF!</v>
      </c>
      <c r="J31" s="136" t="e">
        <f>(#REF!/15)*11.5</f>
        <v>#REF!</v>
      </c>
      <c r="K31" s="136" t="e">
        <f>(#REF!/15)*11.5</f>
        <v>#REF!</v>
      </c>
      <c r="L31" s="136" t="e">
        <f>(#REF!/15)*11.5</f>
        <v>#REF!</v>
      </c>
      <c r="M31" s="136" t="e">
        <f>(#REF!/15)*11.5</f>
        <v>#REF!</v>
      </c>
      <c r="N31" s="136" t="e">
        <f>(#REF!/15)*11.5</f>
        <v>#REF!</v>
      </c>
      <c r="O31" s="136" t="e">
        <f>(#REF!/15)*11.5</f>
        <v>#REF!</v>
      </c>
      <c r="P31" s="136" t="e">
        <f>(#REF!/15)*11.5</f>
        <v>#REF!</v>
      </c>
      <c r="Q31" s="136" t="e">
        <f>(#REF!/15)*11.5</f>
        <v>#REF!</v>
      </c>
      <c r="R31" s="136" t="e">
        <f>(#REF!/15)*11.5</f>
        <v>#REF!</v>
      </c>
      <c r="S31" s="136" t="e">
        <f>(#REF!/15)*11.5</f>
        <v>#REF!</v>
      </c>
      <c r="T31" s="136" t="e">
        <f>(#REF!/15)*11.5</f>
        <v>#REF!</v>
      </c>
      <c r="U31" s="136" t="e">
        <f>(#REF!/15)*11.5</f>
        <v>#REF!</v>
      </c>
      <c r="V31" s="136" t="e">
        <f>(#REF!/15)*11.5</f>
        <v>#REF!</v>
      </c>
      <c r="W31" s="136" t="e">
        <f>(#REF!/15)*11.5</f>
        <v>#REF!</v>
      </c>
      <c r="X31" s="143" t="e">
        <f>(#REF!/15)*11.5</f>
        <v>#REF!</v>
      </c>
    </row>
    <row r="32" spans="1:24">
      <c r="A32" s="1318"/>
      <c r="B32" s="66" t="s">
        <v>55</v>
      </c>
      <c r="C32" s="136" t="e">
        <f>(#REF!/15)*11.5</f>
        <v>#REF!</v>
      </c>
      <c r="D32" s="136" t="e">
        <f>(#REF!/15)*11.5</f>
        <v>#REF!</v>
      </c>
      <c r="E32" s="136" t="e">
        <f>(#REF!/15)*11.5</f>
        <v>#REF!</v>
      </c>
      <c r="F32" s="136" t="e">
        <f>(#REF!/15)*11.5</f>
        <v>#REF!</v>
      </c>
      <c r="G32" s="136" t="e">
        <f>(#REF!/15)*11.5</f>
        <v>#REF!</v>
      </c>
      <c r="H32" s="136" t="e">
        <f>(#REF!/15)*11.5</f>
        <v>#REF!</v>
      </c>
      <c r="I32" s="136" t="e">
        <f>(#REF!/15)*11.5</f>
        <v>#REF!</v>
      </c>
      <c r="J32" s="136" t="e">
        <f>(#REF!/15)*11.5</f>
        <v>#REF!</v>
      </c>
      <c r="K32" s="136" t="e">
        <f>(#REF!/15)*11.5</f>
        <v>#REF!</v>
      </c>
      <c r="L32" s="136" t="e">
        <f>(#REF!/15)*11.5</f>
        <v>#REF!</v>
      </c>
      <c r="M32" s="136" t="e">
        <f>(#REF!/15)*11.5</f>
        <v>#REF!</v>
      </c>
      <c r="N32" s="136" t="e">
        <f>(#REF!/15)*11.5</f>
        <v>#REF!</v>
      </c>
      <c r="O32" s="136" t="e">
        <f>(#REF!/15)*11.5</f>
        <v>#REF!</v>
      </c>
      <c r="P32" s="136" t="e">
        <f>(#REF!/15)*11.5</f>
        <v>#REF!</v>
      </c>
      <c r="Q32" s="136" t="e">
        <f>(#REF!/15)*11.5</f>
        <v>#REF!</v>
      </c>
      <c r="R32" s="136" t="e">
        <f>(#REF!/15)*11.5</f>
        <v>#REF!</v>
      </c>
      <c r="S32" s="136" t="e">
        <f>(#REF!/15)*11.5</f>
        <v>#REF!</v>
      </c>
      <c r="T32" s="136" t="e">
        <f>(#REF!/15)*11.5</f>
        <v>#REF!</v>
      </c>
      <c r="U32" s="136" t="e">
        <f>(#REF!/15)*11.5</f>
        <v>#REF!</v>
      </c>
      <c r="V32" s="136" t="e">
        <f>(#REF!/15)*11.5</f>
        <v>#REF!</v>
      </c>
      <c r="W32" s="136" t="e">
        <f>(#REF!/15)*11.5</f>
        <v>#REF!</v>
      </c>
      <c r="X32" s="143" t="e">
        <f>(#REF!/15)*11.5</f>
        <v>#REF!</v>
      </c>
    </row>
    <row r="33" spans="1:24">
      <c r="A33" s="1318"/>
      <c r="B33" s="66" t="s">
        <v>57</v>
      </c>
      <c r="C33" s="136" t="e">
        <f>(#REF!/15)*11.5</f>
        <v>#REF!</v>
      </c>
      <c r="D33" s="136" t="e">
        <f>(#REF!/15)*11.5</f>
        <v>#REF!</v>
      </c>
      <c r="E33" s="136" t="e">
        <f>(#REF!/15)*11.5</f>
        <v>#REF!</v>
      </c>
      <c r="F33" s="136" t="e">
        <f>(#REF!/15)*11.5</f>
        <v>#REF!</v>
      </c>
      <c r="G33" s="136" t="e">
        <f>(#REF!/15)*11.5</f>
        <v>#REF!</v>
      </c>
      <c r="H33" s="136" t="e">
        <f>(#REF!/15)*11.5</f>
        <v>#REF!</v>
      </c>
      <c r="I33" s="136" t="e">
        <f>(#REF!/15)*11.5</f>
        <v>#REF!</v>
      </c>
      <c r="J33" s="136" t="e">
        <f>(#REF!/15)*11.5</f>
        <v>#REF!</v>
      </c>
      <c r="K33" s="136" t="e">
        <f>(#REF!/15)*11.5</f>
        <v>#REF!</v>
      </c>
      <c r="L33" s="136" t="e">
        <f>(#REF!/15)*11.5</f>
        <v>#REF!</v>
      </c>
      <c r="M33" s="136" t="e">
        <f>(#REF!/15)*11.5</f>
        <v>#REF!</v>
      </c>
      <c r="N33" s="136" t="e">
        <f>(#REF!/15)*11.5</f>
        <v>#REF!</v>
      </c>
      <c r="O33" s="136" t="e">
        <f>(#REF!/15)*11.5</f>
        <v>#REF!</v>
      </c>
      <c r="P33" s="136" t="e">
        <f>(#REF!/15)*11.5</f>
        <v>#REF!</v>
      </c>
      <c r="Q33" s="136" t="e">
        <f>(#REF!/15)*11.5</f>
        <v>#REF!</v>
      </c>
      <c r="R33" s="136" t="e">
        <f>(#REF!/15)*11.5</f>
        <v>#REF!</v>
      </c>
      <c r="S33" s="136" t="e">
        <f>(#REF!/15)*11.5</f>
        <v>#REF!</v>
      </c>
      <c r="T33" s="136" t="e">
        <f>(#REF!/15)*11.5</f>
        <v>#REF!</v>
      </c>
      <c r="U33" s="136" t="e">
        <f>(#REF!/15)*11.5</f>
        <v>#REF!</v>
      </c>
      <c r="V33" s="136" t="e">
        <f>(#REF!/15)*11.5</f>
        <v>#REF!</v>
      </c>
      <c r="W33" s="136" t="e">
        <f>(#REF!/15)*11.5</f>
        <v>#REF!</v>
      </c>
      <c r="X33" s="143" t="e">
        <f>(#REF!/15)*11.5</f>
        <v>#REF!</v>
      </c>
    </row>
    <row r="34" spans="1:24">
      <c r="A34" s="1318"/>
      <c r="B34" s="66" t="s">
        <v>58</v>
      </c>
      <c r="C34" s="136" t="e">
        <f>(#REF!/15)*11.5</f>
        <v>#REF!</v>
      </c>
      <c r="D34" s="136" t="e">
        <f>(#REF!/15)*11.5</f>
        <v>#REF!</v>
      </c>
      <c r="E34" s="136" t="e">
        <f>(#REF!/15)*11.5</f>
        <v>#REF!</v>
      </c>
      <c r="F34" s="136" t="e">
        <f>(#REF!/15)*11.5</f>
        <v>#REF!</v>
      </c>
      <c r="G34" s="136" t="e">
        <f>(#REF!/15)*11.5</f>
        <v>#REF!</v>
      </c>
      <c r="H34" s="136" t="e">
        <f>(#REF!/15)*11.5</f>
        <v>#REF!</v>
      </c>
      <c r="I34" s="136" t="e">
        <f>(#REF!/15)*11.5</f>
        <v>#REF!</v>
      </c>
      <c r="J34" s="136" t="e">
        <f>(#REF!/15)*11.5</f>
        <v>#REF!</v>
      </c>
      <c r="K34" s="136" t="e">
        <f>(#REF!/15)*11.5</f>
        <v>#REF!</v>
      </c>
      <c r="L34" s="136" t="e">
        <f>(#REF!/15)*11.5</f>
        <v>#REF!</v>
      </c>
      <c r="M34" s="136" t="e">
        <f>(#REF!/15)*11.5</f>
        <v>#REF!</v>
      </c>
      <c r="N34" s="136" t="e">
        <f>(#REF!/15)*11.5</f>
        <v>#REF!</v>
      </c>
      <c r="O34" s="136" t="e">
        <f>(#REF!/15)*11.5</f>
        <v>#REF!</v>
      </c>
      <c r="P34" s="136" t="e">
        <f>(#REF!/15)*11.5</f>
        <v>#REF!</v>
      </c>
      <c r="Q34" s="136" t="e">
        <f>(#REF!/15)*11.5</f>
        <v>#REF!</v>
      </c>
      <c r="R34" s="136" t="e">
        <f>(#REF!/15)*11.5</f>
        <v>#REF!</v>
      </c>
      <c r="S34" s="136" t="e">
        <f>(#REF!/15)*11.5</f>
        <v>#REF!</v>
      </c>
      <c r="T34" s="136" t="e">
        <f>(#REF!/15)*11.5</f>
        <v>#REF!</v>
      </c>
      <c r="U34" s="136" t="e">
        <f>(#REF!/15)*11.5</f>
        <v>#REF!</v>
      </c>
      <c r="V34" s="136" t="e">
        <f>(#REF!/15)*11.5</f>
        <v>#REF!</v>
      </c>
      <c r="W34" s="136" t="e">
        <f>(#REF!/15)*11.5</f>
        <v>#REF!</v>
      </c>
      <c r="X34" s="143" t="e">
        <f>(#REF!/15)*11.5</f>
        <v>#REF!</v>
      </c>
    </row>
    <row r="35" spans="1:24">
      <c r="A35" s="1318"/>
      <c r="B35" s="66" t="s">
        <v>59</v>
      </c>
      <c r="C35" s="136" t="e">
        <f>(#REF!/15)*11.5</f>
        <v>#REF!</v>
      </c>
      <c r="D35" s="136" t="e">
        <f>(#REF!/15)*11.5</f>
        <v>#REF!</v>
      </c>
      <c r="E35" s="136" t="e">
        <f>(#REF!/15)*11.5</f>
        <v>#REF!</v>
      </c>
      <c r="F35" s="136" t="e">
        <f>(#REF!/15)*11.5</f>
        <v>#REF!</v>
      </c>
      <c r="G35" s="136" t="e">
        <f>(#REF!/15)*11.5</f>
        <v>#REF!</v>
      </c>
      <c r="H35" s="136" t="e">
        <f>(#REF!/15)*11.5</f>
        <v>#REF!</v>
      </c>
      <c r="I35" s="136" t="e">
        <f>(#REF!/15)*11.5</f>
        <v>#REF!</v>
      </c>
      <c r="J35" s="136" t="e">
        <f>(#REF!/15)*11.5</f>
        <v>#REF!</v>
      </c>
      <c r="K35" s="136" t="e">
        <f>(#REF!/15)*11.5</f>
        <v>#REF!</v>
      </c>
      <c r="L35" s="136" t="e">
        <f>(#REF!/15)*11.5</f>
        <v>#REF!</v>
      </c>
      <c r="M35" s="136" t="e">
        <f>(#REF!/15)*11.5</f>
        <v>#REF!</v>
      </c>
      <c r="N35" s="136" t="e">
        <f>(#REF!/15)*11.5</f>
        <v>#REF!</v>
      </c>
      <c r="O35" s="136" t="e">
        <f>(#REF!/15)*11.5</f>
        <v>#REF!</v>
      </c>
      <c r="P35" s="136" t="e">
        <f>(#REF!/15)*11.5</f>
        <v>#REF!</v>
      </c>
      <c r="Q35" s="136" t="e">
        <f>(#REF!/15)*11.5</f>
        <v>#REF!</v>
      </c>
      <c r="R35" s="136" t="e">
        <f>(#REF!/15)*11.5</f>
        <v>#REF!</v>
      </c>
      <c r="S35" s="136" t="e">
        <f>(#REF!/15)*11.5</f>
        <v>#REF!</v>
      </c>
      <c r="T35" s="136" t="e">
        <f>(#REF!/15)*11.5</f>
        <v>#REF!</v>
      </c>
      <c r="U35" s="136" t="e">
        <f>(#REF!/15)*11.5</f>
        <v>#REF!</v>
      </c>
      <c r="V35" s="136" t="e">
        <f>(#REF!/15)*11.5</f>
        <v>#REF!</v>
      </c>
      <c r="W35" s="136" t="e">
        <f>(#REF!/15)*11.5</f>
        <v>#REF!</v>
      </c>
      <c r="X35" s="143" t="e">
        <f>(#REF!/15)*11.5</f>
        <v>#REF!</v>
      </c>
    </row>
    <row r="36" spans="1:24">
      <c r="A36" s="1318"/>
      <c r="B36" s="66" t="s">
        <v>60</v>
      </c>
      <c r="C36" s="136" t="e">
        <f>(#REF!/15)*11.5</f>
        <v>#REF!</v>
      </c>
      <c r="D36" s="136" t="e">
        <f>(#REF!/15)*11.5</f>
        <v>#REF!</v>
      </c>
      <c r="E36" s="136" t="e">
        <f>(#REF!/15)*11.5</f>
        <v>#REF!</v>
      </c>
      <c r="F36" s="136" t="e">
        <f>(#REF!/15)*11.5</f>
        <v>#REF!</v>
      </c>
      <c r="G36" s="136" t="e">
        <f>(#REF!/15)*11.5</f>
        <v>#REF!</v>
      </c>
      <c r="H36" s="136" t="e">
        <f>(#REF!/15)*11.5</f>
        <v>#REF!</v>
      </c>
      <c r="I36" s="136" t="e">
        <f>(#REF!/15)*11.5</f>
        <v>#REF!</v>
      </c>
      <c r="J36" s="136" t="e">
        <f>(#REF!/15)*11.5</f>
        <v>#REF!</v>
      </c>
      <c r="K36" s="136" t="e">
        <f>(#REF!/15)*11.5</f>
        <v>#REF!</v>
      </c>
      <c r="L36" s="136" t="e">
        <f>(#REF!/15)*11.5</f>
        <v>#REF!</v>
      </c>
      <c r="M36" s="136" t="e">
        <f>(#REF!/15)*11.5</f>
        <v>#REF!</v>
      </c>
      <c r="N36" s="136" t="e">
        <f>(#REF!/15)*11.5</f>
        <v>#REF!</v>
      </c>
      <c r="O36" s="136" t="e">
        <f>(#REF!/15)*11.5</f>
        <v>#REF!</v>
      </c>
      <c r="P36" s="136" t="e">
        <f>(#REF!/15)*11.5</f>
        <v>#REF!</v>
      </c>
      <c r="Q36" s="136" t="e">
        <f>(#REF!/15)*11.5</f>
        <v>#REF!</v>
      </c>
      <c r="R36" s="136" t="e">
        <f>(#REF!/15)*11.5</f>
        <v>#REF!</v>
      </c>
      <c r="S36" s="136" t="e">
        <f>(#REF!/15)*11.5</f>
        <v>#REF!</v>
      </c>
      <c r="T36" s="136" t="e">
        <f>(#REF!/15)*11.5</f>
        <v>#REF!</v>
      </c>
      <c r="U36" s="136" t="e">
        <f>(#REF!/15)*11.5</f>
        <v>#REF!</v>
      </c>
      <c r="V36" s="136" t="e">
        <f>(#REF!/15)*11.5</f>
        <v>#REF!</v>
      </c>
      <c r="W36" s="136" t="e">
        <f>(#REF!/15)*11.5</f>
        <v>#REF!</v>
      </c>
      <c r="X36" s="143" t="e">
        <f>(#REF!/15)*11.5</f>
        <v>#REF!</v>
      </c>
    </row>
    <row r="37" spans="1:24">
      <c r="A37" s="1318"/>
      <c r="B37" s="66" t="s">
        <v>61</v>
      </c>
      <c r="C37" s="136" t="e">
        <f>(#REF!/15)*11.5</f>
        <v>#REF!</v>
      </c>
      <c r="D37" s="136" t="e">
        <f>(#REF!/15)*11.5</f>
        <v>#REF!</v>
      </c>
      <c r="E37" s="136" t="e">
        <f>(#REF!/15)*11.5</f>
        <v>#REF!</v>
      </c>
      <c r="F37" s="136" t="e">
        <f>(#REF!/15)*11.5</f>
        <v>#REF!</v>
      </c>
      <c r="G37" s="136" t="e">
        <f>(#REF!/15)*11.5</f>
        <v>#REF!</v>
      </c>
      <c r="H37" s="136" t="e">
        <f>(#REF!/15)*11.5</f>
        <v>#REF!</v>
      </c>
      <c r="I37" s="136" t="e">
        <f>(#REF!/15)*11.5</f>
        <v>#REF!</v>
      </c>
      <c r="J37" s="136" t="e">
        <f>(#REF!/15)*11.5</f>
        <v>#REF!</v>
      </c>
      <c r="K37" s="136" t="e">
        <f>(#REF!/15)*11.5</f>
        <v>#REF!</v>
      </c>
      <c r="L37" s="136" t="e">
        <f>(#REF!/15)*11.5</f>
        <v>#REF!</v>
      </c>
      <c r="M37" s="136" t="e">
        <f>(#REF!/15)*11.5</f>
        <v>#REF!</v>
      </c>
      <c r="N37" s="136" t="e">
        <f>(#REF!/15)*11.5</f>
        <v>#REF!</v>
      </c>
      <c r="O37" s="136" t="e">
        <f>(#REF!/15)*11.5</f>
        <v>#REF!</v>
      </c>
      <c r="P37" s="136" t="e">
        <f>(#REF!/15)*11.5</f>
        <v>#REF!</v>
      </c>
      <c r="Q37" s="136" t="e">
        <f>(#REF!/15)*11.5</f>
        <v>#REF!</v>
      </c>
      <c r="R37" s="136" t="e">
        <f>(#REF!/15)*11.5</f>
        <v>#REF!</v>
      </c>
      <c r="S37" s="136" t="e">
        <f>(#REF!/15)*11.5</f>
        <v>#REF!</v>
      </c>
      <c r="T37" s="136" t="e">
        <f>(#REF!/15)*11.5</f>
        <v>#REF!</v>
      </c>
      <c r="U37" s="136" t="e">
        <f>(#REF!/15)*11.5</f>
        <v>#REF!</v>
      </c>
      <c r="V37" s="136" t="e">
        <f>(#REF!/15)*11.5</f>
        <v>#REF!</v>
      </c>
      <c r="W37" s="136" t="e">
        <f>(#REF!/15)*11.5</f>
        <v>#REF!</v>
      </c>
      <c r="X37" s="143" t="e">
        <f>(#REF!/15)*11.5</f>
        <v>#REF!</v>
      </c>
    </row>
    <row r="38" spans="1:24" ht="14.25" customHeight="1">
      <c r="A38" s="1318"/>
      <c r="B38" s="66" t="s">
        <v>62</v>
      </c>
      <c r="C38" s="136" t="e">
        <f>(#REF!/15)*11.5</f>
        <v>#REF!</v>
      </c>
      <c r="D38" s="136" t="e">
        <f>(#REF!/15)*11.5</f>
        <v>#REF!</v>
      </c>
      <c r="E38" s="136" t="e">
        <f>(#REF!/15)*11.5</f>
        <v>#REF!</v>
      </c>
      <c r="F38" s="136" t="e">
        <f>(#REF!/15)*11.5</f>
        <v>#REF!</v>
      </c>
      <c r="G38" s="136" t="e">
        <f>(#REF!/15)*11.5</f>
        <v>#REF!</v>
      </c>
      <c r="H38" s="136" t="e">
        <f>(#REF!/15)*11.5</f>
        <v>#REF!</v>
      </c>
      <c r="I38" s="136" t="e">
        <f>(#REF!/15)*11.5</f>
        <v>#REF!</v>
      </c>
      <c r="J38" s="136" t="e">
        <f>(#REF!/15)*11.5</f>
        <v>#REF!</v>
      </c>
      <c r="K38" s="136" t="e">
        <f>(#REF!/15)*11.5</f>
        <v>#REF!</v>
      </c>
      <c r="L38" s="136" t="e">
        <f>(#REF!/15)*11.5</f>
        <v>#REF!</v>
      </c>
      <c r="M38" s="136" t="e">
        <f>(#REF!/15)*11.5</f>
        <v>#REF!</v>
      </c>
      <c r="N38" s="136" t="e">
        <f>(#REF!/15)*11.5</f>
        <v>#REF!</v>
      </c>
      <c r="O38" s="136" t="e">
        <f>(#REF!/15)*11.5</f>
        <v>#REF!</v>
      </c>
      <c r="P38" s="136" t="e">
        <f>(#REF!/15)*11.5</f>
        <v>#REF!</v>
      </c>
      <c r="Q38" s="136" t="e">
        <f>(#REF!/15)*11.5</f>
        <v>#REF!</v>
      </c>
      <c r="R38" s="136" t="e">
        <f>(#REF!/15)*11.5</f>
        <v>#REF!</v>
      </c>
      <c r="S38" s="136" t="e">
        <f>(#REF!/15)*11.5</f>
        <v>#REF!</v>
      </c>
      <c r="T38" s="136" t="e">
        <f>(#REF!/15)*11.5</f>
        <v>#REF!</v>
      </c>
      <c r="U38" s="136" t="e">
        <f>(#REF!/15)*11.5</f>
        <v>#REF!</v>
      </c>
      <c r="V38" s="136" t="e">
        <f>(#REF!/15)*11.5</f>
        <v>#REF!</v>
      </c>
      <c r="W38" s="136" t="e">
        <f>(#REF!/15)*11.5</f>
        <v>#REF!</v>
      </c>
      <c r="X38" s="143" t="e">
        <f>(#REF!/15)*11.5</f>
        <v>#REF!</v>
      </c>
    </row>
    <row r="39" spans="1:24">
      <c r="A39" s="1318"/>
      <c r="B39" s="66" t="s">
        <v>63</v>
      </c>
      <c r="C39" s="136" t="e">
        <f>(#REF!/15)*11.5</f>
        <v>#REF!</v>
      </c>
      <c r="D39" s="136" t="e">
        <f>(#REF!/15)*11.5</f>
        <v>#REF!</v>
      </c>
      <c r="E39" s="136" t="e">
        <f>(#REF!/15)*11.5</f>
        <v>#REF!</v>
      </c>
      <c r="F39" s="136" t="e">
        <f>(#REF!/15)*11.5</f>
        <v>#REF!</v>
      </c>
      <c r="G39" s="136" t="e">
        <f>(#REF!/15)*11.5</f>
        <v>#REF!</v>
      </c>
      <c r="H39" s="136" t="e">
        <f>(#REF!/15)*11.5</f>
        <v>#REF!</v>
      </c>
      <c r="I39" s="136" t="e">
        <f>(#REF!/15)*11.5</f>
        <v>#REF!</v>
      </c>
      <c r="J39" s="136" t="e">
        <f>(#REF!/15)*11.5</f>
        <v>#REF!</v>
      </c>
      <c r="K39" s="136" t="e">
        <f>(#REF!/15)*11.5</f>
        <v>#REF!</v>
      </c>
      <c r="L39" s="136" t="e">
        <f>(#REF!/15)*11.5</f>
        <v>#REF!</v>
      </c>
      <c r="M39" s="136" t="e">
        <f>(#REF!/15)*11.5</f>
        <v>#REF!</v>
      </c>
      <c r="N39" s="136" t="e">
        <f>(#REF!/15)*11.5</f>
        <v>#REF!</v>
      </c>
      <c r="O39" s="136" t="e">
        <f>(#REF!/15)*11.5</f>
        <v>#REF!</v>
      </c>
      <c r="P39" s="136" t="e">
        <f>(#REF!/15)*11.5</f>
        <v>#REF!</v>
      </c>
      <c r="Q39" s="136" t="e">
        <f>(#REF!/15)*11.5</f>
        <v>#REF!</v>
      </c>
      <c r="R39" s="136" t="e">
        <f>(#REF!/15)*11.5</f>
        <v>#REF!</v>
      </c>
      <c r="S39" s="136" t="e">
        <f>(#REF!/15)*11.5</f>
        <v>#REF!</v>
      </c>
      <c r="T39" s="136" t="e">
        <f>(#REF!/15)*11.5</f>
        <v>#REF!</v>
      </c>
      <c r="U39" s="136" t="e">
        <f>(#REF!/15)*11.5</f>
        <v>#REF!</v>
      </c>
      <c r="V39" s="136" t="e">
        <f>(#REF!/15)*11.5</f>
        <v>#REF!</v>
      </c>
      <c r="W39" s="136" t="e">
        <f>(#REF!/15)*11.5</f>
        <v>#REF!</v>
      </c>
      <c r="X39" s="143" t="e">
        <f>(#REF!/15)*11.5</f>
        <v>#REF!</v>
      </c>
    </row>
    <row r="40" spans="1:24">
      <c r="A40" s="1318"/>
      <c r="B40" s="66" t="s">
        <v>64</v>
      </c>
      <c r="C40" s="136" t="e">
        <f>(#REF!/15)*11.5</f>
        <v>#REF!</v>
      </c>
      <c r="D40" s="136" t="e">
        <f>(#REF!/15)*11.5</f>
        <v>#REF!</v>
      </c>
      <c r="E40" s="136" t="e">
        <f>(#REF!/15)*11.5</f>
        <v>#REF!</v>
      </c>
      <c r="F40" s="136" t="e">
        <f>(#REF!/15)*11.5</f>
        <v>#REF!</v>
      </c>
      <c r="G40" s="136" t="e">
        <f>(#REF!/15)*11.5</f>
        <v>#REF!</v>
      </c>
      <c r="H40" s="136" t="e">
        <f>(#REF!/15)*11.5</f>
        <v>#REF!</v>
      </c>
      <c r="I40" s="136" t="e">
        <f>(#REF!/15)*11.5</f>
        <v>#REF!</v>
      </c>
      <c r="J40" s="136" t="e">
        <f>(#REF!/15)*11.5</f>
        <v>#REF!</v>
      </c>
      <c r="K40" s="136" t="e">
        <f>(#REF!/15)*11.5</f>
        <v>#REF!</v>
      </c>
      <c r="L40" s="136" t="e">
        <f>(#REF!/15)*11.5</f>
        <v>#REF!</v>
      </c>
      <c r="M40" s="136" t="e">
        <f>(#REF!/15)*11.5</f>
        <v>#REF!</v>
      </c>
      <c r="N40" s="136" t="e">
        <f>(#REF!/15)*11.5</f>
        <v>#REF!</v>
      </c>
      <c r="O40" s="136" t="e">
        <f>(#REF!/15)*11.5</f>
        <v>#REF!</v>
      </c>
      <c r="P40" s="136" t="e">
        <f>(#REF!/15)*11.5</f>
        <v>#REF!</v>
      </c>
      <c r="Q40" s="136" t="e">
        <f>(#REF!/15)*11.5</f>
        <v>#REF!</v>
      </c>
      <c r="R40" s="136" t="e">
        <f>(#REF!/15)*11.5</f>
        <v>#REF!</v>
      </c>
      <c r="S40" s="136" t="e">
        <f>(#REF!/15)*11.5</f>
        <v>#REF!</v>
      </c>
      <c r="T40" s="136" t="e">
        <f>(#REF!/15)*11.5</f>
        <v>#REF!</v>
      </c>
      <c r="U40" s="136" t="e">
        <f>(#REF!/15)*11.5</f>
        <v>#REF!</v>
      </c>
      <c r="V40" s="136" t="e">
        <f>(#REF!/15)*11.5</f>
        <v>#REF!</v>
      </c>
      <c r="W40" s="136" t="e">
        <f>(#REF!/15)*11.5</f>
        <v>#REF!</v>
      </c>
      <c r="X40" s="143" t="e">
        <f>(#REF!/15)*11.5</f>
        <v>#REF!</v>
      </c>
    </row>
    <row r="41" spans="1:24">
      <c r="A41" s="1318"/>
      <c r="B41" s="66" t="s">
        <v>65</v>
      </c>
      <c r="C41" s="136" t="e">
        <f>(#REF!/15)*11.5</f>
        <v>#REF!</v>
      </c>
      <c r="D41" s="136" t="e">
        <f>(#REF!/15)*11.5</f>
        <v>#REF!</v>
      </c>
      <c r="E41" s="136" t="e">
        <f>(#REF!/15)*11.5</f>
        <v>#REF!</v>
      </c>
      <c r="F41" s="136" t="e">
        <f>(#REF!/15)*11.5</f>
        <v>#REF!</v>
      </c>
      <c r="G41" s="136" t="e">
        <f>(#REF!/15)*11.5</f>
        <v>#REF!</v>
      </c>
      <c r="H41" s="136" t="e">
        <f>(#REF!/15)*11.5</f>
        <v>#REF!</v>
      </c>
      <c r="I41" s="136" t="e">
        <f>(#REF!/15)*11.5</f>
        <v>#REF!</v>
      </c>
      <c r="J41" s="136" t="e">
        <f>(#REF!/15)*11.5</f>
        <v>#REF!</v>
      </c>
      <c r="K41" s="136" t="e">
        <f>(#REF!/15)*11.5</f>
        <v>#REF!</v>
      </c>
      <c r="L41" s="136" t="e">
        <f>(#REF!/15)*11.5</f>
        <v>#REF!</v>
      </c>
      <c r="M41" s="136" t="e">
        <f>(#REF!/15)*11.5</f>
        <v>#REF!</v>
      </c>
      <c r="N41" s="136" t="e">
        <f>(#REF!/15)*11.5</f>
        <v>#REF!</v>
      </c>
      <c r="O41" s="136" t="e">
        <f>(#REF!/15)*11.5</f>
        <v>#REF!</v>
      </c>
      <c r="P41" s="136" t="e">
        <f>(#REF!/15)*11.5</f>
        <v>#REF!</v>
      </c>
      <c r="Q41" s="136" t="e">
        <f>(#REF!/15)*11.5</f>
        <v>#REF!</v>
      </c>
      <c r="R41" s="136" t="e">
        <f>(#REF!/15)*11.5</f>
        <v>#REF!</v>
      </c>
      <c r="S41" s="136" t="e">
        <f>(#REF!/15)*11.5</f>
        <v>#REF!</v>
      </c>
      <c r="T41" s="136" t="e">
        <f>(#REF!/15)*11.5</f>
        <v>#REF!</v>
      </c>
      <c r="U41" s="136" t="e">
        <f>(#REF!/15)*11.5</f>
        <v>#REF!</v>
      </c>
      <c r="V41" s="136" t="e">
        <f>(#REF!/15)*11.5</f>
        <v>#REF!</v>
      </c>
      <c r="W41" s="136" t="e">
        <f>(#REF!/15)*11.5</f>
        <v>#REF!</v>
      </c>
      <c r="X41" s="143" t="e">
        <f>(#REF!/15)*11.5</f>
        <v>#REF!</v>
      </c>
    </row>
    <row r="42" spans="1:24">
      <c r="A42" s="1318"/>
      <c r="B42" s="66" t="s">
        <v>66</v>
      </c>
      <c r="C42" s="136" t="e">
        <f>(#REF!/15)*11.5</f>
        <v>#REF!</v>
      </c>
      <c r="D42" s="136" t="e">
        <f>(#REF!/15)*11.5</f>
        <v>#REF!</v>
      </c>
      <c r="E42" s="136" t="e">
        <f>(#REF!/15)*11.5</f>
        <v>#REF!</v>
      </c>
      <c r="F42" s="136" t="e">
        <f>(#REF!/15)*11.5</f>
        <v>#REF!</v>
      </c>
      <c r="G42" s="136" t="e">
        <f>(#REF!/15)*11.5</f>
        <v>#REF!</v>
      </c>
      <c r="H42" s="136" t="e">
        <f>(#REF!/15)*11.5</f>
        <v>#REF!</v>
      </c>
      <c r="I42" s="136" t="e">
        <f>(#REF!/15)*11.5</f>
        <v>#REF!</v>
      </c>
      <c r="J42" s="136" t="e">
        <f>(#REF!/15)*11.5</f>
        <v>#REF!</v>
      </c>
      <c r="K42" s="136" t="e">
        <f>(#REF!/15)*11.5</f>
        <v>#REF!</v>
      </c>
      <c r="L42" s="136" t="e">
        <f>(#REF!/15)*11.5</f>
        <v>#REF!</v>
      </c>
      <c r="M42" s="136" t="e">
        <f>(#REF!/15)*11.5</f>
        <v>#REF!</v>
      </c>
      <c r="N42" s="136" t="e">
        <f>(#REF!/15)*11.5</f>
        <v>#REF!</v>
      </c>
      <c r="O42" s="136" t="e">
        <f>(#REF!/15)*11.5</f>
        <v>#REF!</v>
      </c>
      <c r="P42" s="136" t="e">
        <f>(#REF!/15)*11.5</f>
        <v>#REF!</v>
      </c>
      <c r="Q42" s="136" t="e">
        <f>(#REF!/15)*11.5</f>
        <v>#REF!</v>
      </c>
      <c r="R42" s="136" t="e">
        <f>(#REF!/15)*11.5</f>
        <v>#REF!</v>
      </c>
      <c r="S42" s="136" t="e">
        <f>(#REF!/15)*11.5</f>
        <v>#REF!</v>
      </c>
      <c r="T42" s="136" t="e">
        <f>(#REF!/15)*11.5</f>
        <v>#REF!</v>
      </c>
      <c r="U42" s="136" t="e">
        <f>(#REF!/15)*11.5</f>
        <v>#REF!</v>
      </c>
      <c r="V42" s="136" t="e">
        <f>(#REF!/15)*11.5</f>
        <v>#REF!</v>
      </c>
      <c r="W42" s="136" t="e">
        <f>(#REF!/15)*11.5</f>
        <v>#REF!</v>
      </c>
      <c r="X42" s="143" t="e">
        <f>(#REF!/15)*11.5</f>
        <v>#REF!</v>
      </c>
    </row>
    <row r="43" spans="1:24">
      <c r="A43" s="1318"/>
      <c r="B43" s="66" t="s">
        <v>67</v>
      </c>
      <c r="C43" s="136" t="e">
        <f>(#REF!/15)*11.5</f>
        <v>#REF!</v>
      </c>
      <c r="D43" s="136" t="e">
        <f>(#REF!/15)*11.5</f>
        <v>#REF!</v>
      </c>
      <c r="E43" s="136" t="e">
        <f>(#REF!/15)*11.5</f>
        <v>#REF!</v>
      </c>
      <c r="F43" s="136" t="e">
        <f>(#REF!/15)*11.5</f>
        <v>#REF!</v>
      </c>
      <c r="G43" s="136" t="e">
        <f>(#REF!/15)*11.5</f>
        <v>#REF!</v>
      </c>
      <c r="H43" s="136" t="e">
        <f>(#REF!/15)*11.5</f>
        <v>#REF!</v>
      </c>
      <c r="I43" s="136" t="e">
        <f>(#REF!/15)*11.5</f>
        <v>#REF!</v>
      </c>
      <c r="J43" s="136" t="e">
        <f>(#REF!/15)*11.5</f>
        <v>#REF!</v>
      </c>
      <c r="K43" s="136" t="e">
        <f>(#REF!/15)*11.5</f>
        <v>#REF!</v>
      </c>
      <c r="L43" s="136" t="e">
        <f>(#REF!/15)*11.5</f>
        <v>#REF!</v>
      </c>
      <c r="M43" s="136" t="e">
        <f>(#REF!/15)*11.5</f>
        <v>#REF!</v>
      </c>
      <c r="N43" s="136" t="e">
        <f>(#REF!/15)*11.5</f>
        <v>#REF!</v>
      </c>
      <c r="O43" s="136" t="e">
        <f>(#REF!/15)*11.5</f>
        <v>#REF!</v>
      </c>
      <c r="P43" s="136" t="e">
        <f>(#REF!/15)*11.5</f>
        <v>#REF!</v>
      </c>
      <c r="Q43" s="136" t="e">
        <f>(#REF!/15)*11.5</f>
        <v>#REF!</v>
      </c>
      <c r="R43" s="136" t="e">
        <f>(#REF!/15)*11.5</f>
        <v>#REF!</v>
      </c>
      <c r="S43" s="136" t="e">
        <f>(#REF!/15)*11.5</f>
        <v>#REF!</v>
      </c>
      <c r="T43" s="136" t="e">
        <f>(#REF!/15)*11.5</f>
        <v>#REF!</v>
      </c>
      <c r="U43" s="136" t="e">
        <f>(#REF!/15)*11.5</f>
        <v>#REF!</v>
      </c>
      <c r="V43" s="136" t="e">
        <f>(#REF!/15)*11.5</f>
        <v>#REF!</v>
      </c>
      <c r="W43" s="136" t="e">
        <f>(#REF!/15)*11.5</f>
        <v>#REF!</v>
      </c>
      <c r="X43" s="143" t="e">
        <f>(#REF!/15)*11.5</f>
        <v>#REF!</v>
      </c>
    </row>
    <row r="44" spans="1:24">
      <c r="A44" s="1318"/>
      <c r="B44" s="66" t="s">
        <v>68</v>
      </c>
      <c r="C44" s="136" t="e">
        <f>(#REF!/15)*11.5</f>
        <v>#REF!</v>
      </c>
      <c r="D44" s="136" t="e">
        <f>(#REF!/15)*11.5</f>
        <v>#REF!</v>
      </c>
      <c r="E44" s="136" t="e">
        <f>(#REF!/15)*11.5</f>
        <v>#REF!</v>
      </c>
      <c r="F44" s="136" t="e">
        <f>(#REF!/15)*11.5</f>
        <v>#REF!</v>
      </c>
      <c r="G44" s="136" t="e">
        <f>(#REF!/15)*11.5</f>
        <v>#REF!</v>
      </c>
      <c r="H44" s="136" t="e">
        <f>(#REF!/15)*11.5</f>
        <v>#REF!</v>
      </c>
      <c r="I44" s="136" t="e">
        <f>(#REF!/15)*11.5</f>
        <v>#REF!</v>
      </c>
      <c r="J44" s="136" t="e">
        <f>(#REF!/15)*11.5</f>
        <v>#REF!</v>
      </c>
      <c r="K44" s="136" t="e">
        <f>(#REF!/15)*11.5</f>
        <v>#REF!</v>
      </c>
      <c r="L44" s="136" t="e">
        <f>(#REF!/15)*11.5</f>
        <v>#REF!</v>
      </c>
      <c r="M44" s="136" t="e">
        <f>(#REF!/15)*11.5</f>
        <v>#REF!</v>
      </c>
      <c r="N44" s="136" t="e">
        <f>(#REF!/15)*11.5</f>
        <v>#REF!</v>
      </c>
      <c r="O44" s="136" t="e">
        <f>(#REF!/15)*11.5</f>
        <v>#REF!</v>
      </c>
      <c r="P44" s="136" t="e">
        <f>(#REF!/15)*11.5</f>
        <v>#REF!</v>
      </c>
      <c r="Q44" s="136" t="e">
        <f>(#REF!/15)*11.5</f>
        <v>#REF!</v>
      </c>
      <c r="R44" s="136" t="e">
        <f>(#REF!/15)*11.5</f>
        <v>#REF!</v>
      </c>
      <c r="S44" s="136" t="e">
        <f>(#REF!/15)*11.5</f>
        <v>#REF!</v>
      </c>
      <c r="T44" s="136" t="e">
        <f>(#REF!/15)*11.5</f>
        <v>#REF!</v>
      </c>
      <c r="U44" s="136" t="e">
        <f>(#REF!/15)*11.5</f>
        <v>#REF!</v>
      </c>
      <c r="V44" s="136" t="e">
        <f>(#REF!/15)*11.5</f>
        <v>#REF!</v>
      </c>
      <c r="W44" s="136" t="e">
        <f>(#REF!/15)*11.5</f>
        <v>#REF!</v>
      </c>
      <c r="X44" s="143" t="e">
        <f>(#REF!/15)*11.5</f>
        <v>#REF!</v>
      </c>
    </row>
    <row r="45" spans="1:24">
      <c r="A45" s="1318"/>
      <c r="B45" s="66" t="s">
        <v>69</v>
      </c>
      <c r="C45" s="136" t="e">
        <f>(#REF!/15)*11.5</f>
        <v>#REF!</v>
      </c>
      <c r="D45" s="136" t="e">
        <f>(#REF!/15)*11.5</f>
        <v>#REF!</v>
      </c>
      <c r="E45" s="136" t="e">
        <f>(#REF!/15)*11.5</f>
        <v>#REF!</v>
      </c>
      <c r="F45" s="136" t="e">
        <f>(#REF!/15)*11.5</f>
        <v>#REF!</v>
      </c>
      <c r="G45" s="136" t="e">
        <f>(#REF!/15)*11.5</f>
        <v>#REF!</v>
      </c>
      <c r="H45" s="136" t="e">
        <f>(#REF!/15)*11.5</f>
        <v>#REF!</v>
      </c>
      <c r="I45" s="136" t="e">
        <f>(#REF!/15)*11.5</f>
        <v>#REF!</v>
      </c>
      <c r="J45" s="136" t="e">
        <f>(#REF!/15)*11.5</f>
        <v>#REF!</v>
      </c>
      <c r="K45" s="136" t="e">
        <f>(#REF!/15)*11.5</f>
        <v>#REF!</v>
      </c>
      <c r="L45" s="136" t="e">
        <f>(#REF!/15)*11.5</f>
        <v>#REF!</v>
      </c>
      <c r="M45" s="136" t="e">
        <f>(#REF!/15)*11.5</f>
        <v>#REF!</v>
      </c>
      <c r="N45" s="136" t="e">
        <f>(#REF!/15)*11.5</f>
        <v>#REF!</v>
      </c>
      <c r="O45" s="136" t="e">
        <f>(#REF!/15)*11.5</f>
        <v>#REF!</v>
      </c>
      <c r="P45" s="136" t="e">
        <f>(#REF!/15)*11.5</f>
        <v>#REF!</v>
      </c>
      <c r="Q45" s="136" t="e">
        <f>(#REF!/15)*11.5</f>
        <v>#REF!</v>
      </c>
      <c r="R45" s="136" t="e">
        <f>(#REF!/15)*11.5</f>
        <v>#REF!</v>
      </c>
      <c r="S45" s="136" t="e">
        <f>(#REF!/15)*11.5</f>
        <v>#REF!</v>
      </c>
      <c r="T45" s="136" t="e">
        <f>(#REF!/15)*11.5</f>
        <v>#REF!</v>
      </c>
      <c r="U45" s="136" t="e">
        <f>(#REF!/15)*11.5</f>
        <v>#REF!</v>
      </c>
      <c r="V45" s="136" t="e">
        <f>(#REF!/15)*11.5</f>
        <v>#REF!</v>
      </c>
      <c r="W45" s="136" t="e">
        <f>(#REF!/15)*11.5</f>
        <v>#REF!</v>
      </c>
      <c r="X45" s="143" t="e">
        <f>(#REF!/15)*11.5</f>
        <v>#REF!</v>
      </c>
    </row>
    <row r="46" spans="1:24" s="35" customFormat="1">
      <c r="A46" s="1318"/>
      <c r="B46" s="66" t="s">
        <v>70</v>
      </c>
      <c r="C46" s="136" t="e">
        <f>(#REF!/15)*11.5</f>
        <v>#REF!</v>
      </c>
      <c r="D46" s="136" t="e">
        <f>(#REF!/15)*11.5</f>
        <v>#REF!</v>
      </c>
      <c r="E46" s="136" t="e">
        <f>(#REF!/15)*11.5</f>
        <v>#REF!</v>
      </c>
      <c r="F46" s="136" t="e">
        <f>(#REF!/15)*11.5</f>
        <v>#REF!</v>
      </c>
      <c r="G46" s="136" t="e">
        <f>(#REF!/15)*11.5</f>
        <v>#REF!</v>
      </c>
      <c r="H46" s="136" t="e">
        <f>(#REF!/15)*11.5</f>
        <v>#REF!</v>
      </c>
      <c r="I46" s="136" t="e">
        <f>(#REF!/15)*11.5</f>
        <v>#REF!</v>
      </c>
      <c r="J46" s="136" t="e">
        <f>(#REF!/15)*11.5</f>
        <v>#REF!</v>
      </c>
      <c r="K46" s="136" t="e">
        <f>(#REF!/15)*11.5</f>
        <v>#REF!</v>
      </c>
      <c r="L46" s="136" t="e">
        <f>(#REF!/15)*11.5</f>
        <v>#REF!</v>
      </c>
      <c r="M46" s="136" t="e">
        <f>(#REF!/15)*11.5</f>
        <v>#REF!</v>
      </c>
      <c r="N46" s="136" t="e">
        <f>(#REF!/15)*11.5</f>
        <v>#REF!</v>
      </c>
      <c r="O46" s="136" t="e">
        <f>(#REF!/15)*11.5</f>
        <v>#REF!</v>
      </c>
      <c r="P46" s="136" t="e">
        <f>(#REF!/15)*11.5</f>
        <v>#REF!</v>
      </c>
      <c r="Q46" s="136" t="e">
        <f>(#REF!/15)*11.5</f>
        <v>#REF!</v>
      </c>
      <c r="R46" s="136" t="e">
        <f>(#REF!/15)*11.5</f>
        <v>#REF!</v>
      </c>
      <c r="S46" s="136" t="e">
        <f>(#REF!/15)*11.5</f>
        <v>#REF!</v>
      </c>
      <c r="T46" s="136" t="e">
        <f>(#REF!/15)*11.5</f>
        <v>#REF!</v>
      </c>
      <c r="U46" s="136" t="e">
        <f>(#REF!/15)*11.5</f>
        <v>#REF!</v>
      </c>
      <c r="V46" s="136" t="e">
        <f>(#REF!/15)*11.5</f>
        <v>#REF!</v>
      </c>
      <c r="W46" s="136" t="e">
        <f>(#REF!/15)*11.5</f>
        <v>#REF!</v>
      </c>
      <c r="X46" s="143" t="e">
        <f>(#REF!/15)*11.5</f>
        <v>#REF!</v>
      </c>
    </row>
    <row r="47" spans="1:24" s="32" customFormat="1">
      <c r="A47" s="1318"/>
      <c r="B47" s="66" t="s">
        <v>71</v>
      </c>
      <c r="C47" s="136" t="e">
        <f>(#REF!/15)*11.5</f>
        <v>#REF!</v>
      </c>
      <c r="D47" s="136" t="e">
        <f>(#REF!/15)*11.5</f>
        <v>#REF!</v>
      </c>
      <c r="E47" s="136" t="e">
        <f>(#REF!/15)*11.5</f>
        <v>#REF!</v>
      </c>
      <c r="F47" s="136" t="e">
        <f>(#REF!/15)*11.5</f>
        <v>#REF!</v>
      </c>
      <c r="G47" s="136" t="e">
        <f>(#REF!/15)*11.5</f>
        <v>#REF!</v>
      </c>
      <c r="H47" s="136" t="e">
        <f>(#REF!/15)*11.5</f>
        <v>#REF!</v>
      </c>
      <c r="I47" s="136" t="e">
        <f>(#REF!/15)*11.5</f>
        <v>#REF!</v>
      </c>
      <c r="J47" s="136" t="e">
        <f>(#REF!/15)*11.5</f>
        <v>#REF!</v>
      </c>
      <c r="K47" s="136" t="e">
        <f>(#REF!/15)*11.5</f>
        <v>#REF!</v>
      </c>
      <c r="L47" s="136" t="e">
        <f>(#REF!/15)*11.5</f>
        <v>#REF!</v>
      </c>
      <c r="M47" s="136" t="e">
        <f>(#REF!/15)*11.5</f>
        <v>#REF!</v>
      </c>
      <c r="N47" s="136" t="e">
        <f>(#REF!/15)*11.5</f>
        <v>#REF!</v>
      </c>
      <c r="O47" s="136" t="e">
        <f>(#REF!/15)*11.5</f>
        <v>#REF!</v>
      </c>
      <c r="P47" s="136" t="e">
        <f>(#REF!/15)*11.5</f>
        <v>#REF!</v>
      </c>
      <c r="Q47" s="136" t="e">
        <f>(#REF!/15)*11.5</f>
        <v>#REF!</v>
      </c>
      <c r="R47" s="136" t="e">
        <f>(#REF!/15)*11.5</f>
        <v>#REF!</v>
      </c>
      <c r="S47" s="136" t="e">
        <f>(#REF!/15)*11.5</f>
        <v>#REF!</v>
      </c>
      <c r="T47" s="136" t="e">
        <f>(#REF!/15)*11.5</f>
        <v>#REF!</v>
      </c>
      <c r="U47" s="136" t="e">
        <f>(#REF!/15)*11.5</f>
        <v>#REF!</v>
      </c>
      <c r="V47" s="136" t="e">
        <f>(#REF!/15)*11.5</f>
        <v>#REF!</v>
      </c>
      <c r="W47" s="136" t="e">
        <f>(#REF!/15)*11.5</f>
        <v>#REF!</v>
      </c>
      <c r="X47" s="143" t="e">
        <f>(#REF!/15)*11.5</f>
        <v>#REF!</v>
      </c>
    </row>
    <row r="48" spans="1:24" s="35" customFormat="1" ht="15" customHeight="1">
      <c r="A48" s="1318"/>
      <c r="B48" s="66" t="s">
        <v>72</v>
      </c>
      <c r="C48" s="136" t="e">
        <f>(#REF!/15)*11.5</f>
        <v>#REF!</v>
      </c>
      <c r="D48" s="136" t="e">
        <f>(#REF!/15)*11.5</f>
        <v>#REF!</v>
      </c>
      <c r="E48" s="136" t="e">
        <f>(#REF!/15)*11.5</f>
        <v>#REF!</v>
      </c>
      <c r="F48" s="136" t="e">
        <f>(#REF!/15)*11.5</f>
        <v>#REF!</v>
      </c>
      <c r="G48" s="136" t="e">
        <f>(#REF!/15)*11.5</f>
        <v>#REF!</v>
      </c>
      <c r="H48" s="136" t="e">
        <f>(#REF!/15)*11.5</f>
        <v>#REF!</v>
      </c>
      <c r="I48" s="136" t="e">
        <f>(#REF!/15)*11.5</f>
        <v>#REF!</v>
      </c>
      <c r="J48" s="136" t="e">
        <f>(#REF!/15)*11.5</f>
        <v>#REF!</v>
      </c>
      <c r="K48" s="136" t="e">
        <f>(#REF!/15)*11.5</f>
        <v>#REF!</v>
      </c>
      <c r="L48" s="136" t="e">
        <f>(#REF!/15)*11.5</f>
        <v>#REF!</v>
      </c>
      <c r="M48" s="136" t="e">
        <f>(#REF!/15)*11.5</f>
        <v>#REF!</v>
      </c>
      <c r="N48" s="136" t="e">
        <f>(#REF!/15)*11.5</f>
        <v>#REF!</v>
      </c>
      <c r="O48" s="136" t="e">
        <f>(#REF!/15)*11.5</f>
        <v>#REF!</v>
      </c>
      <c r="P48" s="136" t="e">
        <f>(#REF!/15)*11.5</f>
        <v>#REF!</v>
      </c>
      <c r="Q48" s="136" t="e">
        <f>(#REF!/15)*11.5</f>
        <v>#REF!</v>
      </c>
      <c r="R48" s="136" t="e">
        <f>(#REF!/15)*11.5</f>
        <v>#REF!</v>
      </c>
      <c r="S48" s="136" t="e">
        <f>(#REF!/15)*11.5</f>
        <v>#REF!</v>
      </c>
      <c r="T48" s="136" t="e">
        <f>(#REF!/15)*11.5</f>
        <v>#REF!</v>
      </c>
      <c r="U48" s="136" t="e">
        <f>(#REF!/15)*11.5</f>
        <v>#REF!</v>
      </c>
      <c r="V48" s="136" t="e">
        <f>(#REF!/15)*11.5</f>
        <v>#REF!</v>
      </c>
      <c r="W48" s="136" t="e">
        <f>(#REF!/15)*11.5</f>
        <v>#REF!</v>
      </c>
      <c r="X48" s="143" t="e">
        <f>(#REF!/15)*11.5</f>
        <v>#REF!</v>
      </c>
    </row>
    <row r="49" spans="1:24" s="35" customFormat="1">
      <c r="A49" s="1318"/>
      <c r="B49" s="66" t="s">
        <v>74</v>
      </c>
      <c r="C49" s="136" t="e">
        <f>(#REF!/15)*11.5</f>
        <v>#REF!</v>
      </c>
      <c r="D49" s="136" t="e">
        <f>(#REF!/15)*11.5</f>
        <v>#REF!</v>
      </c>
      <c r="E49" s="136" t="e">
        <f>(#REF!/15)*11.5</f>
        <v>#REF!</v>
      </c>
      <c r="F49" s="136" t="e">
        <f>(#REF!/15)*11.5</f>
        <v>#REF!</v>
      </c>
      <c r="G49" s="136" t="e">
        <f>(#REF!/15)*11.5</f>
        <v>#REF!</v>
      </c>
      <c r="H49" s="136" t="e">
        <f>(#REF!/15)*11.5</f>
        <v>#REF!</v>
      </c>
      <c r="I49" s="136" t="e">
        <f>(#REF!/15)*11.5</f>
        <v>#REF!</v>
      </c>
      <c r="J49" s="136" t="e">
        <f>(#REF!/15)*11.5</f>
        <v>#REF!</v>
      </c>
      <c r="K49" s="136" t="e">
        <f>(#REF!/15)*11.5</f>
        <v>#REF!</v>
      </c>
      <c r="L49" s="136" t="e">
        <f>(#REF!/15)*11.5</f>
        <v>#REF!</v>
      </c>
      <c r="M49" s="136" t="e">
        <f>(#REF!/15)*11.5</f>
        <v>#REF!</v>
      </c>
      <c r="N49" s="136" t="e">
        <f>(#REF!/15)*11.5</f>
        <v>#REF!</v>
      </c>
      <c r="O49" s="136" t="e">
        <f>(#REF!/15)*11.5</f>
        <v>#REF!</v>
      </c>
      <c r="P49" s="136" t="e">
        <f>(#REF!/15)*11.5</f>
        <v>#REF!</v>
      </c>
      <c r="Q49" s="136" t="e">
        <f>(#REF!/15)*11.5</f>
        <v>#REF!</v>
      </c>
      <c r="R49" s="136" t="e">
        <f>(#REF!/15)*11.5</f>
        <v>#REF!</v>
      </c>
      <c r="S49" s="136" t="e">
        <f>(#REF!/15)*11.5</f>
        <v>#REF!</v>
      </c>
      <c r="T49" s="136" t="e">
        <f>(#REF!/15)*11.5</f>
        <v>#REF!</v>
      </c>
      <c r="U49" s="136" t="e">
        <f>(#REF!/15)*11.5</f>
        <v>#REF!</v>
      </c>
      <c r="V49" s="136" t="e">
        <f>(#REF!/15)*11.5</f>
        <v>#REF!</v>
      </c>
      <c r="W49" s="136" t="e">
        <f>(#REF!/15)*11.5</f>
        <v>#REF!</v>
      </c>
      <c r="X49" s="143" t="e">
        <f>(#REF!/15)*11.5</f>
        <v>#REF!</v>
      </c>
    </row>
    <row r="50" spans="1:24" s="35" customFormat="1">
      <c r="A50" s="1318"/>
      <c r="B50" s="66" t="s">
        <v>75</v>
      </c>
      <c r="C50" s="136" t="e">
        <f>(#REF!/15)*11.5</f>
        <v>#REF!</v>
      </c>
      <c r="D50" s="136" t="e">
        <f>(#REF!/15)*11.5</f>
        <v>#REF!</v>
      </c>
      <c r="E50" s="136" t="e">
        <f>(#REF!/15)*11.5</f>
        <v>#REF!</v>
      </c>
      <c r="F50" s="136" t="e">
        <f>(#REF!/15)*11.5</f>
        <v>#REF!</v>
      </c>
      <c r="G50" s="136" t="e">
        <f>(#REF!/15)*11.5</f>
        <v>#REF!</v>
      </c>
      <c r="H50" s="136" t="e">
        <f>(#REF!/15)*11.5</f>
        <v>#REF!</v>
      </c>
      <c r="I50" s="136" t="e">
        <f>(#REF!/15)*11.5</f>
        <v>#REF!</v>
      </c>
      <c r="J50" s="136" t="e">
        <f>(#REF!/15)*11.5</f>
        <v>#REF!</v>
      </c>
      <c r="K50" s="136" t="e">
        <f>(#REF!/15)*11.5</f>
        <v>#REF!</v>
      </c>
      <c r="L50" s="136" t="e">
        <f>(#REF!/15)*11.5</f>
        <v>#REF!</v>
      </c>
      <c r="M50" s="136" t="e">
        <f>(#REF!/15)*11.5</f>
        <v>#REF!</v>
      </c>
      <c r="N50" s="136" t="e">
        <f>(#REF!/15)*11.5</f>
        <v>#REF!</v>
      </c>
      <c r="O50" s="136" t="e">
        <f>(#REF!/15)*11.5</f>
        <v>#REF!</v>
      </c>
      <c r="P50" s="136" t="e">
        <f>(#REF!/15)*11.5</f>
        <v>#REF!</v>
      </c>
      <c r="Q50" s="136" t="e">
        <f>(#REF!/15)*11.5</f>
        <v>#REF!</v>
      </c>
      <c r="R50" s="136" t="e">
        <f>(#REF!/15)*11.5</f>
        <v>#REF!</v>
      </c>
      <c r="S50" s="136" t="e">
        <f>(#REF!/15)*11.5</f>
        <v>#REF!</v>
      </c>
      <c r="T50" s="136" t="e">
        <f>(#REF!/15)*11.5</f>
        <v>#REF!</v>
      </c>
      <c r="U50" s="136" t="e">
        <f>(#REF!/15)*11.5</f>
        <v>#REF!</v>
      </c>
      <c r="V50" s="136" t="e">
        <f>(#REF!/15)*11.5</f>
        <v>#REF!</v>
      </c>
      <c r="W50" s="136" t="e">
        <f>(#REF!/15)*11.5</f>
        <v>#REF!</v>
      </c>
      <c r="X50" s="143" t="e">
        <f>(#REF!/15)*11.5</f>
        <v>#REF!</v>
      </c>
    </row>
    <row r="51" spans="1:24" s="35" customFormat="1">
      <c r="A51" s="1318"/>
      <c r="B51" s="66" t="s">
        <v>76</v>
      </c>
      <c r="C51" s="136" t="e">
        <f>(#REF!/15)*11.5</f>
        <v>#REF!</v>
      </c>
      <c r="D51" s="136" t="e">
        <f>(#REF!/15)*11.5</f>
        <v>#REF!</v>
      </c>
      <c r="E51" s="136" t="e">
        <f>(#REF!/15)*11.5</f>
        <v>#REF!</v>
      </c>
      <c r="F51" s="136" t="e">
        <f>(#REF!/15)*11.5</f>
        <v>#REF!</v>
      </c>
      <c r="G51" s="136" t="e">
        <f>(#REF!/15)*11.5</f>
        <v>#REF!</v>
      </c>
      <c r="H51" s="136" t="e">
        <f>(#REF!/15)*11.5</f>
        <v>#REF!</v>
      </c>
      <c r="I51" s="136" t="e">
        <f>(#REF!/15)*11.5</f>
        <v>#REF!</v>
      </c>
      <c r="J51" s="136" t="e">
        <f>(#REF!/15)*11.5</f>
        <v>#REF!</v>
      </c>
      <c r="K51" s="136" t="e">
        <f>(#REF!/15)*11.5</f>
        <v>#REF!</v>
      </c>
      <c r="L51" s="136" t="e">
        <f>(#REF!/15)*11.5</f>
        <v>#REF!</v>
      </c>
      <c r="M51" s="136" t="e">
        <f>(#REF!/15)*11.5</f>
        <v>#REF!</v>
      </c>
      <c r="N51" s="136" t="e">
        <f>(#REF!/15)*11.5</f>
        <v>#REF!</v>
      </c>
      <c r="O51" s="136" t="e">
        <f>(#REF!/15)*11.5</f>
        <v>#REF!</v>
      </c>
      <c r="P51" s="136" t="e">
        <f>(#REF!/15)*11.5</f>
        <v>#REF!</v>
      </c>
      <c r="Q51" s="136" t="e">
        <f>(#REF!/15)*11.5</f>
        <v>#REF!</v>
      </c>
      <c r="R51" s="136" t="e">
        <f>(#REF!/15)*11.5</f>
        <v>#REF!</v>
      </c>
      <c r="S51" s="136" t="e">
        <f>(#REF!/15)*11.5</f>
        <v>#REF!</v>
      </c>
      <c r="T51" s="136" t="e">
        <f>(#REF!/15)*11.5</f>
        <v>#REF!</v>
      </c>
      <c r="U51" s="136" t="e">
        <f>(#REF!/15)*11.5</f>
        <v>#REF!</v>
      </c>
      <c r="V51" s="136" t="e">
        <f>(#REF!/15)*11.5</f>
        <v>#REF!</v>
      </c>
      <c r="W51" s="136" t="e">
        <f>(#REF!/15)*11.5</f>
        <v>#REF!</v>
      </c>
      <c r="X51" s="143" t="e">
        <f>(#REF!/15)*11.5</f>
        <v>#REF!</v>
      </c>
    </row>
    <row r="52" spans="1:24" ht="15" customHeight="1">
      <c r="A52" s="1318"/>
      <c r="B52" s="66" t="s">
        <v>77</v>
      </c>
      <c r="C52" s="136" t="e">
        <f>(#REF!/15)*11.5</f>
        <v>#REF!</v>
      </c>
      <c r="D52" s="136" t="e">
        <f>(#REF!/15)*11.5</f>
        <v>#REF!</v>
      </c>
      <c r="E52" s="136" t="e">
        <f>(#REF!/15)*11.5</f>
        <v>#REF!</v>
      </c>
      <c r="F52" s="136" t="e">
        <f>(#REF!/15)*11.5</f>
        <v>#REF!</v>
      </c>
      <c r="G52" s="136" t="e">
        <f>(#REF!/15)*11.5</f>
        <v>#REF!</v>
      </c>
      <c r="H52" s="136" t="e">
        <f>(#REF!/15)*11.5</f>
        <v>#REF!</v>
      </c>
      <c r="I52" s="136" t="e">
        <f>(#REF!/15)*11.5</f>
        <v>#REF!</v>
      </c>
      <c r="J52" s="136" t="e">
        <f>(#REF!/15)*11.5</f>
        <v>#REF!</v>
      </c>
      <c r="K52" s="136" t="e">
        <f>(#REF!/15)*11.5</f>
        <v>#REF!</v>
      </c>
      <c r="L52" s="136" t="e">
        <f>(#REF!/15)*11.5</f>
        <v>#REF!</v>
      </c>
      <c r="M52" s="136" t="e">
        <f>(#REF!/15)*11.5</f>
        <v>#REF!</v>
      </c>
      <c r="N52" s="136" t="e">
        <f>(#REF!/15)*11.5</f>
        <v>#REF!</v>
      </c>
      <c r="O52" s="136" t="e">
        <f>(#REF!/15)*11.5</f>
        <v>#REF!</v>
      </c>
      <c r="P52" s="136" t="e">
        <f>(#REF!/15)*11.5</f>
        <v>#REF!</v>
      </c>
      <c r="Q52" s="136" t="e">
        <f>(#REF!/15)*11.5</f>
        <v>#REF!</v>
      </c>
      <c r="R52" s="136" t="e">
        <f>(#REF!/15)*11.5</f>
        <v>#REF!</v>
      </c>
      <c r="S52" s="136" t="e">
        <f>(#REF!/15)*11.5</f>
        <v>#REF!</v>
      </c>
      <c r="T52" s="136" t="e">
        <f>(#REF!/15)*11.5</f>
        <v>#REF!</v>
      </c>
      <c r="U52" s="136" t="e">
        <f>(#REF!/15)*11.5</f>
        <v>#REF!</v>
      </c>
      <c r="V52" s="136" t="e">
        <f>(#REF!/15)*11.5</f>
        <v>#REF!</v>
      </c>
      <c r="W52" s="136" t="e">
        <f>(#REF!/15)*11.5</f>
        <v>#REF!</v>
      </c>
      <c r="X52" s="143" t="e">
        <f>(#REF!/15)*11.5</f>
        <v>#REF!</v>
      </c>
    </row>
    <row r="53" spans="1:24" ht="15" thickBot="1">
      <c r="A53" s="1319"/>
      <c r="B53" s="67" t="s">
        <v>78</v>
      </c>
      <c r="C53" s="149" t="e">
        <f>(#REF!/15)*11.5</f>
        <v>#REF!</v>
      </c>
      <c r="D53" s="149" t="e">
        <f>(#REF!/15)*11.5</f>
        <v>#REF!</v>
      </c>
      <c r="E53" s="149" t="e">
        <f>(#REF!/15)*11.5</f>
        <v>#REF!</v>
      </c>
      <c r="F53" s="149" t="e">
        <f>(#REF!/15)*11.5</f>
        <v>#REF!</v>
      </c>
      <c r="G53" s="149" t="e">
        <f>(#REF!/15)*11.5</f>
        <v>#REF!</v>
      </c>
      <c r="H53" s="149" t="e">
        <f>(#REF!/15)*11.5</f>
        <v>#REF!</v>
      </c>
      <c r="I53" s="149" t="e">
        <f>(#REF!/15)*11.5</f>
        <v>#REF!</v>
      </c>
      <c r="J53" s="149" t="e">
        <f>(#REF!/15)*11.5</f>
        <v>#REF!</v>
      </c>
      <c r="K53" s="149" t="e">
        <f>(#REF!/15)*11.5</f>
        <v>#REF!</v>
      </c>
      <c r="L53" s="149" t="e">
        <f>(#REF!/15)*11.5</f>
        <v>#REF!</v>
      </c>
      <c r="M53" s="149" t="e">
        <f>(#REF!/15)*11.5</f>
        <v>#REF!</v>
      </c>
      <c r="N53" s="149" t="e">
        <f>(#REF!/15)*11.5</f>
        <v>#REF!</v>
      </c>
      <c r="O53" s="149" t="e">
        <f>(#REF!/15)*11.5</f>
        <v>#REF!</v>
      </c>
      <c r="P53" s="149" t="e">
        <f>(#REF!/15)*11.5</f>
        <v>#REF!</v>
      </c>
      <c r="Q53" s="149" t="e">
        <f>(#REF!/15)*11.5</f>
        <v>#REF!</v>
      </c>
      <c r="R53" s="149" t="e">
        <f>(#REF!/15)*11.5</f>
        <v>#REF!</v>
      </c>
      <c r="S53" s="149" t="e">
        <f>(#REF!/15)*11.5</f>
        <v>#REF!</v>
      </c>
      <c r="T53" s="149" t="e">
        <f>(#REF!/15)*11.5</f>
        <v>#REF!</v>
      </c>
      <c r="U53" s="149" t="e">
        <f>(#REF!/15)*11.5</f>
        <v>#REF!</v>
      </c>
      <c r="V53" s="149" t="e">
        <f>(#REF!/15)*11.5</f>
        <v>#REF!</v>
      </c>
      <c r="W53" s="149" t="e">
        <f>(#REF!/15)*11.5</f>
        <v>#REF!</v>
      </c>
      <c r="X53" s="151" t="e">
        <f>(#REF!/15)*11.5</f>
        <v>#REF!</v>
      </c>
    </row>
    <row r="54" spans="1:24" ht="14.25" customHeight="1">
      <c r="A54" s="1317" t="s">
        <v>79</v>
      </c>
      <c r="B54" s="65" t="s">
        <v>80</v>
      </c>
      <c r="C54" s="133" t="e">
        <f>(#REF!/15)*11.5</f>
        <v>#REF!</v>
      </c>
      <c r="D54" s="133" t="e">
        <f>(#REF!/15)*11.5</f>
        <v>#REF!</v>
      </c>
      <c r="E54" s="133" t="e">
        <f>(#REF!/15)*11.5</f>
        <v>#REF!</v>
      </c>
      <c r="F54" s="133" t="e">
        <f>(#REF!/15)*11.5</f>
        <v>#REF!</v>
      </c>
      <c r="G54" s="133" t="e">
        <f>(#REF!/15)*11.5</f>
        <v>#REF!</v>
      </c>
      <c r="H54" s="133" t="e">
        <f>(#REF!/15)*11.5</f>
        <v>#REF!</v>
      </c>
      <c r="I54" s="133" t="e">
        <f>(#REF!/15)*11.5</f>
        <v>#REF!</v>
      </c>
      <c r="J54" s="133" t="e">
        <f>(#REF!/15)*11.5</f>
        <v>#REF!</v>
      </c>
      <c r="K54" s="133" t="e">
        <f>(#REF!/15)*11.5</f>
        <v>#REF!</v>
      </c>
      <c r="L54" s="133" t="e">
        <f>(#REF!/15)*11.5</f>
        <v>#REF!</v>
      </c>
      <c r="M54" s="133" t="e">
        <f>(#REF!/15)*11.5</f>
        <v>#REF!</v>
      </c>
      <c r="N54" s="133" t="e">
        <f>(#REF!/15)*11.5</f>
        <v>#REF!</v>
      </c>
      <c r="O54" s="133" t="e">
        <f>(#REF!/15)*11.5</f>
        <v>#REF!</v>
      </c>
      <c r="P54" s="133" t="e">
        <f>(#REF!/15)*11.5</f>
        <v>#REF!</v>
      </c>
      <c r="Q54" s="133" t="e">
        <f>(#REF!/15)*11.5</f>
        <v>#REF!</v>
      </c>
      <c r="R54" s="133" t="e">
        <f>(#REF!/15)*11.5</f>
        <v>#REF!</v>
      </c>
      <c r="S54" s="133" t="e">
        <f>(#REF!/15)*11.5</f>
        <v>#REF!</v>
      </c>
      <c r="T54" s="133" t="e">
        <f>(#REF!/15)*11.5</f>
        <v>#REF!</v>
      </c>
      <c r="U54" s="133" t="e">
        <f>(#REF!/15)*11.5</f>
        <v>#REF!</v>
      </c>
      <c r="V54" s="133" t="e">
        <f>(#REF!/15)*11.5</f>
        <v>#REF!</v>
      </c>
      <c r="W54" s="133" t="e">
        <f>(#REF!/15)*11.5</f>
        <v>#REF!</v>
      </c>
      <c r="X54" s="150" t="e">
        <f>(#REF!/15)*11.5</f>
        <v>#REF!</v>
      </c>
    </row>
    <row r="55" spans="1:24">
      <c r="A55" s="1318"/>
      <c r="B55" s="66" t="s">
        <v>81</v>
      </c>
      <c r="C55" s="136" t="e">
        <f>(#REF!/15)*11.5</f>
        <v>#REF!</v>
      </c>
      <c r="D55" s="136" t="e">
        <f>(#REF!/15)*11.5</f>
        <v>#REF!</v>
      </c>
      <c r="E55" s="136" t="e">
        <f>(#REF!/15)*11.5</f>
        <v>#REF!</v>
      </c>
      <c r="F55" s="136" t="e">
        <f>(#REF!/15)*11.5</f>
        <v>#REF!</v>
      </c>
      <c r="G55" s="136" t="e">
        <f>(#REF!/15)*11.5</f>
        <v>#REF!</v>
      </c>
      <c r="H55" s="136" t="e">
        <f>(#REF!/15)*11.5</f>
        <v>#REF!</v>
      </c>
      <c r="I55" s="136" t="e">
        <f>(#REF!/15)*11.5</f>
        <v>#REF!</v>
      </c>
      <c r="J55" s="136" t="e">
        <f>(#REF!/15)*11.5</f>
        <v>#REF!</v>
      </c>
      <c r="K55" s="136" t="e">
        <f>(#REF!/15)*11.5</f>
        <v>#REF!</v>
      </c>
      <c r="L55" s="136" t="e">
        <f>(#REF!/15)*11.5</f>
        <v>#REF!</v>
      </c>
      <c r="M55" s="136" t="e">
        <f>(#REF!/15)*11.5</f>
        <v>#REF!</v>
      </c>
      <c r="N55" s="136" t="e">
        <f>(#REF!/15)*11.5</f>
        <v>#REF!</v>
      </c>
      <c r="O55" s="136" t="e">
        <f>(#REF!/15)*11.5</f>
        <v>#REF!</v>
      </c>
      <c r="P55" s="136" t="e">
        <f>(#REF!/15)*11.5</f>
        <v>#REF!</v>
      </c>
      <c r="Q55" s="136" t="e">
        <f>(#REF!/15)*11.5</f>
        <v>#REF!</v>
      </c>
      <c r="R55" s="136" t="e">
        <f>(#REF!/15)*11.5</f>
        <v>#REF!</v>
      </c>
      <c r="S55" s="136" t="e">
        <f>(#REF!/15)*11.5</f>
        <v>#REF!</v>
      </c>
      <c r="T55" s="136" t="e">
        <f>(#REF!/15)*11.5</f>
        <v>#REF!</v>
      </c>
      <c r="U55" s="136" t="e">
        <f>(#REF!/15)*11.5</f>
        <v>#REF!</v>
      </c>
      <c r="V55" s="136" t="e">
        <f>(#REF!/15)*11.5</f>
        <v>#REF!</v>
      </c>
      <c r="W55" s="136" t="e">
        <f>(#REF!/15)*11.5</f>
        <v>#REF!</v>
      </c>
      <c r="X55" s="143" t="e">
        <f>(#REF!/15)*11.5</f>
        <v>#REF!</v>
      </c>
    </row>
    <row r="56" spans="1:24">
      <c r="A56" s="1318"/>
      <c r="B56" s="66" t="s">
        <v>82</v>
      </c>
      <c r="C56" s="136" t="e">
        <f>(#REF!/15)*11.5</f>
        <v>#REF!</v>
      </c>
      <c r="D56" s="136" t="e">
        <f>(#REF!/15)*11.5</f>
        <v>#REF!</v>
      </c>
      <c r="E56" s="136" t="e">
        <f>(#REF!/15)*11.5</f>
        <v>#REF!</v>
      </c>
      <c r="F56" s="136" t="e">
        <f>(#REF!/15)*11.5</f>
        <v>#REF!</v>
      </c>
      <c r="G56" s="136" t="e">
        <f>(#REF!/15)*11.5</f>
        <v>#REF!</v>
      </c>
      <c r="H56" s="136" t="e">
        <f>(#REF!/15)*11.5</f>
        <v>#REF!</v>
      </c>
      <c r="I56" s="136" t="e">
        <f>(#REF!/15)*11.5</f>
        <v>#REF!</v>
      </c>
      <c r="J56" s="136" t="e">
        <f>(#REF!/15)*11.5</f>
        <v>#REF!</v>
      </c>
      <c r="K56" s="136" t="e">
        <f>(#REF!/15)*11.5</f>
        <v>#REF!</v>
      </c>
      <c r="L56" s="136" t="e">
        <f>(#REF!/15)*11.5</f>
        <v>#REF!</v>
      </c>
      <c r="M56" s="136" t="e">
        <f>(#REF!/15)*11.5</f>
        <v>#REF!</v>
      </c>
      <c r="N56" s="136" t="e">
        <f>(#REF!/15)*11.5</f>
        <v>#REF!</v>
      </c>
      <c r="O56" s="136" t="e">
        <f>(#REF!/15)*11.5</f>
        <v>#REF!</v>
      </c>
      <c r="P56" s="136" t="e">
        <f>(#REF!/15)*11.5</f>
        <v>#REF!</v>
      </c>
      <c r="Q56" s="136" t="e">
        <f>(#REF!/15)*11.5</f>
        <v>#REF!</v>
      </c>
      <c r="R56" s="136" t="e">
        <f>(#REF!/15)*11.5</f>
        <v>#REF!</v>
      </c>
      <c r="S56" s="136" t="e">
        <f>(#REF!/15)*11.5</f>
        <v>#REF!</v>
      </c>
      <c r="T56" s="136" t="e">
        <f>(#REF!/15)*11.5</f>
        <v>#REF!</v>
      </c>
      <c r="U56" s="136" t="e">
        <f>(#REF!/15)*11.5</f>
        <v>#REF!</v>
      </c>
      <c r="V56" s="136" t="e">
        <f>(#REF!/15)*11.5</f>
        <v>#REF!</v>
      </c>
      <c r="W56" s="136" t="e">
        <f>(#REF!/15)*11.5</f>
        <v>#REF!</v>
      </c>
      <c r="X56" s="143" t="e">
        <f>(#REF!/15)*11.5</f>
        <v>#REF!</v>
      </c>
    </row>
    <row r="57" spans="1:24">
      <c r="A57" s="1318"/>
      <c r="B57" s="66" t="s">
        <v>83</v>
      </c>
      <c r="C57" s="136" t="e">
        <f>(#REF!/15)*11.5</f>
        <v>#REF!</v>
      </c>
      <c r="D57" s="136" t="e">
        <f>(#REF!/15)*11.5</f>
        <v>#REF!</v>
      </c>
      <c r="E57" s="136" t="e">
        <f>(#REF!/15)*11.5</f>
        <v>#REF!</v>
      </c>
      <c r="F57" s="136" t="e">
        <f>(#REF!/15)*11.5</f>
        <v>#REF!</v>
      </c>
      <c r="G57" s="136" t="e">
        <f>(#REF!/15)*11.5</f>
        <v>#REF!</v>
      </c>
      <c r="H57" s="136" t="e">
        <f>(#REF!/15)*11.5</f>
        <v>#REF!</v>
      </c>
      <c r="I57" s="136" t="e">
        <f>(#REF!/15)*11.5</f>
        <v>#REF!</v>
      </c>
      <c r="J57" s="136" t="e">
        <f>(#REF!/15)*11.5</f>
        <v>#REF!</v>
      </c>
      <c r="K57" s="136" t="e">
        <f>(#REF!/15)*11.5</f>
        <v>#REF!</v>
      </c>
      <c r="L57" s="136" t="e">
        <f>(#REF!/15)*11.5</f>
        <v>#REF!</v>
      </c>
      <c r="M57" s="136" t="e">
        <f>(#REF!/15)*11.5</f>
        <v>#REF!</v>
      </c>
      <c r="N57" s="136" t="e">
        <f>(#REF!/15)*11.5</f>
        <v>#REF!</v>
      </c>
      <c r="O57" s="136" t="e">
        <f>(#REF!/15)*11.5</f>
        <v>#REF!</v>
      </c>
      <c r="P57" s="136" t="e">
        <f>(#REF!/15)*11.5</f>
        <v>#REF!</v>
      </c>
      <c r="Q57" s="136" t="e">
        <f>(#REF!/15)*11.5</f>
        <v>#REF!</v>
      </c>
      <c r="R57" s="136" t="e">
        <f>(#REF!/15)*11.5</f>
        <v>#REF!</v>
      </c>
      <c r="S57" s="136" t="e">
        <f>(#REF!/15)*11.5</f>
        <v>#REF!</v>
      </c>
      <c r="T57" s="136" t="e">
        <f>(#REF!/15)*11.5</f>
        <v>#REF!</v>
      </c>
      <c r="U57" s="136" t="e">
        <f>(#REF!/15)*11.5</f>
        <v>#REF!</v>
      </c>
      <c r="V57" s="136" t="e">
        <f>(#REF!/15)*11.5</f>
        <v>#REF!</v>
      </c>
      <c r="W57" s="136" t="e">
        <f>(#REF!/15)*11.5</f>
        <v>#REF!</v>
      </c>
      <c r="X57" s="143" t="e">
        <f>(#REF!/15)*11.5</f>
        <v>#REF!</v>
      </c>
    </row>
    <row r="58" spans="1:24">
      <c r="A58" s="1318"/>
      <c r="B58" s="66" t="s">
        <v>84</v>
      </c>
      <c r="C58" s="136" t="e">
        <f>(#REF!/15)*11.5</f>
        <v>#REF!</v>
      </c>
      <c r="D58" s="136" t="e">
        <f>(#REF!/15)*11.5</f>
        <v>#REF!</v>
      </c>
      <c r="E58" s="136" t="e">
        <f>(#REF!/15)*11.5</f>
        <v>#REF!</v>
      </c>
      <c r="F58" s="136" t="e">
        <f>(#REF!/15)*11.5</f>
        <v>#REF!</v>
      </c>
      <c r="G58" s="136" t="e">
        <f>(#REF!/15)*11.5</f>
        <v>#REF!</v>
      </c>
      <c r="H58" s="136" t="e">
        <f>(#REF!/15)*11.5</f>
        <v>#REF!</v>
      </c>
      <c r="I58" s="136" t="e">
        <f>(#REF!/15)*11.5</f>
        <v>#REF!</v>
      </c>
      <c r="J58" s="136" t="e">
        <f>(#REF!/15)*11.5</f>
        <v>#REF!</v>
      </c>
      <c r="K58" s="136" t="e">
        <f>(#REF!/15)*11.5</f>
        <v>#REF!</v>
      </c>
      <c r="L58" s="136" t="e">
        <f>(#REF!/15)*11.5</f>
        <v>#REF!</v>
      </c>
      <c r="M58" s="136" t="e">
        <f>(#REF!/15)*11.5</f>
        <v>#REF!</v>
      </c>
      <c r="N58" s="136" t="e">
        <f>(#REF!/15)*11.5</f>
        <v>#REF!</v>
      </c>
      <c r="O58" s="136" t="e">
        <f>(#REF!/15)*11.5</f>
        <v>#REF!</v>
      </c>
      <c r="P58" s="136" t="e">
        <f>(#REF!/15)*11.5</f>
        <v>#REF!</v>
      </c>
      <c r="Q58" s="136" t="e">
        <f>(#REF!/15)*11.5</f>
        <v>#REF!</v>
      </c>
      <c r="R58" s="136" t="e">
        <f>(#REF!/15)*11.5</f>
        <v>#REF!</v>
      </c>
      <c r="S58" s="136" t="e">
        <f>(#REF!/15)*11.5</f>
        <v>#REF!</v>
      </c>
      <c r="T58" s="136" t="e">
        <f>(#REF!/15)*11.5</f>
        <v>#REF!</v>
      </c>
      <c r="U58" s="136" t="e">
        <f>(#REF!/15)*11.5</f>
        <v>#REF!</v>
      </c>
      <c r="V58" s="136" t="e">
        <f>(#REF!/15)*11.5</f>
        <v>#REF!</v>
      </c>
      <c r="W58" s="136" t="e">
        <f>(#REF!/15)*11.5</f>
        <v>#REF!</v>
      </c>
      <c r="X58" s="143" t="e">
        <f>(#REF!/15)*11.5</f>
        <v>#REF!</v>
      </c>
    </row>
    <row r="59" spans="1:24">
      <c r="A59" s="1318"/>
      <c r="B59" s="66" t="s">
        <v>85</v>
      </c>
      <c r="C59" s="136" t="e">
        <f>(#REF!/15)*11.5</f>
        <v>#REF!</v>
      </c>
      <c r="D59" s="136" t="e">
        <f>(#REF!/15)*11.5</f>
        <v>#REF!</v>
      </c>
      <c r="E59" s="136" t="e">
        <f>(#REF!/15)*11.5</f>
        <v>#REF!</v>
      </c>
      <c r="F59" s="136" t="e">
        <f>(#REF!/15)*11.5</f>
        <v>#REF!</v>
      </c>
      <c r="G59" s="136" t="e">
        <f>(#REF!/15)*11.5</f>
        <v>#REF!</v>
      </c>
      <c r="H59" s="136" t="e">
        <f>(#REF!/15)*11.5</f>
        <v>#REF!</v>
      </c>
      <c r="I59" s="136" t="e">
        <f>(#REF!/15)*11.5</f>
        <v>#REF!</v>
      </c>
      <c r="J59" s="136" t="e">
        <f>(#REF!/15)*11.5</f>
        <v>#REF!</v>
      </c>
      <c r="K59" s="136" t="e">
        <f>(#REF!/15)*11.5</f>
        <v>#REF!</v>
      </c>
      <c r="L59" s="136" t="e">
        <f>(#REF!/15)*11.5</f>
        <v>#REF!</v>
      </c>
      <c r="M59" s="136" t="e">
        <f>(#REF!/15)*11.5</f>
        <v>#REF!</v>
      </c>
      <c r="N59" s="136" t="e">
        <f>(#REF!/15)*11.5</f>
        <v>#REF!</v>
      </c>
      <c r="O59" s="136" t="e">
        <f>(#REF!/15)*11.5</f>
        <v>#REF!</v>
      </c>
      <c r="P59" s="136" t="e">
        <f>(#REF!/15)*11.5</f>
        <v>#REF!</v>
      </c>
      <c r="Q59" s="136" t="e">
        <f>(#REF!/15)*11.5</f>
        <v>#REF!</v>
      </c>
      <c r="R59" s="136" t="e">
        <f>(#REF!/15)*11.5</f>
        <v>#REF!</v>
      </c>
      <c r="S59" s="136" t="e">
        <f>(#REF!/15)*11.5</f>
        <v>#REF!</v>
      </c>
      <c r="T59" s="136" t="e">
        <f>(#REF!/15)*11.5</f>
        <v>#REF!</v>
      </c>
      <c r="U59" s="136" t="e">
        <f>(#REF!/15)*11.5</f>
        <v>#REF!</v>
      </c>
      <c r="V59" s="136" t="e">
        <f>(#REF!/15)*11.5</f>
        <v>#REF!</v>
      </c>
      <c r="W59" s="136" t="e">
        <f>(#REF!/15)*11.5</f>
        <v>#REF!</v>
      </c>
      <c r="X59" s="143" t="e">
        <f>(#REF!/15)*11.5</f>
        <v>#REF!</v>
      </c>
    </row>
    <row r="60" spans="1:24">
      <c r="A60" s="1318"/>
      <c r="B60" s="66" t="s">
        <v>88</v>
      </c>
      <c r="C60" s="136" t="e">
        <f>(#REF!/15)*11.5</f>
        <v>#REF!</v>
      </c>
      <c r="D60" s="136" t="e">
        <f>(#REF!/15)*11.5</f>
        <v>#REF!</v>
      </c>
      <c r="E60" s="136" t="e">
        <f>(#REF!/15)*11.5</f>
        <v>#REF!</v>
      </c>
      <c r="F60" s="136" t="e">
        <f>(#REF!/15)*11.5</f>
        <v>#REF!</v>
      </c>
      <c r="G60" s="136" t="e">
        <f>(#REF!/15)*11.5</f>
        <v>#REF!</v>
      </c>
      <c r="H60" s="136" t="e">
        <f>(#REF!/15)*11.5</f>
        <v>#REF!</v>
      </c>
      <c r="I60" s="136" t="e">
        <f>(#REF!/15)*11.5</f>
        <v>#REF!</v>
      </c>
      <c r="J60" s="136" t="e">
        <f>(#REF!/15)*11.5</f>
        <v>#REF!</v>
      </c>
      <c r="K60" s="136" t="e">
        <f>(#REF!/15)*11.5</f>
        <v>#REF!</v>
      </c>
      <c r="L60" s="136" t="e">
        <f>(#REF!/15)*11.5</f>
        <v>#REF!</v>
      </c>
      <c r="M60" s="136" t="e">
        <f>(#REF!/15)*11.5</f>
        <v>#REF!</v>
      </c>
      <c r="N60" s="136" t="e">
        <f>(#REF!/15)*11.5</f>
        <v>#REF!</v>
      </c>
      <c r="O60" s="136" t="e">
        <f>(#REF!/15)*11.5</f>
        <v>#REF!</v>
      </c>
      <c r="P60" s="136" t="e">
        <f>(#REF!/15)*11.5</f>
        <v>#REF!</v>
      </c>
      <c r="Q60" s="136" t="e">
        <f>(#REF!/15)*11.5</f>
        <v>#REF!</v>
      </c>
      <c r="R60" s="136" t="e">
        <f>(#REF!/15)*11.5</f>
        <v>#REF!</v>
      </c>
      <c r="S60" s="136" t="e">
        <f>(#REF!/15)*11.5</f>
        <v>#REF!</v>
      </c>
      <c r="T60" s="136" t="e">
        <f>(#REF!/15)*11.5</f>
        <v>#REF!</v>
      </c>
      <c r="U60" s="136" t="e">
        <f>(#REF!/15)*11.5</f>
        <v>#REF!</v>
      </c>
      <c r="V60" s="136" t="e">
        <f>(#REF!/15)*11.5</f>
        <v>#REF!</v>
      </c>
      <c r="W60" s="136" t="e">
        <f>(#REF!/15)*11.5</f>
        <v>#REF!</v>
      </c>
      <c r="X60" s="143" t="e">
        <f>(#REF!/15)*11.5</f>
        <v>#REF!</v>
      </c>
    </row>
    <row r="61" spans="1:24" s="33" customFormat="1">
      <c r="A61" s="1318"/>
      <c r="B61" s="66" t="s">
        <v>87</v>
      </c>
      <c r="C61" s="136" t="e">
        <f>(#REF!/15)*11.5</f>
        <v>#REF!</v>
      </c>
      <c r="D61" s="136" t="e">
        <f>(#REF!/15)*11.5</f>
        <v>#REF!</v>
      </c>
      <c r="E61" s="136" t="e">
        <f>(#REF!/15)*11.5</f>
        <v>#REF!</v>
      </c>
      <c r="F61" s="136" t="e">
        <f>(#REF!/15)*11.5</f>
        <v>#REF!</v>
      </c>
      <c r="G61" s="136" t="e">
        <f>(#REF!/15)*11.5</f>
        <v>#REF!</v>
      </c>
      <c r="H61" s="136" t="e">
        <f>(#REF!/15)*11.5</f>
        <v>#REF!</v>
      </c>
      <c r="I61" s="136" t="e">
        <f>(#REF!/15)*11.5</f>
        <v>#REF!</v>
      </c>
      <c r="J61" s="136" t="e">
        <f>(#REF!/15)*11.5</f>
        <v>#REF!</v>
      </c>
      <c r="K61" s="136" t="e">
        <f>(#REF!/15)*11.5</f>
        <v>#REF!</v>
      </c>
      <c r="L61" s="136" t="e">
        <f>(#REF!/15)*11.5</f>
        <v>#REF!</v>
      </c>
      <c r="M61" s="136" t="e">
        <f>(#REF!/15)*11.5</f>
        <v>#REF!</v>
      </c>
      <c r="N61" s="136" t="e">
        <f>(#REF!/15)*11.5</f>
        <v>#REF!</v>
      </c>
      <c r="O61" s="136" t="e">
        <f>(#REF!/15)*11.5</f>
        <v>#REF!</v>
      </c>
      <c r="P61" s="136" t="e">
        <f>(#REF!/15)*11.5</f>
        <v>#REF!</v>
      </c>
      <c r="Q61" s="136" t="e">
        <f>(#REF!/15)*11.5</f>
        <v>#REF!</v>
      </c>
      <c r="R61" s="136" t="e">
        <f>(#REF!/15)*11.5</f>
        <v>#REF!</v>
      </c>
      <c r="S61" s="136" t="e">
        <f>(#REF!/15)*11.5</f>
        <v>#REF!</v>
      </c>
      <c r="T61" s="136" t="e">
        <f>(#REF!/15)*11.5</f>
        <v>#REF!</v>
      </c>
      <c r="U61" s="136" t="e">
        <f>(#REF!/15)*11.5</f>
        <v>#REF!</v>
      </c>
      <c r="V61" s="136" t="e">
        <f>(#REF!/15)*11.5</f>
        <v>#REF!</v>
      </c>
      <c r="W61" s="136" t="e">
        <f>(#REF!/15)*11.5</f>
        <v>#REF!</v>
      </c>
      <c r="X61" s="143" t="e">
        <f>(#REF!/15)*11.5</f>
        <v>#REF!</v>
      </c>
    </row>
    <row r="62" spans="1:24" s="33" customFormat="1">
      <c r="A62" s="1318"/>
      <c r="B62" s="66" t="s">
        <v>89</v>
      </c>
      <c r="C62" s="136" t="e">
        <f>(#REF!/15)*11.5</f>
        <v>#REF!</v>
      </c>
      <c r="D62" s="136" t="e">
        <f>(#REF!/15)*11.5</f>
        <v>#REF!</v>
      </c>
      <c r="E62" s="136" t="e">
        <f>(#REF!/15)*11.5</f>
        <v>#REF!</v>
      </c>
      <c r="F62" s="136" t="e">
        <f>(#REF!/15)*11.5</f>
        <v>#REF!</v>
      </c>
      <c r="G62" s="136" t="e">
        <f>(#REF!/15)*11.5</f>
        <v>#REF!</v>
      </c>
      <c r="H62" s="136" t="e">
        <f>(#REF!/15)*11.5</f>
        <v>#REF!</v>
      </c>
      <c r="I62" s="136" t="e">
        <f>(#REF!/15)*11.5</f>
        <v>#REF!</v>
      </c>
      <c r="J62" s="136" t="e">
        <f>(#REF!/15)*11.5</f>
        <v>#REF!</v>
      </c>
      <c r="K62" s="136" t="e">
        <f>(#REF!/15)*11.5</f>
        <v>#REF!</v>
      </c>
      <c r="L62" s="136" t="e">
        <f>(#REF!/15)*11.5</f>
        <v>#REF!</v>
      </c>
      <c r="M62" s="136" t="e">
        <f>(#REF!/15)*11.5</f>
        <v>#REF!</v>
      </c>
      <c r="N62" s="136" t="e">
        <f>(#REF!/15)*11.5</f>
        <v>#REF!</v>
      </c>
      <c r="O62" s="136" t="e">
        <f>(#REF!/15)*11.5</f>
        <v>#REF!</v>
      </c>
      <c r="P62" s="136" t="e">
        <f>(#REF!/15)*11.5</f>
        <v>#REF!</v>
      </c>
      <c r="Q62" s="136" t="e">
        <f>(#REF!/15)*11.5</f>
        <v>#REF!</v>
      </c>
      <c r="R62" s="136" t="e">
        <f>(#REF!/15)*11.5</f>
        <v>#REF!</v>
      </c>
      <c r="S62" s="136" t="e">
        <f>(#REF!/15)*11.5</f>
        <v>#REF!</v>
      </c>
      <c r="T62" s="136" t="e">
        <f>(#REF!/15)*11.5</f>
        <v>#REF!</v>
      </c>
      <c r="U62" s="136" t="e">
        <f>(#REF!/15)*11.5</f>
        <v>#REF!</v>
      </c>
      <c r="V62" s="136" t="e">
        <f>(#REF!/15)*11.5</f>
        <v>#REF!</v>
      </c>
      <c r="W62" s="136" t="e">
        <f>(#REF!/15)*11.5</f>
        <v>#REF!</v>
      </c>
      <c r="X62" s="143" t="e">
        <f>(#REF!/15)*11.5</f>
        <v>#REF!</v>
      </c>
    </row>
    <row r="63" spans="1:24" s="33" customFormat="1">
      <c r="A63" s="1318"/>
      <c r="B63" s="66" t="s">
        <v>90</v>
      </c>
      <c r="C63" s="136" t="e">
        <f>(#REF!/15)*11.5</f>
        <v>#REF!</v>
      </c>
      <c r="D63" s="136" t="e">
        <f>(#REF!/15)*11.5</f>
        <v>#REF!</v>
      </c>
      <c r="E63" s="136" t="e">
        <f>(#REF!/15)*11.5</f>
        <v>#REF!</v>
      </c>
      <c r="F63" s="136" t="e">
        <f>(#REF!/15)*11.5</f>
        <v>#REF!</v>
      </c>
      <c r="G63" s="136" t="e">
        <f>(#REF!/15)*11.5</f>
        <v>#REF!</v>
      </c>
      <c r="H63" s="136" t="e">
        <f>(#REF!/15)*11.5</f>
        <v>#REF!</v>
      </c>
      <c r="I63" s="136" t="e">
        <f>(#REF!/15)*11.5</f>
        <v>#REF!</v>
      </c>
      <c r="J63" s="136" t="e">
        <f>(#REF!/15)*11.5</f>
        <v>#REF!</v>
      </c>
      <c r="K63" s="136" t="e">
        <f>(#REF!/15)*11.5</f>
        <v>#REF!</v>
      </c>
      <c r="L63" s="136" t="e">
        <f>(#REF!/15)*11.5</f>
        <v>#REF!</v>
      </c>
      <c r="M63" s="136" t="e">
        <f>(#REF!/15)*11.5</f>
        <v>#REF!</v>
      </c>
      <c r="N63" s="136" t="e">
        <f>(#REF!/15)*11.5</f>
        <v>#REF!</v>
      </c>
      <c r="O63" s="136" t="e">
        <f>(#REF!/15)*11.5</f>
        <v>#REF!</v>
      </c>
      <c r="P63" s="136" t="e">
        <f>(#REF!/15)*11.5</f>
        <v>#REF!</v>
      </c>
      <c r="Q63" s="136" t="e">
        <f>(#REF!/15)*11.5</f>
        <v>#REF!</v>
      </c>
      <c r="R63" s="136" t="e">
        <f>(#REF!/15)*11.5</f>
        <v>#REF!</v>
      </c>
      <c r="S63" s="136" t="e">
        <f>(#REF!/15)*11.5</f>
        <v>#REF!</v>
      </c>
      <c r="T63" s="136" t="e">
        <f>(#REF!/15)*11.5</f>
        <v>#REF!</v>
      </c>
      <c r="U63" s="136" t="e">
        <f>(#REF!/15)*11.5</f>
        <v>#REF!</v>
      </c>
      <c r="V63" s="136" t="e">
        <f>(#REF!/15)*11.5</f>
        <v>#REF!</v>
      </c>
      <c r="W63" s="136" t="e">
        <f>(#REF!/15)*11.5</f>
        <v>#REF!</v>
      </c>
      <c r="X63" s="143" t="e">
        <f>(#REF!/15)*11.5</f>
        <v>#REF!</v>
      </c>
    </row>
    <row r="64" spans="1:24" s="33" customFormat="1">
      <c r="A64" s="1318"/>
      <c r="B64" s="66" t="s">
        <v>91</v>
      </c>
      <c r="C64" s="136" t="e">
        <f>(#REF!/15)*11.5</f>
        <v>#REF!</v>
      </c>
      <c r="D64" s="136" t="e">
        <f>(#REF!/15)*11.5</f>
        <v>#REF!</v>
      </c>
      <c r="E64" s="136" t="e">
        <f>(#REF!/15)*11.5</f>
        <v>#REF!</v>
      </c>
      <c r="F64" s="136" t="e">
        <f>(#REF!/15)*11.5</f>
        <v>#REF!</v>
      </c>
      <c r="G64" s="136" t="e">
        <f>(#REF!/15)*11.5</f>
        <v>#REF!</v>
      </c>
      <c r="H64" s="136" t="e">
        <f>(#REF!/15)*11.5</f>
        <v>#REF!</v>
      </c>
      <c r="I64" s="136" t="e">
        <f>(#REF!/15)*11.5</f>
        <v>#REF!</v>
      </c>
      <c r="J64" s="136" t="e">
        <f>(#REF!/15)*11.5</f>
        <v>#REF!</v>
      </c>
      <c r="K64" s="136" t="e">
        <f>(#REF!/15)*11.5</f>
        <v>#REF!</v>
      </c>
      <c r="L64" s="136" t="e">
        <f>(#REF!/15)*11.5</f>
        <v>#REF!</v>
      </c>
      <c r="M64" s="136" t="e">
        <f>(#REF!/15)*11.5</f>
        <v>#REF!</v>
      </c>
      <c r="N64" s="136" t="e">
        <f>(#REF!/15)*11.5</f>
        <v>#REF!</v>
      </c>
      <c r="O64" s="136" t="e">
        <f>(#REF!/15)*11.5</f>
        <v>#REF!</v>
      </c>
      <c r="P64" s="136" t="e">
        <f>(#REF!/15)*11.5</f>
        <v>#REF!</v>
      </c>
      <c r="Q64" s="136" t="e">
        <f>(#REF!/15)*11.5</f>
        <v>#REF!</v>
      </c>
      <c r="R64" s="136" t="e">
        <f>(#REF!/15)*11.5</f>
        <v>#REF!</v>
      </c>
      <c r="S64" s="136" t="e">
        <f>(#REF!/15)*11.5</f>
        <v>#REF!</v>
      </c>
      <c r="T64" s="136" t="e">
        <f>(#REF!/15)*11.5</f>
        <v>#REF!</v>
      </c>
      <c r="U64" s="136" t="e">
        <f>(#REF!/15)*11.5</f>
        <v>#REF!</v>
      </c>
      <c r="V64" s="136" t="e">
        <f>(#REF!/15)*11.5</f>
        <v>#REF!</v>
      </c>
      <c r="W64" s="136" t="e">
        <f>(#REF!/15)*11.5</f>
        <v>#REF!</v>
      </c>
      <c r="X64" s="143" t="e">
        <f>(#REF!/15)*11.5</f>
        <v>#REF!</v>
      </c>
    </row>
    <row r="65" spans="1:24" ht="15" thickBot="1">
      <c r="A65" s="1319"/>
      <c r="B65" s="67" t="s">
        <v>181</v>
      </c>
      <c r="C65" s="149" t="e">
        <f>(#REF!/15)*11.5</f>
        <v>#REF!</v>
      </c>
      <c r="D65" s="149" t="e">
        <f>(#REF!/15)*11.5</f>
        <v>#REF!</v>
      </c>
      <c r="E65" s="149" t="e">
        <f>(#REF!/15)*11.5</f>
        <v>#REF!</v>
      </c>
      <c r="F65" s="149" t="e">
        <f>(#REF!/15)*11.5</f>
        <v>#REF!</v>
      </c>
      <c r="G65" s="149" t="e">
        <f>(#REF!/15)*11.5</f>
        <v>#REF!</v>
      </c>
      <c r="H65" s="149" t="e">
        <f>(#REF!/15)*11.5</f>
        <v>#REF!</v>
      </c>
      <c r="I65" s="149" t="e">
        <f>(#REF!/15)*11.5</f>
        <v>#REF!</v>
      </c>
      <c r="J65" s="149" t="e">
        <f>(#REF!/15)*11.5</f>
        <v>#REF!</v>
      </c>
      <c r="K65" s="149" t="e">
        <f>(#REF!/15)*11.5</f>
        <v>#REF!</v>
      </c>
      <c r="L65" s="149" t="e">
        <f>(#REF!/15)*11.5</f>
        <v>#REF!</v>
      </c>
      <c r="M65" s="149" t="e">
        <f>(#REF!/15)*11.5</f>
        <v>#REF!</v>
      </c>
      <c r="N65" s="149" t="e">
        <f>(#REF!/15)*11.5</f>
        <v>#REF!</v>
      </c>
      <c r="O65" s="149" t="e">
        <f>(#REF!/15)*11.5</f>
        <v>#REF!</v>
      </c>
      <c r="P65" s="149" t="e">
        <f>(#REF!/15)*11.5</f>
        <v>#REF!</v>
      </c>
      <c r="Q65" s="149" t="e">
        <f>(#REF!/15)*11.5</f>
        <v>#REF!</v>
      </c>
      <c r="R65" s="149" t="e">
        <f>(#REF!/15)*11.5</f>
        <v>#REF!</v>
      </c>
      <c r="S65" s="149" t="e">
        <f>(#REF!/15)*11.5</f>
        <v>#REF!</v>
      </c>
      <c r="T65" s="149" t="e">
        <f>(#REF!/15)*11.5</f>
        <v>#REF!</v>
      </c>
      <c r="U65" s="149" t="e">
        <f>(#REF!/15)*11.5</f>
        <v>#REF!</v>
      </c>
      <c r="V65" s="149" t="e">
        <f>(#REF!/15)*11.5</f>
        <v>#REF!</v>
      </c>
      <c r="W65" s="149" t="e">
        <f>(#REF!/15)*11.5</f>
        <v>#REF!</v>
      </c>
      <c r="X65" s="151" t="e">
        <f>(#REF!/15)*11.5</f>
        <v>#REF!</v>
      </c>
    </row>
    <row r="66" spans="1:24" ht="14.25" customHeight="1">
      <c r="A66" s="1317" t="s">
        <v>92</v>
      </c>
      <c r="B66" s="65" t="s">
        <v>94</v>
      </c>
      <c r="C66" s="133" t="e">
        <f>(#REF!/15)*11.5</f>
        <v>#REF!</v>
      </c>
      <c r="D66" s="133" t="e">
        <f>(#REF!/15)*11.5</f>
        <v>#REF!</v>
      </c>
      <c r="E66" s="133" t="e">
        <f>(#REF!/15)*11.5</f>
        <v>#REF!</v>
      </c>
      <c r="F66" s="133" t="e">
        <f>(#REF!/15)*11.5</f>
        <v>#REF!</v>
      </c>
      <c r="G66" s="133" t="e">
        <f>(#REF!/15)*11.5</f>
        <v>#REF!</v>
      </c>
      <c r="H66" s="133" t="e">
        <f>(#REF!/15)*11.5</f>
        <v>#REF!</v>
      </c>
      <c r="I66" s="133" t="e">
        <f>(#REF!/15)*11.5</f>
        <v>#REF!</v>
      </c>
      <c r="J66" s="133" t="e">
        <f>(#REF!/15)*11.5</f>
        <v>#REF!</v>
      </c>
      <c r="K66" s="133" t="e">
        <f>(#REF!/15)*11.5</f>
        <v>#REF!</v>
      </c>
      <c r="L66" s="133" t="e">
        <f>(#REF!/15)*11.5</f>
        <v>#REF!</v>
      </c>
      <c r="M66" s="133" t="e">
        <f>(#REF!/15)*11.5</f>
        <v>#REF!</v>
      </c>
      <c r="N66" s="133" t="e">
        <f>(#REF!/15)*11.5</f>
        <v>#REF!</v>
      </c>
      <c r="O66" s="133" t="e">
        <f>(#REF!/15)*11.5</f>
        <v>#REF!</v>
      </c>
      <c r="P66" s="133" t="e">
        <f>(#REF!/15)*11.5</f>
        <v>#REF!</v>
      </c>
      <c r="Q66" s="133" t="e">
        <f>(#REF!/15)*11.5</f>
        <v>#REF!</v>
      </c>
      <c r="R66" s="133" t="e">
        <f>(#REF!/15)*11.5</f>
        <v>#REF!</v>
      </c>
      <c r="S66" s="133" t="e">
        <f>(#REF!/15)*11.5</f>
        <v>#REF!</v>
      </c>
      <c r="T66" s="133" t="e">
        <f>(#REF!/15)*11.5</f>
        <v>#REF!</v>
      </c>
      <c r="U66" s="133" t="e">
        <f>(#REF!/15)*11.5</f>
        <v>#REF!</v>
      </c>
      <c r="V66" s="133" t="e">
        <f>(#REF!/15)*11.5</f>
        <v>#REF!</v>
      </c>
      <c r="W66" s="133" t="e">
        <f>(#REF!/15)*11.5</f>
        <v>#REF!</v>
      </c>
      <c r="X66" s="150" t="e">
        <f>(#REF!/15)*11.5</f>
        <v>#REF!</v>
      </c>
    </row>
    <row r="67" spans="1:24">
      <c r="A67" s="1318"/>
      <c r="B67" s="66" t="s">
        <v>93</v>
      </c>
      <c r="C67" s="87" t="e">
        <f>(#REF!/15)*11.5</f>
        <v>#REF!</v>
      </c>
      <c r="D67" s="87" t="e">
        <f>(#REF!/15)*11.5</f>
        <v>#REF!</v>
      </c>
      <c r="E67" s="87" t="e">
        <f>(#REF!/15)*11.5</f>
        <v>#REF!</v>
      </c>
      <c r="F67" s="87" t="e">
        <f>(#REF!/15)*11.5</f>
        <v>#REF!</v>
      </c>
      <c r="G67" s="87" t="e">
        <f>(#REF!/15)*11.5</f>
        <v>#REF!</v>
      </c>
      <c r="H67" s="87" t="e">
        <f>(#REF!/15)*11.5</f>
        <v>#REF!</v>
      </c>
      <c r="I67" s="87" t="e">
        <f>(#REF!/15)*11.5</f>
        <v>#REF!</v>
      </c>
      <c r="J67" s="87" t="e">
        <f>(#REF!/15)*11.5</f>
        <v>#REF!</v>
      </c>
      <c r="K67" s="87" t="e">
        <f>(#REF!/15)*11.5</f>
        <v>#REF!</v>
      </c>
      <c r="L67" s="87" t="e">
        <f>(#REF!/15)*11.5</f>
        <v>#REF!</v>
      </c>
      <c r="M67" s="87" t="e">
        <f>(#REF!/15)*11.5</f>
        <v>#REF!</v>
      </c>
      <c r="N67" s="87" t="e">
        <f>(#REF!/15)*11.5</f>
        <v>#REF!</v>
      </c>
      <c r="O67" s="87" t="e">
        <f>(#REF!/15)*11.5</f>
        <v>#REF!</v>
      </c>
      <c r="P67" s="87" t="e">
        <f>(#REF!/15)*11.5</f>
        <v>#REF!</v>
      </c>
      <c r="Q67" s="87" t="e">
        <f>(#REF!/15)*11.5</f>
        <v>#REF!</v>
      </c>
      <c r="R67" s="87" t="e">
        <f>(#REF!/15)*11.5</f>
        <v>#REF!</v>
      </c>
      <c r="S67" s="87" t="e">
        <f>(#REF!/15)*11.5</f>
        <v>#REF!</v>
      </c>
      <c r="T67" s="87" t="e">
        <f>(#REF!/15)*11.5</f>
        <v>#REF!</v>
      </c>
      <c r="U67" s="87" t="e">
        <f>(#REF!/15)*11.5</f>
        <v>#REF!</v>
      </c>
      <c r="V67" s="87" t="e">
        <f>(#REF!/15)*11.5</f>
        <v>#REF!</v>
      </c>
      <c r="W67" s="87" t="e">
        <f>(#REF!/15)*11.5</f>
        <v>#REF!</v>
      </c>
      <c r="X67" s="95" t="e">
        <f>(#REF!/15)*11.5</f>
        <v>#REF!</v>
      </c>
    </row>
    <row r="68" spans="1:24">
      <c r="A68" s="1318"/>
      <c r="B68" s="66" t="s">
        <v>95</v>
      </c>
      <c r="C68" s="136" t="e">
        <f>(#REF!/15)*11.5</f>
        <v>#REF!</v>
      </c>
      <c r="D68" s="136" t="e">
        <f>(#REF!/15)*11.5</f>
        <v>#REF!</v>
      </c>
      <c r="E68" s="136" t="e">
        <f>(#REF!/15)*11.5</f>
        <v>#REF!</v>
      </c>
      <c r="F68" s="136" t="e">
        <f>(#REF!/15)*11.5</f>
        <v>#REF!</v>
      </c>
      <c r="G68" s="136" t="e">
        <f>(#REF!/15)*11.5</f>
        <v>#REF!</v>
      </c>
      <c r="H68" s="136" t="e">
        <f>(#REF!/15)*11.5</f>
        <v>#REF!</v>
      </c>
      <c r="I68" s="136" t="e">
        <f>(#REF!/15)*11.5</f>
        <v>#REF!</v>
      </c>
      <c r="J68" s="136" t="e">
        <f>(#REF!/15)*11.5</f>
        <v>#REF!</v>
      </c>
      <c r="K68" s="136" t="e">
        <f>(#REF!/15)*11.5</f>
        <v>#REF!</v>
      </c>
      <c r="L68" s="136" t="e">
        <f>(#REF!/15)*11.5</f>
        <v>#REF!</v>
      </c>
      <c r="M68" s="136" t="e">
        <f>(#REF!/15)*11.5</f>
        <v>#REF!</v>
      </c>
      <c r="N68" s="136" t="e">
        <f>(#REF!/15)*11.5</f>
        <v>#REF!</v>
      </c>
      <c r="O68" s="136" t="e">
        <f>(#REF!/15)*11.5</f>
        <v>#REF!</v>
      </c>
      <c r="P68" s="136" t="e">
        <f>(#REF!/15)*11.5</f>
        <v>#REF!</v>
      </c>
      <c r="Q68" s="136" t="e">
        <f>(#REF!/15)*11.5</f>
        <v>#REF!</v>
      </c>
      <c r="R68" s="136" t="e">
        <f>(#REF!/15)*11.5</f>
        <v>#REF!</v>
      </c>
      <c r="S68" s="136" t="e">
        <f>(#REF!/15)*11.5</f>
        <v>#REF!</v>
      </c>
      <c r="T68" s="136" t="e">
        <f>(#REF!/15)*11.5</f>
        <v>#REF!</v>
      </c>
      <c r="U68" s="136" t="e">
        <f>(#REF!/15)*11.5</f>
        <v>#REF!</v>
      </c>
      <c r="V68" s="136" t="e">
        <f>(#REF!/15)*11.5</f>
        <v>#REF!</v>
      </c>
      <c r="W68" s="136" t="e">
        <f>(#REF!/15)*11.5</f>
        <v>#REF!</v>
      </c>
      <c r="X68" s="143" t="e">
        <f>(#REF!/15)*11.5</f>
        <v>#REF!</v>
      </c>
    </row>
    <row r="69" spans="1:24">
      <c r="A69" s="1318"/>
      <c r="B69" s="66" t="s">
        <v>97</v>
      </c>
      <c r="C69" s="136" t="e">
        <f>(#REF!/15)*11.5</f>
        <v>#REF!</v>
      </c>
      <c r="D69" s="136" t="e">
        <f>(#REF!/15)*11.5</f>
        <v>#REF!</v>
      </c>
      <c r="E69" s="136" t="e">
        <f>(#REF!/15)*11.5</f>
        <v>#REF!</v>
      </c>
      <c r="F69" s="136" t="e">
        <f>(#REF!/15)*11.5</f>
        <v>#REF!</v>
      </c>
      <c r="G69" s="136" t="e">
        <f>(#REF!/15)*11.5</f>
        <v>#REF!</v>
      </c>
      <c r="H69" s="136" t="e">
        <f>(#REF!/15)*11.5</f>
        <v>#REF!</v>
      </c>
      <c r="I69" s="136" t="e">
        <f>(#REF!/15)*11.5</f>
        <v>#REF!</v>
      </c>
      <c r="J69" s="136" t="e">
        <f>(#REF!/15)*11.5</f>
        <v>#REF!</v>
      </c>
      <c r="K69" s="136" t="e">
        <f>(#REF!/15)*11.5</f>
        <v>#REF!</v>
      </c>
      <c r="L69" s="136" t="e">
        <f>(#REF!/15)*11.5</f>
        <v>#REF!</v>
      </c>
      <c r="M69" s="136" t="e">
        <f>(#REF!/15)*11.5</f>
        <v>#REF!</v>
      </c>
      <c r="N69" s="136" t="e">
        <f>(#REF!/15)*11.5</f>
        <v>#REF!</v>
      </c>
      <c r="O69" s="136" t="e">
        <f>(#REF!/15)*11.5</f>
        <v>#REF!</v>
      </c>
      <c r="P69" s="136" t="e">
        <f>(#REF!/15)*11.5</f>
        <v>#REF!</v>
      </c>
      <c r="Q69" s="136" t="e">
        <f>(#REF!/15)*11.5</f>
        <v>#REF!</v>
      </c>
      <c r="R69" s="136" t="e">
        <f>(#REF!/15)*11.5</f>
        <v>#REF!</v>
      </c>
      <c r="S69" s="136" t="e">
        <f>(#REF!/15)*11.5</f>
        <v>#REF!</v>
      </c>
      <c r="T69" s="136" t="e">
        <f>(#REF!/15)*11.5</f>
        <v>#REF!</v>
      </c>
      <c r="U69" s="136" t="e">
        <f>(#REF!/15)*11.5</f>
        <v>#REF!</v>
      </c>
      <c r="V69" s="136" t="e">
        <f>(#REF!/15)*11.5</f>
        <v>#REF!</v>
      </c>
      <c r="W69" s="136" t="e">
        <f>(#REF!/15)*11.5</f>
        <v>#REF!</v>
      </c>
      <c r="X69" s="143" t="e">
        <f>(#REF!/15)*11.5</f>
        <v>#REF!</v>
      </c>
    </row>
    <row r="70" spans="1:24">
      <c r="A70" s="1318"/>
      <c r="B70" s="66" t="s">
        <v>98</v>
      </c>
      <c r="C70" s="136" t="e">
        <f>(#REF!/15)*11.5</f>
        <v>#REF!</v>
      </c>
      <c r="D70" s="136" t="e">
        <f>(#REF!/15)*11.5</f>
        <v>#REF!</v>
      </c>
      <c r="E70" s="136" t="e">
        <f>(#REF!/15)*11.5</f>
        <v>#REF!</v>
      </c>
      <c r="F70" s="136" t="e">
        <f>(#REF!/15)*11.5</f>
        <v>#REF!</v>
      </c>
      <c r="G70" s="136" t="e">
        <f>(#REF!/15)*11.5</f>
        <v>#REF!</v>
      </c>
      <c r="H70" s="136" t="e">
        <f>(#REF!/15)*11.5</f>
        <v>#REF!</v>
      </c>
      <c r="I70" s="136" t="e">
        <f>(#REF!/15)*11.5</f>
        <v>#REF!</v>
      </c>
      <c r="J70" s="136" t="e">
        <f>(#REF!/15)*11.5</f>
        <v>#REF!</v>
      </c>
      <c r="K70" s="136" t="e">
        <f>(#REF!/15)*11.5</f>
        <v>#REF!</v>
      </c>
      <c r="L70" s="136" t="e">
        <f>(#REF!/15)*11.5</f>
        <v>#REF!</v>
      </c>
      <c r="M70" s="136" t="e">
        <f>(#REF!/15)*11.5</f>
        <v>#REF!</v>
      </c>
      <c r="N70" s="136" t="e">
        <f>(#REF!/15)*11.5</f>
        <v>#REF!</v>
      </c>
      <c r="O70" s="136" t="e">
        <f>(#REF!/15)*11.5</f>
        <v>#REF!</v>
      </c>
      <c r="P70" s="136" t="e">
        <f>(#REF!/15)*11.5</f>
        <v>#REF!</v>
      </c>
      <c r="Q70" s="136" t="e">
        <f>(#REF!/15)*11.5</f>
        <v>#REF!</v>
      </c>
      <c r="R70" s="136" t="e">
        <f>(#REF!/15)*11.5</f>
        <v>#REF!</v>
      </c>
      <c r="S70" s="136" t="e">
        <f>(#REF!/15)*11.5</f>
        <v>#REF!</v>
      </c>
      <c r="T70" s="136" t="e">
        <f>(#REF!/15)*11.5</f>
        <v>#REF!</v>
      </c>
      <c r="U70" s="136" t="e">
        <f>(#REF!/15)*11.5</f>
        <v>#REF!</v>
      </c>
      <c r="V70" s="136" t="e">
        <f>(#REF!/15)*11.5</f>
        <v>#REF!</v>
      </c>
      <c r="W70" s="136" t="e">
        <f>(#REF!/15)*11.5</f>
        <v>#REF!</v>
      </c>
      <c r="X70" s="143" t="e">
        <f>(#REF!/15)*11.5</f>
        <v>#REF!</v>
      </c>
    </row>
    <row r="71" spans="1:24">
      <c r="A71" s="1318"/>
      <c r="B71" s="66" t="s">
        <v>99</v>
      </c>
      <c r="C71" s="87" t="e">
        <f>(#REF!/15)*11.5</f>
        <v>#REF!</v>
      </c>
      <c r="D71" s="87" t="e">
        <f>(#REF!/15)*11.5</f>
        <v>#REF!</v>
      </c>
      <c r="E71" s="87" t="e">
        <f>(#REF!/15)*11.5</f>
        <v>#REF!</v>
      </c>
      <c r="F71" s="87" t="e">
        <f>(#REF!/15)*11.5</f>
        <v>#REF!</v>
      </c>
      <c r="G71" s="87" t="e">
        <f>(#REF!/15)*11.5</f>
        <v>#REF!</v>
      </c>
      <c r="H71" s="87" t="e">
        <f>(#REF!/15)*11.5</f>
        <v>#REF!</v>
      </c>
      <c r="I71" s="87" t="e">
        <f>(#REF!/15)*11.5</f>
        <v>#REF!</v>
      </c>
      <c r="J71" s="87" t="e">
        <f>(#REF!/15)*11.5</f>
        <v>#REF!</v>
      </c>
      <c r="K71" s="87" t="e">
        <f>(#REF!/15)*11.5</f>
        <v>#REF!</v>
      </c>
      <c r="L71" s="87" t="e">
        <f>(#REF!/15)*11.5</f>
        <v>#REF!</v>
      </c>
      <c r="M71" s="87" t="e">
        <f>(#REF!/15)*11.5</f>
        <v>#REF!</v>
      </c>
      <c r="N71" s="87" t="e">
        <f>(#REF!/15)*11.5</f>
        <v>#REF!</v>
      </c>
      <c r="O71" s="87" t="e">
        <f>(#REF!/15)*11.5</f>
        <v>#REF!</v>
      </c>
      <c r="P71" s="87" t="e">
        <f>(#REF!/15)*11.5</f>
        <v>#REF!</v>
      </c>
      <c r="Q71" s="87" t="e">
        <f>(#REF!/15)*11.5</f>
        <v>#REF!</v>
      </c>
      <c r="R71" s="87" t="e">
        <f>(#REF!/15)*11.5</f>
        <v>#REF!</v>
      </c>
      <c r="S71" s="87" t="e">
        <f>(#REF!/15)*11.5</f>
        <v>#REF!</v>
      </c>
      <c r="T71" s="87" t="e">
        <f>(#REF!/15)*11.5</f>
        <v>#REF!</v>
      </c>
      <c r="U71" s="87" t="e">
        <f>(#REF!/15)*11.5</f>
        <v>#REF!</v>
      </c>
      <c r="V71" s="87" t="e">
        <f>(#REF!/15)*11.5</f>
        <v>#REF!</v>
      </c>
      <c r="W71" s="87" t="e">
        <f>(#REF!/15)*11.5</f>
        <v>#REF!</v>
      </c>
      <c r="X71" s="95" t="e">
        <f>(#REF!/15)*11.5</f>
        <v>#REF!</v>
      </c>
    </row>
    <row r="72" spans="1:24">
      <c r="A72" s="1318"/>
      <c r="B72" s="66" t="s">
        <v>101</v>
      </c>
      <c r="C72" s="87" t="e">
        <f>(#REF!/15)*11.5</f>
        <v>#REF!</v>
      </c>
      <c r="D72" s="87" t="e">
        <f>(#REF!/15)*11.5</f>
        <v>#REF!</v>
      </c>
      <c r="E72" s="87" t="e">
        <f>(#REF!/15)*11.5</f>
        <v>#REF!</v>
      </c>
      <c r="F72" s="87" t="e">
        <f>(#REF!/15)*11.5</f>
        <v>#REF!</v>
      </c>
      <c r="G72" s="87" t="e">
        <f>(#REF!/15)*11.5</f>
        <v>#REF!</v>
      </c>
      <c r="H72" s="87" t="e">
        <f>(#REF!/15)*11.5</f>
        <v>#REF!</v>
      </c>
      <c r="I72" s="87" t="e">
        <f>(#REF!/15)*11.5</f>
        <v>#REF!</v>
      </c>
      <c r="J72" s="87" t="e">
        <f>(#REF!/15)*11.5</f>
        <v>#REF!</v>
      </c>
      <c r="K72" s="87" t="e">
        <f>(#REF!/15)*11.5</f>
        <v>#REF!</v>
      </c>
      <c r="L72" s="87" t="e">
        <f>(#REF!/15)*11.5</f>
        <v>#REF!</v>
      </c>
      <c r="M72" s="87" t="e">
        <f>(#REF!/15)*11.5</f>
        <v>#REF!</v>
      </c>
      <c r="N72" s="87" t="e">
        <f>(#REF!/15)*11.5</f>
        <v>#REF!</v>
      </c>
      <c r="O72" s="87" t="e">
        <f>(#REF!/15)*11.5</f>
        <v>#REF!</v>
      </c>
      <c r="P72" s="87" t="e">
        <f>(#REF!/15)*11.5</f>
        <v>#REF!</v>
      </c>
      <c r="Q72" s="87" t="e">
        <f>(#REF!/15)*11.5</f>
        <v>#REF!</v>
      </c>
      <c r="R72" s="87" t="e">
        <f>(#REF!/15)*11.5</f>
        <v>#REF!</v>
      </c>
      <c r="S72" s="87" t="e">
        <f>(#REF!/15)*11.5</f>
        <v>#REF!</v>
      </c>
      <c r="T72" s="87" t="e">
        <f>(#REF!/15)*11.5</f>
        <v>#REF!</v>
      </c>
      <c r="U72" s="87" t="e">
        <f>(#REF!/15)*11.5</f>
        <v>#REF!</v>
      </c>
      <c r="V72" s="87" t="e">
        <f>(#REF!/15)*11.5</f>
        <v>#REF!</v>
      </c>
      <c r="W72" s="87" t="e">
        <f>(#REF!/15)*11.5</f>
        <v>#REF!</v>
      </c>
      <c r="X72" s="95" t="e">
        <f>(#REF!/15)*11.5</f>
        <v>#REF!</v>
      </c>
    </row>
    <row r="73" spans="1:24">
      <c r="A73" s="1318"/>
      <c r="B73" s="66" t="s">
        <v>102</v>
      </c>
      <c r="C73" s="136" t="e">
        <f>(#REF!/15)*11.5</f>
        <v>#REF!</v>
      </c>
      <c r="D73" s="136" t="e">
        <f>(#REF!/15)*11.5</f>
        <v>#REF!</v>
      </c>
      <c r="E73" s="136" t="e">
        <f>(#REF!/15)*11.5</f>
        <v>#REF!</v>
      </c>
      <c r="F73" s="136" t="e">
        <f>(#REF!/15)*11.5</f>
        <v>#REF!</v>
      </c>
      <c r="G73" s="136" t="e">
        <f>(#REF!/15)*11.5</f>
        <v>#REF!</v>
      </c>
      <c r="H73" s="136" t="e">
        <f>(#REF!/15)*11.5</f>
        <v>#REF!</v>
      </c>
      <c r="I73" s="136" t="e">
        <f>(#REF!/15)*11.5</f>
        <v>#REF!</v>
      </c>
      <c r="J73" s="136" t="e">
        <f>(#REF!/15)*11.5</f>
        <v>#REF!</v>
      </c>
      <c r="K73" s="136" t="e">
        <f>(#REF!/15)*11.5</f>
        <v>#REF!</v>
      </c>
      <c r="L73" s="136" t="e">
        <f>(#REF!/15)*11.5</f>
        <v>#REF!</v>
      </c>
      <c r="M73" s="136" t="e">
        <f>(#REF!/15)*11.5</f>
        <v>#REF!</v>
      </c>
      <c r="N73" s="136" t="e">
        <f>(#REF!/15)*11.5</f>
        <v>#REF!</v>
      </c>
      <c r="O73" s="136" t="e">
        <f>(#REF!/15)*11.5</f>
        <v>#REF!</v>
      </c>
      <c r="P73" s="136" t="e">
        <f>(#REF!/15)*11.5</f>
        <v>#REF!</v>
      </c>
      <c r="Q73" s="136" t="e">
        <f>(#REF!/15)*11.5</f>
        <v>#REF!</v>
      </c>
      <c r="R73" s="136" t="e">
        <f>(#REF!/15)*11.5</f>
        <v>#REF!</v>
      </c>
      <c r="S73" s="136" t="e">
        <f>(#REF!/15)*11.5</f>
        <v>#REF!</v>
      </c>
      <c r="T73" s="136" t="e">
        <f>(#REF!/15)*11.5</f>
        <v>#REF!</v>
      </c>
      <c r="U73" s="136" t="e">
        <f>(#REF!/15)*11.5</f>
        <v>#REF!</v>
      </c>
      <c r="V73" s="136" t="e">
        <f>(#REF!/15)*11.5</f>
        <v>#REF!</v>
      </c>
      <c r="W73" s="136" t="e">
        <f>(#REF!/15)*11.5</f>
        <v>#REF!</v>
      </c>
      <c r="X73" s="143" t="e">
        <f>(#REF!/15)*11.5</f>
        <v>#REF!</v>
      </c>
    </row>
    <row r="74" spans="1:24">
      <c r="A74" s="1318"/>
      <c r="B74" s="66" t="s">
        <v>104</v>
      </c>
      <c r="C74" s="87" t="e">
        <f>(#REF!/15)*11.5</f>
        <v>#REF!</v>
      </c>
      <c r="D74" s="87" t="e">
        <f>(#REF!/15)*11.5</f>
        <v>#REF!</v>
      </c>
      <c r="E74" s="87" t="e">
        <f>(#REF!/15)*11.5</f>
        <v>#REF!</v>
      </c>
      <c r="F74" s="87" t="e">
        <f>(#REF!/15)*11.5</f>
        <v>#REF!</v>
      </c>
      <c r="G74" s="87" t="e">
        <f>(#REF!/15)*11.5</f>
        <v>#REF!</v>
      </c>
      <c r="H74" s="87" t="e">
        <f>(#REF!/15)*11.5</f>
        <v>#REF!</v>
      </c>
      <c r="I74" s="87" t="e">
        <f>(#REF!/15)*11.5</f>
        <v>#REF!</v>
      </c>
      <c r="J74" s="87" t="e">
        <f>(#REF!/15)*11.5</f>
        <v>#REF!</v>
      </c>
      <c r="K74" s="87" t="e">
        <f>(#REF!/15)*11.5</f>
        <v>#REF!</v>
      </c>
      <c r="L74" s="87" t="e">
        <f>(#REF!/15)*11.5</f>
        <v>#REF!</v>
      </c>
      <c r="M74" s="87" t="e">
        <f>(#REF!/15)*11.5</f>
        <v>#REF!</v>
      </c>
      <c r="N74" s="87" t="e">
        <f>(#REF!/15)*11.5</f>
        <v>#REF!</v>
      </c>
      <c r="O74" s="87" t="e">
        <f>(#REF!/15)*11.5</f>
        <v>#REF!</v>
      </c>
      <c r="P74" s="87" t="e">
        <f>(#REF!/15)*11.5</f>
        <v>#REF!</v>
      </c>
      <c r="Q74" s="87" t="e">
        <f>(#REF!/15)*11.5</f>
        <v>#REF!</v>
      </c>
      <c r="R74" s="87" t="e">
        <f>(#REF!/15)*11.5</f>
        <v>#REF!</v>
      </c>
      <c r="S74" s="87" t="e">
        <f>(#REF!/15)*11.5</f>
        <v>#REF!</v>
      </c>
      <c r="T74" s="87" t="e">
        <f>(#REF!/15)*11.5</f>
        <v>#REF!</v>
      </c>
      <c r="U74" s="87" t="e">
        <f>(#REF!/15)*11.5</f>
        <v>#REF!</v>
      </c>
      <c r="V74" s="87" t="e">
        <f>(#REF!/15)*11.5</f>
        <v>#REF!</v>
      </c>
      <c r="W74" s="87" t="e">
        <f>(#REF!/15)*11.5</f>
        <v>#REF!</v>
      </c>
      <c r="X74" s="95" t="e">
        <f>(#REF!/15)*11.5</f>
        <v>#REF!</v>
      </c>
    </row>
    <row r="75" spans="1:24">
      <c r="A75" s="1318"/>
      <c r="B75" s="66" t="s">
        <v>103</v>
      </c>
      <c r="C75" s="136" t="e">
        <f>(#REF!/15)*11.5</f>
        <v>#REF!</v>
      </c>
      <c r="D75" s="136" t="e">
        <f>(#REF!/15)*11.5</f>
        <v>#REF!</v>
      </c>
      <c r="E75" s="136" t="e">
        <f>(#REF!/15)*11.5</f>
        <v>#REF!</v>
      </c>
      <c r="F75" s="136" t="e">
        <f>(#REF!/15)*11.5</f>
        <v>#REF!</v>
      </c>
      <c r="G75" s="136" t="e">
        <f>(#REF!/15)*11.5</f>
        <v>#REF!</v>
      </c>
      <c r="H75" s="136" t="e">
        <f>(#REF!/15)*11.5</f>
        <v>#REF!</v>
      </c>
      <c r="I75" s="136" t="e">
        <f>(#REF!/15)*11.5</f>
        <v>#REF!</v>
      </c>
      <c r="J75" s="136" t="e">
        <f>(#REF!/15)*11.5</f>
        <v>#REF!</v>
      </c>
      <c r="K75" s="136" t="e">
        <f>(#REF!/15)*11.5</f>
        <v>#REF!</v>
      </c>
      <c r="L75" s="136" t="e">
        <f>(#REF!/15)*11.5</f>
        <v>#REF!</v>
      </c>
      <c r="M75" s="136" t="e">
        <f>(#REF!/15)*11.5</f>
        <v>#REF!</v>
      </c>
      <c r="N75" s="136" t="e">
        <f>(#REF!/15)*11.5</f>
        <v>#REF!</v>
      </c>
      <c r="O75" s="136" t="e">
        <f>(#REF!/15)*11.5</f>
        <v>#REF!</v>
      </c>
      <c r="P75" s="136" t="e">
        <f>(#REF!/15)*11.5</f>
        <v>#REF!</v>
      </c>
      <c r="Q75" s="136" t="e">
        <f>(#REF!/15)*11.5</f>
        <v>#REF!</v>
      </c>
      <c r="R75" s="136" t="e">
        <f>(#REF!/15)*11.5</f>
        <v>#REF!</v>
      </c>
      <c r="S75" s="136" t="e">
        <f>(#REF!/15)*11.5</f>
        <v>#REF!</v>
      </c>
      <c r="T75" s="136" t="e">
        <f>(#REF!/15)*11.5</f>
        <v>#REF!</v>
      </c>
      <c r="U75" s="136" t="e">
        <f>(#REF!/15)*11.5</f>
        <v>#REF!</v>
      </c>
      <c r="V75" s="136" t="e">
        <f>(#REF!/15)*11.5</f>
        <v>#REF!</v>
      </c>
      <c r="W75" s="136" t="e">
        <f>(#REF!/15)*11.5</f>
        <v>#REF!</v>
      </c>
      <c r="X75" s="143" t="e">
        <f>(#REF!/15)*11.5</f>
        <v>#REF!</v>
      </c>
    </row>
    <row r="76" spans="1:24">
      <c r="A76" s="1318"/>
      <c r="B76" s="66" t="s">
        <v>105</v>
      </c>
      <c r="C76" s="87" t="e">
        <f>(#REF!/15)*11.5</f>
        <v>#REF!</v>
      </c>
      <c r="D76" s="87" t="e">
        <f>(#REF!/15)*11.5</f>
        <v>#REF!</v>
      </c>
      <c r="E76" s="87" t="e">
        <f>(#REF!/15)*11.5</f>
        <v>#REF!</v>
      </c>
      <c r="F76" s="87" t="e">
        <f>(#REF!/15)*11.5</f>
        <v>#REF!</v>
      </c>
      <c r="G76" s="87" t="e">
        <f>(#REF!/15)*11.5</f>
        <v>#REF!</v>
      </c>
      <c r="H76" s="87" t="e">
        <f>(#REF!/15)*11.5</f>
        <v>#REF!</v>
      </c>
      <c r="I76" s="87" t="e">
        <f>(#REF!/15)*11.5</f>
        <v>#REF!</v>
      </c>
      <c r="J76" s="87" t="e">
        <f>(#REF!/15)*11.5</f>
        <v>#REF!</v>
      </c>
      <c r="K76" s="87" t="e">
        <f>(#REF!/15)*11.5</f>
        <v>#REF!</v>
      </c>
      <c r="L76" s="87" t="e">
        <f>(#REF!/15)*11.5</f>
        <v>#REF!</v>
      </c>
      <c r="M76" s="87" t="e">
        <f>(#REF!/15)*11.5</f>
        <v>#REF!</v>
      </c>
      <c r="N76" s="87" t="e">
        <f>(#REF!/15)*11.5</f>
        <v>#REF!</v>
      </c>
      <c r="O76" s="87" t="e">
        <f>(#REF!/15)*11.5</f>
        <v>#REF!</v>
      </c>
      <c r="P76" s="87" t="e">
        <f>(#REF!/15)*11.5</f>
        <v>#REF!</v>
      </c>
      <c r="Q76" s="87" t="e">
        <f>(#REF!/15)*11.5</f>
        <v>#REF!</v>
      </c>
      <c r="R76" s="87" t="e">
        <f>(#REF!/15)*11.5</f>
        <v>#REF!</v>
      </c>
      <c r="S76" s="87" t="e">
        <f>(#REF!/15)*11.5</f>
        <v>#REF!</v>
      </c>
      <c r="T76" s="87" t="e">
        <f>(#REF!/15)*11.5</f>
        <v>#REF!</v>
      </c>
      <c r="U76" s="87" t="e">
        <f>(#REF!/15)*11.5</f>
        <v>#REF!</v>
      </c>
      <c r="V76" s="87" t="e">
        <f>(#REF!/15)*11.5</f>
        <v>#REF!</v>
      </c>
      <c r="W76" s="87" t="e">
        <f>(#REF!/15)*11.5</f>
        <v>#REF!</v>
      </c>
      <c r="X76" s="95" t="e">
        <f>(#REF!/15)*11.5</f>
        <v>#REF!</v>
      </c>
    </row>
    <row r="77" spans="1:24" s="35" customFormat="1">
      <c r="A77" s="1318"/>
      <c r="B77" s="66" t="s">
        <v>106</v>
      </c>
      <c r="C77" s="136" t="e">
        <f>(#REF!/15)*11.5</f>
        <v>#REF!</v>
      </c>
      <c r="D77" s="136" t="e">
        <f>(#REF!/15)*11.5</f>
        <v>#REF!</v>
      </c>
      <c r="E77" s="136" t="e">
        <f>(#REF!/15)*11.5</f>
        <v>#REF!</v>
      </c>
      <c r="F77" s="136" t="e">
        <f>(#REF!/15)*11.5</f>
        <v>#REF!</v>
      </c>
      <c r="G77" s="136" t="e">
        <f>(#REF!/15)*11.5</f>
        <v>#REF!</v>
      </c>
      <c r="H77" s="136" t="e">
        <f>(#REF!/15)*11.5</f>
        <v>#REF!</v>
      </c>
      <c r="I77" s="136" t="e">
        <f>(#REF!/15)*11.5</f>
        <v>#REF!</v>
      </c>
      <c r="J77" s="136" t="e">
        <f>(#REF!/15)*11.5</f>
        <v>#REF!</v>
      </c>
      <c r="K77" s="136" t="e">
        <f>(#REF!/15)*11.5</f>
        <v>#REF!</v>
      </c>
      <c r="L77" s="136" t="e">
        <f>(#REF!/15)*11.5</f>
        <v>#REF!</v>
      </c>
      <c r="M77" s="136" t="e">
        <f>(#REF!/15)*11.5</f>
        <v>#REF!</v>
      </c>
      <c r="N77" s="136" t="e">
        <f>(#REF!/15)*11.5</f>
        <v>#REF!</v>
      </c>
      <c r="O77" s="136" t="e">
        <f>(#REF!/15)*11.5</f>
        <v>#REF!</v>
      </c>
      <c r="P77" s="136" t="e">
        <f>(#REF!/15)*11.5</f>
        <v>#REF!</v>
      </c>
      <c r="Q77" s="136" t="e">
        <f>(#REF!/15)*11.5</f>
        <v>#REF!</v>
      </c>
      <c r="R77" s="136" t="e">
        <f>(#REF!/15)*11.5</f>
        <v>#REF!</v>
      </c>
      <c r="S77" s="136" t="e">
        <f>(#REF!/15)*11.5</f>
        <v>#REF!</v>
      </c>
      <c r="T77" s="136" t="e">
        <f>(#REF!/15)*11.5</f>
        <v>#REF!</v>
      </c>
      <c r="U77" s="136" t="e">
        <f>(#REF!/15)*11.5</f>
        <v>#REF!</v>
      </c>
      <c r="V77" s="136" t="e">
        <f>(#REF!/15)*11.5</f>
        <v>#REF!</v>
      </c>
      <c r="W77" s="136" t="e">
        <f>(#REF!/15)*11.5</f>
        <v>#REF!</v>
      </c>
      <c r="X77" s="143" t="e">
        <f>(#REF!/15)*11.5</f>
        <v>#REF!</v>
      </c>
    </row>
    <row r="78" spans="1:24" ht="15" customHeight="1">
      <c r="A78" s="1318"/>
      <c r="B78" s="66" t="s">
        <v>107</v>
      </c>
      <c r="C78" s="136" t="e">
        <f>(#REF!/15)*11.5</f>
        <v>#REF!</v>
      </c>
      <c r="D78" s="136" t="e">
        <f>(#REF!/15)*11.5</f>
        <v>#REF!</v>
      </c>
      <c r="E78" s="136" t="e">
        <f>(#REF!/15)*11.5</f>
        <v>#REF!</v>
      </c>
      <c r="F78" s="136" t="e">
        <f>(#REF!/15)*11.5</f>
        <v>#REF!</v>
      </c>
      <c r="G78" s="136" t="e">
        <f>(#REF!/15)*11.5</f>
        <v>#REF!</v>
      </c>
      <c r="H78" s="136" t="e">
        <f>(#REF!/15)*11.5</f>
        <v>#REF!</v>
      </c>
      <c r="I78" s="136" t="e">
        <f>(#REF!/15)*11.5</f>
        <v>#REF!</v>
      </c>
      <c r="J78" s="136" t="e">
        <f>(#REF!/15)*11.5</f>
        <v>#REF!</v>
      </c>
      <c r="K78" s="136" t="e">
        <f>(#REF!/15)*11.5</f>
        <v>#REF!</v>
      </c>
      <c r="L78" s="136" t="e">
        <f>(#REF!/15)*11.5</f>
        <v>#REF!</v>
      </c>
      <c r="M78" s="136" t="e">
        <f>(#REF!/15)*11.5</f>
        <v>#REF!</v>
      </c>
      <c r="N78" s="136" t="e">
        <f>(#REF!/15)*11.5</f>
        <v>#REF!</v>
      </c>
      <c r="O78" s="136" t="e">
        <f>(#REF!/15)*11.5</f>
        <v>#REF!</v>
      </c>
      <c r="P78" s="136" t="e">
        <f>(#REF!/15)*11.5</f>
        <v>#REF!</v>
      </c>
      <c r="Q78" s="136" t="e">
        <f>(#REF!/15)*11.5</f>
        <v>#REF!</v>
      </c>
      <c r="R78" s="136" t="e">
        <f>(#REF!/15)*11.5</f>
        <v>#REF!</v>
      </c>
      <c r="S78" s="136" t="e">
        <f>(#REF!/15)*11.5</f>
        <v>#REF!</v>
      </c>
      <c r="T78" s="136" t="e">
        <f>(#REF!/15)*11.5</f>
        <v>#REF!</v>
      </c>
      <c r="U78" s="136" t="e">
        <f>(#REF!/15)*11.5</f>
        <v>#REF!</v>
      </c>
      <c r="V78" s="136" t="e">
        <f>(#REF!/15)*11.5</f>
        <v>#REF!</v>
      </c>
      <c r="W78" s="136" t="e">
        <f>(#REF!/15)*11.5</f>
        <v>#REF!</v>
      </c>
      <c r="X78" s="143" t="e">
        <f>(#REF!/15)*11.5</f>
        <v>#REF!</v>
      </c>
    </row>
    <row r="79" spans="1:24">
      <c r="A79" s="1318"/>
      <c r="B79" s="66" t="s">
        <v>108</v>
      </c>
      <c r="C79" s="87" t="e">
        <f>(#REF!/15)*11.5</f>
        <v>#REF!</v>
      </c>
      <c r="D79" s="87" t="e">
        <f>(#REF!/15)*11.5</f>
        <v>#REF!</v>
      </c>
      <c r="E79" s="87" t="e">
        <f>(#REF!/15)*11.5</f>
        <v>#REF!</v>
      </c>
      <c r="F79" s="87" t="e">
        <f>(#REF!/15)*11.5</f>
        <v>#REF!</v>
      </c>
      <c r="G79" s="87" t="e">
        <f>(#REF!/15)*11.5</f>
        <v>#REF!</v>
      </c>
      <c r="H79" s="87" t="e">
        <f>(#REF!/15)*11.5</f>
        <v>#REF!</v>
      </c>
      <c r="I79" s="87" t="e">
        <f>(#REF!/15)*11.5</f>
        <v>#REF!</v>
      </c>
      <c r="J79" s="87" t="e">
        <f>(#REF!/15)*11.5</f>
        <v>#REF!</v>
      </c>
      <c r="K79" s="87" t="e">
        <f>(#REF!/15)*11.5</f>
        <v>#REF!</v>
      </c>
      <c r="L79" s="87" t="e">
        <f>(#REF!/15)*11.5</f>
        <v>#REF!</v>
      </c>
      <c r="M79" s="87" t="e">
        <f>(#REF!/15)*11.5</f>
        <v>#REF!</v>
      </c>
      <c r="N79" s="87" t="e">
        <f>(#REF!/15)*11.5</f>
        <v>#REF!</v>
      </c>
      <c r="O79" s="87" t="e">
        <f>(#REF!/15)*11.5</f>
        <v>#REF!</v>
      </c>
      <c r="P79" s="87" t="e">
        <f>(#REF!/15)*11.5</f>
        <v>#REF!</v>
      </c>
      <c r="Q79" s="87" t="e">
        <f>(#REF!/15)*11.5</f>
        <v>#REF!</v>
      </c>
      <c r="R79" s="87" t="e">
        <f>(#REF!/15)*11.5</f>
        <v>#REF!</v>
      </c>
      <c r="S79" s="87" t="e">
        <f>(#REF!/15)*11.5</f>
        <v>#REF!</v>
      </c>
      <c r="T79" s="87" t="e">
        <f>(#REF!/15)*11.5</f>
        <v>#REF!</v>
      </c>
      <c r="U79" s="87" t="e">
        <f>(#REF!/15)*11.5</f>
        <v>#REF!</v>
      </c>
      <c r="V79" s="87" t="e">
        <f>(#REF!/15)*11.5</f>
        <v>#REF!</v>
      </c>
      <c r="W79" s="87" t="e">
        <f>(#REF!/15)*11.5</f>
        <v>#REF!</v>
      </c>
      <c r="X79" s="95" t="e">
        <f>(#REF!/15)*11.5</f>
        <v>#REF!</v>
      </c>
    </row>
    <row r="80" spans="1:24">
      <c r="A80" s="1318"/>
      <c r="B80" s="66" t="s">
        <v>109</v>
      </c>
      <c r="C80" s="136" t="e">
        <f>(#REF!/15)*11.5</f>
        <v>#REF!</v>
      </c>
      <c r="D80" s="136" t="e">
        <f>(#REF!/15)*11.5</f>
        <v>#REF!</v>
      </c>
      <c r="E80" s="136" t="e">
        <f>(#REF!/15)*11.5</f>
        <v>#REF!</v>
      </c>
      <c r="F80" s="136" t="e">
        <f>(#REF!/15)*11.5</f>
        <v>#REF!</v>
      </c>
      <c r="G80" s="136" t="e">
        <f>(#REF!/15)*11.5</f>
        <v>#REF!</v>
      </c>
      <c r="H80" s="136" t="e">
        <f>(#REF!/15)*11.5</f>
        <v>#REF!</v>
      </c>
      <c r="I80" s="136" t="e">
        <f>(#REF!/15)*11.5</f>
        <v>#REF!</v>
      </c>
      <c r="J80" s="136" t="e">
        <f>(#REF!/15)*11.5</f>
        <v>#REF!</v>
      </c>
      <c r="K80" s="136" t="e">
        <f>(#REF!/15)*11.5</f>
        <v>#REF!</v>
      </c>
      <c r="L80" s="136" t="e">
        <f>(#REF!/15)*11.5</f>
        <v>#REF!</v>
      </c>
      <c r="M80" s="136" t="e">
        <f>(#REF!/15)*11.5</f>
        <v>#REF!</v>
      </c>
      <c r="N80" s="136" t="e">
        <f>(#REF!/15)*11.5</f>
        <v>#REF!</v>
      </c>
      <c r="O80" s="136" t="e">
        <f>(#REF!/15)*11.5</f>
        <v>#REF!</v>
      </c>
      <c r="P80" s="136" t="e">
        <f>(#REF!/15)*11.5</f>
        <v>#REF!</v>
      </c>
      <c r="Q80" s="136" t="e">
        <f>(#REF!/15)*11.5</f>
        <v>#REF!</v>
      </c>
      <c r="R80" s="136" t="e">
        <f>(#REF!/15)*11.5</f>
        <v>#REF!</v>
      </c>
      <c r="S80" s="136" t="e">
        <f>(#REF!/15)*11.5</f>
        <v>#REF!</v>
      </c>
      <c r="T80" s="136" t="e">
        <f>(#REF!/15)*11.5</f>
        <v>#REF!</v>
      </c>
      <c r="U80" s="136" t="e">
        <f>(#REF!/15)*11.5</f>
        <v>#REF!</v>
      </c>
      <c r="V80" s="136" t="e">
        <f>(#REF!/15)*11.5</f>
        <v>#REF!</v>
      </c>
      <c r="W80" s="136" t="e">
        <f>(#REF!/15)*11.5</f>
        <v>#REF!</v>
      </c>
      <c r="X80" s="143" t="e">
        <f>(#REF!/15)*11.5</f>
        <v>#REF!</v>
      </c>
    </row>
    <row r="81" spans="1:24">
      <c r="A81" s="1318"/>
      <c r="B81" s="66" t="s">
        <v>110</v>
      </c>
      <c r="C81" s="136" t="e">
        <f>(#REF!/15)*11.5</f>
        <v>#REF!</v>
      </c>
      <c r="D81" s="136" t="e">
        <f>(#REF!/15)*11.5</f>
        <v>#REF!</v>
      </c>
      <c r="E81" s="136" t="e">
        <f>(#REF!/15)*11.5</f>
        <v>#REF!</v>
      </c>
      <c r="F81" s="136" t="e">
        <f>(#REF!/15)*11.5</f>
        <v>#REF!</v>
      </c>
      <c r="G81" s="136" t="e">
        <f>(#REF!/15)*11.5</f>
        <v>#REF!</v>
      </c>
      <c r="H81" s="136" t="e">
        <f>(#REF!/15)*11.5</f>
        <v>#REF!</v>
      </c>
      <c r="I81" s="136" t="e">
        <f>(#REF!/15)*11.5</f>
        <v>#REF!</v>
      </c>
      <c r="J81" s="136" t="e">
        <f>(#REF!/15)*11.5</f>
        <v>#REF!</v>
      </c>
      <c r="K81" s="136" t="e">
        <f>(#REF!/15)*11.5</f>
        <v>#REF!</v>
      </c>
      <c r="L81" s="136" t="e">
        <f>(#REF!/15)*11.5</f>
        <v>#REF!</v>
      </c>
      <c r="M81" s="136" t="e">
        <f>(#REF!/15)*11.5</f>
        <v>#REF!</v>
      </c>
      <c r="N81" s="136" t="e">
        <f>(#REF!/15)*11.5</f>
        <v>#REF!</v>
      </c>
      <c r="O81" s="136" t="e">
        <f>(#REF!/15)*11.5</f>
        <v>#REF!</v>
      </c>
      <c r="P81" s="136" t="e">
        <f>(#REF!/15)*11.5</f>
        <v>#REF!</v>
      </c>
      <c r="Q81" s="136" t="e">
        <f>(#REF!/15)*11.5</f>
        <v>#REF!</v>
      </c>
      <c r="R81" s="136" t="e">
        <f>(#REF!/15)*11.5</f>
        <v>#REF!</v>
      </c>
      <c r="S81" s="136" t="e">
        <f>(#REF!/15)*11.5</f>
        <v>#REF!</v>
      </c>
      <c r="T81" s="136" t="e">
        <f>(#REF!/15)*11.5</f>
        <v>#REF!</v>
      </c>
      <c r="U81" s="136" t="e">
        <f>(#REF!/15)*11.5</f>
        <v>#REF!</v>
      </c>
      <c r="V81" s="136" t="e">
        <f>(#REF!/15)*11.5</f>
        <v>#REF!</v>
      </c>
      <c r="W81" s="136" t="e">
        <f>(#REF!/15)*11.5</f>
        <v>#REF!</v>
      </c>
      <c r="X81" s="143" t="e">
        <f>(#REF!/15)*11.5</f>
        <v>#REF!</v>
      </c>
    </row>
    <row r="82" spans="1:24">
      <c r="A82" s="1318"/>
      <c r="B82" s="66" t="s">
        <v>330</v>
      </c>
      <c r="C82" s="87" t="e">
        <f>(#REF!/15)*11.5</f>
        <v>#REF!</v>
      </c>
      <c r="D82" s="87" t="e">
        <f>(#REF!/15)*11.5</f>
        <v>#REF!</v>
      </c>
      <c r="E82" s="87" t="e">
        <f>(#REF!/15)*11.5</f>
        <v>#REF!</v>
      </c>
      <c r="F82" s="87" t="e">
        <f>(#REF!/15)*11.5</f>
        <v>#REF!</v>
      </c>
      <c r="G82" s="87" t="e">
        <f>(#REF!/15)*11.5</f>
        <v>#REF!</v>
      </c>
      <c r="H82" s="87" t="e">
        <f>(#REF!/15)*11.5</f>
        <v>#REF!</v>
      </c>
      <c r="I82" s="87" t="e">
        <f>(#REF!/15)*11.5</f>
        <v>#REF!</v>
      </c>
      <c r="J82" s="87" t="e">
        <f>(#REF!/15)*11.5</f>
        <v>#REF!</v>
      </c>
      <c r="K82" s="87" t="e">
        <f>(#REF!/15)*11.5</f>
        <v>#REF!</v>
      </c>
      <c r="L82" s="87" t="e">
        <f>(#REF!/15)*11.5</f>
        <v>#REF!</v>
      </c>
      <c r="M82" s="87" t="e">
        <f>(#REF!/15)*11.5</f>
        <v>#REF!</v>
      </c>
      <c r="N82" s="87" t="e">
        <f>(#REF!/15)*11.5</f>
        <v>#REF!</v>
      </c>
      <c r="O82" s="87" t="e">
        <f>(#REF!/15)*11.5</f>
        <v>#REF!</v>
      </c>
      <c r="P82" s="87" t="e">
        <f>(#REF!/15)*11.5</f>
        <v>#REF!</v>
      </c>
      <c r="Q82" s="87" t="e">
        <f>(#REF!/15)*11.5</f>
        <v>#REF!</v>
      </c>
      <c r="R82" s="87" t="e">
        <f>(#REF!/15)*11.5</f>
        <v>#REF!</v>
      </c>
      <c r="S82" s="87" t="e">
        <f>(#REF!/15)*11.5</f>
        <v>#REF!</v>
      </c>
      <c r="T82" s="87" t="e">
        <f>(#REF!/15)*11.5</f>
        <v>#REF!</v>
      </c>
      <c r="U82" s="87" t="e">
        <f>(#REF!/15)*11.5</f>
        <v>#REF!</v>
      </c>
      <c r="V82" s="87" t="e">
        <f>(#REF!/15)*11.5</f>
        <v>#REF!</v>
      </c>
      <c r="W82" s="87" t="e">
        <f>(#REF!/15)*11.5</f>
        <v>#REF!</v>
      </c>
      <c r="X82" s="95" t="e">
        <f>(#REF!/15)*11.5</f>
        <v>#REF!</v>
      </c>
    </row>
    <row r="83" spans="1:24">
      <c r="A83" s="1318"/>
      <c r="B83" s="66" t="s">
        <v>111</v>
      </c>
      <c r="C83" s="136" t="e">
        <f>(#REF!/15)*11.5</f>
        <v>#REF!</v>
      </c>
      <c r="D83" s="136" t="e">
        <f>(#REF!/15)*11.5</f>
        <v>#REF!</v>
      </c>
      <c r="E83" s="136" t="e">
        <f>(#REF!/15)*11.5</f>
        <v>#REF!</v>
      </c>
      <c r="F83" s="136" t="e">
        <f>(#REF!/15)*11.5</f>
        <v>#REF!</v>
      </c>
      <c r="G83" s="136" t="e">
        <f>(#REF!/15)*11.5</f>
        <v>#REF!</v>
      </c>
      <c r="H83" s="136" t="e">
        <f>(#REF!/15)*11.5</f>
        <v>#REF!</v>
      </c>
      <c r="I83" s="136" t="e">
        <f>(#REF!/15)*11.5</f>
        <v>#REF!</v>
      </c>
      <c r="J83" s="136" t="e">
        <f>(#REF!/15)*11.5</f>
        <v>#REF!</v>
      </c>
      <c r="K83" s="136" t="e">
        <f>(#REF!/15)*11.5</f>
        <v>#REF!</v>
      </c>
      <c r="L83" s="136" t="e">
        <f>(#REF!/15)*11.5</f>
        <v>#REF!</v>
      </c>
      <c r="M83" s="136" t="e">
        <f>(#REF!/15)*11.5</f>
        <v>#REF!</v>
      </c>
      <c r="N83" s="136" t="e">
        <f>(#REF!/15)*11.5</f>
        <v>#REF!</v>
      </c>
      <c r="O83" s="136" t="e">
        <f>(#REF!/15)*11.5</f>
        <v>#REF!</v>
      </c>
      <c r="P83" s="136" t="e">
        <f>(#REF!/15)*11.5</f>
        <v>#REF!</v>
      </c>
      <c r="Q83" s="136" t="e">
        <f>(#REF!/15)*11.5</f>
        <v>#REF!</v>
      </c>
      <c r="R83" s="136" t="e">
        <f>(#REF!/15)*11.5</f>
        <v>#REF!</v>
      </c>
      <c r="S83" s="136" t="e">
        <f>(#REF!/15)*11.5</f>
        <v>#REF!</v>
      </c>
      <c r="T83" s="136" t="e">
        <f>(#REF!/15)*11.5</f>
        <v>#REF!</v>
      </c>
      <c r="U83" s="136" t="e">
        <f>(#REF!/15)*11.5</f>
        <v>#REF!</v>
      </c>
      <c r="V83" s="136" t="e">
        <f>(#REF!/15)*11.5</f>
        <v>#REF!</v>
      </c>
      <c r="W83" s="136" t="e">
        <f>(#REF!/15)*11.5</f>
        <v>#REF!</v>
      </c>
      <c r="X83" s="143" t="e">
        <f>(#REF!/15)*11.5</f>
        <v>#REF!</v>
      </c>
    </row>
    <row r="84" spans="1:24" ht="15" customHeight="1">
      <c r="A84" s="1318"/>
      <c r="B84" s="66" t="s">
        <v>112</v>
      </c>
      <c r="C84" s="136" t="e">
        <f>(#REF!/15)*11.5</f>
        <v>#REF!</v>
      </c>
      <c r="D84" s="136" t="e">
        <f>(#REF!/15)*11.5</f>
        <v>#REF!</v>
      </c>
      <c r="E84" s="136" t="e">
        <f>(#REF!/15)*11.5</f>
        <v>#REF!</v>
      </c>
      <c r="F84" s="136" t="e">
        <f>(#REF!/15)*11.5</f>
        <v>#REF!</v>
      </c>
      <c r="G84" s="136" t="e">
        <f>(#REF!/15)*11.5</f>
        <v>#REF!</v>
      </c>
      <c r="H84" s="136" t="e">
        <f>(#REF!/15)*11.5</f>
        <v>#REF!</v>
      </c>
      <c r="I84" s="136" t="e">
        <f>(#REF!/15)*11.5</f>
        <v>#REF!</v>
      </c>
      <c r="J84" s="136" t="e">
        <f>(#REF!/15)*11.5</f>
        <v>#REF!</v>
      </c>
      <c r="K84" s="136" t="e">
        <f>(#REF!/15)*11.5</f>
        <v>#REF!</v>
      </c>
      <c r="L84" s="136" t="e">
        <f>(#REF!/15)*11.5</f>
        <v>#REF!</v>
      </c>
      <c r="M84" s="136" t="e">
        <f>(#REF!/15)*11.5</f>
        <v>#REF!</v>
      </c>
      <c r="N84" s="136" t="e">
        <f>(#REF!/15)*11.5</f>
        <v>#REF!</v>
      </c>
      <c r="O84" s="136" t="e">
        <f>(#REF!/15)*11.5</f>
        <v>#REF!</v>
      </c>
      <c r="P84" s="136" t="e">
        <f>(#REF!/15)*11.5</f>
        <v>#REF!</v>
      </c>
      <c r="Q84" s="136" t="e">
        <f>(#REF!/15)*11.5</f>
        <v>#REF!</v>
      </c>
      <c r="R84" s="136" t="e">
        <f>(#REF!/15)*11.5</f>
        <v>#REF!</v>
      </c>
      <c r="S84" s="136" t="e">
        <f>(#REF!/15)*11.5</f>
        <v>#REF!</v>
      </c>
      <c r="T84" s="136" t="e">
        <f>(#REF!/15)*11.5</f>
        <v>#REF!</v>
      </c>
      <c r="U84" s="136" t="e">
        <f>(#REF!/15)*11.5</f>
        <v>#REF!</v>
      </c>
      <c r="V84" s="136" t="e">
        <f>(#REF!/15)*11.5</f>
        <v>#REF!</v>
      </c>
      <c r="W84" s="136" t="e">
        <f>(#REF!/15)*11.5</f>
        <v>#REF!</v>
      </c>
      <c r="X84" s="143" t="e">
        <f>(#REF!/15)*11.5</f>
        <v>#REF!</v>
      </c>
    </row>
    <row r="85" spans="1:24" ht="14.25" customHeight="1">
      <c r="A85" s="1318"/>
      <c r="B85" s="66" t="s">
        <v>113</v>
      </c>
      <c r="C85" s="136" t="e">
        <f>(#REF!/15)*11.5</f>
        <v>#REF!</v>
      </c>
      <c r="D85" s="136" t="e">
        <f>(#REF!/15)*11.5</f>
        <v>#REF!</v>
      </c>
      <c r="E85" s="136" t="e">
        <f>(#REF!/15)*11.5</f>
        <v>#REF!</v>
      </c>
      <c r="F85" s="136" t="e">
        <f>(#REF!/15)*11.5</f>
        <v>#REF!</v>
      </c>
      <c r="G85" s="136" t="e">
        <f>(#REF!/15)*11.5</f>
        <v>#REF!</v>
      </c>
      <c r="H85" s="136" t="e">
        <f>(#REF!/15)*11.5</f>
        <v>#REF!</v>
      </c>
      <c r="I85" s="136" t="e">
        <f>(#REF!/15)*11.5</f>
        <v>#REF!</v>
      </c>
      <c r="J85" s="136" t="e">
        <f>(#REF!/15)*11.5</f>
        <v>#REF!</v>
      </c>
      <c r="K85" s="136" t="e">
        <f>(#REF!/15)*11.5</f>
        <v>#REF!</v>
      </c>
      <c r="L85" s="136" t="e">
        <f>(#REF!/15)*11.5</f>
        <v>#REF!</v>
      </c>
      <c r="M85" s="136" t="e">
        <f>(#REF!/15)*11.5</f>
        <v>#REF!</v>
      </c>
      <c r="N85" s="136" t="e">
        <f>(#REF!/15)*11.5</f>
        <v>#REF!</v>
      </c>
      <c r="O85" s="136" t="e">
        <f>(#REF!/15)*11.5</f>
        <v>#REF!</v>
      </c>
      <c r="P85" s="136" t="e">
        <f>(#REF!/15)*11.5</f>
        <v>#REF!</v>
      </c>
      <c r="Q85" s="136" t="e">
        <f>(#REF!/15)*11.5</f>
        <v>#REF!</v>
      </c>
      <c r="R85" s="136" t="e">
        <f>(#REF!/15)*11.5</f>
        <v>#REF!</v>
      </c>
      <c r="S85" s="136" t="e">
        <f>(#REF!/15)*11.5</f>
        <v>#REF!</v>
      </c>
      <c r="T85" s="136" t="e">
        <f>(#REF!/15)*11.5</f>
        <v>#REF!</v>
      </c>
      <c r="U85" s="136" t="e">
        <f>(#REF!/15)*11.5</f>
        <v>#REF!</v>
      </c>
      <c r="V85" s="136" t="e">
        <f>(#REF!/15)*11.5</f>
        <v>#REF!</v>
      </c>
      <c r="W85" s="136" t="e">
        <f>(#REF!/15)*11.5</f>
        <v>#REF!</v>
      </c>
      <c r="X85" s="143" t="e">
        <f>(#REF!/15)*11.5</f>
        <v>#REF!</v>
      </c>
    </row>
    <row r="86" spans="1:24" ht="14.25" customHeight="1">
      <c r="A86" s="1318"/>
      <c r="B86" s="66" t="s">
        <v>114</v>
      </c>
      <c r="C86" s="136" t="e">
        <f>(#REF!/15)*11.5</f>
        <v>#REF!</v>
      </c>
      <c r="D86" s="136" t="e">
        <f>(#REF!/15)*11.5</f>
        <v>#REF!</v>
      </c>
      <c r="E86" s="136" t="e">
        <f>(#REF!/15)*11.5</f>
        <v>#REF!</v>
      </c>
      <c r="F86" s="136" t="e">
        <f>(#REF!/15)*11.5</f>
        <v>#REF!</v>
      </c>
      <c r="G86" s="136" t="e">
        <f>(#REF!/15)*11.5</f>
        <v>#REF!</v>
      </c>
      <c r="H86" s="136" t="e">
        <f>(#REF!/15)*11.5</f>
        <v>#REF!</v>
      </c>
      <c r="I86" s="136" t="e">
        <f>(#REF!/15)*11.5</f>
        <v>#REF!</v>
      </c>
      <c r="J86" s="136" t="e">
        <f>(#REF!/15)*11.5</f>
        <v>#REF!</v>
      </c>
      <c r="K86" s="136" t="e">
        <f>(#REF!/15)*11.5</f>
        <v>#REF!</v>
      </c>
      <c r="L86" s="136" t="e">
        <f>(#REF!/15)*11.5</f>
        <v>#REF!</v>
      </c>
      <c r="M86" s="136" t="e">
        <f>(#REF!/15)*11.5</f>
        <v>#REF!</v>
      </c>
      <c r="N86" s="136" t="e">
        <f>(#REF!/15)*11.5</f>
        <v>#REF!</v>
      </c>
      <c r="O86" s="136" t="e">
        <f>(#REF!/15)*11.5</f>
        <v>#REF!</v>
      </c>
      <c r="P86" s="136" t="e">
        <f>(#REF!/15)*11.5</f>
        <v>#REF!</v>
      </c>
      <c r="Q86" s="136" t="e">
        <f>(#REF!/15)*11.5</f>
        <v>#REF!</v>
      </c>
      <c r="R86" s="136" t="e">
        <f>(#REF!/15)*11.5</f>
        <v>#REF!</v>
      </c>
      <c r="S86" s="136" t="e">
        <f>(#REF!/15)*11.5</f>
        <v>#REF!</v>
      </c>
      <c r="T86" s="136" t="e">
        <f>(#REF!/15)*11.5</f>
        <v>#REF!</v>
      </c>
      <c r="U86" s="136" t="e">
        <f>(#REF!/15)*11.5</f>
        <v>#REF!</v>
      </c>
      <c r="V86" s="136" t="e">
        <f>(#REF!/15)*11.5</f>
        <v>#REF!</v>
      </c>
      <c r="W86" s="136" t="e">
        <f>(#REF!/15)*11.5</f>
        <v>#REF!</v>
      </c>
      <c r="X86" s="143" t="e">
        <f>(#REF!/15)*11.5</f>
        <v>#REF!</v>
      </c>
    </row>
    <row r="87" spans="1:24">
      <c r="A87" s="1318"/>
      <c r="B87" s="66" t="s">
        <v>115</v>
      </c>
      <c r="C87" s="136" t="e">
        <f>(#REF!/15)*11.5</f>
        <v>#REF!</v>
      </c>
      <c r="D87" s="136" t="e">
        <f>(#REF!/15)*11.5</f>
        <v>#REF!</v>
      </c>
      <c r="E87" s="136" t="e">
        <f>(#REF!/15)*11.5</f>
        <v>#REF!</v>
      </c>
      <c r="F87" s="136" t="e">
        <f>(#REF!/15)*11.5</f>
        <v>#REF!</v>
      </c>
      <c r="G87" s="136" t="e">
        <f>(#REF!/15)*11.5</f>
        <v>#REF!</v>
      </c>
      <c r="H87" s="136" t="e">
        <f>(#REF!/15)*11.5</f>
        <v>#REF!</v>
      </c>
      <c r="I87" s="136" t="e">
        <f>(#REF!/15)*11.5</f>
        <v>#REF!</v>
      </c>
      <c r="J87" s="136" t="e">
        <f>(#REF!/15)*11.5</f>
        <v>#REF!</v>
      </c>
      <c r="K87" s="136" t="e">
        <f>(#REF!/15)*11.5</f>
        <v>#REF!</v>
      </c>
      <c r="L87" s="136" t="e">
        <f>(#REF!/15)*11.5</f>
        <v>#REF!</v>
      </c>
      <c r="M87" s="136" t="e">
        <f>(#REF!/15)*11.5</f>
        <v>#REF!</v>
      </c>
      <c r="N87" s="136" t="e">
        <f>(#REF!/15)*11.5</f>
        <v>#REF!</v>
      </c>
      <c r="O87" s="136" t="e">
        <f>(#REF!/15)*11.5</f>
        <v>#REF!</v>
      </c>
      <c r="P87" s="136" t="e">
        <f>(#REF!/15)*11.5</f>
        <v>#REF!</v>
      </c>
      <c r="Q87" s="136" t="e">
        <f>(#REF!/15)*11.5</f>
        <v>#REF!</v>
      </c>
      <c r="R87" s="136" t="e">
        <f>(#REF!/15)*11.5</f>
        <v>#REF!</v>
      </c>
      <c r="S87" s="136" t="e">
        <f>(#REF!/15)*11.5</f>
        <v>#REF!</v>
      </c>
      <c r="T87" s="136" t="e">
        <f>(#REF!/15)*11.5</f>
        <v>#REF!</v>
      </c>
      <c r="U87" s="136" t="e">
        <f>(#REF!/15)*11.5</f>
        <v>#REF!</v>
      </c>
      <c r="V87" s="136" t="e">
        <f>(#REF!/15)*11.5</f>
        <v>#REF!</v>
      </c>
      <c r="W87" s="136" t="e">
        <f>(#REF!/15)*11.5</f>
        <v>#REF!</v>
      </c>
      <c r="X87" s="143" t="e">
        <f>(#REF!/15)*11.5</f>
        <v>#REF!</v>
      </c>
    </row>
    <row r="88" spans="1:24" s="35" customFormat="1">
      <c r="A88" s="1318"/>
      <c r="B88" s="66" t="s">
        <v>116</v>
      </c>
      <c r="C88" s="87" t="e">
        <f>(#REF!/15)*11.5</f>
        <v>#REF!</v>
      </c>
      <c r="D88" s="87" t="e">
        <f>(#REF!/15)*11.5</f>
        <v>#REF!</v>
      </c>
      <c r="E88" s="87" t="e">
        <f>(#REF!/15)*11.5</f>
        <v>#REF!</v>
      </c>
      <c r="F88" s="87" t="e">
        <f>(#REF!/15)*11.5</f>
        <v>#REF!</v>
      </c>
      <c r="G88" s="87" t="e">
        <f>(#REF!/15)*11.5</f>
        <v>#REF!</v>
      </c>
      <c r="H88" s="87" t="e">
        <f>(#REF!/15)*11.5</f>
        <v>#REF!</v>
      </c>
      <c r="I88" s="87" t="e">
        <f>(#REF!/15)*11.5</f>
        <v>#REF!</v>
      </c>
      <c r="J88" s="87" t="e">
        <f>(#REF!/15)*11.5</f>
        <v>#REF!</v>
      </c>
      <c r="K88" s="87" t="e">
        <f>(#REF!/15)*11.5</f>
        <v>#REF!</v>
      </c>
      <c r="L88" s="87" t="e">
        <f>(#REF!/15)*11.5</f>
        <v>#REF!</v>
      </c>
      <c r="M88" s="87" t="e">
        <f>(#REF!/15)*11.5</f>
        <v>#REF!</v>
      </c>
      <c r="N88" s="87" t="e">
        <f>(#REF!/15)*11.5</f>
        <v>#REF!</v>
      </c>
      <c r="O88" s="87" t="e">
        <f>(#REF!/15)*11.5</f>
        <v>#REF!</v>
      </c>
      <c r="P88" s="87" t="e">
        <f>(#REF!/15)*11.5</f>
        <v>#REF!</v>
      </c>
      <c r="Q88" s="87" t="e">
        <f>(#REF!/15)*11.5</f>
        <v>#REF!</v>
      </c>
      <c r="R88" s="87" t="e">
        <f>(#REF!/15)*11.5</f>
        <v>#REF!</v>
      </c>
      <c r="S88" s="87" t="e">
        <f>(#REF!/15)*11.5</f>
        <v>#REF!</v>
      </c>
      <c r="T88" s="87" t="e">
        <f>(#REF!/15)*11.5</f>
        <v>#REF!</v>
      </c>
      <c r="U88" s="87" t="e">
        <f>(#REF!/15)*11.5</f>
        <v>#REF!</v>
      </c>
      <c r="V88" s="87" t="e">
        <f>(#REF!/15)*11.5</f>
        <v>#REF!</v>
      </c>
      <c r="W88" s="87" t="e">
        <f>(#REF!/15)*11.5</f>
        <v>#REF!</v>
      </c>
      <c r="X88" s="95" t="e">
        <f>(#REF!/15)*11.5</f>
        <v>#REF!</v>
      </c>
    </row>
    <row r="89" spans="1:24" s="33" customFormat="1" ht="15" customHeight="1">
      <c r="A89" s="1318"/>
      <c r="B89" s="66" t="s">
        <v>118</v>
      </c>
      <c r="C89" s="136" t="e">
        <f>(#REF!/15)*11.5</f>
        <v>#REF!</v>
      </c>
      <c r="D89" s="136" t="e">
        <f>(#REF!/15)*11.5</f>
        <v>#REF!</v>
      </c>
      <c r="E89" s="136" t="e">
        <f>(#REF!/15)*11.5</f>
        <v>#REF!</v>
      </c>
      <c r="F89" s="136" t="e">
        <f>(#REF!/15)*11.5</f>
        <v>#REF!</v>
      </c>
      <c r="G89" s="136" t="e">
        <f>(#REF!/15)*11.5</f>
        <v>#REF!</v>
      </c>
      <c r="H89" s="136" t="e">
        <f>(#REF!/15)*11.5</f>
        <v>#REF!</v>
      </c>
      <c r="I89" s="136" t="e">
        <f>(#REF!/15)*11.5</f>
        <v>#REF!</v>
      </c>
      <c r="J89" s="136" t="e">
        <f>(#REF!/15)*11.5</f>
        <v>#REF!</v>
      </c>
      <c r="K89" s="136" t="e">
        <f>(#REF!/15)*11.5</f>
        <v>#REF!</v>
      </c>
      <c r="L89" s="136" t="e">
        <f>(#REF!/15)*11.5</f>
        <v>#REF!</v>
      </c>
      <c r="M89" s="136" t="e">
        <f>(#REF!/15)*11.5</f>
        <v>#REF!</v>
      </c>
      <c r="N89" s="136" t="e">
        <f>(#REF!/15)*11.5</f>
        <v>#REF!</v>
      </c>
      <c r="O89" s="136" t="e">
        <f>(#REF!/15)*11.5</f>
        <v>#REF!</v>
      </c>
      <c r="P89" s="136" t="e">
        <f>(#REF!/15)*11.5</f>
        <v>#REF!</v>
      </c>
      <c r="Q89" s="136" t="e">
        <f>(#REF!/15)*11.5</f>
        <v>#REF!</v>
      </c>
      <c r="R89" s="136" t="e">
        <f>(#REF!/15)*11.5</f>
        <v>#REF!</v>
      </c>
      <c r="S89" s="136" t="e">
        <f>(#REF!/15)*11.5</f>
        <v>#REF!</v>
      </c>
      <c r="T89" s="136" t="e">
        <f>(#REF!/15)*11.5</f>
        <v>#REF!</v>
      </c>
      <c r="U89" s="136" t="e">
        <f>(#REF!/15)*11.5</f>
        <v>#REF!</v>
      </c>
      <c r="V89" s="136" t="e">
        <f>(#REF!/15)*11.5</f>
        <v>#REF!</v>
      </c>
      <c r="W89" s="136" t="e">
        <f>(#REF!/15)*11.5</f>
        <v>#REF!</v>
      </c>
      <c r="X89" s="143" t="e">
        <f>(#REF!/15)*11.5</f>
        <v>#REF!</v>
      </c>
    </row>
    <row r="90" spans="1:24">
      <c r="A90" s="1318"/>
      <c r="B90" s="66" t="s">
        <v>183</v>
      </c>
      <c r="C90" s="136" t="e">
        <f>(#REF!/15)*11.5</f>
        <v>#REF!</v>
      </c>
      <c r="D90" s="136" t="e">
        <f>(#REF!/15)*11.5</f>
        <v>#REF!</v>
      </c>
      <c r="E90" s="136" t="e">
        <f>(#REF!/15)*11.5</f>
        <v>#REF!</v>
      </c>
      <c r="F90" s="136" t="e">
        <f>(#REF!/15)*11.5</f>
        <v>#REF!</v>
      </c>
      <c r="G90" s="136" t="e">
        <f>(#REF!/15)*11.5</f>
        <v>#REF!</v>
      </c>
      <c r="H90" s="136" t="e">
        <f>(#REF!/15)*11.5</f>
        <v>#REF!</v>
      </c>
      <c r="I90" s="136" t="e">
        <f>(#REF!/15)*11.5</f>
        <v>#REF!</v>
      </c>
      <c r="J90" s="136" t="e">
        <f>(#REF!/15)*11.5</f>
        <v>#REF!</v>
      </c>
      <c r="K90" s="136" t="e">
        <f>(#REF!/15)*11.5</f>
        <v>#REF!</v>
      </c>
      <c r="L90" s="136" t="e">
        <f>(#REF!/15)*11.5</f>
        <v>#REF!</v>
      </c>
      <c r="M90" s="136" t="e">
        <f>(#REF!/15)*11.5</f>
        <v>#REF!</v>
      </c>
      <c r="N90" s="136" t="e">
        <f>(#REF!/15)*11.5</f>
        <v>#REF!</v>
      </c>
      <c r="O90" s="136" t="e">
        <f>(#REF!/15)*11.5</f>
        <v>#REF!</v>
      </c>
      <c r="P90" s="136" t="e">
        <f>(#REF!/15)*11.5</f>
        <v>#REF!</v>
      </c>
      <c r="Q90" s="136" t="e">
        <f>(#REF!/15)*11.5</f>
        <v>#REF!</v>
      </c>
      <c r="R90" s="136" t="e">
        <f>(#REF!/15)*11.5</f>
        <v>#REF!</v>
      </c>
      <c r="S90" s="136" t="e">
        <f>(#REF!/15)*11.5</f>
        <v>#REF!</v>
      </c>
      <c r="T90" s="136" t="e">
        <f>(#REF!/15)*11.5</f>
        <v>#REF!</v>
      </c>
      <c r="U90" s="136" t="e">
        <f>(#REF!/15)*11.5</f>
        <v>#REF!</v>
      </c>
      <c r="V90" s="136" t="e">
        <f>(#REF!/15)*11.5</f>
        <v>#REF!</v>
      </c>
      <c r="W90" s="136" t="e">
        <f>(#REF!/15)*11.5</f>
        <v>#REF!</v>
      </c>
      <c r="X90" s="143" t="e">
        <f>(#REF!/15)*11.5</f>
        <v>#REF!</v>
      </c>
    </row>
    <row r="91" spans="1:24" ht="15" customHeight="1">
      <c r="A91" s="1318"/>
      <c r="B91" s="66" t="s">
        <v>119</v>
      </c>
      <c r="C91" s="136" t="e">
        <f>(#REF!/15)*11.5</f>
        <v>#REF!</v>
      </c>
      <c r="D91" s="136" t="e">
        <f>(#REF!/15)*11.5</f>
        <v>#REF!</v>
      </c>
      <c r="E91" s="136" t="e">
        <f>(#REF!/15)*11.5</f>
        <v>#REF!</v>
      </c>
      <c r="F91" s="136" t="e">
        <f>(#REF!/15)*11.5</f>
        <v>#REF!</v>
      </c>
      <c r="G91" s="136" t="e">
        <f>(#REF!/15)*11.5</f>
        <v>#REF!</v>
      </c>
      <c r="H91" s="136" t="e">
        <f>(#REF!/15)*11.5</f>
        <v>#REF!</v>
      </c>
      <c r="I91" s="136" t="e">
        <f>(#REF!/15)*11.5</f>
        <v>#REF!</v>
      </c>
      <c r="J91" s="136" t="e">
        <f>(#REF!/15)*11.5</f>
        <v>#REF!</v>
      </c>
      <c r="K91" s="136" t="e">
        <f>(#REF!/15)*11.5</f>
        <v>#REF!</v>
      </c>
      <c r="L91" s="136" t="e">
        <f>(#REF!/15)*11.5</f>
        <v>#REF!</v>
      </c>
      <c r="M91" s="136" t="e">
        <f>(#REF!/15)*11.5</f>
        <v>#REF!</v>
      </c>
      <c r="N91" s="136" t="e">
        <f>(#REF!/15)*11.5</f>
        <v>#REF!</v>
      </c>
      <c r="O91" s="136" t="e">
        <f>(#REF!/15)*11.5</f>
        <v>#REF!</v>
      </c>
      <c r="P91" s="136" t="e">
        <f>(#REF!/15)*11.5</f>
        <v>#REF!</v>
      </c>
      <c r="Q91" s="136" t="e">
        <f>(#REF!/15)*11.5</f>
        <v>#REF!</v>
      </c>
      <c r="R91" s="136" t="e">
        <f>(#REF!/15)*11.5</f>
        <v>#REF!</v>
      </c>
      <c r="S91" s="136" t="e">
        <f>(#REF!/15)*11.5</f>
        <v>#REF!</v>
      </c>
      <c r="T91" s="136" t="e">
        <f>(#REF!/15)*11.5</f>
        <v>#REF!</v>
      </c>
      <c r="U91" s="136" t="e">
        <f>(#REF!/15)*11.5</f>
        <v>#REF!</v>
      </c>
      <c r="V91" s="136" t="e">
        <f>(#REF!/15)*11.5</f>
        <v>#REF!</v>
      </c>
      <c r="W91" s="136" t="e">
        <f>(#REF!/15)*11.5</f>
        <v>#REF!</v>
      </c>
      <c r="X91" s="143" t="e">
        <f>(#REF!/15)*11.5</f>
        <v>#REF!</v>
      </c>
    </row>
    <row r="92" spans="1:24" ht="15" thickBot="1">
      <c r="A92" s="1319"/>
      <c r="B92" s="67" t="s">
        <v>120</v>
      </c>
      <c r="C92" s="90" t="e">
        <f>(#REF!/15)*11.5</f>
        <v>#REF!</v>
      </c>
      <c r="D92" s="90" t="e">
        <f>(#REF!/15)*11.5</f>
        <v>#REF!</v>
      </c>
      <c r="E92" s="90" t="e">
        <f>(#REF!/15)*11.5</f>
        <v>#REF!</v>
      </c>
      <c r="F92" s="90" t="e">
        <f>(#REF!/15)*11.5</f>
        <v>#REF!</v>
      </c>
      <c r="G92" s="90" t="e">
        <f>(#REF!/15)*11.5</f>
        <v>#REF!</v>
      </c>
      <c r="H92" s="90" t="e">
        <f>(#REF!/15)*11.5</f>
        <v>#REF!</v>
      </c>
      <c r="I92" s="90" t="e">
        <f>(#REF!/15)*11.5</f>
        <v>#REF!</v>
      </c>
      <c r="J92" s="90" t="e">
        <f>(#REF!/15)*11.5</f>
        <v>#REF!</v>
      </c>
      <c r="K92" s="90" t="e">
        <f>(#REF!/15)*11.5</f>
        <v>#REF!</v>
      </c>
      <c r="L92" s="90" t="e">
        <f>(#REF!/15)*11.5</f>
        <v>#REF!</v>
      </c>
      <c r="M92" s="90" t="e">
        <f>(#REF!/15)*11.5</f>
        <v>#REF!</v>
      </c>
      <c r="N92" s="90" t="e">
        <f>(#REF!/15)*11.5</f>
        <v>#REF!</v>
      </c>
      <c r="O92" s="90" t="e">
        <f>(#REF!/15)*11.5</f>
        <v>#REF!</v>
      </c>
      <c r="P92" s="90" t="e">
        <f>(#REF!/15)*11.5</f>
        <v>#REF!</v>
      </c>
      <c r="Q92" s="90" t="e">
        <f>(#REF!/15)*11.5</f>
        <v>#REF!</v>
      </c>
      <c r="R92" s="90" t="e">
        <f>(#REF!/15)*11.5</f>
        <v>#REF!</v>
      </c>
      <c r="S92" s="90" t="e">
        <f>(#REF!/15)*11.5</f>
        <v>#REF!</v>
      </c>
      <c r="T92" s="90" t="e">
        <f>(#REF!/15)*11.5</f>
        <v>#REF!</v>
      </c>
      <c r="U92" s="90" t="e">
        <f>(#REF!/15)*11.5</f>
        <v>#REF!</v>
      </c>
      <c r="V92" s="90" t="e">
        <f>(#REF!/15)*11.5</f>
        <v>#REF!</v>
      </c>
      <c r="W92" s="90" t="e">
        <f>(#REF!/15)*11.5</f>
        <v>#REF!</v>
      </c>
      <c r="X92" s="96" t="e">
        <f>(#REF!/15)*11.5</f>
        <v>#REF!</v>
      </c>
    </row>
    <row r="93" spans="1:24" ht="14.25" customHeight="1">
      <c r="A93" s="1317" t="s">
        <v>121</v>
      </c>
      <c r="B93" s="65" t="s">
        <v>122</v>
      </c>
      <c r="C93" s="133" t="e">
        <f>(#REF!/15)*11.5</f>
        <v>#REF!</v>
      </c>
      <c r="D93" s="133" t="e">
        <f>(#REF!/15)*11.5</f>
        <v>#REF!</v>
      </c>
      <c r="E93" s="133" t="e">
        <f>(#REF!/15)*11.5</f>
        <v>#REF!</v>
      </c>
      <c r="F93" s="133" t="e">
        <f>(#REF!/15)*11.5</f>
        <v>#REF!</v>
      </c>
      <c r="G93" s="133" t="e">
        <f>(#REF!/15)*11.5</f>
        <v>#REF!</v>
      </c>
      <c r="H93" s="133" t="e">
        <f>(#REF!/15)*11.5</f>
        <v>#REF!</v>
      </c>
      <c r="I93" s="133" t="e">
        <f>(#REF!/15)*11.5</f>
        <v>#REF!</v>
      </c>
      <c r="J93" s="133" t="e">
        <f>(#REF!/15)*11.5</f>
        <v>#REF!</v>
      </c>
      <c r="K93" s="133" t="e">
        <f>(#REF!/15)*11.5</f>
        <v>#REF!</v>
      </c>
      <c r="L93" s="133" t="e">
        <f>(#REF!/15)*11.5</f>
        <v>#REF!</v>
      </c>
      <c r="M93" s="133" t="e">
        <f>(#REF!/15)*11.5</f>
        <v>#REF!</v>
      </c>
      <c r="N93" s="133" t="e">
        <f>(#REF!/15)*11.5</f>
        <v>#REF!</v>
      </c>
      <c r="O93" s="133" t="e">
        <f>(#REF!/15)*11.5</f>
        <v>#REF!</v>
      </c>
      <c r="P93" s="133" t="e">
        <f>(#REF!/15)*11.5</f>
        <v>#REF!</v>
      </c>
      <c r="Q93" s="133" t="e">
        <f>(#REF!/15)*11.5</f>
        <v>#REF!</v>
      </c>
      <c r="R93" s="133" t="e">
        <f>(#REF!/15)*11.5</f>
        <v>#REF!</v>
      </c>
      <c r="S93" s="133" t="e">
        <f>(#REF!/15)*11.5</f>
        <v>#REF!</v>
      </c>
      <c r="T93" s="133" t="e">
        <f>(#REF!/15)*11.5</f>
        <v>#REF!</v>
      </c>
      <c r="U93" s="133" t="e">
        <f>(#REF!/15)*11.5</f>
        <v>#REF!</v>
      </c>
      <c r="V93" s="133" t="e">
        <f>(#REF!/15)*11.5</f>
        <v>#REF!</v>
      </c>
      <c r="W93" s="133" t="e">
        <f>(#REF!/15)*11.5</f>
        <v>#REF!</v>
      </c>
      <c r="X93" s="150" t="e">
        <f>(#REF!/15)*11.5</f>
        <v>#REF!</v>
      </c>
    </row>
    <row r="94" spans="1:24">
      <c r="A94" s="1318"/>
      <c r="B94" s="66" t="s">
        <v>123</v>
      </c>
      <c r="C94" s="136" t="e">
        <f>(#REF!/15)*11.5</f>
        <v>#REF!</v>
      </c>
      <c r="D94" s="136" t="e">
        <f>(#REF!/15)*11.5</f>
        <v>#REF!</v>
      </c>
      <c r="E94" s="136" t="e">
        <f>(#REF!/15)*11.5</f>
        <v>#REF!</v>
      </c>
      <c r="F94" s="136" t="e">
        <f>(#REF!/15)*11.5</f>
        <v>#REF!</v>
      </c>
      <c r="G94" s="136" t="e">
        <f>(#REF!/15)*11.5</f>
        <v>#REF!</v>
      </c>
      <c r="H94" s="136" t="e">
        <f>(#REF!/15)*11.5</f>
        <v>#REF!</v>
      </c>
      <c r="I94" s="136" t="e">
        <f>(#REF!/15)*11.5</f>
        <v>#REF!</v>
      </c>
      <c r="J94" s="136" t="e">
        <f>(#REF!/15)*11.5</f>
        <v>#REF!</v>
      </c>
      <c r="K94" s="136" t="e">
        <f>(#REF!/15)*11.5</f>
        <v>#REF!</v>
      </c>
      <c r="L94" s="136" t="e">
        <f>(#REF!/15)*11.5</f>
        <v>#REF!</v>
      </c>
      <c r="M94" s="136" t="e">
        <f>(#REF!/15)*11.5</f>
        <v>#REF!</v>
      </c>
      <c r="N94" s="136" t="e">
        <f>(#REF!/15)*11.5</f>
        <v>#REF!</v>
      </c>
      <c r="O94" s="136" t="e">
        <f>(#REF!/15)*11.5</f>
        <v>#REF!</v>
      </c>
      <c r="P94" s="136" t="e">
        <f>(#REF!/15)*11.5</f>
        <v>#REF!</v>
      </c>
      <c r="Q94" s="136" t="e">
        <f>(#REF!/15)*11.5</f>
        <v>#REF!</v>
      </c>
      <c r="R94" s="136" t="e">
        <f>(#REF!/15)*11.5</f>
        <v>#REF!</v>
      </c>
      <c r="S94" s="136" t="e">
        <f>(#REF!/15)*11.5</f>
        <v>#REF!</v>
      </c>
      <c r="T94" s="136" t="e">
        <f>(#REF!/15)*11.5</f>
        <v>#REF!</v>
      </c>
      <c r="U94" s="136" t="e">
        <f>(#REF!/15)*11.5</f>
        <v>#REF!</v>
      </c>
      <c r="V94" s="136" t="e">
        <f>(#REF!/15)*11.5</f>
        <v>#REF!</v>
      </c>
      <c r="W94" s="136" t="e">
        <f>(#REF!/15)*11.5</f>
        <v>#REF!</v>
      </c>
      <c r="X94" s="143" t="e">
        <f>(#REF!/15)*11.5</f>
        <v>#REF!</v>
      </c>
    </row>
    <row r="95" spans="1:24">
      <c r="A95" s="1318"/>
      <c r="B95" s="66" t="s">
        <v>124</v>
      </c>
      <c r="C95" s="136" t="e">
        <f>(#REF!/15)*11.5</f>
        <v>#REF!</v>
      </c>
      <c r="D95" s="136" t="e">
        <f>(#REF!/15)*11.5</f>
        <v>#REF!</v>
      </c>
      <c r="E95" s="136" t="e">
        <f>(#REF!/15)*11.5</f>
        <v>#REF!</v>
      </c>
      <c r="F95" s="136" t="e">
        <f>(#REF!/15)*11.5</f>
        <v>#REF!</v>
      </c>
      <c r="G95" s="136" t="e">
        <f>(#REF!/15)*11.5</f>
        <v>#REF!</v>
      </c>
      <c r="H95" s="136" t="e">
        <f>(#REF!/15)*11.5</f>
        <v>#REF!</v>
      </c>
      <c r="I95" s="136" t="e">
        <f>(#REF!/15)*11.5</f>
        <v>#REF!</v>
      </c>
      <c r="J95" s="136" t="e">
        <f>(#REF!/15)*11.5</f>
        <v>#REF!</v>
      </c>
      <c r="K95" s="136" t="e">
        <f>(#REF!/15)*11.5</f>
        <v>#REF!</v>
      </c>
      <c r="L95" s="136" t="e">
        <f>(#REF!/15)*11.5</f>
        <v>#REF!</v>
      </c>
      <c r="M95" s="136" t="e">
        <f>(#REF!/15)*11.5</f>
        <v>#REF!</v>
      </c>
      <c r="N95" s="136" t="e">
        <f>(#REF!/15)*11.5</f>
        <v>#REF!</v>
      </c>
      <c r="O95" s="136" t="e">
        <f>(#REF!/15)*11.5</f>
        <v>#REF!</v>
      </c>
      <c r="P95" s="136" t="e">
        <f>(#REF!/15)*11.5</f>
        <v>#REF!</v>
      </c>
      <c r="Q95" s="136" t="e">
        <f>(#REF!/15)*11.5</f>
        <v>#REF!</v>
      </c>
      <c r="R95" s="136" t="e">
        <f>(#REF!/15)*11.5</f>
        <v>#REF!</v>
      </c>
      <c r="S95" s="136" t="e">
        <f>(#REF!/15)*11.5</f>
        <v>#REF!</v>
      </c>
      <c r="T95" s="136" t="e">
        <f>(#REF!/15)*11.5</f>
        <v>#REF!</v>
      </c>
      <c r="U95" s="136" t="e">
        <f>(#REF!/15)*11.5</f>
        <v>#REF!</v>
      </c>
      <c r="V95" s="136" t="e">
        <f>(#REF!/15)*11.5</f>
        <v>#REF!</v>
      </c>
      <c r="W95" s="136" t="e">
        <f>(#REF!/15)*11.5</f>
        <v>#REF!</v>
      </c>
      <c r="X95" s="143" t="e">
        <f>(#REF!/15)*11.5</f>
        <v>#REF!</v>
      </c>
    </row>
    <row r="96" spans="1:24">
      <c r="A96" s="1318"/>
      <c r="B96" s="66" t="s">
        <v>125</v>
      </c>
      <c r="C96" s="136" t="e">
        <f>(#REF!/15)*11.5</f>
        <v>#REF!</v>
      </c>
      <c r="D96" s="136" t="e">
        <f>(#REF!/15)*11.5</f>
        <v>#REF!</v>
      </c>
      <c r="E96" s="136" t="e">
        <f>(#REF!/15)*11.5</f>
        <v>#REF!</v>
      </c>
      <c r="F96" s="136" t="e">
        <f>(#REF!/15)*11.5</f>
        <v>#REF!</v>
      </c>
      <c r="G96" s="136" t="e">
        <f>(#REF!/15)*11.5</f>
        <v>#REF!</v>
      </c>
      <c r="H96" s="136" t="e">
        <f>(#REF!/15)*11.5</f>
        <v>#REF!</v>
      </c>
      <c r="I96" s="136" t="e">
        <f>(#REF!/15)*11.5</f>
        <v>#REF!</v>
      </c>
      <c r="J96" s="136" t="e">
        <f>(#REF!/15)*11.5</f>
        <v>#REF!</v>
      </c>
      <c r="K96" s="136" t="e">
        <f>(#REF!/15)*11.5</f>
        <v>#REF!</v>
      </c>
      <c r="L96" s="136" t="e">
        <f>(#REF!/15)*11.5</f>
        <v>#REF!</v>
      </c>
      <c r="M96" s="136" t="e">
        <f>(#REF!/15)*11.5</f>
        <v>#REF!</v>
      </c>
      <c r="N96" s="136" t="e">
        <f>(#REF!/15)*11.5</f>
        <v>#REF!</v>
      </c>
      <c r="O96" s="136" t="e">
        <f>(#REF!/15)*11.5</f>
        <v>#REF!</v>
      </c>
      <c r="P96" s="136" t="e">
        <f>(#REF!/15)*11.5</f>
        <v>#REF!</v>
      </c>
      <c r="Q96" s="136" t="e">
        <f>(#REF!/15)*11.5</f>
        <v>#REF!</v>
      </c>
      <c r="R96" s="136" t="e">
        <f>(#REF!/15)*11.5</f>
        <v>#REF!</v>
      </c>
      <c r="S96" s="136" t="e">
        <f>(#REF!/15)*11.5</f>
        <v>#REF!</v>
      </c>
      <c r="T96" s="136" t="e">
        <f>(#REF!/15)*11.5</f>
        <v>#REF!</v>
      </c>
      <c r="U96" s="136" t="e">
        <f>(#REF!/15)*11.5</f>
        <v>#REF!</v>
      </c>
      <c r="V96" s="136" t="e">
        <f>(#REF!/15)*11.5</f>
        <v>#REF!</v>
      </c>
      <c r="W96" s="136" t="e">
        <f>(#REF!/15)*11.5</f>
        <v>#REF!</v>
      </c>
      <c r="X96" s="143" t="e">
        <f>(#REF!/15)*11.5</f>
        <v>#REF!</v>
      </c>
    </row>
    <row r="97" spans="1:24">
      <c r="A97" s="1318"/>
      <c r="B97" s="66" t="s">
        <v>126</v>
      </c>
      <c r="C97" s="136" t="e">
        <f>(#REF!/15)*11.5</f>
        <v>#REF!</v>
      </c>
      <c r="D97" s="136" t="e">
        <f>(#REF!/15)*11.5</f>
        <v>#REF!</v>
      </c>
      <c r="E97" s="136" t="e">
        <f>(#REF!/15)*11.5</f>
        <v>#REF!</v>
      </c>
      <c r="F97" s="136" t="e">
        <f>(#REF!/15)*11.5</f>
        <v>#REF!</v>
      </c>
      <c r="G97" s="136" t="e">
        <f>(#REF!/15)*11.5</f>
        <v>#REF!</v>
      </c>
      <c r="H97" s="136" t="e">
        <f>(#REF!/15)*11.5</f>
        <v>#REF!</v>
      </c>
      <c r="I97" s="136" t="e">
        <f>(#REF!/15)*11.5</f>
        <v>#REF!</v>
      </c>
      <c r="J97" s="136" t="e">
        <f>(#REF!/15)*11.5</f>
        <v>#REF!</v>
      </c>
      <c r="K97" s="136" t="e">
        <f>(#REF!/15)*11.5</f>
        <v>#REF!</v>
      </c>
      <c r="L97" s="136" t="e">
        <f>(#REF!/15)*11.5</f>
        <v>#REF!</v>
      </c>
      <c r="M97" s="136" t="e">
        <f>(#REF!/15)*11.5</f>
        <v>#REF!</v>
      </c>
      <c r="N97" s="136" t="e">
        <f>(#REF!/15)*11.5</f>
        <v>#REF!</v>
      </c>
      <c r="O97" s="136" t="e">
        <f>(#REF!/15)*11.5</f>
        <v>#REF!</v>
      </c>
      <c r="P97" s="136" t="e">
        <f>(#REF!/15)*11.5</f>
        <v>#REF!</v>
      </c>
      <c r="Q97" s="136" t="e">
        <f>(#REF!/15)*11.5</f>
        <v>#REF!</v>
      </c>
      <c r="R97" s="136" t="e">
        <f>(#REF!/15)*11.5</f>
        <v>#REF!</v>
      </c>
      <c r="S97" s="136" t="e">
        <f>(#REF!/15)*11.5</f>
        <v>#REF!</v>
      </c>
      <c r="T97" s="136" t="e">
        <f>(#REF!/15)*11.5</f>
        <v>#REF!</v>
      </c>
      <c r="U97" s="136" t="e">
        <f>(#REF!/15)*11.5</f>
        <v>#REF!</v>
      </c>
      <c r="V97" s="136" t="e">
        <f>(#REF!/15)*11.5</f>
        <v>#REF!</v>
      </c>
      <c r="W97" s="136" t="e">
        <f>(#REF!/15)*11.5</f>
        <v>#REF!</v>
      </c>
      <c r="X97" s="143" t="e">
        <f>(#REF!/15)*11.5</f>
        <v>#REF!</v>
      </c>
    </row>
    <row r="98" spans="1:24" ht="15" thickBot="1">
      <c r="A98" s="1319"/>
      <c r="B98" s="67" t="s">
        <v>127</v>
      </c>
      <c r="C98" s="149" t="e">
        <f>(#REF!/15)*11.5</f>
        <v>#REF!</v>
      </c>
      <c r="D98" s="149" t="e">
        <f>(#REF!/15)*11.5</f>
        <v>#REF!</v>
      </c>
      <c r="E98" s="149" t="e">
        <f>(#REF!/15)*11.5</f>
        <v>#REF!</v>
      </c>
      <c r="F98" s="149" t="e">
        <f>(#REF!/15)*11.5</f>
        <v>#REF!</v>
      </c>
      <c r="G98" s="149" t="e">
        <f>(#REF!/15)*11.5</f>
        <v>#REF!</v>
      </c>
      <c r="H98" s="149" t="e">
        <f>(#REF!/15)*11.5</f>
        <v>#REF!</v>
      </c>
      <c r="I98" s="149" t="e">
        <f>(#REF!/15)*11.5</f>
        <v>#REF!</v>
      </c>
      <c r="J98" s="149" t="e">
        <f>(#REF!/15)*11.5</f>
        <v>#REF!</v>
      </c>
      <c r="K98" s="149" t="e">
        <f>(#REF!/15)*11.5</f>
        <v>#REF!</v>
      </c>
      <c r="L98" s="149" t="e">
        <f>(#REF!/15)*11.5</f>
        <v>#REF!</v>
      </c>
      <c r="M98" s="149" t="e">
        <f>(#REF!/15)*11.5</f>
        <v>#REF!</v>
      </c>
      <c r="N98" s="149" t="e">
        <f>(#REF!/15)*11.5</f>
        <v>#REF!</v>
      </c>
      <c r="O98" s="149" t="e">
        <f>(#REF!/15)*11.5</f>
        <v>#REF!</v>
      </c>
      <c r="P98" s="149" t="e">
        <f>(#REF!/15)*11.5</f>
        <v>#REF!</v>
      </c>
      <c r="Q98" s="149" t="e">
        <f>(#REF!/15)*11.5</f>
        <v>#REF!</v>
      </c>
      <c r="R98" s="149" t="e">
        <f>(#REF!/15)*11.5</f>
        <v>#REF!</v>
      </c>
      <c r="S98" s="149" t="e">
        <f>(#REF!/15)*11.5</f>
        <v>#REF!</v>
      </c>
      <c r="T98" s="149" t="e">
        <f>(#REF!/15)*11.5</f>
        <v>#REF!</v>
      </c>
      <c r="U98" s="149" t="e">
        <f>(#REF!/15)*11.5</f>
        <v>#REF!</v>
      </c>
      <c r="V98" s="149" t="e">
        <f>(#REF!/15)*11.5</f>
        <v>#REF!</v>
      </c>
      <c r="W98" s="149" t="e">
        <f>(#REF!/15)*11.5</f>
        <v>#REF!</v>
      </c>
      <c r="X98" s="151" t="e">
        <f>(#REF!/15)*11.5</f>
        <v>#REF!</v>
      </c>
    </row>
    <row r="99" spans="1:24">
      <c r="A99" s="1314" t="s">
        <v>514</v>
      </c>
      <c r="B99" s="71" t="s">
        <v>515</v>
      </c>
      <c r="C99" s="93" t="e">
        <f>(#REF!/15)*11.5</f>
        <v>#REF!</v>
      </c>
      <c r="D99" s="93" t="e">
        <f>(#REF!/15)*11.5</f>
        <v>#REF!</v>
      </c>
      <c r="E99" s="93" t="e">
        <f>(#REF!/15)*11.5</f>
        <v>#REF!</v>
      </c>
      <c r="F99" s="93" t="e">
        <f>(#REF!/15)*11.5</f>
        <v>#REF!</v>
      </c>
      <c r="G99" s="93" t="e">
        <f>(#REF!/15)*11.5</f>
        <v>#REF!</v>
      </c>
      <c r="H99" s="93" t="e">
        <f>(#REF!/15)*11.5</f>
        <v>#REF!</v>
      </c>
      <c r="I99" s="93" t="e">
        <f>(#REF!/15)*11.5</f>
        <v>#REF!</v>
      </c>
      <c r="J99" s="93" t="e">
        <f>(#REF!/15)*11.5</f>
        <v>#REF!</v>
      </c>
      <c r="K99" s="93" t="e">
        <f>(#REF!/15)*11.5</f>
        <v>#REF!</v>
      </c>
      <c r="L99" s="93" t="e">
        <f>(#REF!/15)*11.5</f>
        <v>#REF!</v>
      </c>
      <c r="M99" s="93" t="e">
        <f>(#REF!/15)*11.5</f>
        <v>#REF!</v>
      </c>
      <c r="N99" s="93" t="e">
        <f>(#REF!/15)*11.5</f>
        <v>#REF!</v>
      </c>
      <c r="O99" s="93" t="e">
        <f>(#REF!/15)*11.5</f>
        <v>#REF!</v>
      </c>
      <c r="P99" s="93" t="e">
        <f>(#REF!/15)*11.5</f>
        <v>#REF!</v>
      </c>
      <c r="Q99" s="93" t="e">
        <f>(#REF!/15)*11.5</f>
        <v>#REF!</v>
      </c>
      <c r="R99" s="93" t="e">
        <f>(#REF!/15)*11.5</f>
        <v>#REF!</v>
      </c>
      <c r="S99" s="93" t="e">
        <f>(#REF!/15)*11.5</f>
        <v>#REF!</v>
      </c>
      <c r="T99" s="93" t="e">
        <f>(#REF!/15)*11.5</f>
        <v>#REF!</v>
      </c>
      <c r="U99" s="93" t="e">
        <f>(#REF!/15)*11.5</f>
        <v>#REF!</v>
      </c>
      <c r="V99" s="93" t="e">
        <f>(#REF!/15)*11.5</f>
        <v>#REF!</v>
      </c>
      <c r="W99" s="93" t="e">
        <f>(#REF!/15)*11.5</f>
        <v>#REF!</v>
      </c>
      <c r="X99" s="97" t="e">
        <f>(#REF!/15)*11.5</f>
        <v>#REF!</v>
      </c>
    </row>
    <row r="100" spans="1:24" ht="14.25" customHeight="1">
      <c r="A100" s="1315"/>
      <c r="B100" s="72" t="s">
        <v>516</v>
      </c>
      <c r="C100" s="87" t="e">
        <f>(#REF!/15)*11.5</f>
        <v>#REF!</v>
      </c>
      <c r="D100" s="87" t="e">
        <f>(#REF!/15)*11.5</f>
        <v>#REF!</v>
      </c>
      <c r="E100" s="87" t="e">
        <f>(#REF!/15)*11.5</f>
        <v>#REF!</v>
      </c>
      <c r="F100" s="87" t="e">
        <f>(#REF!/15)*11.5</f>
        <v>#REF!</v>
      </c>
      <c r="G100" s="87" t="e">
        <f>(#REF!/15)*11.5</f>
        <v>#REF!</v>
      </c>
      <c r="H100" s="87" t="e">
        <f>(#REF!/15)*11.5</f>
        <v>#REF!</v>
      </c>
      <c r="I100" s="87" t="e">
        <f>(#REF!/15)*11.5</f>
        <v>#REF!</v>
      </c>
      <c r="J100" s="87" t="e">
        <f>(#REF!/15)*11.5</f>
        <v>#REF!</v>
      </c>
      <c r="K100" s="87" t="e">
        <f>(#REF!/15)*11.5</f>
        <v>#REF!</v>
      </c>
      <c r="L100" s="87" t="e">
        <f>(#REF!/15)*11.5</f>
        <v>#REF!</v>
      </c>
      <c r="M100" s="87" t="e">
        <f>(#REF!/15)*11.5</f>
        <v>#REF!</v>
      </c>
      <c r="N100" s="87" t="e">
        <f>(#REF!/15)*11.5</f>
        <v>#REF!</v>
      </c>
      <c r="O100" s="87" t="e">
        <f>(#REF!/15)*11.5</f>
        <v>#REF!</v>
      </c>
      <c r="P100" s="87" t="e">
        <f>(#REF!/15)*11.5</f>
        <v>#REF!</v>
      </c>
      <c r="Q100" s="87" t="e">
        <f>(#REF!/15)*11.5</f>
        <v>#REF!</v>
      </c>
      <c r="R100" s="87" t="e">
        <f>(#REF!/15)*11.5</f>
        <v>#REF!</v>
      </c>
      <c r="S100" s="87" t="e">
        <f>(#REF!/15)*11.5</f>
        <v>#REF!</v>
      </c>
      <c r="T100" s="87" t="e">
        <f>(#REF!/15)*11.5</f>
        <v>#REF!</v>
      </c>
      <c r="U100" s="87" t="e">
        <f>(#REF!/15)*11.5</f>
        <v>#REF!</v>
      </c>
      <c r="V100" s="87" t="e">
        <f>(#REF!/15)*11.5</f>
        <v>#REF!</v>
      </c>
      <c r="W100" s="87" t="e">
        <f>(#REF!/15)*11.5</f>
        <v>#REF!</v>
      </c>
      <c r="X100" s="95" t="e">
        <f>(#REF!/15)*11.5</f>
        <v>#REF!</v>
      </c>
    </row>
    <row r="101" spans="1:24">
      <c r="A101" s="1315"/>
      <c r="B101" s="72" t="s">
        <v>517</v>
      </c>
      <c r="C101" s="87" t="e">
        <f>(#REF!/15)*11.5</f>
        <v>#REF!</v>
      </c>
      <c r="D101" s="87" t="e">
        <f>(#REF!/15)*11.5</f>
        <v>#REF!</v>
      </c>
      <c r="E101" s="87" t="e">
        <f>(#REF!/15)*11.5</f>
        <v>#REF!</v>
      </c>
      <c r="F101" s="87" t="e">
        <f>(#REF!/15)*11.5</f>
        <v>#REF!</v>
      </c>
      <c r="G101" s="87" t="e">
        <f>(#REF!/15)*11.5</f>
        <v>#REF!</v>
      </c>
      <c r="H101" s="87" t="e">
        <f>(#REF!/15)*11.5</f>
        <v>#REF!</v>
      </c>
      <c r="I101" s="87" t="e">
        <f>(#REF!/15)*11.5</f>
        <v>#REF!</v>
      </c>
      <c r="J101" s="87" t="e">
        <f>(#REF!/15)*11.5</f>
        <v>#REF!</v>
      </c>
      <c r="K101" s="87" t="e">
        <f>(#REF!/15)*11.5</f>
        <v>#REF!</v>
      </c>
      <c r="L101" s="87" t="e">
        <f>(#REF!/15)*11.5</f>
        <v>#REF!</v>
      </c>
      <c r="M101" s="87" t="e">
        <f>(#REF!/15)*11.5</f>
        <v>#REF!</v>
      </c>
      <c r="N101" s="87" t="e">
        <f>(#REF!/15)*11.5</f>
        <v>#REF!</v>
      </c>
      <c r="O101" s="87" t="e">
        <f>(#REF!/15)*11.5</f>
        <v>#REF!</v>
      </c>
      <c r="P101" s="87" t="e">
        <f>(#REF!/15)*11.5</f>
        <v>#REF!</v>
      </c>
      <c r="Q101" s="87" t="e">
        <f>(#REF!/15)*11.5</f>
        <v>#REF!</v>
      </c>
      <c r="R101" s="87" t="e">
        <f>(#REF!/15)*11.5</f>
        <v>#REF!</v>
      </c>
      <c r="S101" s="87" t="e">
        <f>(#REF!/15)*11.5</f>
        <v>#REF!</v>
      </c>
      <c r="T101" s="87" t="e">
        <f>(#REF!/15)*11.5</f>
        <v>#REF!</v>
      </c>
      <c r="U101" s="87" t="e">
        <f>(#REF!/15)*11.5</f>
        <v>#REF!</v>
      </c>
      <c r="V101" s="87" t="e">
        <f>(#REF!/15)*11.5</f>
        <v>#REF!</v>
      </c>
      <c r="W101" s="87" t="e">
        <f>(#REF!/15)*11.5</f>
        <v>#REF!</v>
      </c>
      <c r="X101" s="95" t="e">
        <f>(#REF!/15)*11.5</f>
        <v>#REF!</v>
      </c>
    </row>
    <row r="102" spans="1:24">
      <c r="A102" s="1315"/>
      <c r="B102" s="72" t="s">
        <v>518</v>
      </c>
      <c r="C102" s="87" t="e">
        <f>(#REF!/15)*11.5</f>
        <v>#REF!</v>
      </c>
      <c r="D102" s="87" t="e">
        <f>(#REF!/15)*11.5</f>
        <v>#REF!</v>
      </c>
      <c r="E102" s="87" t="e">
        <f>(#REF!/15)*11.5</f>
        <v>#REF!</v>
      </c>
      <c r="F102" s="87" t="e">
        <f>(#REF!/15)*11.5</f>
        <v>#REF!</v>
      </c>
      <c r="G102" s="87" t="e">
        <f>(#REF!/15)*11.5</f>
        <v>#REF!</v>
      </c>
      <c r="H102" s="87" t="e">
        <f>(#REF!/15)*11.5</f>
        <v>#REF!</v>
      </c>
      <c r="I102" s="87" t="e">
        <f>(#REF!/15)*11.5</f>
        <v>#REF!</v>
      </c>
      <c r="J102" s="87" t="e">
        <f>(#REF!/15)*11.5</f>
        <v>#REF!</v>
      </c>
      <c r="K102" s="87" t="e">
        <f>(#REF!/15)*11.5</f>
        <v>#REF!</v>
      </c>
      <c r="L102" s="87" t="e">
        <f>(#REF!/15)*11.5</f>
        <v>#REF!</v>
      </c>
      <c r="M102" s="87" t="e">
        <f>(#REF!/15)*11.5</f>
        <v>#REF!</v>
      </c>
      <c r="N102" s="87" t="e">
        <f>(#REF!/15)*11.5</f>
        <v>#REF!</v>
      </c>
      <c r="O102" s="87" t="e">
        <f>(#REF!/15)*11.5</f>
        <v>#REF!</v>
      </c>
      <c r="P102" s="87" t="e">
        <f>(#REF!/15)*11.5</f>
        <v>#REF!</v>
      </c>
      <c r="Q102" s="87" t="e">
        <f>(#REF!/15)*11.5</f>
        <v>#REF!</v>
      </c>
      <c r="R102" s="87" t="e">
        <f>(#REF!/15)*11.5</f>
        <v>#REF!</v>
      </c>
      <c r="S102" s="87" t="e">
        <f>(#REF!/15)*11.5</f>
        <v>#REF!</v>
      </c>
      <c r="T102" s="87" t="e">
        <f>(#REF!/15)*11.5</f>
        <v>#REF!</v>
      </c>
      <c r="U102" s="87" t="e">
        <f>(#REF!/15)*11.5</f>
        <v>#REF!</v>
      </c>
      <c r="V102" s="87" t="e">
        <f>(#REF!/15)*11.5</f>
        <v>#REF!</v>
      </c>
      <c r="W102" s="87" t="e">
        <f>(#REF!/15)*11.5</f>
        <v>#REF!</v>
      </c>
      <c r="X102" s="95" t="e">
        <f>(#REF!/15)*11.5</f>
        <v>#REF!</v>
      </c>
    </row>
    <row r="103" spans="1:24" ht="15" thickBot="1">
      <c r="A103" s="1316"/>
      <c r="B103" s="76" t="s">
        <v>519</v>
      </c>
      <c r="C103" s="90" t="e">
        <f>(#REF!/15)*11.5</f>
        <v>#REF!</v>
      </c>
      <c r="D103" s="90" t="e">
        <f>(#REF!/15)*11.5</f>
        <v>#REF!</v>
      </c>
      <c r="E103" s="90" t="e">
        <f>(#REF!/15)*11.5</f>
        <v>#REF!</v>
      </c>
      <c r="F103" s="90" t="e">
        <f>(#REF!/15)*11.5</f>
        <v>#REF!</v>
      </c>
      <c r="G103" s="90" t="e">
        <f>(#REF!/15)*11.5</f>
        <v>#REF!</v>
      </c>
      <c r="H103" s="90" t="e">
        <f>(#REF!/15)*11.5</f>
        <v>#REF!</v>
      </c>
      <c r="I103" s="90" t="e">
        <f>(#REF!/15)*11.5</f>
        <v>#REF!</v>
      </c>
      <c r="J103" s="90" t="e">
        <f>(#REF!/15)*11.5</f>
        <v>#REF!</v>
      </c>
      <c r="K103" s="90" t="e">
        <f>(#REF!/15)*11.5</f>
        <v>#REF!</v>
      </c>
      <c r="L103" s="90" t="e">
        <f>(#REF!/15)*11.5</f>
        <v>#REF!</v>
      </c>
      <c r="M103" s="90" t="e">
        <f>(#REF!/15)*11.5</f>
        <v>#REF!</v>
      </c>
      <c r="N103" s="90" t="e">
        <f>(#REF!/15)*11.5</f>
        <v>#REF!</v>
      </c>
      <c r="O103" s="90" t="e">
        <f>(#REF!/15)*11.5</f>
        <v>#REF!</v>
      </c>
      <c r="P103" s="90" t="e">
        <f>(#REF!/15)*11.5</f>
        <v>#REF!</v>
      </c>
      <c r="Q103" s="90" t="e">
        <f>(#REF!/15)*11.5</f>
        <v>#REF!</v>
      </c>
      <c r="R103" s="90" t="e">
        <f>(#REF!/15)*11.5</f>
        <v>#REF!</v>
      </c>
      <c r="S103" s="90" t="e">
        <f>(#REF!/15)*11.5</f>
        <v>#REF!</v>
      </c>
      <c r="T103" s="90" t="e">
        <f>(#REF!/15)*11.5</f>
        <v>#REF!</v>
      </c>
      <c r="U103" s="90" t="e">
        <f>(#REF!/15)*11.5</f>
        <v>#REF!</v>
      </c>
      <c r="V103" s="90" t="e">
        <f>(#REF!/15)*11.5</f>
        <v>#REF!</v>
      </c>
      <c r="W103" s="90" t="e">
        <f>(#REF!/15)*11.5</f>
        <v>#REF!</v>
      </c>
      <c r="X103" s="96" t="e">
        <f>(#REF!/15)*11.5</f>
        <v>#REF!</v>
      </c>
    </row>
    <row r="104" spans="1:24">
      <c r="A104" s="6"/>
      <c r="B104" s="6"/>
      <c r="D104" s="6"/>
      <c r="E104" s="6"/>
      <c r="F104" s="6"/>
      <c r="G104" s="6"/>
      <c r="H104" s="6"/>
      <c r="I104" s="6"/>
      <c r="J104" s="6"/>
      <c r="K104" s="6"/>
      <c r="L104" s="6"/>
      <c r="M104" s="6"/>
      <c r="Q104" s="10"/>
    </row>
    <row r="105" spans="1:24">
      <c r="B105" s="1227" t="s">
        <v>168</v>
      </c>
      <c r="C105" s="1227"/>
      <c r="D105" s="1227"/>
      <c r="E105" s="1227"/>
      <c r="F105" s="1227"/>
      <c r="G105" s="1227"/>
      <c r="H105" s="1227"/>
      <c r="I105" s="1227"/>
      <c r="J105" s="1227"/>
      <c r="K105" s="1227"/>
      <c r="L105" s="1227"/>
      <c r="M105" s="1227"/>
      <c r="N105" s="1227"/>
      <c r="O105" s="1227"/>
      <c r="P105" s="1227"/>
      <c r="Q105" s="1227"/>
      <c r="R105" s="1227"/>
      <c r="S105" s="1227"/>
      <c r="T105" s="1227"/>
      <c r="U105" s="1227"/>
      <c r="V105" s="1227"/>
      <c r="W105" s="1227"/>
      <c r="X105" s="1227"/>
    </row>
    <row r="106" spans="1:24">
      <c r="B106" s="1227"/>
      <c r="C106" s="1227"/>
      <c r="D106" s="1227"/>
      <c r="E106" s="1227"/>
      <c r="F106" s="1227"/>
      <c r="G106" s="1227"/>
      <c r="H106" s="1227"/>
      <c r="I106" s="1227"/>
      <c r="J106" s="1227"/>
      <c r="K106" s="1227"/>
      <c r="L106" s="1227"/>
      <c r="M106" s="1227"/>
      <c r="N106" s="1227"/>
      <c r="O106" s="1227"/>
      <c r="P106" s="1227"/>
      <c r="Q106" s="1227"/>
      <c r="R106" s="1227"/>
      <c r="S106" s="1227"/>
      <c r="T106" s="1227"/>
      <c r="U106" s="1227"/>
      <c r="V106" s="1227"/>
      <c r="W106" s="1227"/>
      <c r="X106" s="1227"/>
    </row>
    <row r="107" spans="1:24">
      <c r="B107" s="1227"/>
      <c r="C107" s="1227"/>
      <c r="D107" s="1227"/>
      <c r="E107" s="1227"/>
      <c r="F107" s="1227"/>
      <c r="G107" s="1227"/>
      <c r="H107" s="1227"/>
      <c r="I107" s="1227"/>
      <c r="J107" s="1227"/>
      <c r="K107" s="1227"/>
      <c r="L107" s="1227"/>
      <c r="M107" s="1227"/>
      <c r="N107" s="1227"/>
      <c r="O107" s="1227"/>
      <c r="P107" s="1227"/>
      <c r="Q107" s="1227"/>
      <c r="R107" s="1227"/>
      <c r="S107" s="1227"/>
      <c r="T107" s="1227"/>
      <c r="U107" s="1227"/>
      <c r="V107" s="1227"/>
      <c r="W107" s="1227"/>
      <c r="X107" s="1227"/>
    </row>
    <row r="108" spans="1:24">
      <c r="A108" s="6"/>
      <c r="B108" s="6"/>
      <c r="D108" s="6"/>
      <c r="E108" s="6"/>
      <c r="F108" s="6"/>
      <c r="G108" s="6"/>
      <c r="H108" s="6"/>
      <c r="I108" s="6"/>
      <c r="J108" s="6"/>
      <c r="K108" s="6"/>
      <c r="L108" s="6"/>
      <c r="M108" s="6"/>
      <c r="Q108" s="10"/>
    </row>
    <row r="109" spans="1:24">
      <c r="A109" s="35"/>
      <c r="B109" s="5" t="s">
        <v>184</v>
      </c>
      <c r="C109" s="4" t="e">
        <f t="shared" ref="C109:X109" si="0">AVERAGE(C4:C53)</f>
        <v>#REF!</v>
      </c>
      <c r="D109" s="4" t="e">
        <f t="shared" si="0"/>
        <v>#REF!</v>
      </c>
      <c r="E109" s="4" t="e">
        <f t="shared" si="0"/>
        <v>#REF!</v>
      </c>
      <c r="F109" s="4" t="e">
        <f t="shared" si="0"/>
        <v>#REF!</v>
      </c>
      <c r="G109" s="4" t="e">
        <f t="shared" si="0"/>
        <v>#REF!</v>
      </c>
      <c r="H109" s="4" t="e">
        <f t="shared" si="0"/>
        <v>#REF!</v>
      </c>
      <c r="I109" s="4" t="e">
        <f t="shared" si="0"/>
        <v>#REF!</v>
      </c>
      <c r="J109" s="4" t="e">
        <f t="shared" si="0"/>
        <v>#REF!</v>
      </c>
      <c r="K109" s="4" t="e">
        <f t="shared" si="0"/>
        <v>#REF!</v>
      </c>
      <c r="L109" s="4" t="e">
        <f t="shared" si="0"/>
        <v>#REF!</v>
      </c>
      <c r="M109" s="4" t="e">
        <f t="shared" si="0"/>
        <v>#REF!</v>
      </c>
      <c r="N109" s="4" t="e">
        <f t="shared" si="0"/>
        <v>#REF!</v>
      </c>
      <c r="O109" s="4" t="e">
        <f t="shared" si="0"/>
        <v>#REF!</v>
      </c>
      <c r="P109" s="4" t="e">
        <f t="shared" si="0"/>
        <v>#REF!</v>
      </c>
      <c r="Q109" s="4" t="e">
        <f t="shared" si="0"/>
        <v>#REF!</v>
      </c>
      <c r="R109" s="4" t="e">
        <f t="shared" si="0"/>
        <v>#REF!</v>
      </c>
      <c r="S109" s="4" t="e">
        <f t="shared" si="0"/>
        <v>#REF!</v>
      </c>
      <c r="T109" s="4" t="e">
        <f t="shared" si="0"/>
        <v>#REF!</v>
      </c>
      <c r="U109" s="4" t="e">
        <f t="shared" si="0"/>
        <v>#REF!</v>
      </c>
      <c r="V109" s="4" t="e">
        <f t="shared" si="0"/>
        <v>#REF!</v>
      </c>
      <c r="W109" s="4" t="e">
        <f t="shared" si="0"/>
        <v>#REF!</v>
      </c>
      <c r="X109" s="4" t="e">
        <f t="shared" si="0"/>
        <v>#REF!</v>
      </c>
    </row>
    <row r="110" spans="1:24">
      <c r="A110" s="33"/>
      <c r="B110" s="7" t="s">
        <v>185</v>
      </c>
      <c r="C110" s="5" t="e">
        <f t="shared" ref="C110:X110" si="1" xml:space="preserve"> ROUND(MIN(C4:C53),0) &amp; " - " &amp; ROUND(MAX(C4:C53),0)</f>
        <v>#REF!</v>
      </c>
      <c r="D110" s="5" t="e">
        <f t="shared" si="1"/>
        <v>#REF!</v>
      </c>
      <c r="E110" s="5" t="e">
        <f t="shared" si="1"/>
        <v>#REF!</v>
      </c>
      <c r="F110" s="5" t="e">
        <f t="shared" si="1"/>
        <v>#REF!</v>
      </c>
      <c r="G110" s="5" t="e">
        <f t="shared" si="1"/>
        <v>#REF!</v>
      </c>
      <c r="H110" s="5" t="e">
        <f t="shared" si="1"/>
        <v>#REF!</v>
      </c>
      <c r="I110" s="5" t="e">
        <f t="shared" si="1"/>
        <v>#REF!</v>
      </c>
      <c r="J110" s="5" t="e">
        <f t="shared" si="1"/>
        <v>#REF!</v>
      </c>
      <c r="K110" s="5" t="e">
        <f t="shared" si="1"/>
        <v>#REF!</v>
      </c>
      <c r="L110" s="5" t="e">
        <f t="shared" si="1"/>
        <v>#REF!</v>
      </c>
      <c r="M110" s="5" t="e">
        <f t="shared" si="1"/>
        <v>#REF!</v>
      </c>
      <c r="N110" s="5" t="e">
        <f t="shared" si="1"/>
        <v>#REF!</v>
      </c>
      <c r="O110" s="5" t="e">
        <f t="shared" si="1"/>
        <v>#REF!</v>
      </c>
      <c r="P110" s="5" t="e">
        <f t="shared" si="1"/>
        <v>#REF!</v>
      </c>
      <c r="Q110" s="5" t="e">
        <f t="shared" si="1"/>
        <v>#REF!</v>
      </c>
      <c r="R110" s="5" t="e">
        <f t="shared" si="1"/>
        <v>#REF!</v>
      </c>
      <c r="S110" s="5" t="e">
        <f t="shared" si="1"/>
        <v>#REF!</v>
      </c>
      <c r="T110" s="5" t="e">
        <f t="shared" si="1"/>
        <v>#REF!</v>
      </c>
      <c r="U110" s="5" t="e">
        <f t="shared" si="1"/>
        <v>#REF!</v>
      </c>
      <c r="V110" s="5" t="e">
        <f t="shared" si="1"/>
        <v>#REF!</v>
      </c>
      <c r="W110" s="5" t="e">
        <f t="shared" si="1"/>
        <v>#REF!</v>
      </c>
      <c r="X110" s="5" t="e">
        <f t="shared" si="1"/>
        <v>#REF!</v>
      </c>
    </row>
    <row r="111" spans="1:24">
      <c r="B111" s="5" t="s">
        <v>186</v>
      </c>
      <c r="C111" s="4" t="e">
        <f t="shared" ref="C111:X111" si="2">AVERAGE(C54:C65)</f>
        <v>#REF!</v>
      </c>
      <c r="D111" s="4" t="e">
        <f t="shared" si="2"/>
        <v>#REF!</v>
      </c>
      <c r="E111" s="4" t="e">
        <f t="shared" si="2"/>
        <v>#REF!</v>
      </c>
      <c r="F111" s="4" t="e">
        <f t="shared" si="2"/>
        <v>#REF!</v>
      </c>
      <c r="G111" s="4" t="e">
        <f t="shared" si="2"/>
        <v>#REF!</v>
      </c>
      <c r="H111" s="4" t="e">
        <f t="shared" si="2"/>
        <v>#REF!</v>
      </c>
      <c r="I111" s="4" t="e">
        <f t="shared" si="2"/>
        <v>#REF!</v>
      </c>
      <c r="J111" s="4" t="e">
        <f t="shared" si="2"/>
        <v>#REF!</v>
      </c>
      <c r="K111" s="4" t="e">
        <f t="shared" si="2"/>
        <v>#REF!</v>
      </c>
      <c r="L111" s="4" t="e">
        <f t="shared" si="2"/>
        <v>#REF!</v>
      </c>
      <c r="M111" s="4" t="e">
        <f t="shared" si="2"/>
        <v>#REF!</v>
      </c>
      <c r="N111" s="4" t="e">
        <f t="shared" si="2"/>
        <v>#REF!</v>
      </c>
      <c r="O111" s="4" t="e">
        <f t="shared" si="2"/>
        <v>#REF!</v>
      </c>
      <c r="P111" s="4" t="e">
        <f t="shared" si="2"/>
        <v>#REF!</v>
      </c>
      <c r="Q111" s="4" t="e">
        <f t="shared" si="2"/>
        <v>#REF!</v>
      </c>
      <c r="R111" s="4" t="e">
        <f t="shared" si="2"/>
        <v>#REF!</v>
      </c>
      <c r="S111" s="4" t="e">
        <f t="shared" si="2"/>
        <v>#REF!</v>
      </c>
      <c r="T111" s="4" t="e">
        <f t="shared" si="2"/>
        <v>#REF!</v>
      </c>
      <c r="U111" s="4" t="e">
        <f t="shared" si="2"/>
        <v>#REF!</v>
      </c>
      <c r="V111" s="4" t="e">
        <f t="shared" si="2"/>
        <v>#REF!</v>
      </c>
      <c r="W111" s="4" t="e">
        <f t="shared" si="2"/>
        <v>#REF!</v>
      </c>
      <c r="X111" s="4" t="e">
        <f t="shared" si="2"/>
        <v>#REF!</v>
      </c>
    </row>
    <row r="112" spans="1:24">
      <c r="B112" s="5" t="s">
        <v>187</v>
      </c>
      <c r="C112" s="5" t="e">
        <f t="shared" ref="C112:X112" si="3">ROUND( MIN(C54:C65),0) &amp; " - " &amp; ROUND(MAX(C54:C65),0)</f>
        <v>#REF!</v>
      </c>
      <c r="D112" s="5" t="e">
        <f t="shared" si="3"/>
        <v>#REF!</v>
      </c>
      <c r="E112" s="5" t="e">
        <f t="shared" si="3"/>
        <v>#REF!</v>
      </c>
      <c r="F112" s="5" t="e">
        <f t="shared" si="3"/>
        <v>#REF!</v>
      </c>
      <c r="G112" s="5" t="e">
        <f t="shared" si="3"/>
        <v>#REF!</v>
      </c>
      <c r="H112" s="5" t="e">
        <f t="shared" si="3"/>
        <v>#REF!</v>
      </c>
      <c r="I112" s="5" t="e">
        <f t="shared" si="3"/>
        <v>#REF!</v>
      </c>
      <c r="J112" s="5" t="e">
        <f t="shared" si="3"/>
        <v>#REF!</v>
      </c>
      <c r="K112" s="5" t="e">
        <f t="shared" si="3"/>
        <v>#REF!</v>
      </c>
      <c r="L112" s="5" t="e">
        <f t="shared" si="3"/>
        <v>#REF!</v>
      </c>
      <c r="M112" s="5" t="e">
        <f t="shared" si="3"/>
        <v>#REF!</v>
      </c>
      <c r="N112" s="5" t="e">
        <f t="shared" si="3"/>
        <v>#REF!</v>
      </c>
      <c r="O112" s="5" t="e">
        <f t="shared" si="3"/>
        <v>#REF!</v>
      </c>
      <c r="P112" s="5" t="e">
        <f t="shared" si="3"/>
        <v>#REF!</v>
      </c>
      <c r="Q112" s="5" t="e">
        <f t="shared" si="3"/>
        <v>#REF!</v>
      </c>
      <c r="R112" s="5" t="e">
        <f t="shared" si="3"/>
        <v>#REF!</v>
      </c>
      <c r="S112" s="5" t="e">
        <f t="shared" si="3"/>
        <v>#REF!</v>
      </c>
      <c r="T112" s="5" t="e">
        <f t="shared" si="3"/>
        <v>#REF!</v>
      </c>
      <c r="U112" s="5" t="e">
        <f t="shared" si="3"/>
        <v>#REF!</v>
      </c>
      <c r="V112" s="5" t="e">
        <f t="shared" si="3"/>
        <v>#REF!</v>
      </c>
      <c r="W112" s="5" t="e">
        <f t="shared" si="3"/>
        <v>#REF!</v>
      </c>
      <c r="X112" s="5" t="e">
        <f t="shared" si="3"/>
        <v>#REF!</v>
      </c>
    </row>
    <row r="113" spans="2:24">
      <c r="B113" s="5" t="s">
        <v>188</v>
      </c>
      <c r="C113" s="4" t="e">
        <f t="shared" ref="C113:X113" si="4">AVERAGE(C66:C92)</f>
        <v>#REF!</v>
      </c>
      <c r="D113" s="4" t="e">
        <f t="shared" si="4"/>
        <v>#REF!</v>
      </c>
      <c r="E113" s="4" t="e">
        <f t="shared" si="4"/>
        <v>#REF!</v>
      </c>
      <c r="F113" s="4" t="e">
        <f t="shared" si="4"/>
        <v>#REF!</v>
      </c>
      <c r="G113" s="4" t="e">
        <f t="shared" si="4"/>
        <v>#REF!</v>
      </c>
      <c r="H113" s="4" t="e">
        <f t="shared" si="4"/>
        <v>#REF!</v>
      </c>
      <c r="I113" s="4" t="e">
        <f t="shared" si="4"/>
        <v>#REF!</v>
      </c>
      <c r="J113" s="4" t="e">
        <f t="shared" si="4"/>
        <v>#REF!</v>
      </c>
      <c r="K113" s="4" t="e">
        <f t="shared" si="4"/>
        <v>#REF!</v>
      </c>
      <c r="L113" s="4" t="e">
        <f t="shared" si="4"/>
        <v>#REF!</v>
      </c>
      <c r="M113" s="4" t="e">
        <f t="shared" si="4"/>
        <v>#REF!</v>
      </c>
      <c r="N113" s="4" t="e">
        <f t="shared" si="4"/>
        <v>#REF!</v>
      </c>
      <c r="O113" s="4" t="e">
        <f t="shared" si="4"/>
        <v>#REF!</v>
      </c>
      <c r="P113" s="4" t="e">
        <f t="shared" si="4"/>
        <v>#REF!</v>
      </c>
      <c r="Q113" s="4" t="e">
        <f t="shared" si="4"/>
        <v>#REF!</v>
      </c>
      <c r="R113" s="4" t="e">
        <f t="shared" si="4"/>
        <v>#REF!</v>
      </c>
      <c r="S113" s="4" t="e">
        <f t="shared" si="4"/>
        <v>#REF!</v>
      </c>
      <c r="T113" s="4" t="e">
        <f t="shared" si="4"/>
        <v>#REF!</v>
      </c>
      <c r="U113" s="4" t="e">
        <f t="shared" si="4"/>
        <v>#REF!</v>
      </c>
      <c r="V113" s="4" t="e">
        <f t="shared" si="4"/>
        <v>#REF!</v>
      </c>
      <c r="W113" s="4" t="e">
        <f t="shared" si="4"/>
        <v>#REF!</v>
      </c>
      <c r="X113" s="4" t="e">
        <f t="shared" si="4"/>
        <v>#REF!</v>
      </c>
    </row>
    <row r="114" spans="2:24">
      <c r="B114" s="5" t="s">
        <v>189</v>
      </c>
      <c r="C114" s="5" t="e">
        <f t="shared" ref="C114:X114" si="5">ROUND( MIN(C66:C92),0) &amp; " - " &amp; ROUND(MAX(C66:C92),0)</f>
        <v>#REF!</v>
      </c>
      <c r="D114" s="5" t="e">
        <f t="shared" si="5"/>
        <v>#REF!</v>
      </c>
      <c r="E114" s="5" t="e">
        <f t="shared" si="5"/>
        <v>#REF!</v>
      </c>
      <c r="F114" s="5" t="e">
        <f t="shared" si="5"/>
        <v>#REF!</v>
      </c>
      <c r="G114" s="5" t="e">
        <f t="shared" si="5"/>
        <v>#REF!</v>
      </c>
      <c r="H114" s="5" t="e">
        <f t="shared" si="5"/>
        <v>#REF!</v>
      </c>
      <c r="I114" s="5" t="e">
        <f t="shared" si="5"/>
        <v>#REF!</v>
      </c>
      <c r="J114" s="5" t="e">
        <f t="shared" si="5"/>
        <v>#REF!</v>
      </c>
      <c r="K114" s="5" t="e">
        <f t="shared" si="5"/>
        <v>#REF!</v>
      </c>
      <c r="L114" s="5" t="e">
        <f t="shared" si="5"/>
        <v>#REF!</v>
      </c>
      <c r="M114" s="5" t="e">
        <f t="shared" si="5"/>
        <v>#REF!</v>
      </c>
      <c r="N114" s="5" t="e">
        <f t="shared" si="5"/>
        <v>#REF!</v>
      </c>
      <c r="O114" s="5" t="e">
        <f t="shared" si="5"/>
        <v>#REF!</v>
      </c>
      <c r="P114" s="5" t="e">
        <f t="shared" si="5"/>
        <v>#REF!</v>
      </c>
      <c r="Q114" s="5" t="e">
        <f t="shared" si="5"/>
        <v>#REF!</v>
      </c>
      <c r="R114" s="5" t="e">
        <f t="shared" si="5"/>
        <v>#REF!</v>
      </c>
      <c r="S114" s="5" t="e">
        <f t="shared" si="5"/>
        <v>#REF!</v>
      </c>
      <c r="T114" s="5" t="e">
        <f t="shared" si="5"/>
        <v>#REF!</v>
      </c>
      <c r="U114" s="5" t="e">
        <f t="shared" si="5"/>
        <v>#REF!</v>
      </c>
      <c r="V114" s="5" t="e">
        <f t="shared" si="5"/>
        <v>#REF!</v>
      </c>
      <c r="W114" s="5" t="e">
        <f t="shared" si="5"/>
        <v>#REF!</v>
      </c>
      <c r="X114" s="5" t="e">
        <f t="shared" si="5"/>
        <v>#REF!</v>
      </c>
    </row>
    <row r="115" spans="2:24">
      <c r="B115" s="5" t="s">
        <v>190</v>
      </c>
      <c r="C115" s="4" t="e">
        <f t="shared" ref="C115:X115" si="6">AVERAGE(C93:C98)</f>
        <v>#REF!</v>
      </c>
      <c r="D115" s="4" t="e">
        <f t="shared" si="6"/>
        <v>#REF!</v>
      </c>
      <c r="E115" s="4" t="e">
        <f t="shared" si="6"/>
        <v>#REF!</v>
      </c>
      <c r="F115" s="4" t="e">
        <f t="shared" si="6"/>
        <v>#REF!</v>
      </c>
      <c r="G115" s="4" t="e">
        <f t="shared" si="6"/>
        <v>#REF!</v>
      </c>
      <c r="H115" s="4" t="e">
        <f t="shared" si="6"/>
        <v>#REF!</v>
      </c>
      <c r="I115" s="4" t="e">
        <f t="shared" si="6"/>
        <v>#REF!</v>
      </c>
      <c r="J115" s="4" t="e">
        <f t="shared" si="6"/>
        <v>#REF!</v>
      </c>
      <c r="K115" s="4" t="e">
        <f t="shared" si="6"/>
        <v>#REF!</v>
      </c>
      <c r="L115" s="4" t="e">
        <f t="shared" si="6"/>
        <v>#REF!</v>
      </c>
      <c r="M115" s="4" t="e">
        <f t="shared" si="6"/>
        <v>#REF!</v>
      </c>
      <c r="N115" s="4" t="e">
        <f t="shared" si="6"/>
        <v>#REF!</v>
      </c>
      <c r="O115" s="4" t="e">
        <f t="shared" si="6"/>
        <v>#REF!</v>
      </c>
      <c r="P115" s="4" t="e">
        <f t="shared" si="6"/>
        <v>#REF!</v>
      </c>
      <c r="Q115" s="4" t="e">
        <f t="shared" si="6"/>
        <v>#REF!</v>
      </c>
      <c r="R115" s="4" t="e">
        <f t="shared" si="6"/>
        <v>#REF!</v>
      </c>
      <c r="S115" s="4" t="e">
        <f t="shared" si="6"/>
        <v>#REF!</v>
      </c>
      <c r="T115" s="4" t="e">
        <f t="shared" si="6"/>
        <v>#REF!</v>
      </c>
      <c r="U115" s="4" t="e">
        <f t="shared" si="6"/>
        <v>#REF!</v>
      </c>
      <c r="V115" s="4" t="e">
        <f t="shared" si="6"/>
        <v>#REF!</v>
      </c>
      <c r="W115" s="4" t="e">
        <f t="shared" si="6"/>
        <v>#REF!</v>
      </c>
      <c r="X115" s="4" t="e">
        <f t="shared" si="6"/>
        <v>#REF!</v>
      </c>
    </row>
    <row r="116" spans="2:24">
      <c r="B116" s="5" t="s">
        <v>191</v>
      </c>
      <c r="C116" s="5" t="e">
        <f t="shared" ref="C116:X116" si="7">ROUND( MIN(C93:C98),0) &amp; " - " &amp;ROUND( MAX(C93:C98),0)</f>
        <v>#REF!</v>
      </c>
      <c r="D116" s="5" t="e">
        <f t="shared" si="7"/>
        <v>#REF!</v>
      </c>
      <c r="E116" s="5" t="e">
        <f t="shared" si="7"/>
        <v>#REF!</v>
      </c>
      <c r="F116" s="5" t="e">
        <f t="shared" si="7"/>
        <v>#REF!</v>
      </c>
      <c r="G116" s="5" t="e">
        <f t="shared" si="7"/>
        <v>#REF!</v>
      </c>
      <c r="H116" s="5" t="e">
        <f t="shared" si="7"/>
        <v>#REF!</v>
      </c>
      <c r="I116" s="5" t="e">
        <f t="shared" si="7"/>
        <v>#REF!</v>
      </c>
      <c r="J116" s="5" t="e">
        <f t="shared" si="7"/>
        <v>#REF!</v>
      </c>
      <c r="K116" s="5" t="e">
        <f t="shared" si="7"/>
        <v>#REF!</v>
      </c>
      <c r="L116" s="5" t="e">
        <f t="shared" si="7"/>
        <v>#REF!</v>
      </c>
      <c r="M116" s="5" t="e">
        <f t="shared" si="7"/>
        <v>#REF!</v>
      </c>
      <c r="N116" s="5" t="e">
        <f t="shared" si="7"/>
        <v>#REF!</v>
      </c>
      <c r="O116" s="5" t="e">
        <f t="shared" si="7"/>
        <v>#REF!</v>
      </c>
      <c r="P116" s="5" t="e">
        <f t="shared" si="7"/>
        <v>#REF!</v>
      </c>
      <c r="Q116" s="5" t="e">
        <f t="shared" si="7"/>
        <v>#REF!</v>
      </c>
      <c r="R116" s="5" t="e">
        <f t="shared" si="7"/>
        <v>#REF!</v>
      </c>
      <c r="S116" s="5" t="e">
        <f t="shared" si="7"/>
        <v>#REF!</v>
      </c>
      <c r="T116" s="5" t="e">
        <f t="shared" si="7"/>
        <v>#REF!</v>
      </c>
      <c r="U116" s="5" t="e">
        <f t="shared" si="7"/>
        <v>#REF!</v>
      </c>
      <c r="V116" s="5" t="e">
        <f t="shared" si="7"/>
        <v>#REF!</v>
      </c>
      <c r="W116" s="5" t="e">
        <f t="shared" si="7"/>
        <v>#REF!</v>
      </c>
      <c r="X116" s="5" t="e">
        <f t="shared" si="7"/>
        <v>#REF!</v>
      </c>
    </row>
    <row r="117" spans="2:24">
      <c r="B117" s="5" t="s">
        <v>520</v>
      </c>
      <c r="C117" s="4" t="e">
        <f>AVERAGE(C99:C100)</f>
        <v>#REF!</v>
      </c>
      <c r="D117" s="4" t="e">
        <f t="shared" ref="D117:X117" si="8">AVERAGE(D99:D100)</f>
        <v>#REF!</v>
      </c>
      <c r="E117" s="4" t="e">
        <f t="shared" si="8"/>
        <v>#REF!</v>
      </c>
      <c r="F117" s="4" t="e">
        <f t="shared" si="8"/>
        <v>#REF!</v>
      </c>
      <c r="G117" s="4" t="e">
        <f t="shared" si="8"/>
        <v>#REF!</v>
      </c>
      <c r="H117" s="4" t="e">
        <f t="shared" si="8"/>
        <v>#REF!</v>
      </c>
      <c r="I117" s="4" t="e">
        <f t="shared" si="8"/>
        <v>#REF!</v>
      </c>
      <c r="J117" s="4" t="e">
        <f t="shared" si="8"/>
        <v>#REF!</v>
      </c>
      <c r="K117" s="4" t="e">
        <f t="shared" si="8"/>
        <v>#REF!</v>
      </c>
      <c r="L117" s="4" t="e">
        <f t="shared" si="8"/>
        <v>#REF!</v>
      </c>
      <c r="M117" s="4" t="e">
        <f t="shared" si="8"/>
        <v>#REF!</v>
      </c>
      <c r="N117" s="4" t="e">
        <f t="shared" si="8"/>
        <v>#REF!</v>
      </c>
      <c r="O117" s="4" t="e">
        <f t="shared" si="8"/>
        <v>#REF!</v>
      </c>
      <c r="P117" s="4" t="e">
        <f t="shared" si="8"/>
        <v>#REF!</v>
      </c>
      <c r="Q117" s="4" t="e">
        <f t="shared" si="8"/>
        <v>#REF!</v>
      </c>
      <c r="R117" s="4" t="e">
        <f t="shared" si="8"/>
        <v>#REF!</v>
      </c>
      <c r="S117" s="4" t="e">
        <f t="shared" si="8"/>
        <v>#REF!</v>
      </c>
      <c r="T117" s="4" t="e">
        <f t="shared" si="8"/>
        <v>#REF!</v>
      </c>
      <c r="U117" s="4" t="e">
        <f t="shared" si="8"/>
        <v>#REF!</v>
      </c>
      <c r="V117" s="4" t="e">
        <f t="shared" si="8"/>
        <v>#REF!</v>
      </c>
      <c r="W117" s="4" t="e">
        <f t="shared" si="8"/>
        <v>#REF!</v>
      </c>
      <c r="X117" s="4" t="e">
        <f t="shared" si="8"/>
        <v>#REF!</v>
      </c>
    </row>
    <row r="118" spans="2:24">
      <c r="B118" s="5" t="s">
        <v>521</v>
      </c>
      <c r="C118" s="5" t="e">
        <f>ROUND( MIN(C99:C100),0) &amp; " - " &amp;ROUND( MAX(C99:C100),0)</f>
        <v>#REF!</v>
      </c>
      <c r="D118" s="5" t="e">
        <f t="shared" ref="D118:X118" si="9">ROUND( MIN(D99:D100),0) &amp; " - " &amp;ROUND( MAX(D99:D100),0)</f>
        <v>#REF!</v>
      </c>
      <c r="E118" s="5" t="e">
        <f t="shared" si="9"/>
        <v>#REF!</v>
      </c>
      <c r="F118" s="5" t="e">
        <f t="shared" si="9"/>
        <v>#REF!</v>
      </c>
      <c r="G118" s="5" t="e">
        <f t="shared" si="9"/>
        <v>#REF!</v>
      </c>
      <c r="H118" s="5" t="e">
        <f t="shared" si="9"/>
        <v>#REF!</v>
      </c>
      <c r="I118" s="5" t="e">
        <f t="shared" si="9"/>
        <v>#REF!</v>
      </c>
      <c r="J118" s="5" t="e">
        <f t="shared" si="9"/>
        <v>#REF!</v>
      </c>
      <c r="K118" s="5" t="e">
        <f t="shared" si="9"/>
        <v>#REF!</v>
      </c>
      <c r="L118" s="5" t="e">
        <f t="shared" si="9"/>
        <v>#REF!</v>
      </c>
      <c r="M118" s="5" t="e">
        <f t="shared" si="9"/>
        <v>#REF!</v>
      </c>
      <c r="N118" s="5" t="e">
        <f t="shared" si="9"/>
        <v>#REF!</v>
      </c>
      <c r="O118" s="5" t="e">
        <f t="shared" si="9"/>
        <v>#REF!</v>
      </c>
      <c r="P118" s="5" t="e">
        <f t="shared" si="9"/>
        <v>#REF!</v>
      </c>
      <c r="Q118" s="5" t="e">
        <f t="shared" si="9"/>
        <v>#REF!</v>
      </c>
      <c r="R118" s="5" t="e">
        <f t="shared" si="9"/>
        <v>#REF!</v>
      </c>
      <c r="S118" s="5" t="e">
        <f t="shared" si="9"/>
        <v>#REF!</v>
      </c>
      <c r="T118" s="5" t="e">
        <f t="shared" si="9"/>
        <v>#REF!</v>
      </c>
      <c r="U118" s="5" t="e">
        <f t="shared" si="9"/>
        <v>#REF!</v>
      </c>
      <c r="V118" s="5" t="e">
        <f t="shared" si="9"/>
        <v>#REF!</v>
      </c>
      <c r="W118" s="5" t="e">
        <f t="shared" si="9"/>
        <v>#REF!</v>
      </c>
      <c r="X118" s="5" t="e">
        <f t="shared" si="9"/>
        <v>#REF!</v>
      </c>
    </row>
    <row r="119" spans="2:24">
      <c r="B119" s="5" t="s">
        <v>522</v>
      </c>
      <c r="C119" s="4" t="e">
        <f>AVERAGE(C101:C103)</f>
        <v>#REF!</v>
      </c>
      <c r="D119" s="4" t="e">
        <f t="shared" ref="D119:X119" si="10">AVERAGE(D101:D103)</f>
        <v>#REF!</v>
      </c>
      <c r="E119" s="4" t="e">
        <f t="shared" si="10"/>
        <v>#REF!</v>
      </c>
      <c r="F119" s="4" t="e">
        <f t="shared" si="10"/>
        <v>#REF!</v>
      </c>
      <c r="G119" s="4" t="e">
        <f t="shared" si="10"/>
        <v>#REF!</v>
      </c>
      <c r="H119" s="4" t="e">
        <f t="shared" si="10"/>
        <v>#REF!</v>
      </c>
      <c r="I119" s="4" t="e">
        <f t="shared" si="10"/>
        <v>#REF!</v>
      </c>
      <c r="J119" s="4" t="e">
        <f t="shared" si="10"/>
        <v>#REF!</v>
      </c>
      <c r="K119" s="4" t="e">
        <f t="shared" si="10"/>
        <v>#REF!</v>
      </c>
      <c r="L119" s="4" t="e">
        <f t="shared" si="10"/>
        <v>#REF!</v>
      </c>
      <c r="M119" s="4" t="e">
        <f t="shared" si="10"/>
        <v>#REF!</v>
      </c>
      <c r="N119" s="4" t="e">
        <f t="shared" si="10"/>
        <v>#REF!</v>
      </c>
      <c r="O119" s="4" t="e">
        <f t="shared" si="10"/>
        <v>#REF!</v>
      </c>
      <c r="P119" s="4" t="e">
        <f t="shared" si="10"/>
        <v>#REF!</v>
      </c>
      <c r="Q119" s="4" t="e">
        <f t="shared" si="10"/>
        <v>#REF!</v>
      </c>
      <c r="R119" s="4" t="e">
        <f t="shared" si="10"/>
        <v>#REF!</v>
      </c>
      <c r="S119" s="4" t="e">
        <f t="shared" si="10"/>
        <v>#REF!</v>
      </c>
      <c r="T119" s="4" t="e">
        <f t="shared" si="10"/>
        <v>#REF!</v>
      </c>
      <c r="U119" s="4" t="e">
        <f t="shared" si="10"/>
        <v>#REF!</v>
      </c>
      <c r="V119" s="4" t="e">
        <f t="shared" si="10"/>
        <v>#REF!</v>
      </c>
      <c r="W119" s="4" t="e">
        <f t="shared" si="10"/>
        <v>#REF!</v>
      </c>
      <c r="X119" s="4" t="e">
        <f t="shared" si="10"/>
        <v>#REF!</v>
      </c>
    </row>
    <row r="120" spans="2:24">
      <c r="B120" s="5" t="s">
        <v>523</v>
      </c>
      <c r="C120" s="5" t="e">
        <f>ROUND( MIN(C101:C103),0) &amp; " - " &amp;ROUND( MAX(C101:C103),0)</f>
        <v>#REF!</v>
      </c>
      <c r="D120" s="5" t="e">
        <f t="shared" ref="D120:X120" si="11">ROUND( MIN(D101:D103),0) &amp; " - " &amp;ROUND( MAX(D101:D103),0)</f>
        <v>#REF!</v>
      </c>
      <c r="E120" s="5" t="e">
        <f t="shared" si="11"/>
        <v>#REF!</v>
      </c>
      <c r="F120" s="5" t="e">
        <f t="shared" si="11"/>
        <v>#REF!</v>
      </c>
      <c r="G120" s="5" t="e">
        <f t="shared" si="11"/>
        <v>#REF!</v>
      </c>
      <c r="H120" s="5" t="e">
        <f t="shared" si="11"/>
        <v>#REF!</v>
      </c>
      <c r="I120" s="5" t="e">
        <f t="shared" si="11"/>
        <v>#REF!</v>
      </c>
      <c r="J120" s="5" t="e">
        <f t="shared" si="11"/>
        <v>#REF!</v>
      </c>
      <c r="K120" s="5" t="e">
        <f t="shared" si="11"/>
        <v>#REF!</v>
      </c>
      <c r="L120" s="5" t="e">
        <f t="shared" si="11"/>
        <v>#REF!</v>
      </c>
      <c r="M120" s="5" t="e">
        <f t="shared" si="11"/>
        <v>#REF!</v>
      </c>
      <c r="N120" s="5" t="e">
        <f t="shared" si="11"/>
        <v>#REF!</v>
      </c>
      <c r="O120" s="5" t="e">
        <f t="shared" si="11"/>
        <v>#REF!</v>
      </c>
      <c r="P120" s="5" t="e">
        <f t="shared" si="11"/>
        <v>#REF!</v>
      </c>
      <c r="Q120" s="5" t="e">
        <f t="shared" si="11"/>
        <v>#REF!</v>
      </c>
      <c r="R120" s="5" t="e">
        <f t="shared" si="11"/>
        <v>#REF!</v>
      </c>
      <c r="S120" s="5" t="e">
        <f t="shared" si="11"/>
        <v>#REF!</v>
      </c>
      <c r="T120" s="5" t="e">
        <f t="shared" si="11"/>
        <v>#REF!</v>
      </c>
      <c r="U120" s="5" t="e">
        <f t="shared" si="11"/>
        <v>#REF!</v>
      </c>
      <c r="V120" s="5" t="e">
        <f t="shared" si="11"/>
        <v>#REF!</v>
      </c>
      <c r="W120" s="5" t="e">
        <f t="shared" si="11"/>
        <v>#REF!</v>
      </c>
      <c r="X120" s="5" t="e">
        <f t="shared" si="11"/>
        <v>#REF!</v>
      </c>
    </row>
    <row r="121" spans="2:24">
      <c r="C121" s="10"/>
      <c r="M121" s="6"/>
      <c r="Q121" s="10"/>
    </row>
  </sheetData>
  <sortState xmlns:xlrd2="http://schemas.microsoft.com/office/spreadsheetml/2017/richdata2" ref="B85:Q90">
    <sortCondition ref="B85:B90"/>
  </sortState>
  <mergeCells count="8">
    <mergeCell ref="A1:X1"/>
    <mergeCell ref="A2:X2"/>
    <mergeCell ref="A99:A103"/>
    <mergeCell ref="B105:X107"/>
    <mergeCell ref="A93:A98"/>
    <mergeCell ref="A4:A53"/>
    <mergeCell ref="A54:A65"/>
    <mergeCell ref="A66:A92"/>
  </mergeCells>
  <pageMargins left="0.7" right="0.7" top="0.75" bottom="0.75" header="0.3" footer="0.3"/>
  <pageSetup scale="46" fitToHeight="0" orientation="landscape" r:id="rId1"/>
  <headerFooter>
    <oddHeader>&amp;LRita's Nutrition Supplement&amp;RUpdated  8/23/16</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0000"/>
    <pageSetUpPr fitToPage="1"/>
  </sheetPr>
  <dimension ref="A1:Z121"/>
  <sheetViews>
    <sheetView topLeftCell="A90" zoomScaleNormal="100" zoomScalePageLayoutView="78" workbookViewId="0">
      <selection activeCell="E105" sqref="E105"/>
    </sheetView>
    <sheetView workbookViewId="1">
      <selection sqref="A1:Q1"/>
    </sheetView>
    <sheetView workbookViewId="2">
      <selection sqref="A1:Q1"/>
    </sheetView>
  </sheetViews>
  <sheetFormatPr defaultColWidth="8.84375" defaultRowHeight="14.6"/>
  <cols>
    <col min="1" max="1" width="6.53515625" style="6" customWidth="1"/>
    <col min="2" max="2" width="42.84375" style="23" customWidth="1"/>
    <col min="3" max="4" width="10.53515625" style="6" customWidth="1"/>
    <col min="5" max="5" width="8.53515625" style="6" customWidth="1"/>
    <col min="6" max="6" width="11.53515625" style="6" customWidth="1"/>
    <col min="7" max="7" width="8.53515625" style="6" customWidth="1"/>
    <col min="8" max="8" width="13" style="6" customWidth="1"/>
    <col min="9" max="9" width="9" style="6" customWidth="1"/>
    <col min="10" max="10" width="16.84375" style="6" customWidth="1"/>
    <col min="11" max="11" width="9" style="6" customWidth="1"/>
    <col min="12" max="12" width="7.84375" style="6" customWidth="1"/>
    <col min="13" max="13" width="9" style="6" customWidth="1"/>
    <col min="14" max="16" width="11.53515625" style="6" customWidth="1"/>
    <col min="17" max="17" width="9" style="6" customWidth="1"/>
    <col min="18" max="18" width="34.84375" style="6" bestFit="1" customWidth="1"/>
    <col min="19" max="19" width="32.53515625" style="10" bestFit="1" customWidth="1"/>
    <col min="20" max="16384" width="8.84375" style="10"/>
  </cols>
  <sheetData>
    <row r="1" spans="1:17" ht="22.75">
      <c r="A1" s="1225" t="s">
        <v>524</v>
      </c>
      <c r="B1" s="1320"/>
      <c r="C1" s="1320"/>
      <c r="D1" s="1320"/>
      <c r="E1" s="1320"/>
      <c r="F1" s="1320"/>
      <c r="G1" s="1320"/>
      <c r="H1" s="1320"/>
      <c r="I1" s="1320"/>
      <c r="J1" s="1320"/>
      <c r="K1" s="1320"/>
      <c r="L1" s="1320"/>
      <c r="M1" s="1320"/>
      <c r="N1" s="1320"/>
      <c r="O1" s="1320"/>
      <c r="P1" s="1320"/>
      <c r="Q1" s="1320"/>
    </row>
    <row r="2" spans="1:17" ht="18" customHeight="1">
      <c r="A2" s="1226" t="s">
        <v>525</v>
      </c>
      <c r="B2" s="1226"/>
      <c r="C2" s="1226"/>
      <c r="D2" s="1226"/>
      <c r="E2" s="1226"/>
      <c r="F2" s="1226"/>
      <c r="G2" s="1226"/>
      <c r="H2" s="1226"/>
      <c r="I2" s="1226"/>
      <c r="J2" s="1226"/>
      <c r="K2" s="1226"/>
      <c r="L2" s="1226"/>
      <c r="M2" s="1226"/>
      <c r="N2" s="1226"/>
      <c r="O2" s="1226"/>
      <c r="P2" s="1226"/>
      <c r="Q2" s="1226"/>
    </row>
    <row r="3" spans="1:17" ht="18" customHeight="1" thickBot="1">
      <c r="A3" s="1307" t="s">
        <v>526</v>
      </c>
      <c r="B3" s="1308"/>
      <c r="C3" s="1308"/>
      <c r="D3" s="1308"/>
      <c r="E3" s="1308"/>
      <c r="F3" s="1308"/>
      <c r="G3" s="1308"/>
      <c r="H3" s="1308"/>
      <c r="I3" s="1308"/>
      <c r="J3" s="1308"/>
      <c r="K3" s="1308"/>
      <c r="L3" s="1308"/>
      <c r="M3" s="1308"/>
      <c r="N3" s="1308"/>
      <c r="O3" s="1308"/>
      <c r="P3" s="1308"/>
      <c r="Q3" s="1308"/>
    </row>
    <row r="4" spans="1:17" ht="37.5" customHeight="1" thickBot="1">
      <c r="A4" s="12"/>
      <c r="B4" s="21" t="s">
        <v>3</v>
      </c>
      <c r="C4" s="1" t="s">
        <v>4</v>
      </c>
      <c r="D4" s="1" t="s">
        <v>5</v>
      </c>
      <c r="E4" s="1" t="s">
        <v>6</v>
      </c>
      <c r="F4" s="1" t="s">
        <v>7</v>
      </c>
      <c r="G4" s="1" t="s">
        <v>8</v>
      </c>
      <c r="H4" s="1" t="s">
        <v>9</v>
      </c>
      <c r="I4" s="1" t="s">
        <v>10</v>
      </c>
      <c r="J4" s="1" t="s">
        <v>11</v>
      </c>
      <c r="K4" s="1" t="s">
        <v>12</v>
      </c>
      <c r="L4" s="1" t="s">
        <v>502</v>
      </c>
      <c r="M4" s="1" t="s">
        <v>15</v>
      </c>
      <c r="N4" s="2" t="s">
        <v>503</v>
      </c>
      <c r="O4" s="2" t="s">
        <v>504</v>
      </c>
      <c r="P4" s="2" t="s">
        <v>19</v>
      </c>
      <c r="Q4" s="3" t="s">
        <v>21</v>
      </c>
    </row>
    <row r="5" spans="1:17" ht="15" customHeight="1">
      <c r="A5" s="1317" t="s">
        <v>396</v>
      </c>
      <c r="B5" s="61" t="s">
        <v>26</v>
      </c>
      <c r="C5" s="98">
        <v>94.72</v>
      </c>
      <c r="D5" s="99">
        <v>44.95</v>
      </c>
      <c r="E5" s="99">
        <v>4.99</v>
      </c>
      <c r="F5" s="99">
        <v>3.18</v>
      </c>
      <c r="G5" s="99">
        <v>0</v>
      </c>
      <c r="H5" s="99">
        <v>29.51</v>
      </c>
      <c r="I5" s="99">
        <v>64.42</v>
      </c>
      <c r="J5" s="99">
        <v>11.41</v>
      </c>
      <c r="K5" s="99">
        <v>0</v>
      </c>
      <c r="L5" s="99">
        <v>9.08</v>
      </c>
      <c r="M5" s="99">
        <v>1.82</v>
      </c>
      <c r="N5" s="99">
        <v>4</v>
      </c>
      <c r="O5" s="99">
        <v>0</v>
      </c>
      <c r="P5" s="99">
        <v>6</v>
      </c>
      <c r="Q5" s="118">
        <v>0</v>
      </c>
    </row>
    <row r="6" spans="1:17">
      <c r="A6" s="1318"/>
      <c r="B6" s="62" t="s">
        <v>505</v>
      </c>
      <c r="C6" s="103">
        <v>93.68</v>
      </c>
      <c r="D6" s="104">
        <v>45.74</v>
      </c>
      <c r="E6" s="104">
        <v>5.08</v>
      </c>
      <c r="F6" s="104">
        <v>3.23</v>
      </c>
      <c r="G6" s="104">
        <v>0</v>
      </c>
      <c r="H6" s="104">
        <v>30.01</v>
      </c>
      <c r="I6" s="104">
        <v>65.13</v>
      </c>
      <c r="J6" s="104">
        <v>10.86</v>
      </c>
      <c r="K6" s="104">
        <v>0.01</v>
      </c>
      <c r="L6" s="104">
        <v>8.3699999999999992</v>
      </c>
      <c r="M6" s="104">
        <v>1.85</v>
      </c>
      <c r="N6" s="104">
        <v>4</v>
      </c>
      <c r="O6" s="104">
        <v>0</v>
      </c>
      <c r="P6" s="104">
        <v>6</v>
      </c>
      <c r="Q6" s="119">
        <v>0</v>
      </c>
    </row>
    <row r="7" spans="1:17">
      <c r="A7" s="1318"/>
      <c r="B7" s="62" t="s">
        <v>527</v>
      </c>
      <c r="C7" s="103">
        <v>94.39</v>
      </c>
      <c r="D7" s="104">
        <v>46.08</v>
      </c>
      <c r="E7" s="104">
        <v>5.12</v>
      </c>
      <c r="F7" s="104">
        <v>3.26</v>
      </c>
      <c r="G7" s="104">
        <v>0</v>
      </c>
      <c r="H7" s="104">
        <v>30.25</v>
      </c>
      <c r="I7" s="104">
        <v>65.599999999999994</v>
      </c>
      <c r="J7" s="104">
        <v>11.04</v>
      </c>
      <c r="K7" s="104">
        <v>0.01</v>
      </c>
      <c r="L7" s="104">
        <v>8.64</v>
      </c>
      <c r="M7" s="104">
        <v>1.86</v>
      </c>
      <c r="N7" s="104">
        <v>4</v>
      </c>
      <c r="O7" s="104">
        <v>0</v>
      </c>
      <c r="P7" s="104">
        <v>6</v>
      </c>
      <c r="Q7" s="119">
        <v>0</v>
      </c>
    </row>
    <row r="8" spans="1:17">
      <c r="A8" s="1318"/>
      <c r="B8" s="62" t="s">
        <v>98</v>
      </c>
      <c r="C8" s="103">
        <v>96.73</v>
      </c>
      <c r="D8" s="104">
        <v>43.62</v>
      </c>
      <c r="E8" s="104">
        <v>4.8499999999999996</v>
      </c>
      <c r="F8" s="104">
        <v>3.08</v>
      </c>
      <c r="G8" s="104">
        <v>0</v>
      </c>
      <c r="H8" s="104">
        <v>28.64</v>
      </c>
      <c r="I8" s="104">
        <v>62.13</v>
      </c>
      <c r="J8" s="104">
        <v>12.26</v>
      </c>
      <c r="K8" s="104">
        <v>0</v>
      </c>
      <c r="L8" s="104">
        <v>9.93</v>
      </c>
      <c r="M8" s="104">
        <v>1.76</v>
      </c>
      <c r="N8" s="104">
        <v>4</v>
      </c>
      <c r="O8" s="104">
        <v>0</v>
      </c>
      <c r="P8" s="104">
        <v>6</v>
      </c>
      <c r="Q8" s="119">
        <v>0</v>
      </c>
    </row>
    <row r="9" spans="1:17">
      <c r="A9" s="1318"/>
      <c r="B9" s="62" t="s">
        <v>34</v>
      </c>
      <c r="C9" s="103">
        <v>99.22</v>
      </c>
      <c r="D9" s="104">
        <v>42.52</v>
      </c>
      <c r="E9" s="104">
        <v>4.72</v>
      </c>
      <c r="F9" s="104">
        <v>2.83</v>
      </c>
      <c r="G9" s="104">
        <v>0</v>
      </c>
      <c r="H9" s="104">
        <v>25.99</v>
      </c>
      <c r="I9" s="104">
        <v>54.34</v>
      </c>
      <c r="J9" s="104">
        <v>12.76</v>
      </c>
      <c r="K9" s="104">
        <v>0</v>
      </c>
      <c r="L9" s="104">
        <v>9.92</v>
      </c>
      <c r="M9" s="104">
        <v>1.89</v>
      </c>
      <c r="N9" s="104">
        <v>4</v>
      </c>
      <c r="O9" s="104">
        <v>0</v>
      </c>
      <c r="P9" s="104">
        <v>4</v>
      </c>
      <c r="Q9" s="119">
        <v>2</v>
      </c>
    </row>
    <row r="10" spans="1:17">
      <c r="A10" s="1318"/>
      <c r="B10" s="62" t="s">
        <v>136</v>
      </c>
      <c r="C10" s="103">
        <v>93.97</v>
      </c>
      <c r="D10" s="104">
        <v>46.21</v>
      </c>
      <c r="E10" s="104">
        <v>5.13</v>
      </c>
      <c r="F10" s="104">
        <v>3.27</v>
      </c>
      <c r="G10" s="104">
        <v>0</v>
      </c>
      <c r="H10" s="104">
        <v>30.34</v>
      </c>
      <c r="I10" s="104">
        <v>68.5</v>
      </c>
      <c r="J10" s="104">
        <v>10.88</v>
      </c>
      <c r="K10" s="104">
        <v>0.01</v>
      </c>
      <c r="L10" s="104">
        <v>8.43</v>
      </c>
      <c r="M10" s="104">
        <v>1.89</v>
      </c>
      <c r="N10" s="104">
        <v>4</v>
      </c>
      <c r="O10" s="104">
        <v>0</v>
      </c>
      <c r="P10" s="104">
        <v>6</v>
      </c>
      <c r="Q10" s="119">
        <v>0.01</v>
      </c>
    </row>
    <row r="11" spans="1:17">
      <c r="A11" s="1318"/>
      <c r="B11" s="62" t="s">
        <v>528</v>
      </c>
      <c r="C11" s="103">
        <v>95.52</v>
      </c>
      <c r="D11" s="104">
        <v>45.07</v>
      </c>
      <c r="E11" s="104">
        <v>5.01</v>
      </c>
      <c r="F11" s="104">
        <v>3.19</v>
      </c>
      <c r="G11" s="104">
        <v>0</v>
      </c>
      <c r="H11" s="104">
        <v>29.59</v>
      </c>
      <c r="I11" s="104">
        <v>63.99</v>
      </c>
      <c r="J11" s="104">
        <v>11.58</v>
      </c>
      <c r="K11" s="104">
        <v>0</v>
      </c>
      <c r="L11" s="104">
        <v>9.18</v>
      </c>
      <c r="M11" s="104">
        <v>1.82</v>
      </c>
      <c r="N11" s="104">
        <v>4</v>
      </c>
      <c r="O11" s="104">
        <v>0</v>
      </c>
      <c r="P11" s="104">
        <v>6</v>
      </c>
      <c r="Q11" s="119">
        <v>0</v>
      </c>
    </row>
    <row r="12" spans="1:17" ht="15" customHeight="1">
      <c r="A12" s="1318"/>
      <c r="B12" s="62" t="s">
        <v>48</v>
      </c>
      <c r="C12" s="103">
        <v>94.39</v>
      </c>
      <c r="D12" s="104">
        <v>45.69</v>
      </c>
      <c r="E12" s="104">
        <v>5.08</v>
      </c>
      <c r="F12" s="104">
        <v>3.23</v>
      </c>
      <c r="G12" s="104">
        <v>0</v>
      </c>
      <c r="H12" s="104">
        <v>30</v>
      </c>
      <c r="I12" s="104">
        <v>64.77</v>
      </c>
      <c r="J12" s="104">
        <v>11.14</v>
      </c>
      <c r="K12" s="104">
        <v>0.01</v>
      </c>
      <c r="L12" s="104">
        <v>8.76</v>
      </c>
      <c r="M12" s="104">
        <v>1.85</v>
      </c>
      <c r="N12" s="104">
        <v>4</v>
      </c>
      <c r="O12" s="104">
        <v>0</v>
      </c>
      <c r="P12" s="104">
        <v>6</v>
      </c>
      <c r="Q12" s="119">
        <v>0</v>
      </c>
    </row>
    <row r="13" spans="1:17">
      <c r="A13" s="1318"/>
      <c r="B13" s="62" t="s">
        <v>137</v>
      </c>
      <c r="C13" s="103">
        <v>93.08</v>
      </c>
      <c r="D13" s="104">
        <v>46.13</v>
      </c>
      <c r="E13" s="104">
        <v>5.13</v>
      </c>
      <c r="F13" s="104">
        <v>3.26</v>
      </c>
      <c r="G13" s="104">
        <v>0</v>
      </c>
      <c r="H13" s="104">
        <v>30.21</v>
      </c>
      <c r="I13" s="104">
        <v>65.52</v>
      </c>
      <c r="J13" s="104">
        <v>10.7</v>
      </c>
      <c r="K13" s="104">
        <v>0</v>
      </c>
      <c r="L13" s="104">
        <v>8.3800000000000008</v>
      </c>
      <c r="M13" s="104">
        <v>1.86</v>
      </c>
      <c r="N13" s="104">
        <v>4</v>
      </c>
      <c r="O13" s="104">
        <v>0</v>
      </c>
      <c r="P13" s="104">
        <v>6</v>
      </c>
      <c r="Q13" s="119">
        <v>0</v>
      </c>
    </row>
    <row r="14" spans="1:17">
      <c r="A14" s="1318"/>
      <c r="B14" s="62" t="s">
        <v>416</v>
      </c>
      <c r="C14" s="103">
        <v>94.7</v>
      </c>
      <c r="D14" s="104">
        <v>45.58</v>
      </c>
      <c r="E14" s="104">
        <v>5.0599999999999996</v>
      </c>
      <c r="F14" s="104">
        <v>3.22</v>
      </c>
      <c r="G14" s="104">
        <v>0</v>
      </c>
      <c r="H14" s="104">
        <v>29.93</v>
      </c>
      <c r="I14" s="104">
        <v>64.930000000000007</v>
      </c>
      <c r="J14" s="104">
        <v>11.18</v>
      </c>
      <c r="K14" s="104">
        <v>0</v>
      </c>
      <c r="L14" s="104">
        <v>8.81</v>
      </c>
      <c r="M14" s="104">
        <v>1.84</v>
      </c>
      <c r="N14" s="104">
        <v>4</v>
      </c>
      <c r="O14" s="104">
        <v>0</v>
      </c>
      <c r="P14" s="104">
        <v>6</v>
      </c>
      <c r="Q14" s="119">
        <v>0</v>
      </c>
    </row>
    <row r="15" spans="1:17">
      <c r="A15" s="1318"/>
      <c r="B15" s="62" t="s">
        <v>417</v>
      </c>
      <c r="C15" s="103">
        <v>95.21</v>
      </c>
      <c r="D15" s="104">
        <v>46.14</v>
      </c>
      <c r="E15" s="104">
        <v>5.13</v>
      </c>
      <c r="F15" s="104">
        <v>3.26</v>
      </c>
      <c r="G15" s="104">
        <v>0</v>
      </c>
      <c r="H15" s="104">
        <v>30.29</v>
      </c>
      <c r="I15" s="104">
        <v>65.58</v>
      </c>
      <c r="J15" s="104">
        <v>11.15</v>
      </c>
      <c r="K15" s="104">
        <v>0</v>
      </c>
      <c r="L15" s="104">
        <v>8.67</v>
      </c>
      <c r="M15" s="104">
        <v>1.86</v>
      </c>
      <c r="N15" s="104">
        <v>4</v>
      </c>
      <c r="O15" s="104">
        <v>0</v>
      </c>
      <c r="P15" s="104">
        <v>6</v>
      </c>
      <c r="Q15" s="119">
        <v>0</v>
      </c>
    </row>
    <row r="16" spans="1:17">
      <c r="A16" s="1318"/>
      <c r="B16" s="62" t="s">
        <v>418</v>
      </c>
      <c r="C16" s="103">
        <v>95.59</v>
      </c>
      <c r="D16" s="104">
        <v>45.25</v>
      </c>
      <c r="E16" s="104">
        <v>5.03</v>
      </c>
      <c r="F16" s="104">
        <v>3.2</v>
      </c>
      <c r="G16" s="104">
        <v>0</v>
      </c>
      <c r="H16" s="104">
        <v>29.71</v>
      </c>
      <c r="I16" s="104">
        <v>65.13</v>
      </c>
      <c r="J16" s="104">
        <v>11.57</v>
      </c>
      <c r="K16" s="104">
        <v>0.01</v>
      </c>
      <c r="L16" s="104">
        <v>9.18</v>
      </c>
      <c r="M16" s="104">
        <v>1.83</v>
      </c>
      <c r="N16" s="104">
        <v>4</v>
      </c>
      <c r="O16" s="104">
        <v>0</v>
      </c>
      <c r="P16" s="104">
        <v>6</v>
      </c>
      <c r="Q16" s="119">
        <v>0</v>
      </c>
    </row>
    <row r="17" spans="1:26">
      <c r="A17" s="1318"/>
      <c r="B17" s="62" t="s">
        <v>529</v>
      </c>
      <c r="C17" s="103">
        <v>94.65</v>
      </c>
      <c r="D17" s="104">
        <v>46</v>
      </c>
      <c r="E17" s="104">
        <v>5.1100000000000003</v>
      </c>
      <c r="F17" s="104">
        <v>3.25</v>
      </c>
      <c r="G17" s="104">
        <v>0</v>
      </c>
      <c r="H17" s="104">
        <v>30.2</v>
      </c>
      <c r="I17" s="104">
        <v>65.05</v>
      </c>
      <c r="J17" s="104">
        <v>11.1</v>
      </c>
      <c r="K17" s="104">
        <v>0</v>
      </c>
      <c r="L17" s="104">
        <v>8.67</v>
      </c>
      <c r="M17" s="104">
        <v>1.86</v>
      </c>
      <c r="N17" s="104">
        <v>4</v>
      </c>
      <c r="O17" s="104">
        <v>0</v>
      </c>
      <c r="P17" s="104">
        <v>6</v>
      </c>
      <c r="Q17" s="119">
        <v>0</v>
      </c>
    </row>
    <row r="18" spans="1:26">
      <c r="A18" s="1318"/>
      <c r="B18" s="62" t="s">
        <v>66</v>
      </c>
      <c r="C18" s="103">
        <v>95.01</v>
      </c>
      <c r="D18" s="104">
        <v>45.68</v>
      </c>
      <c r="E18" s="104">
        <v>5.08</v>
      </c>
      <c r="F18" s="104">
        <v>3.23</v>
      </c>
      <c r="G18" s="104">
        <v>0</v>
      </c>
      <c r="H18" s="104">
        <v>29.99</v>
      </c>
      <c r="I18" s="104">
        <v>64.81</v>
      </c>
      <c r="J18" s="104">
        <v>11.3</v>
      </c>
      <c r="K18" s="104">
        <v>0</v>
      </c>
      <c r="L18" s="104">
        <v>8.9700000000000006</v>
      </c>
      <c r="M18" s="104">
        <v>1.85</v>
      </c>
      <c r="N18" s="104">
        <v>4</v>
      </c>
      <c r="O18" s="104">
        <v>0</v>
      </c>
      <c r="P18" s="104">
        <v>6</v>
      </c>
      <c r="Q18" s="119">
        <v>0</v>
      </c>
    </row>
    <row r="19" spans="1:26" ht="15" thickBot="1">
      <c r="A19" s="1319"/>
      <c r="B19" s="63" t="s">
        <v>75</v>
      </c>
      <c r="C19" s="108">
        <v>94.5</v>
      </c>
      <c r="D19" s="109">
        <v>46.78</v>
      </c>
      <c r="E19" s="109">
        <v>5.2</v>
      </c>
      <c r="F19" s="109">
        <v>3.31</v>
      </c>
      <c r="G19" s="109">
        <v>0</v>
      </c>
      <c r="H19" s="109">
        <v>30.71</v>
      </c>
      <c r="I19" s="109">
        <v>66.150000000000006</v>
      </c>
      <c r="J19" s="109">
        <v>10.87</v>
      </c>
      <c r="K19" s="109">
        <v>0</v>
      </c>
      <c r="L19" s="109">
        <v>8.5</v>
      </c>
      <c r="M19" s="109">
        <v>1.89</v>
      </c>
      <c r="N19" s="109">
        <v>4</v>
      </c>
      <c r="O19" s="109">
        <v>0</v>
      </c>
      <c r="P19" s="109">
        <v>6</v>
      </c>
      <c r="Q19" s="120">
        <v>0</v>
      </c>
    </row>
    <row r="20" spans="1:26">
      <c r="B20" s="22"/>
      <c r="C20" s="15"/>
      <c r="D20" s="15"/>
      <c r="E20" s="15"/>
      <c r="F20" s="15"/>
      <c r="G20" s="15"/>
      <c r="H20" s="15"/>
      <c r="I20" s="15"/>
      <c r="J20" s="15"/>
      <c r="K20" s="15"/>
      <c r="L20" s="15"/>
      <c r="M20" s="15"/>
      <c r="N20" s="15"/>
      <c r="O20" s="15"/>
      <c r="P20" s="15"/>
      <c r="Q20" s="15"/>
    </row>
    <row r="21" spans="1:26" ht="18" thickBot="1">
      <c r="A21" s="1308" t="s">
        <v>530</v>
      </c>
      <c r="B21" s="1308"/>
      <c r="C21" s="1308"/>
      <c r="D21" s="1308"/>
      <c r="E21" s="1308"/>
      <c r="F21" s="1308"/>
      <c r="G21" s="1308"/>
      <c r="H21" s="1308"/>
      <c r="I21" s="1308"/>
      <c r="J21" s="1308"/>
      <c r="K21" s="1308"/>
      <c r="L21" s="1308"/>
      <c r="M21" s="1308"/>
      <c r="N21" s="1308"/>
      <c r="O21" s="1308"/>
      <c r="P21" s="1308"/>
      <c r="Q21" s="1308"/>
      <c r="R21" s="16"/>
    </row>
    <row r="22" spans="1:26" ht="37.5" customHeight="1" thickBot="1">
      <c r="A22" s="13"/>
      <c r="B22" s="21" t="s">
        <v>3</v>
      </c>
      <c r="C22" s="1" t="s">
        <v>4</v>
      </c>
      <c r="D22" s="1" t="s">
        <v>5</v>
      </c>
      <c r="E22" s="1" t="s">
        <v>6</v>
      </c>
      <c r="F22" s="1" t="s">
        <v>7</v>
      </c>
      <c r="G22" s="1" t="s">
        <v>8</v>
      </c>
      <c r="H22" s="1" t="s">
        <v>9</v>
      </c>
      <c r="I22" s="1" t="s">
        <v>10</v>
      </c>
      <c r="J22" s="1" t="s">
        <v>11</v>
      </c>
      <c r="K22" s="1" t="s">
        <v>12</v>
      </c>
      <c r="L22" s="1" t="s">
        <v>502</v>
      </c>
      <c r="M22" s="1" t="s">
        <v>15</v>
      </c>
      <c r="N22" s="2" t="s">
        <v>503</v>
      </c>
      <c r="O22" s="2" t="s">
        <v>504</v>
      </c>
      <c r="P22" s="2" t="s">
        <v>19</v>
      </c>
      <c r="Q22" s="3" t="s">
        <v>21</v>
      </c>
    </row>
    <row r="23" spans="1:26" ht="15" customHeight="1">
      <c r="A23" s="1317" t="s">
        <v>530</v>
      </c>
      <c r="B23" s="61" t="s">
        <v>150</v>
      </c>
      <c r="C23" s="98">
        <v>45</v>
      </c>
      <c r="D23" s="99">
        <v>2.5</v>
      </c>
      <c r="E23" s="99">
        <v>0</v>
      </c>
      <c r="F23" s="99">
        <v>0</v>
      </c>
      <c r="G23" s="99">
        <v>0</v>
      </c>
      <c r="H23" s="99">
        <v>0</v>
      </c>
      <c r="I23" s="99">
        <v>25</v>
      </c>
      <c r="J23" s="99">
        <v>10.5</v>
      </c>
      <c r="K23" s="99">
        <v>0</v>
      </c>
      <c r="L23" s="99">
        <v>7.5</v>
      </c>
      <c r="M23" s="99">
        <v>0</v>
      </c>
      <c r="N23" s="99">
        <v>0</v>
      </c>
      <c r="O23" s="99">
        <v>0</v>
      </c>
      <c r="P23" s="99">
        <v>0</v>
      </c>
      <c r="Q23" s="118">
        <v>0</v>
      </c>
    </row>
    <row r="24" spans="1:26">
      <c r="A24" s="1318"/>
      <c r="B24" s="62" t="s">
        <v>165</v>
      </c>
      <c r="C24" s="103">
        <v>45</v>
      </c>
      <c r="D24" s="104">
        <v>15</v>
      </c>
      <c r="E24" s="104">
        <v>1.75</v>
      </c>
      <c r="F24" s="104">
        <v>1.5</v>
      </c>
      <c r="G24" s="104">
        <v>0</v>
      </c>
      <c r="H24" s="104">
        <v>0</v>
      </c>
      <c r="I24" s="104">
        <v>22.5</v>
      </c>
      <c r="J24" s="104">
        <v>7.5</v>
      </c>
      <c r="K24" s="104">
        <v>0</v>
      </c>
      <c r="L24" s="104">
        <v>7</v>
      </c>
      <c r="M24" s="104">
        <v>0.5</v>
      </c>
      <c r="N24" s="104">
        <v>0</v>
      </c>
      <c r="O24" s="104">
        <v>0</v>
      </c>
      <c r="P24" s="104">
        <v>2</v>
      </c>
      <c r="Q24" s="119">
        <v>0</v>
      </c>
    </row>
    <row r="25" spans="1:26">
      <c r="A25" s="1318"/>
      <c r="B25" s="62" t="s">
        <v>465</v>
      </c>
      <c r="C25" s="103">
        <v>91.43</v>
      </c>
      <c r="D25" s="104">
        <v>75.239999999999995</v>
      </c>
      <c r="E25" s="104">
        <v>8.36</v>
      </c>
      <c r="F25" s="104">
        <v>1.39</v>
      </c>
      <c r="G25" s="104">
        <v>0</v>
      </c>
      <c r="H25" s="104">
        <v>0</v>
      </c>
      <c r="I25" s="104">
        <v>61.94</v>
      </c>
      <c r="J25" s="104">
        <v>2.61</v>
      </c>
      <c r="K25" s="104">
        <v>0.91</v>
      </c>
      <c r="L25" s="104">
        <v>1.31</v>
      </c>
      <c r="M25" s="104">
        <v>2.75</v>
      </c>
      <c r="N25" s="104">
        <v>0</v>
      </c>
      <c r="O25" s="104">
        <v>0</v>
      </c>
      <c r="P25" s="104">
        <v>9.91</v>
      </c>
      <c r="Q25" s="119">
        <v>0.49</v>
      </c>
    </row>
    <row r="26" spans="1:26" ht="15" thickBot="1">
      <c r="A26" s="1319"/>
      <c r="B26" s="63" t="s">
        <v>531</v>
      </c>
      <c r="C26" s="108">
        <v>18.940000000000001</v>
      </c>
      <c r="D26" s="109">
        <v>0.08</v>
      </c>
      <c r="E26" s="109">
        <v>0.01</v>
      </c>
      <c r="F26" s="109">
        <v>0</v>
      </c>
      <c r="G26" s="109">
        <v>0</v>
      </c>
      <c r="H26" s="109">
        <v>0</v>
      </c>
      <c r="I26" s="109">
        <v>2.62</v>
      </c>
      <c r="J26" s="109">
        <v>5.18</v>
      </c>
      <c r="K26" s="109">
        <v>0.16</v>
      </c>
      <c r="L26" s="109">
        <v>4.3899999999999997</v>
      </c>
      <c r="M26" s="109">
        <v>0.04</v>
      </c>
      <c r="N26" s="109">
        <v>0</v>
      </c>
      <c r="O26" s="109">
        <v>3.16</v>
      </c>
      <c r="P26" s="109">
        <v>1.46</v>
      </c>
      <c r="Q26" s="120">
        <v>0.06</v>
      </c>
    </row>
    <row r="27" spans="1:26">
      <c r="A27" s="17"/>
      <c r="B27" s="22"/>
      <c r="C27" s="15"/>
      <c r="D27" s="15"/>
      <c r="E27" s="15"/>
      <c r="F27" s="15"/>
      <c r="G27" s="15"/>
      <c r="H27" s="15"/>
      <c r="I27" s="15"/>
      <c r="J27" s="15"/>
      <c r="K27" s="15"/>
      <c r="L27" s="15"/>
      <c r="M27" s="15"/>
      <c r="N27" s="15"/>
      <c r="O27" s="15"/>
      <c r="P27" s="15"/>
      <c r="Q27" s="15"/>
    </row>
    <row r="28" spans="1:26" ht="19.5" customHeight="1" thickBot="1">
      <c r="A28" s="1308" t="s">
        <v>532</v>
      </c>
      <c r="B28" s="1308"/>
      <c r="C28" s="1308"/>
      <c r="D28" s="1308"/>
      <c r="E28" s="1308"/>
      <c r="F28" s="1308"/>
      <c r="G28" s="1308"/>
      <c r="H28" s="1308"/>
      <c r="I28" s="1308"/>
      <c r="J28" s="1308"/>
      <c r="K28" s="1308"/>
      <c r="L28" s="1308"/>
      <c r="M28" s="1308"/>
      <c r="N28" s="1308"/>
      <c r="O28" s="1308"/>
      <c r="P28" s="1308"/>
      <c r="Q28" s="1308"/>
      <c r="R28" s="16"/>
    </row>
    <row r="29" spans="1:26" ht="37.5" customHeight="1" thickBot="1">
      <c r="A29" s="13"/>
      <c r="B29" s="21" t="s">
        <v>3</v>
      </c>
      <c r="C29" s="1" t="s">
        <v>4</v>
      </c>
      <c r="D29" s="1" t="s">
        <v>5</v>
      </c>
      <c r="E29" s="1" t="s">
        <v>6</v>
      </c>
      <c r="F29" s="1" t="s">
        <v>7</v>
      </c>
      <c r="G29" s="1" t="s">
        <v>8</v>
      </c>
      <c r="H29" s="1" t="s">
        <v>9</v>
      </c>
      <c r="I29" s="1" t="s">
        <v>10</v>
      </c>
      <c r="J29" s="1" t="s">
        <v>11</v>
      </c>
      <c r="K29" s="1" t="s">
        <v>12</v>
      </c>
      <c r="L29" s="1" t="s">
        <v>502</v>
      </c>
      <c r="M29" s="1" t="s">
        <v>15</v>
      </c>
      <c r="N29" s="2" t="s">
        <v>503</v>
      </c>
      <c r="O29" s="2" t="s">
        <v>504</v>
      </c>
      <c r="P29" s="2" t="s">
        <v>19</v>
      </c>
      <c r="Q29" s="3" t="s">
        <v>21</v>
      </c>
    </row>
    <row r="30" spans="1:26">
      <c r="A30" s="1317" t="s">
        <v>533</v>
      </c>
      <c r="B30" s="59" t="s">
        <v>144</v>
      </c>
      <c r="C30" s="98">
        <v>64.64</v>
      </c>
      <c r="D30" s="99">
        <v>33.17</v>
      </c>
      <c r="E30" s="99">
        <v>3.69</v>
      </c>
      <c r="F30" s="99">
        <v>2.2000000000000002</v>
      </c>
      <c r="G30" s="99">
        <v>0</v>
      </c>
      <c r="H30" s="99">
        <v>0</v>
      </c>
      <c r="I30" s="99">
        <v>0.03</v>
      </c>
      <c r="J30" s="99">
        <v>9.51</v>
      </c>
      <c r="K30" s="99">
        <v>1.1200000000000001</v>
      </c>
      <c r="L30" s="99">
        <v>7.68</v>
      </c>
      <c r="M30" s="99">
        <v>0.71</v>
      </c>
      <c r="N30" s="79">
        <v>0</v>
      </c>
      <c r="O30" s="79">
        <v>0</v>
      </c>
      <c r="P30" s="79">
        <v>2</v>
      </c>
      <c r="Q30" s="80">
        <v>15</v>
      </c>
      <c r="S30" s="11"/>
      <c r="T30" s="39"/>
      <c r="U30" s="39"/>
      <c r="V30" s="39"/>
      <c r="W30" s="39"/>
      <c r="X30" s="39"/>
      <c r="Y30" s="39"/>
      <c r="Z30" s="39"/>
    </row>
    <row r="31" spans="1:26">
      <c r="A31" s="1318"/>
      <c r="B31" s="56" t="s">
        <v>534</v>
      </c>
      <c r="C31" s="103">
        <v>57.37</v>
      </c>
      <c r="D31" s="104">
        <v>12</v>
      </c>
      <c r="E31" s="104">
        <v>1.33</v>
      </c>
      <c r="F31" s="104">
        <v>0.69</v>
      </c>
      <c r="G31" s="104">
        <v>0</v>
      </c>
      <c r="H31" s="104">
        <v>0</v>
      </c>
      <c r="I31" s="104">
        <v>86.22</v>
      </c>
      <c r="J31" s="104">
        <v>11.31</v>
      </c>
      <c r="K31" s="104">
        <v>0.72</v>
      </c>
      <c r="L31" s="104">
        <v>4.3899999999999997</v>
      </c>
      <c r="M31" s="104">
        <v>0.84</v>
      </c>
      <c r="N31" s="81">
        <v>0</v>
      </c>
      <c r="O31" s="81">
        <v>0</v>
      </c>
      <c r="P31" s="81">
        <v>15</v>
      </c>
      <c r="Q31" s="82">
        <v>0</v>
      </c>
      <c r="S31" s="11"/>
      <c r="T31" s="39"/>
      <c r="U31" s="39"/>
      <c r="V31" s="39"/>
      <c r="W31" s="39"/>
      <c r="X31" s="39"/>
      <c r="Y31" s="39"/>
      <c r="Z31" s="39"/>
    </row>
    <row r="32" spans="1:26">
      <c r="A32" s="1318"/>
      <c r="B32" s="56" t="s">
        <v>147</v>
      </c>
      <c r="C32" s="103">
        <v>83.06</v>
      </c>
      <c r="D32" s="104">
        <v>63.35</v>
      </c>
      <c r="E32" s="104">
        <v>7.04</v>
      </c>
      <c r="F32" s="104">
        <v>0.98</v>
      </c>
      <c r="G32" s="104">
        <v>0</v>
      </c>
      <c r="H32" s="104">
        <v>0</v>
      </c>
      <c r="I32" s="104">
        <v>20.41</v>
      </c>
      <c r="J32" s="104">
        <v>3.03</v>
      </c>
      <c r="K32" s="104">
        <v>1.32</v>
      </c>
      <c r="L32" s="104">
        <v>0.6</v>
      </c>
      <c r="M32" s="104">
        <v>3.36</v>
      </c>
      <c r="N32" s="81">
        <v>15</v>
      </c>
      <c r="O32" s="81">
        <v>10</v>
      </c>
      <c r="P32" s="81">
        <v>0</v>
      </c>
      <c r="Q32" s="82">
        <v>10</v>
      </c>
      <c r="S32" s="11"/>
      <c r="T32" s="39"/>
      <c r="U32" s="39"/>
      <c r="V32" s="39"/>
      <c r="W32" s="39"/>
      <c r="X32" s="39"/>
      <c r="Y32" s="39"/>
      <c r="Z32" s="39"/>
    </row>
    <row r="33" spans="1:26">
      <c r="A33" s="1318"/>
      <c r="B33" s="56" t="s">
        <v>148</v>
      </c>
      <c r="C33" s="103">
        <v>57.75</v>
      </c>
      <c r="D33" s="104">
        <v>4.72</v>
      </c>
      <c r="E33" s="104">
        <v>0.52</v>
      </c>
      <c r="F33" s="104">
        <v>0.52</v>
      </c>
      <c r="G33" s="104">
        <v>0</v>
      </c>
      <c r="H33" s="104">
        <v>0</v>
      </c>
      <c r="I33" s="104">
        <v>89.25</v>
      </c>
      <c r="J33" s="104">
        <v>12.07</v>
      </c>
      <c r="K33" s="104">
        <v>0</v>
      </c>
      <c r="L33" s="104">
        <v>4.72</v>
      </c>
      <c r="M33" s="104">
        <v>0.52</v>
      </c>
      <c r="N33" s="81">
        <v>2</v>
      </c>
      <c r="O33" s="81">
        <v>0</v>
      </c>
      <c r="P33" s="81">
        <v>2</v>
      </c>
      <c r="Q33" s="82">
        <v>0</v>
      </c>
      <c r="S33" s="11"/>
      <c r="T33" s="39"/>
      <c r="U33" s="39"/>
      <c r="V33" s="39"/>
      <c r="W33" s="39"/>
      <c r="X33" s="39"/>
      <c r="Y33" s="39"/>
      <c r="Z33" s="39"/>
    </row>
    <row r="34" spans="1:26">
      <c r="A34" s="1318"/>
      <c r="B34" s="56" t="s">
        <v>306</v>
      </c>
      <c r="C34" s="103">
        <v>45</v>
      </c>
      <c r="D34" s="104">
        <v>0</v>
      </c>
      <c r="E34" s="104">
        <v>0</v>
      </c>
      <c r="F34" s="104">
        <v>0</v>
      </c>
      <c r="G34" s="104">
        <v>0</v>
      </c>
      <c r="H34" s="104">
        <v>0</v>
      </c>
      <c r="I34" s="104">
        <v>0</v>
      </c>
      <c r="J34" s="104">
        <v>10</v>
      </c>
      <c r="K34" s="104">
        <v>0</v>
      </c>
      <c r="L34" s="104">
        <v>6</v>
      </c>
      <c r="M34" s="104">
        <v>0.79</v>
      </c>
      <c r="N34" s="81">
        <v>0</v>
      </c>
      <c r="O34" s="81">
        <v>0</v>
      </c>
      <c r="P34" s="81">
        <v>0</v>
      </c>
      <c r="Q34" s="82">
        <v>0</v>
      </c>
      <c r="S34" s="11"/>
      <c r="T34" s="39"/>
      <c r="U34" s="39"/>
      <c r="V34" s="39"/>
      <c r="W34" s="39"/>
      <c r="X34" s="39"/>
      <c r="Y34" s="39"/>
      <c r="Z34" s="39"/>
    </row>
    <row r="35" spans="1:26">
      <c r="A35" s="1318"/>
      <c r="B35" s="56" t="s">
        <v>149</v>
      </c>
      <c r="C35" s="103">
        <v>74.7</v>
      </c>
      <c r="D35" s="104">
        <v>41.46</v>
      </c>
      <c r="E35" s="104">
        <v>4.6100000000000003</v>
      </c>
      <c r="F35" s="104">
        <v>2.44</v>
      </c>
      <c r="G35" s="104">
        <v>0.06</v>
      </c>
      <c r="H35" s="104">
        <v>2.65</v>
      </c>
      <c r="I35" s="104">
        <v>49.24</v>
      </c>
      <c r="J35" s="104">
        <v>8.82</v>
      </c>
      <c r="K35" s="104">
        <v>0.18</v>
      </c>
      <c r="L35" s="104">
        <v>8.5</v>
      </c>
      <c r="M35" s="104">
        <v>0.44</v>
      </c>
      <c r="N35" s="81">
        <v>0</v>
      </c>
      <c r="O35" s="81">
        <v>0</v>
      </c>
      <c r="P35" s="81">
        <v>2</v>
      </c>
      <c r="Q35" s="82">
        <v>2</v>
      </c>
      <c r="S35" s="11"/>
      <c r="T35" s="39"/>
      <c r="U35" s="39"/>
      <c r="V35" s="39"/>
      <c r="W35" s="39"/>
      <c r="X35" s="39"/>
      <c r="Y35" s="39"/>
      <c r="Z35" s="39"/>
    </row>
    <row r="36" spans="1:26">
      <c r="A36" s="1318"/>
      <c r="B36" s="56" t="s">
        <v>150</v>
      </c>
      <c r="C36" s="103">
        <v>45</v>
      </c>
      <c r="D36" s="104">
        <v>2.5</v>
      </c>
      <c r="E36" s="104">
        <v>0</v>
      </c>
      <c r="F36" s="104">
        <v>0</v>
      </c>
      <c r="G36" s="104">
        <v>0</v>
      </c>
      <c r="H36" s="104">
        <v>0</v>
      </c>
      <c r="I36" s="104">
        <v>25</v>
      </c>
      <c r="J36" s="104">
        <v>10.5</v>
      </c>
      <c r="K36" s="104">
        <v>0</v>
      </c>
      <c r="L36" s="104">
        <v>7.5</v>
      </c>
      <c r="M36" s="104">
        <v>0</v>
      </c>
      <c r="N36" s="81">
        <v>0</v>
      </c>
      <c r="O36" s="81">
        <v>0</v>
      </c>
      <c r="P36" s="81">
        <v>0</v>
      </c>
      <c r="Q36" s="82">
        <v>0</v>
      </c>
      <c r="S36" s="11"/>
      <c r="T36" s="39"/>
      <c r="U36" s="39"/>
      <c r="V36" s="39"/>
      <c r="W36" s="39"/>
      <c r="X36" s="39"/>
      <c r="Y36" s="39"/>
      <c r="Z36" s="39"/>
    </row>
    <row r="37" spans="1:26">
      <c r="A37" s="1318"/>
      <c r="B37" s="56" t="s">
        <v>151</v>
      </c>
      <c r="C37" s="103">
        <v>45</v>
      </c>
      <c r="D37" s="104">
        <v>15</v>
      </c>
      <c r="E37" s="104">
        <v>1.75</v>
      </c>
      <c r="F37" s="104">
        <v>1.5</v>
      </c>
      <c r="G37" s="104">
        <v>0</v>
      </c>
      <c r="H37" s="104">
        <v>0</v>
      </c>
      <c r="I37" s="104">
        <v>22.5</v>
      </c>
      <c r="J37" s="104">
        <v>7.5</v>
      </c>
      <c r="K37" s="104">
        <v>0</v>
      </c>
      <c r="L37" s="104">
        <v>7</v>
      </c>
      <c r="M37" s="104">
        <v>0.5</v>
      </c>
      <c r="N37" s="81">
        <v>0</v>
      </c>
      <c r="O37" s="81">
        <v>0</v>
      </c>
      <c r="P37" s="81">
        <v>2</v>
      </c>
      <c r="Q37" s="82">
        <v>0</v>
      </c>
      <c r="S37" s="11"/>
      <c r="T37" s="39"/>
      <c r="U37" s="39"/>
      <c r="V37" s="39"/>
      <c r="W37" s="39"/>
      <c r="X37" s="39"/>
      <c r="Y37" s="39"/>
      <c r="Z37" s="39"/>
    </row>
    <row r="38" spans="1:26">
      <c r="A38" s="1318"/>
      <c r="B38" s="56" t="s">
        <v>535</v>
      </c>
      <c r="C38" s="103">
        <v>61.2</v>
      </c>
      <c r="D38" s="104">
        <v>13.51</v>
      </c>
      <c r="E38" s="104">
        <v>1.5</v>
      </c>
      <c r="F38" s="104">
        <v>0.87</v>
      </c>
      <c r="G38" s="104">
        <v>0</v>
      </c>
      <c r="H38" s="104">
        <v>0.01</v>
      </c>
      <c r="I38" s="104">
        <v>31.3</v>
      </c>
      <c r="J38" s="104">
        <v>12.24</v>
      </c>
      <c r="K38" s="104">
        <v>0.01</v>
      </c>
      <c r="L38" s="104">
        <v>10.1</v>
      </c>
      <c r="M38" s="104">
        <v>0</v>
      </c>
      <c r="N38" s="81">
        <v>2</v>
      </c>
      <c r="O38" s="81">
        <v>0</v>
      </c>
      <c r="P38" s="81">
        <v>2</v>
      </c>
      <c r="Q38" s="82">
        <v>4</v>
      </c>
      <c r="S38" s="11"/>
      <c r="T38" s="39"/>
      <c r="U38" s="39"/>
      <c r="V38" s="39"/>
      <c r="W38" s="39"/>
      <c r="X38" s="39"/>
      <c r="Y38" s="39"/>
      <c r="Z38" s="39"/>
    </row>
    <row r="39" spans="1:26">
      <c r="A39" s="1318"/>
      <c r="B39" s="56" t="s">
        <v>152</v>
      </c>
      <c r="C39" s="103">
        <v>70</v>
      </c>
      <c r="D39" s="104">
        <v>25</v>
      </c>
      <c r="E39" s="104">
        <v>3</v>
      </c>
      <c r="F39" s="104">
        <v>2</v>
      </c>
      <c r="G39" s="104">
        <v>0</v>
      </c>
      <c r="H39" s="104">
        <v>0</v>
      </c>
      <c r="I39" s="104">
        <v>10</v>
      </c>
      <c r="J39" s="104">
        <v>10</v>
      </c>
      <c r="K39" s="104">
        <v>0</v>
      </c>
      <c r="L39" s="104">
        <v>9</v>
      </c>
      <c r="M39" s="104">
        <v>1</v>
      </c>
      <c r="N39" s="81">
        <v>0</v>
      </c>
      <c r="O39" s="81">
        <v>0</v>
      </c>
      <c r="P39" s="81">
        <v>2</v>
      </c>
      <c r="Q39" s="82">
        <v>2</v>
      </c>
      <c r="S39" s="11"/>
      <c r="T39" s="39"/>
      <c r="U39" s="39"/>
      <c r="V39" s="39"/>
      <c r="W39" s="39"/>
      <c r="X39" s="39"/>
      <c r="Y39" s="39"/>
      <c r="Z39" s="39"/>
    </row>
    <row r="40" spans="1:26">
      <c r="A40" s="1318"/>
      <c r="B40" s="56" t="s">
        <v>422</v>
      </c>
      <c r="C40" s="103">
        <v>28.35</v>
      </c>
      <c r="D40" s="104">
        <v>0</v>
      </c>
      <c r="E40" s="104">
        <v>0</v>
      </c>
      <c r="F40" s="104">
        <v>0</v>
      </c>
      <c r="G40" s="104">
        <v>0</v>
      </c>
      <c r="H40" s="104">
        <v>0</v>
      </c>
      <c r="I40" s="104">
        <v>0</v>
      </c>
      <c r="J40" s="104">
        <v>5.67</v>
      </c>
      <c r="K40" s="104">
        <v>0</v>
      </c>
      <c r="L40" s="104">
        <v>2.83</v>
      </c>
      <c r="M40" s="104">
        <v>0</v>
      </c>
      <c r="N40" s="81">
        <v>0</v>
      </c>
      <c r="O40" s="81">
        <v>0</v>
      </c>
      <c r="P40" s="81">
        <v>0</v>
      </c>
      <c r="Q40" s="82">
        <v>0</v>
      </c>
      <c r="S40" s="11"/>
      <c r="T40" s="39"/>
      <c r="U40" s="39"/>
      <c r="V40" s="39"/>
      <c r="W40" s="39"/>
      <c r="X40" s="39"/>
      <c r="Y40" s="39"/>
      <c r="Z40" s="39"/>
    </row>
    <row r="41" spans="1:26">
      <c r="A41" s="1318"/>
      <c r="B41" s="56" t="s">
        <v>536</v>
      </c>
      <c r="C41" s="103">
        <v>68.430000000000007</v>
      </c>
      <c r="D41" s="104">
        <v>26.39</v>
      </c>
      <c r="E41" s="104">
        <v>2.93</v>
      </c>
      <c r="F41" s="104">
        <v>0.98</v>
      </c>
      <c r="G41" s="104">
        <v>7.0000000000000007E-2</v>
      </c>
      <c r="H41" s="104">
        <v>0</v>
      </c>
      <c r="I41" s="104">
        <v>56.21</v>
      </c>
      <c r="J41" s="104">
        <v>10.26</v>
      </c>
      <c r="K41" s="104">
        <v>0.49</v>
      </c>
      <c r="L41" s="104">
        <v>5.87</v>
      </c>
      <c r="M41" s="104">
        <v>0.49</v>
      </c>
      <c r="N41" s="81">
        <v>0</v>
      </c>
      <c r="O41" s="81">
        <v>0</v>
      </c>
      <c r="P41" s="81">
        <v>0</v>
      </c>
      <c r="Q41" s="82">
        <v>4</v>
      </c>
      <c r="S41" s="11"/>
      <c r="T41" s="39"/>
      <c r="U41" s="39"/>
      <c r="V41" s="39"/>
      <c r="W41" s="39"/>
      <c r="X41" s="39"/>
      <c r="Y41" s="39"/>
      <c r="Z41" s="39"/>
    </row>
    <row r="42" spans="1:26">
      <c r="A42" s="1318"/>
      <c r="B42" s="56" t="s">
        <v>154</v>
      </c>
      <c r="C42" s="103">
        <v>53.16</v>
      </c>
      <c r="D42" s="104">
        <v>0</v>
      </c>
      <c r="E42" s="104">
        <v>0</v>
      </c>
      <c r="F42" s="104">
        <v>0</v>
      </c>
      <c r="G42" s="104">
        <v>0</v>
      </c>
      <c r="H42" s="104">
        <v>0</v>
      </c>
      <c r="I42" s="104">
        <v>1.04</v>
      </c>
      <c r="J42" s="104">
        <v>13.27</v>
      </c>
      <c r="K42" s="104">
        <v>0</v>
      </c>
      <c r="L42" s="104">
        <v>13</v>
      </c>
      <c r="M42" s="104">
        <v>0</v>
      </c>
      <c r="N42" s="81">
        <v>0</v>
      </c>
      <c r="O42" s="81">
        <v>0</v>
      </c>
      <c r="P42" s="81">
        <v>0</v>
      </c>
      <c r="Q42" s="82">
        <v>8</v>
      </c>
      <c r="S42" s="11"/>
      <c r="T42" s="39"/>
      <c r="U42" s="39"/>
      <c r="V42" s="39"/>
      <c r="W42" s="39"/>
      <c r="X42" s="39"/>
      <c r="Y42" s="39"/>
      <c r="Z42" s="39"/>
    </row>
    <row r="43" spans="1:26">
      <c r="A43" s="1318"/>
      <c r="B43" s="56" t="s">
        <v>155</v>
      </c>
      <c r="C43" s="103">
        <v>61.42</v>
      </c>
      <c r="D43" s="104">
        <v>13.61</v>
      </c>
      <c r="E43" s="104">
        <v>1.51</v>
      </c>
      <c r="F43" s="104">
        <v>0.74</v>
      </c>
      <c r="G43" s="104">
        <v>0</v>
      </c>
      <c r="H43" s="104">
        <v>1.23</v>
      </c>
      <c r="I43" s="104">
        <v>75.95</v>
      </c>
      <c r="J43" s="104">
        <v>11.24</v>
      </c>
      <c r="K43" s="104">
        <v>0.21</v>
      </c>
      <c r="L43" s="104">
        <v>5.17</v>
      </c>
      <c r="M43" s="104">
        <v>0.72</v>
      </c>
      <c r="N43" s="85">
        <v>0</v>
      </c>
      <c r="O43" s="85">
        <v>0</v>
      </c>
      <c r="P43" s="85">
        <v>2</v>
      </c>
      <c r="Q43" s="86">
        <v>6</v>
      </c>
      <c r="S43" s="11"/>
      <c r="T43" s="39"/>
      <c r="U43" s="39"/>
      <c r="V43" s="39"/>
      <c r="W43" s="39"/>
      <c r="X43" s="39"/>
      <c r="Y43" s="39"/>
      <c r="Z43" s="39"/>
    </row>
    <row r="44" spans="1:26">
      <c r="A44" s="1318"/>
      <c r="B44" s="56" t="s">
        <v>156</v>
      </c>
      <c r="C44" s="103">
        <v>68.25</v>
      </c>
      <c r="D44" s="104">
        <v>23.62</v>
      </c>
      <c r="E44" s="104">
        <v>2.62</v>
      </c>
      <c r="F44" s="104">
        <v>0.79</v>
      </c>
      <c r="G44" s="104">
        <v>0</v>
      </c>
      <c r="H44" s="104">
        <v>0</v>
      </c>
      <c r="I44" s="104">
        <v>78.75</v>
      </c>
      <c r="J44" s="104">
        <v>9.9700000000000006</v>
      </c>
      <c r="K44" s="104">
        <v>0.52</v>
      </c>
      <c r="L44" s="104">
        <v>5.77</v>
      </c>
      <c r="M44" s="104">
        <v>0.52</v>
      </c>
      <c r="N44" s="81">
        <v>0</v>
      </c>
      <c r="O44" s="81">
        <v>0</v>
      </c>
      <c r="P44" s="81">
        <v>2</v>
      </c>
      <c r="Q44" s="82">
        <v>2</v>
      </c>
      <c r="S44" s="11"/>
      <c r="T44" s="39"/>
      <c r="U44" s="39"/>
      <c r="V44" s="39"/>
      <c r="W44" s="39"/>
      <c r="X44" s="39"/>
      <c r="Y44" s="39"/>
      <c r="Z44" s="39"/>
    </row>
    <row r="45" spans="1:26">
      <c r="A45" s="1318"/>
      <c r="B45" s="56" t="s">
        <v>157</v>
      </c>
      <c r="C45" s="103">
        <v>71.44</v>
      </c>
      <c r="D45" s="104">
        <v>38.53</v>
      </c>
      <c r="E45" s="104">
        <v>4.28</v>
      </c>
      <c r="F45" s="104">
        <v>1.46</v>
      </c>
      <c r="G45" s="104">
        <v>0.01</v>
      </c>
      <c r="H45" s="104">
        <v>0.96</v>
      </c>
      <c r="I45" s="104">
        <v>54.84</v>
      </c>
      <c r="J45" s="104">
        <v>7.81</v>
      </c>
      <c r="K45" s="104">
        <v>0.55000000000000004</v>
      </c>
      <c r="L45" s="104">
        <v>6.73</v>
      </c>
      <c r="M45" s="104">
        <v>1.63</v>
      </c>
      <c r="N45" s="81">
        <v>0</v>
      </c>
      <c r="O45" s="81">
        <v>0</v>
      </c>
      <c r="P45" s="81">
        <v>2</v>
      </c>
      <c r="Q45" s="82">
        <v>6</v>
      </c>
      <c r="S45" s="11"/>
      <c r="T45" s="39"/>
      <c r="U45" s="39"/>
      <c r="V45" s="39"/>
      <c r="W45" s="39"/>
      <c r="X45" s="39"/>
      <c r="Y45" s="39"/>
      <c r="Z45" s="39"/>
    </row>
    <row r="46" spans="1:26">
      <c r="A46" s="1318"/>
      <c r="B46" s="56" t="s">
        <v>158</v>
      </c>
      <c r="C46" s="103">
        <v>91.43</v>
      </c>
      <c r="D46" s="104">
        <v>75.239999999999995</v>
      </c>
      <c r="E46" s="104">
        <v>8.36</v>
      </c>
      <c r="F46" s="104">
        <v>1.39</v>
      </c>
      <c r="G46" s="104">
        <v>0</v>
      </c>
      <c r="H46" s="104">
        <v>0</v>
      </c>
      <c r="I46" s="104">
        <v>61.94</v>
      </c>
      <c r="J46" s="104">
        <v>2.61</v>
      </c>
      <c r="K46" s="104">
        <v>0.91</v>
      </c>
      <c r="L46" s="104">
        <v>1.31</v>
      </c>
      <c r="M46" s="104">
        <v>2.75</v>
      </c>
      <c r="N46" s="81">
        <v>0</v>
      </c>
      <c r="O46" s="81">
        <v>0</v>
      </c>
      <c r="P46" s="81">
        <v>2</v>
      </c>
      <c r="Q46" s="82">
        <v>0</v>
      </c>
      <c r="S46" s="11"/>
      <c r="T46" s="39"/>
      <c r="U46" s="39"/>
      <c r="V46" s="39"/>
      <c r="W46" s="39"/>
      <c r="X46" s="39"/>
      <c r="Y46" s="39"/>
      <c r="Z46" s="39"/>
    </row>
    <row r="47" spans="1:26">
      <c r="A47" s="1318"/>
      <c r="B47" s="56" t="s">
        <v>537</v>
      </c>
      <c r="C47" s="103">
        <v>72.010000000000005</v>
      </c>
      <c r="D47" s="104">
        <v>30.76</v>
      </c>
      <c r="E47" s="104">
        <v>3.42</v>
      </c>
      <c r="F47" s="104">
        <v>2.29</v>
      </c>
      <c r="G47" s="104">
        <v>0.03</v>
      </c>
      <c r="H47" s="104">
        <v>0</v>
      </c>
      <c r="I47" s="104">
        <v>27.74</v>
      </c>
      <c r="J47" s="104">
        <v>8.76</v>
      </c>
      <c r="K47" s="104">
        <v>0.38</v>
      </c>
      <c r="L47" s="104">
        <v>7.8</v>
      </c>
      <c r="M47" s="104">
        <v>1.56</v>
      </c>
      <c r="N47" s="81">
        <v>0</v>
      </c>
      <c r="O47" s="81">
        <v>0</v>
      </c>
      <c r="P47" s="81">
        <v>2</v>
      </c>
      <c r="Q47" s="82">
        <v>2</v>
      </c>
      <c r="S47" s="11"/>
      <c r="T47" s="39"/>
      <c r="U47" s="39"/>
      <c r="V47" s="39"/>
      <c r="W47" s="39"/>
      <c r="X47" s="39"/>
      <c r="Y47" s="39"/>
      <c r="Z47" s="39"/>
    </row>
    <row r="48" spans="1:26">
      <c r="A48" s="1318"/>
      <c r="B48" s="56" t="s">
        <v>159</v>
      </c>
      <c r="C48" s="103">
        <v>70</v>
      </c>
      <c r="D48" s="104">
        <v>30</v>
      </c>
      <c r="E48" s="104">
        <v>3</v>
      </c>
      <c r="F48" s="104">
        <v>1</v>
      </c>
      <c r="G48" s="104">
        <v>0</v>
      </c>
      <c r="H48" s="104">
        <v>0</v>
      </c>
      <c r="I48" s="104">
        <v>35</v>
      </c>
      <c r="J48" s="104">
        <v>9</v>
      </c>
      <c r="K48" s="104">
        <v>0.31</v>
      </c>
      <c r="L48" s="104">
        <v>7</v>
      </c>
      <c r="M48" s="104">
        <v>1</v>
      </c>
      <c r="N48" s="81">
        <v>0</v>
      </c>
      <c r="O48" s="81">
        <v>0</v>
      </c>
      <c r="P48" s="81">
        <v>2</v>
      </c>
      <c r="Q48" s="82">
        <v>0</v>
      </c>
      <c r="S48" s="11"/>
      <c r="T48" s="39"/>
      <c r="U48" s="39"/>
      <c r="V48" s="39"/>
      <c r="W48" s="39"/>
      <c r="X48" s="39"/>
      <c r="Y48" s="39"/>
      <c r="Z48" s="39"/>
    </row>
    <row r="49" spans="1:26">
      <c r="A49" s="1318"/>
      <c r="B49" s="56" t="s">
        <v>160</v>
      </c>
      <c r="C49" s="103">
        <v>68.819999999999993</v>
      </c>
      <c r="D49" s="104">
        <v>27.43</v>
      </c>
      <c r="E49" s="104">
        <v>3.05</v>
      </c>
      <c r="F49" s="104">
        <v>2.62</v>
      </c>
      <c r="G49" s="104">
        <v>0.03</v>
      </c>
      <c r="H49" s="104">
        <v>0.01</v>
      </c>
      <c r="I49" s="104">
        <v>14.16</v>
      </c>
      <c r="J49" s="104">
        <v>9.92</v>
      </c>
      <c r="K49" s="104">
        <v>0.52</v>
      </c>
      <c r="L49" s="104">
        <v>5.07</v>
      </c>
      <c r="M49" s="104">
        <v>0.43</v>
      </c>
      <c r="N49" s="81">
        <v>0</v>
      </c>
      <c r="O49" s="81">
        <v>0</v>
      </c>
      <c r="P49" s="81">
        <v>0</v>
      </c>
      <c r="Q49" s="82">
        <v>0</v>
      </c>
      <c r="S49" s="11"/>
      <c r="T49" s="39"/>
      <c r="U49" s="39"/>
      <c r="V49" s="39"/>
      <c r="W49" s="39"/>
      <c r="X49" s="39"/>
      <c r="Y49" s="39"/>
      <c r="Z49" s="39"/>
    </row>
    <row r="50" spans="1:26">
      <c r="A50" s="1318"/>
      <c r="B50" s="56" t="s">
        <v>161</v>
      </c>
      <c r="C50" s="103">
        <v>67.319999999999993</v>
      </c>
      <c r="D50" s="104">
        <v>24.11</v>
      </c>
      <c r="E50" s="104">
        <v>2.68</v>
      </c>
      <c r="F50" s="104">
        <v>2.27</v>
      </c>
      <c r="G50" s="104">
        <v>0.02</v>
      </c>
      <c r="H50" s="104">
        <v>7.0000000000000007E-2</v>
      </c>
      <c r="I50" s="104">
        <v>1.2</v>
      </c>
      <c r="J50" s="104">
        <v>11.18</v>
      </c>
      <c r="K50" s="104">
        <v>0.03</v>
      </c>
      <c r="L50" s="104">
        <v>6.82</v>
      </c>
      <c r="M50" s="104">
        <v>0</v>
      </c>
      <c r="N50" s="81">
        <v>0</v>
      </c>
      <c r="O50" s="81">
        <v>10</v>
      </c>
      <c r="P50" s="81">
        <v>0</v>
      </c>
      <c r="Q50" s="82">
        <v>0</v>
      </c>
      <c r="S50" s="11"/>
      <c r="T50" s="39"/>
      <c r="U50" s="39"/>
      <c r="V50" s="39"/>
      <c r="W50" s="39"/>
      <c r="X50" s="39"/>
      <c r="Y50" s="39"/>
      <c r="Z50" s="39"/>
    </row>
    <row r="51" spans="1:26">
      <c r="A51" s="1318"/>
      <c r="B51" s="56" t="s">
        <v>162</v>
      </c>
      <c r="C51" s="103">
        <v>18.940000000000001</v>
      </c>
      <c r="D51" s="104">
        <v>0.08</v>
      </c>
      <c r="E51" s="104">
        <v>0.01</v>
      </c>
      <c r="F51" s="104">
        <v>0</v>
      </c>
      <c r="G51" s="104">
        <v>0</v>
      </c>
      <c r="H51" s="104">
        <v>0</v>
      </c>
      <c r="I51" s="104">
        <v>2.62</v>
      </c>
      <c r="J51" s="104">
        <v>5.18</v>
      </c>
      <c r="K51" s="104">
        <v>0.16</v>
      </c>
      <c r="L51" s="104">
        <v>4.3899999999999997</v>
      </c>
      <c r="M51" s="104">
        <v>0.04</v>
      </c>
      <c r="N51" s="81">
        <v>0</v>
      </c>
      <c r="O51" s="81">
        <v>0</v>
      </c>
      <c r="P51" s="81">
        <v>2</v>
      </c>
      <c r="Q51" s="82">
        <v>2</v>
      </c>
      <c r="S51" s="11"/>
      <c r="T51" s="39"/>
      <c r="U51" s="39"/>
      <c r="V51" s="39"/>
      <c r="W51" s="39"/>
      <c r="X51" s="39"/>
      <c r="Y51" s="39"/>
      <c r="Z51" s="39"/>
    </row>
    <row r="52" spans="1:26" ht="15" thickBot="1">
      <c r="A52" s="1319"/>
      <c r="B52" s="60" t="s">
        <v>163</v>
      </c>
      <c r="C52" s="108">
        <v>68.78</v>
      </c>
      <c r="D52" s="109">
        <v>39.5</v>
      </c>
      <c r="E52" s="109">
        <v>4.3899999999999997</v>
      </c>
      <c r="F52" s="109">
        <v>0.33</v>
      </c>
      <c r="G52" s="109">
        <v>0</v>
      </c>
      <c r="H52" s="109">
        <v>0</v>
      </c>
      <c r="I52" s="109">
        <v>0.95</v>
      </c>
      <c r="J52" s="109">
        <v>6.26</v>
      </c>
      <c r="K52" s="109">
        <v>0.75</v>
      </c>
      <c r="L52" s="109">
        <v>4.9000000000000004</v>
      </c>
      <c r="M52" s="109">
        <v>1.04</v>
      </c>
      <c r="N52" s="83">
        <v>0</v>
      </c>
      <c r="O52" s="83">
        <v>0</v>
      </c>
      <c r="P52" s="83">
        <v>0</v>
      </c>
      <c r="Q52" s="84">
        <v>0</v>
      </c>
      <c r="S52" s="11"/>
      <c r="T52" s="39"/>
      <c r="U52" s="39"/>
      <c r="V52" s="39"/>
      <c r="W52" s="39"/>
      <c r="X52" s="39"/>
      <c r="Y52" s="39"/>
      <c r="Z52" s="39"/>
    </row>
    <row r="53" spans="1:26">
      <c r="A53" s="18"/>
      <c r="B53" s="24"/>
      <c r="C53" s="18"/>
      <c r="D53" s="18"/>
      <c r="E53" s="18"/>
      <c r="F53" s="18"/>
      <c r="G53" s="18"/>
      <c r="H53" s="18"/>
      <c r="I53" s="18"/>
      <c r="J53" s="18"/>
      <c r="K53" s="18"/>
      <c r="L53" s="18"/>
      <c r="M53" s="18"/>
      <c r="N53" s="19"/>
      <c r="O53" s="19"/>
      <c r="P53" s="19"/>
      <c r="Q53" s="19"/>
    </row>
    <row r="54" spans="1:26" ht="18" thickBot="1">
      <c r="A54" s="1308" t="s">
        <v>538</v>
      </c>
      <c r="B54" s="1308"/>
      <c r="C54" s="1308"/>
      <c r="D54" s="1308"/>
      <c r="E54" s="1308"/>
      <c r="F54" s="1308"/>
      <c r="G54" s="1308"/>
      <c r="H54" s="1308"/>
      <c r="I54" s="1308"/>
      <c r="J54" s="1308"/>
      <c r="K54" s="1308"/>
      <c r="L54" s="1308"/>
      <c r="M54" s="1308"/>
      <c r="N54" s="1308"/>
      <c r="O54" s="1308"/>
      <c r="P54" s="1308"/>
      <c r="Q54" s="1308"/>
    </row>
    <row r="55" spans="1:26" ht="37.5" customHeight="1" thickBot="1">
      <c r="A55" s="13"/>
      <c r="B55" s="21" t="s">
        <v>3</v>
      </c>
      <c r="C55" s="1" t="s">
        <v>4</v>
      </c>
      <c r="D55" s="1" t="s">
        <v>5</v>
      </c>
      <c r="E55" s="1" t="s">
        <v>6</v>
      </c>
      <c r="F55" s="1" t="s">
        <v>7</v>
      </c>
      <c r="G55" s="1" t="s">
        <v>8</v>
      </c>
      <c r="H55" s="1" t="s">
        <v>9</v>
      </c>
      <c r="I55" s="1" t="s">
        <v>10</v>
      </c>
      <c r="J55" s="1" t="s">
        <v>11</v>
      </c>
      <c r="K55" s="1" t="s">
        <v>12</v>
      </c>
      <c r="L55" s="1" t="s">
        <v>502</v>
      </c>
      <c r="M55" s="1" t="s">
        <v>15</v>
      </c>
      <c r="N55" s="2" t="s">
        <v>503</v>
      </c>
      <c r="O55" s="2" t="s">
        <v>504</v>
      </c>
      <c r="P55" s="2" t="s">
        <v>19</v>
      </c>
      <c r="Q55" s="3" t="s">
        <v>21</v>
      </c>
    </row>
    <row r="56" spans="1:26">
      <c r="A56" s="1317" t="s">
        <v>539</v>
      </c>
      <c r="B56" s="59" t="s">
        <v>144</v>
      </c>
      <c r="C56" s="98">
        <v>21.55</v>
      </c>
      <c r="D56" s="99">
        <v>11.06</v>
      </c>
      <c r="E56" s="99">
        <v>1.23</v>
      </c>
      <c r="F56" s="99">
        <v>0.73</v>
      </c>
      <c r="G56" s="99">
        <v>0</v>
      </c>
      <c r="H56" s="99">
        <v>0</v>
      </c>
      <c r="I56" s="99">
        <v>0.01</v>
      </c>
      <c r="J56" s="99">
        <v>3.17</v>
      </c>
      <c r="K56" s="99">
        <v>0.37</v>
      </c>
      <c r="L56" s="99">
        <v>2.56</v>
      </c>
      <c r="M56" s="99">
        <v>0.24</v>
      </c>
      <c r="N56" s="79">
        <v>0</v>
      </c>
      <c r="O56" s="79">
        <v>0</v>
      </c>
      <c r="P56" s="79">
        <v>2</v>
      </c>
      <c r="Q56" s="80">
        <v>15</v>
      </c>
    </row>
    <row r="57" spans="1:26">
      <c r="A57" s="1318"/>
      <c r="B57" s="56" t="s">
        <v>534</v>
      </c>
      <c r="C57" s="103">
        <v>19.12</v>
      </c>
      <c r="D57" s="104">
        <v>4</v>
      </c>
      <c r="E57" s="104">
        <v>0.44</v>
      </c>
      <c r="F57" s="104">
        <v>0.23</v>
      </c>
      <c r="G57" s="104">
        <v>0</v>
      </c>
      <c r="H57" s="104">
        <v>0</v>
      </c>
      <c r="I57" s="104">
        <v>28.74</v>
      </c>
      <c r="J57" s="104">
        <v>3.77</v>
      </c>
      <c r="K57" s="104">
        <v>0.24</v>
      </c>
      <c r="L57" s="104">
        <v>1.46</v>
      </c>
      <c r="M57" s="104">
        <v>0.28000000000000003</v>
      </c>
      <c r="N57" s="81">
        <v>0</v>
      </c>
      <c r="O57" s="81">
        <v>0</v>
      </c>
      <c r="P57" s="81">
        <v>15</v>
      </c>
      <c r="Q57" s="82">
        <v>0</v>
      </c>
    </row>
    <row r="58" spans="1:26">
      <c r="A58" s="1318"/>
      <c r="B58" s="56" t="s">
        <v>540</v>
      </c>
      <c r="C58" s="103">
        <v>22.94</v>
      </c>
      <c r="D58" s="104">
        <v>9.14</v>
      </c>
      <c r="E58" s="104">
        <v>1.02</v>
      </c>
      <c r="F58" s="104">
        <v>0.87</v>
      </c>
      <c r="G58" s="104">
        <v>0.01</v>
      </c>
      <c r="H58" s="104">
        <v>0</v>
      </c>
      <c r="I58" s="104">
        <v>4.72</v>
      </c>
      <c r="J58" s="104">
        <v>3.31</v>
      </c>
      <c r="K58" s="104">
        <v>0.17</v>
      </c>
      <c r="L58" s="104">
        <v>1.69</v>
      </c>
      <c r="M58" s="104">
        <v>0.14000000000000001</v>
      </c>
      <c r="N58" s="81">
        <v>15</v>
      </c>
      <c r="O58" s="81">
        <v>10</v>
      </c>
      <c r="P58" s="81">
        <v>0</v>
      </c>
      <c r="Q58" s="82">
        <v>10</v>
      </c>
    </row>
    <row r="59" spans="1:26">
      <c r="A59" s="1318"/>
      <c r="B59" s="56" t="s">
        <v>147</v>
      </c>
      <c r="C59" s="103">
        <v>27.69</v>
      </c>
      <c r="D59" s="104">
        <v>21.12</v>
      </c>
      <c r="E59" s="104">
        <v>2.35</v>
      </c>
      <c r="F59" s="104">
        <v>0.33</v>
      </c>
      <c r="G59" s="104">
        <v>0</v>
      </c>
      <c r="H59" s="104">
        <v>0</v>
      </c>
      <c r="I59" s="104">
        <v>6.8</v>
      </c>
      <c r="J59" s="104">
        <v>1.01</v>
      </c>
      <c r="K59" s="104">
        <v>0.44</v>
      </c>
      <c r="L59" s="104">
        <v>0.2</v>
      </c>
      <c r="M59" s="104">
        <v>1.1200000000000001</v>
      </c>
      <c r="N59" s="81">
        <v>2</v>
      </c>
      <c r="O59" s="81">
        <v>0</v>
      </c>
      <c r="P59" s="81">
        <v>2</v>
      </c>
      <c r="Q59" s="82">
        <v>0</v>
      </c>
    </row>
    <row r="60" spans="1:26">
      <c r="A60" s="1318"/>
      <c r="B60" s="56" t="s">
        <v>148</v>
      </c>
      <c r="C60" s="103">
        <v>19.25</v>
      </c>
      <c r="D60" s="104">
        <v>1.57</v>
      </c>
      <c r="E60" s="104">
        <v>0.17</v>
      </c>
      <c r="F60" s="104">
        <v>0.17</v>
      </c>
      <c r="G60" s="104">
        <v>0</v>
      </c>
      <c r="H60" s="104">
        <v>0</v>
      </c>
      <c r="I60" s="104">
        <v>29.75</v>
      </c>
      <c r="J60" s="104">
        <v>4.0199999999999996</v>
      </c>
      <c r="K60" s="104">
        <v>0</v>
      </c>
      <c r="L60" s="104">
        <v>1.57</v>
      </c>
      <c r="M60" s="104">
        <v>0.17</v>
      </c>
      <c r="N60" s="81">
        <v>0</v>
      </c>
      <c r="O60" s="81">
        <v>0</v>
      </c>
      <c r="P60" s="81">
        <v>2</v>
      </c>
      <c r="Q60" s="82">
        <v>0</v>
      </c>
    </row>
    <row r="61" spans="1:26">
      <c r="A61" s="1318"/>
      <c r="B61" s="56" t="s">
        <v>306</v>
      </c>
      <c r="C61" s="103">
        <v>15</v>
      </c>
      <c r="D61" s="104">
        <v>0</v>
      </c>
      <c r="E61" s="104">
        <v>0</v>
      </c>
      <c r="F61" s="104">
        <v>0</v>
      </c>
      <c r="G61" s="104">
        <v>0</v>
      </c>
      <c r="H61" s="104">
        <v>0</v>
      </c>
      <c r="I61" s="104">
        <v>0</v>
      </c>
      <c r="J61" s="104">
        <v>3</v>
      </c>
      <c r="K61" s="104">
        <v>0</v>
      </c>
      <c r="L61" s="104">
        <v>2</v>
      </c>
      <c r="M61" s="104">
        <v>0</v>
      </c>
      <c r="N61" s="81">
        <v>0</v>
      </c>
      <c r="O61" s="81">
        <v>0</v>
      </c>
      <c r="P61" s="81">
        <v>0</v>
      </c>
      <c r="Q61" s="82">
        <v>0</v>
      </c>
    </row>
    <row r="62" spans="1:26">
      <c r="A62" s="1318"/>
      <c r="B62" s="56" t="s">
        <v>149</v>
      </c>
      <c r="C62" s="103">
        <v>24.9</v>
      </c>
      <c r="D62" s="104">
        <v>13.82</v>
      </c>
      <c r="E62" s="104">
        <v>1.54</v>
      </c>
      <c r="F62" s="104">
        <v>0.81</v>
      </c>
      <c r="G62" s="104">
        <v>0.02</v>
      </c>
      <c r="H62" s="104">
        <v>0.88</v>
      </c>
      <c r="I62" s="104">
        <v>16.41</v>
      </c>
      <c r="J62" s="104">
        <v>2.94</v>
      </c>
      <c r="K62" s="104">
        <v>0.06</v>
      </c>
      <c r="L62" s="104">
        <v>2.83</v>
      </c>
      <c r="M62" s="104">
        <v>0.15</v>
      </c>
      <c r="N62" s="81">
        <v>0</v>
      </c>
      <c r="O62" s="81">
        <v>0</v>
      </c>
      <c r="P62" s="81">
        <v>0</v>
      </c>
      <c r="Q62" s="82">
        <v>0</v>
      </c>
    </row>
    <row r="63" spans="1:26">
      <c r="A63" s="1318"/>
      <c r="B63" s="56" t="s">
        <v>150</v>
      </c>
      <c r="C63" s="103">
        <v>15</v>
      </c>
      <c r="D63" s="104">
        <v>0.83333333333333337</v>
      </c>
      <c r="E63" s="104">
        <v>0</v>
      </c>
      <c r="F63" s="104">
        <v>0</v>
      </c>
      <c r="G63" s="104">
        <v>0</v>
      </c>
      <c r="H63" s="104">
        <v>0</v>
      </c>
      <c r="I63" s="104">
        <v>8.3333333333333339</v>
      </c>
      <c r="J63" s="104">
        <v>3.5</v>
      </c>
      <c r="K63" s="104">
        <v>0</v>
      </c>
      <c r="L63" s="104">
        <v>2.5</v>
      </c>
      <c r="M63" s="104">
        <v>0</v>
      </c>
      <c r="N63" s="81">
        <v>0</v>
      </c>
      <c r="O63" s="81">
        <v>0</v>
      </c>
      <c r="P63" s="81">
        <v>0</v>
      </c>
      <c r="Q63" s="82">
        <v>0</v>
      </c>
    </row>
    <row r="64" spans="1:26">
      <c r="A64" s="1318"/>
      <c r="B64" s="56" t="s">
        <v>151</v>
      </c>
      <c r="C64" s="103">
        <v>15</v>
      </c>
      <c r="D64" s="104">
        <v>5</v>
      </c>
      <c r="E64" s="104">
        <v>0.58333333333333337</v>
      </c>
      <c r="F64" s="104">
        <v>0.5</v>
      </c>
      <c r="G64" s="104">
        <v>0</v>
      </c>
      <c r="H64" s="104">
        <v>0</v>
      </c>
      <c r="I64" s="104">
        <v>7.5</v>
      </c>
      <c r="J64" s="104">
        <v>2.5</v>
      </c>
      <c r="K64" s="104">
        <v>0</v>
      </c>
      <c r="L64" s="104">
        <v>2.3333333333333335</v>
      </c>
      <c r="M64" s="104">
        <v>0.16666666666666666</v>
      </c>
      <c r="N64" s="81">
        <v>0</v>
      </c>
      <c r="O64" s="81">
        <v>0</v>
      </c>
      <c r="P64" s="115">
        <v>0.66666666666666663</v>
      </c>
      <c r="Q64" s="82">
        <v>0</v>
      </c>
    </row>
    <row r="65" spans="1:18">
      <c r="A65" s="1318"/>
      <c r="B65" s="56" t="s">
        <v>535</v>
      </c>
      <c r="C65" s="103">
        <v>20.399999999999999</v>
      </c>
      <c r="D65" s="104">
        <v>4.5</v>
      </c>
      <c r="E65" s="104">
        <v>0.5</v>
      </c>
      <c r="F65" s="104">
        <v>0.28999999999999998</v>
      </c>
      <c r="G65" s="104">
        <v>0</v>
      </c>
      <c r="H65" s="104">
        <v>0</v>
      </c>
      <c r="I65" s="104">
        <v>10.43</v>
      </c>
      <c r="J65" s="104">
        <v>4.08</v>
      </c>
      <c r="K65" s="104">
        <v>0</v>
      </c>
      <c r="L65" s="104">
        <v>3.37</v>
      </c>
      <c r="M65" s="104">
        <v>0</v>
      </c>
      <c r="N65" s="81">
        <v>0</v>
      </c>
      <c r="O65" s="81">
        <v>0</v>
      </c>
      <c r="P65" s="81">
        <v>0</v>
      </c>
      <c r="Q65" s="82">
        <v>0</v>
      </c>
    </row>
    <row r="66" spans="1:18">
      <c r="A66" s="1318"/>
      <c r="B66" s="56" t="s">
        <v>152</v>
      </c>
      <c r="C66" s="103">
        <v>25</v>
      </c>
      <c r="D66" s="104">
        <v>10</v>
      </c>
      <c r="E66" s="104">
        <v>1</v>
      </c>
      <c r="F66" s="104">
        <v>0.5</v>
      </c>
      <c r="G66" s="104">
        <v>0</v>
      </c>
      <c r="H66" s="104">
        <v>0</v>
      </c>
      <c r="I66" s="104">
        <v>0</v>
      </c>
      <c r="J66" s="104">
        <v>3</v>
      </c>
      <c r="K66" s="104">
        <v>0</v>
      </c>
      <c r="L66" s="104">
        <v>3</v>
      </c>
      <c r="M66" s="104">
        <v>0</v>
      </c>
      <c r="N66" s="81">
        <v>0</v>
      </c>
      <c r="O66" s="81">
        <v>0</v>
      </c>
      <c r="P66" s="81">
        <v>0</v>
      </c>
      <c r="Q66" s="82">
        <v>0</v>
      </c>
    </row>
    <row r="67" spans="1:18">
      <c r="A67" s="1318"/>
      <c r="B67" s="56" t="s">
        <v>422</v>
      </c>
      <c r="C67" s="103">
        <v>9.4499999999999993</v>
      </c>
      <c r="D67" s="104">
        <v>0</v>
      </c>
      <c r="E67" s="104">
        <v>0</v>
      </c>
      <c r="F67" s="104">
        <v>0</v>
      </c>
      <c r="G67" s="104">
        <v>0</v>
      </c>
      <c r="H67" s="104">
        <v>0</v>
      </c>
      <c r="I67" s="104">
        <v>0</v>
      </c>
      <c r="J67" s="104">
        <v>1.89</v>
      </c>
      <c r="K67" s="104">
        <v>0</v>
      </c>
      <c r="L67" s="104">
        <v>0.94</v>
      </c>
      <c r="M67" s="104">
        <v>0</v>
      </c>
      <c r="N67" s="81">
        <v>0</v>
      </c>
      <c r="O67" s="81">
        <v>0</v>
      </c>
      <c r="P67" s="81">
        <v>0</v>
      </c>
      <c r="Q67" s="82">
        <v>4</v>
      </c>
    </row>
    <row r="68" spans="1:18">
      <c r="A68" s="1318"/>
      <c r="B68" s="56" t="s">
        <v>536</v>
      </c>
      <c r="C68" s="103">
        <v>13.69</v>
      </c>
      <c r="D68" s="104">
        <v>5.28</v>
      </c>
      <c r="E68" s="104">
        <v>0.59</v>
      </c>
      <c r="F68" s="104">
        <v>0.2</v>
      </c>
      <c r="G68" s="104">
        <v>0.01</v>
      </c>
      <c r="H68" s="104">
        <v>0</v>
      </c>
      <c r="I68" s="104">
        <v>11.24</v>
      </c>
      <c r="J68" s="104">
        <v>2.0499999999999998</v>
      </c>
      <c r="K68" s="104">
        <v>0.1</v>
      </c>
      <c r="L68" s="104">
        <v>1.17</v>
      </c>
      <c r="M68" s="104">
        <v>0.1</v>
      </c>
      <c r="N68" s="81">
        <v>0</v>
      </c>
      <c r="O68" s="81">
        <v>0</v>
      </c>
      <c r="P68" s="81">
        <v>0</v>
      </c>
      <c r="Q68" s="82">
        <v>8</v>
      </c>
    </row>
    <row r="69" spans="1:18">
      <c r="A69" s="1318"/>
      <c r="B69" s="56" t="s">
        <v>154</v>
      </c>
      <c r="C69" s="103">
        <v>17.72</v>
      </c>
      <c r="D69" s="104">
        <v>0</v>
      </c>
      <c r="E69" s="104">
        <v>0</v>
      </c>
      <c r="F69" s="104">
        <v>0</v>
      </c>
      <c r="G69" s="104">
        <v>0</v>
      </c>
      <c r="H69" s="104">
        <v>0</v>
      </c>
      <c r="I69" s="104">
        <v>0.35</v>
      </c>
      <c r="J69" s="104">
        <v>4.42</v>
      </c>
      <c r="K69" s="104">
        <v>0</v>
      </c>
      <c r="L69" s="104">
        <v>4.33</v>
      </c>
      <c r="M69" s="104">
        <v>0</v>
      </c>
      <c r="N69" s="85">
        <v>0</v>
      </c>
      <c r="O69" s="85">
        <v>0</v>
      </c>
      <c r="P69" s="85">
        <v>2</v>
      </c>
      <c r="Q69" s="86">
        <v>6</v>
      </c>
    </row>
    <row r="70" spans="1:18" ht="14.25" customHeight="1">
      <c r="A70" s="1318"/>
      <c r="B70" s="56" t="s">
        <v>155</v>
      </c>
      <c r="C70" s="103">
        <v>20.47</v>
      </c>
      <c r="D70" s="104">
        <v>4.54</v>
      </c>
      <c r="E70" s="104">
        <v>0.5</v>
      </c>
      <c r="F70" s="104">
        <v>0.25</v>
      </c>
      <c r="G70" s="104">
        <v>0</v>
      </c>
      <c r="H70" s="104">
        <v>0.41</v>
      </c>
      <c r="I70" s="104">
        <v>25.32</v>
      </c>
      <c r="J70" s="104">
        <v>3.75</v>
      </c>
      <c r="K70" s="104">
        <v>7.0000000000000007E-2</v>
      </c>
      <c r="L70" s="104">
        <v>1.72</v>
      </c>
      <c r="M70" s="104">
        <v>0.24</v>
      </c>
      <c r="N70" s="81">
        <v>0</v>
      </c>
      <c r="O70" s="81">
        <v>0</v>
      </c>
      <c r="P70" s="81">
        <v>2</v>
      </c>
      <c r="Q70" s="82">
        <v>2</v>
      </c>
      <c r="R70" s="16"/>
    </row>
    <row r="71" spans="1:18">
      <c r="A71" s="1318"/>
      <c r="B71" s="56" t="s">
        <v>156</v>
      </c>
      <c r="C71" s="103">
        <v>22.75</v>
      </c>
      <c r="D71" s="104">
        <v>7.87</v>
      </c>
      <c r="E71" s="104">
        <v>0.87</v>
      </c>
      <c r="F71" s="104">
        <v>0.26</v>
      </c>
      <c r="G71" s="104">
        <v>0</v>
      </c>
      <c r="H71" s="104">
        <v>0</v>
      </c>
      <c r="I71" s="104">
        <v>26.25</v>
      </c>
      <c r="J71" s="104">
        <v>3.32</v>
      </c>
      <c r="K71" s="104">
        <v>0.17</v>
      </c>
      <c r="L71" s="104">
        <v>1.92</v>
      </c>
      <c r="M71" s="104">
        <v>0.17</v>
      </c>
      <c r="N71" s="81">
        <v>0</v>
      </c>
      <c r="O71" s="81">
        <v>0</v>
      </c>
      <c r="P71" s="81">
        <v>2</v>
      </c>
      <c r="Q71" s="82">
        <v>6</v>
      </c>
    </row>
    <row r="72" spans="1:18">
      <c r="A72" s="1318"/>
      <c r="B72" s="56" t="s">
        <v>157</v>
      </c>
      <c r="C72" s="103">
        <v>23.81</v>
      </c>
      <c r="D72" s="104">
        <v>12.84</v>
      </c>
      <c r="E72" s="104">
        <v>1.43</v>
      </c>
      <c r="F72" s="104">
        <v>0.49</v>
      </c>
      <c r="G72" s="104">
        <v>0</v>
      </c>
      <c r="H72" s="104">
        <v>0.32</v>
      </c>
      <c r="I72" s="104">
        <v>18.28</v>
      </c>
      <c r="J72" s="104">
        <v>2.6</v>
      </c>
      <c r="K72" s="104">
        <v>0.18</v>
      </c>
      <c r="L72" s="104">
        <v>2.2400000000000002</v>
      </c>
      <c r="M72" s="104">
        <v>0.54</v>
      </c>
      <c r="N72" s="81">
        <v>0</v>
      </c>
      <c r="O72" s="81">
        <v>0</v>
      </c>
      <c r="P72" s="81">
        <v>2</v>
      </c>
      <c r="Q72" s="82">
        <v>0</v>
      </c>
    </row>
    <row r="73" spans="1:18" ht="12.75" customHeight="1">
      <c r="A73" s="1318"/>
      <c r="B73" s="56" t="s">
        <v>158</v>
      </c>
      <c r="C73" s="103">
        <v>30.48</v>
      </c>
      <c r="D73" s="104">
        <v>25.08</v>
      </c>
      <c r="E73" s="104">
        <v>2.79</v>
      </c>
      <c r="F73" s="104">
        <v>0.46</v>
      </c>
      <c r="G73" s="104">
        <v>0</v>
      </c>
      <c r="H73" s="104">
        <v>0</v>
      </c>
      <c r="I73" s="104">
        <v>20.65</v>
      </c>
      <c r="J73" s="104">
        <v>0.87</v>
      </c>
      <c r="K73" s="104">
        <v>0.3</v>
      </c>
      <c r="L73" s="104">
        <v>0.44</v>
      </c>
      <c r="M73" s="104">
        <v>0.92</v>
      </c>
      <c r="N73" s="81">
        <v>0</v>
      </c>
      <c r="O73" s="81">
        <v>0</v>
      </c>
      <c r="P73" s="81">
        <v>2</v>
      </c>
      <c r="Q73" s="82">
        <v>2</v>
      </c>
    </row>
    <row r="74" spans="1:18" ht="12.75" customHeight="1">
      <c r="A74" s="1318"/>
      <c r="B74" s="56" t="s">
        <v>537</v>
      </c>
      <c r="C74" s="103">
        <v>24</v>
      </c>
      <c r="D74" s="104">
        <v>10.25</v>
      </c>
      <c r="E74" s="104">
        <v>1.1399999999999999</v>
      </c>
      <c r="F74" s="104">
        <v>0.76</v>
      </c>
      <c r="G74" s="104">
        <v>0.01</v>
      </c>
      <c r="H74" s="104">
        <v>0</v>
      </c>
      <c r="I74" s="104">
        <v>9.25</v>
      </c>
      <c r="J74" s="104">
        <v>2.92</v>
      </c>
      <c r="K74" s="104">
        <v>0.13</v>
      </c>
      <c r="L74" s="104">
        <v>2.6</v>
      </c>
      <c r="M74" s="104">
        <v>0.52</v>
      </c>
      <c r="N74" s="81">
        <v>0</v>
      </c>
      <c r="O74" s="81">
        <v>0</v>
      </c>
      <c r="P74" s="81">
        <v>0</v>
      </c>
      <c r="Q74" s="82">
        <v>0</v>
      </c>
    </row>
    <row r="75" spans="1:18" ht="12.75" customHeight="1">
      <c r="A75" s="1318"/>
      <c r="B75" s="56" t="s">
        <v>159</v>
      </c>
      <c r="C75" s="103">
        <v>20</v>
      </c>
      <c r="D75" s="104">
        <v>9.57</v>
      </c>
      <c r="E75" s="104">
        <v>1.06</v>
      </c>
      <c r="F75" s="104">
        <v>0.41</v>
      </c>
      <c r="G75" s="104">
        <v>0.02</v>
      </c>
      <c r="H75" s="104">
        <v>0</v>
      </c>
      <c r="I75" s="104">
        <v>10</v>
      </c>
      <c r="J75" s="104">
        <v>3</v>
      </c>
      <c r="K75" s="104">
        <v>0.1</v>
      </c>
      <c r="L75" s="104">
        <v>2.41</v>
      </c>
      <c r="M75" s="104">
        <v>0.39</v>
      </c>
      <c r="N75" s="81">
        <v>0</v>
      </c>
      <c r="O75" s="81">
        <v>0</v>
      </c>
      <c r="P75" s="81">
        <v>0</v>
      </c>
      <c r="Q75" s="82">
        <v>0</v>
      </c>
    </row>
    <row r="76" spans="1:18" ht="14.25" customHeight="1">
      <c r="A76" s="1318"/>
      <c r="B76" s="56" t="s">
        <v>161</v>
      </c>
      <c r="C76" s="103">
        <v>22.44</v>
      </c>
      <c r="D76" s="104">
        <v>8.0399999999999991</v>
      </c>
      <c r="E76" s="104">
        <v>0.89</v>
      </c>
      <c r="F76" s="104">
        <v>0.76</v>
      </c>
      <c r="G76" s="104">
        <v>0.01</v>
      </c>
      <c r="H76" s="104">
        <v>0.02</v>
      </c>
      <c r="I76" s="104">
        <v>0.4</v>
      </c>
      <c r="J76" s="104">
        <v>3.73</v>
      </c>
      <c r="K76" s="104">
        <v>0.01</v>
      </c>
      <c r="L76" s="104">
        <v>2.27</v>
      </c>
      <c r="M76" s="104">
        <v>0</v>
      </c>
      <c r="N76" s="81">
        <v>0</v>
      </c>
      <c r="O76" s="81">
        <v>10</v>
      </c>
      <c r="P76" s="81">
        <v>0</v>
      </c>
      <c r="Q76" s="82">
        <v>0</v>
      </c>
      <c r="R76" s="16"/>
    </row>
    <row r="77" spans="1:18">
      <c r="A77" s="1318"/>
      <c r="B77" s="56" t="s">
        <v>162</v>
      </c>
      <c r="C77" s="103">
        <v>6.31</v>
      </c>
      <c r="D77" s="104">
        <v>0.03</v>
      </c>
      <c r="E77" s="104">
        <v>0</v>
      </c>
      <c r="F77" s="104">
        <v>0</v>
      </c>
      <c r="G77" s="104">
        <v>0</v>
      </c>
      <c r="H77" s="104">
        <v>0</v>
      </c>
      <c r="I77" s="104">
        <v>0.87</v>
      </c>
      <c r="J77" s="104">
        <v>1.73</v>
      </c>
      <c r="K77" s="104">
        <v>0.05</v>
      </c>
      <c r="L77" s="104">
        <v>1.46</v>
      </c>
      <c r="M77" s="104">
        <v>0.01</v>
      </c>
      <c r="N77" s="81">
        <v>0</v>
      </c>
      <c r="O77" s="81">
        <v>0</v>
      </c>
      <c r="P77" s="81">
        <v>2</v>
      </c>
      <c r="Q77" s="82">
        <v>2</v>
      </c>
    </row>
    <row r="78" spans="1:18" ht="15" thickBot="1">
      <c r="A78" s="1319"/>
      <c r="B78" s="60" t="s">
        <v>163</v>
      </c>
      <c r="C78" s="108">
        <v>22.93</v>
      </c>
      <c r="D78" s="109">
        <v>13.17</v>
      </c>
      <c r="E78" s="109">
        <v>1.46</v>
      </c>
      <c r="F78" s="109">
        <v>0.11</v>
      </c>
      <c r="G78" s="109">
        <v>0</v>
      </c>
      <c r="H78" s="109">
        <v>0</v>
      </c>
      <c r="I78" s="109">
        <v>0.32</v>
      </c>
      <c r="J78" s="109">
        <v>2.09</v>
      </c>
      <c r="K78" s="109">
        <v>0.25</v>
      </c>
      <c r="L78" s="109">
        <v>1.63</v>
      </c>
      <c r="M78" s="109">
        <v>0.35</v>
      </c>
      <c r="N78" s="83">
        <v>0</v>
      </c>
      <c r="O78" s="83">
        <v>0</v>
      </c>
      <c r="P78" s="83">
        <v>0</v>
      </c>
      <c r="Q78" s="84">
        <v>0</v>
      </c>
    </row>
    <row r="79" spans="1:18">
      <c r="A79" s="18"/>
      <c r="B79" s="24"/>
      <c r="C79" s="18"/>
      <c r="D79" s="18"/>
      <c r="E79" s="18"/>
      <c r="F79" s="18"/>
      <c r="G79" s="18"/>
      <c r="H79" s="18"/>
      <c r="I79" s="18"/>
      <c r="J79" s="18"/>
      <c r="K79" s="18"/>
      <c r="L79" s="18"/>
      <c r="M79" s="18"/>
      <c r="N79" s="19"/>
      <c r="O79" s="19"/>
      <c r="P79" s="19"/>
      <c r="Q79" s="19"/>
    </row>
    <row r="80" spans="1:18" ht="18" thickBot="1">
      <c r="A80" s="1308" t="s">
        <v>541</v>
      </c>
      <c r="B80" s="1308"/>
      <c r="C80" s="1308"/>
      <c r="D80" s="1308"/>
      <c r="E80" s="1308"/>
      <c r="F80" s="1308"/>
      <c r="G80" s="1308"/>
      <c r="H80" s="1308"/>
      <c r="I80" s="1308"/>
      <c r="J80" s="1308"/>
      <c r="K80" s="1308"/>
      <c r="L80" s="1308"/>
      <c r="M80" s="1308"/>
      <c r="N80" s="1308"/>
      <c r="O80" s="1308"/>
      <c r="P80" s="1308"/>
      <c r="Q80" s="1308"/>
    </row>
    <row r="81" spans="1:17" ht="37.5" customHeight="1" thickBot="1">
      <c r="A81" s="13"/>
      <c r="B81" s="21" t="s">
        <v>3</v>
      </c>
      <c r="C81" s="1" t="s">
        <v>4</v>
      </c>
      <c r="D81" s="1" t="s">
        <v>5</v>
      </c>
      <c r="E81" s="1" t="s">
        <v>6</v>
      </c>
      <c r="F81" s="1" t="s">
        <v>7</v>
      </c>
      <c r="G81" s="1" t="s">
        <v>8</v>
      </c>
      <c r="H81" s="1" t="s">
        <v>9</v>
      </c>
      <c r="I81" s="1" t="s">
        <v>10</v>
      </c>
      <c r="J81" s="1" t="s">
        <v>11</v>
      </c>
      <c r="K81" s="1" t="s">
        <v>12</v>
      </c>
      <c r="L81" s="1" t="s">
        <v>502</v>
      </c>
      <c r="M81" s="1" t="s">
        <v>15</v>
      </c>
      <c r="N81" s="2" t="s">
        <v>503</v>
      </c>
      <c r="O81" s="2" t="s">
        <v>504</v>
      </c>
      <c r="P81" s="2" t="s">
        <v>19</v>
      </c>
      <c r="Q81" s="3" t="s">
        <v>21</v>
      </c>
    </row>
    <row r="82" spans="1:17">
      <c r="A82" s="1317" t="s">
        <v>542</v>
      </c>
      <c r="B82" s="59" t="s">
        <v>144</v>
      </c>
      <c r="C82" s="98">
        <v>37.700000000000003</v>
      </c>
      <c r="D82" s="99">
        <v>19.350000000000001</v>
      </c>
      <c r="E82" s="99">
        <v>2.15</v>
      </c>
      <c r="F82" s="99">
        <v>1.28</v>
      </c>
      <c r="G82" s="99">
        <v>0</v>
      </c>
      <c r="H82" s="99">
        <v>0</v>
      </c>
      <c r="I82" s="99">
        <v>0.02</v>
      </c>
      <c r="J82" s="99">
        <v>5.55</v>
      </c>
      <c r="K82" s="99">
        <v>0.65</v>
      </c>
      <c r="L82" s="99">
        <v>4.4800000000000004</v>
      </c>
      <c r="M82" s="99">
        <v>0.41</v>
      </c>
      <c r="N82" s="79">
        <v>0</v>
      </c>
      <c r="O82" s="79">
        <v>0</v>
      </c>
      <c r="P82" s="79">
        <v>2</v>
      </c>
      <c r="Q82" s="80">
        <v>15</v>
      </c>
    </row>
    <row r="83" spans="1:17">
      <c r="A83" s="1318"/>
      <c r="B83" s="56" t="s">
        <v>534</v>
      </c>
      <c r="C83" s="103">
        <v>33.47</v>
      </c>
      <c r="D83" s="104">
        <v>7</v>
      </c>
      <c r="E83" s="104">
        <v>0.78</v>
      </c>
      <c r="F83" s="104">
        <v>0.4</v>
      </c>
      <c r="G83" s="104">
        <v>0</v>
      </c>
      <c r="H83" s="104">
        <v>0</v>
      </c>
      <c r="I83" s="104">
        <v>50.29</v>
      </c>
      <c r="J83" s="104">
        <v>6.6</v>
      </c>
      <c r="K83" s="104">
        <v>0.42</v>
      </c>
      <c r="L83" s="104">
        <v>2.56</v>
      </c>
      <c r="M83" s="104">
        <v>0.49</v>
      </c>
      <c r="N83" s="81">
        <v>0</v>
      </c>
      <c r="O83" s="81">
        <v>0</v>
      </c>
      <c r="P83" s="81">
        <v>15</v>
      </c>
      <c r="Q83" s="82">
        <v>0</v>
      </c>
    </row>
    <row r="84" spans="1:17">
      <c r="A84" s="1318"/>
      <c r="B84" s="56" t="s">
        <v>540</v>
      </c>
      <c r="C84" s="103">
        <v>40.14</v>
      </c>
      <c r="D84" s="104">
        <v>16</v>
      </c>
      <c r="E84" s="104">
        <v>1.78</v>
      </c>
      <c r="F84" s="104">
        <v>1.53</v>
      </c>
      <c r="G84" s="104">
        <v>0.02</v>
      </c>
      <c r="H84" s="104">
        <v>0.01</v>
      </c>
      <c r="I84" s="104">
        <v>8.26</v>
      </c>
      <c r="J84" s="104">
        <v>5.79</v>
      </c>
      <c r="K84" s="104">
        <v>0.31</v>
      </c>
      <c r="L84" s="104">
        <v>2.96</v>
      </c>
      <c r="M84" s="104">
        <v>0.25</v>
      </c>
      <c r="N84" s="81">
        <v>15</v>
      </c>
      <c r="O84" s="81">
        <v>10</v>
      </c>
      <c r="P84" s="81">
        <v>0</v>
      </c>
      <c r="Q84" s="82">
        <v>10</v>
      </c>
    </row>
    <row r="85" spans="1:17">
      <c r="A85" s="1318"/>
      <c r="B85" s="56" t="s">
        <v>147</v>
      </c>
      <c r="C85" s="103">
        <v>48.45</v>
      </c>
      <c r="D85" s="104">
        <v>36.96</v>
      </c>
      <c r="E85" s="104">
        <v>4.1100000000000003</v>
      </c>
      <c r="F85" s="104">
        <v>0.56999999999999995</v>
      </c>
      <c r="G85" s="104">
        <v>0</v>
      </c>
      <c r="H85" s="104">
        <v>0</v>
      </c>
      <c r="I85" s="104">
        <v>11.91</v>
      </c>
      <c r="J85" s="104">
        <v>1.77</v>
      </c>
      <c r="K85" s="104">
        <v>0.77</v>
      </c>
      <c r="L85" s="104">
        <v>0.35</v>
      </c>
      <c r="M85" s="104">
        <v>1.96</v>
      </c>
      <c r="N85" s="81">
        <v>2</v>
      </c>
      <c r="O85" s="81">
        <v>0</v>
      </c>
      <c r="P85" s="81">
        <v>2</v>
      </c>
      <c r="Q85" s="82">
        <v>0</v>
      </c>
    </row>
    <row r="86" spans="1:17">
      <c r="A86" s="1318"/>
      <c r="B86" s="56" t="s">
        <v>148</v>
      </c>
      <c r="C86" s="103">
        <v>33.69</v>
      </c>
      <c r="D86" s="104">
        <v>2.76</v>
      </c>
      <c r="E86" s="104">
        <v>0.31</v>
      </c>
      <c r="F86" s="104">
        <v>0.31</v>
      </c>
      <c r="G86" s="104">
        <v>0</v>
      </c>
      <c r="H86" s="104">
        <v>0</v>
      </c>
      <c r="I86" s="104">
        <v>52.06</v>
      </c>
      <c r="J86" s="104">
        <v>7.04</v>
      </c>
      <c r="K86" s="104">
        <v>0</v>
      </c>
      <c r="L86" s="104">
        <v>2.76</v>
      </c>
      <c r="M86" s="104">
        <v>0.31</v>
      </c>
      <c r="N86" s="81">
        <v>0</v>
      </c>
      <c r="O86" s="81">
        <v>0</v>
      </c>
      <c r="P86" s="81">
        <v>2</v>
      </c>
      <c r="Q86" s="82">
        <v>0</v>
      </c>
    </row>
    <row r="87" spans="1:17">
      <c r="A87" s="1318"/>
      <c r="B87" s="56" t="s">
        <v>306</v>
      </c>
      <c r="C87" s="103">
        <v>25.01</v>
      </c>
      <c r="D87" s="104">
        <v>0</v>
      </c>
      <c r="E87" s="104">
        <v>0</v>
      </c>
      <c r="F87" s="104">
        <v>0</v>
      </c>
      <c r="G87" s="104">
        <v>0</v>
      </c>
      <c r="H87" s="104">
        <v>0</v>
      </c>
      <c r="I87" s="104">
        <v>0</v>
      </c>
      <c r="J87" s="104">
        <v>6.12</v>
      </c>
      <c r="K87" s="104">
        <v>0</v>
      </c>
      <c r="L87" s="104">
        <v>4</v>
      </c>
      <c r="M87" s="104">
        <v>0.46</v>
      </c>
      <c r="N87" s="81">
        <v>0</v>
      </c>
      <c r="O87" s="81">
        <v>0</v>
      </c>
      <c r="P87" s="81">
        <v>0</v>
      </c>
      <c r="Q87" s="82">
        <v>0</v>
      </c>
    </row>
    <row r="88" spans="1:17">
      <c r="A88" s="1318"/>
      <c r="B88" s="56" t="s">
        <v>149</v>
      </c>
      <c r="C88" s="103">
        <v>43.58</v>
      </c>
      <c r="D88" s="104">
        <v>24.19</v>
      </c>
      <c r="E88" s="104">
        <v>2.69</v>
      </c>
      <c r="F88" s="104">
        <v>1.42</v>
      </c>
      <c r="G88" s="104">
        <v>0.03</v>
      </c>
      <c r="H88" s="104">
        <v>1.55</v>
      </c>
      <c r="I88" s="104">
        <v>28.72</v>
      </c>
      <c r="J88" s="104">
        <v>5.15</v>
      </c>
      <c r="K88" s="104">
        <v>0.11</v>
      </c>
      <c r="L88" s="104">
        <v>4.96</v>
      </c>
      <c r="M88" s="104">
        <v>0.26</v>
      </c>
      <c r="N88" s="81">
        <v>0</v>
      </c>
      <c r="O88" s="81">
        <v>0</v>
      </c>
      <c r="P88" s="81">
        <v>0</v>
      </c>
      <c r="Q88" s="82">
        <v>0</v>
      </c>
    </row>
    <row r="89" spans="1:17">
      <c r="A89" s="1318"/>
      <c r="B89" s="56" t="s">
        <v>150</v>
      </c>
      <c r="C89" s="103">
        <v>26.25</v>
      </c>
      <c r="D89" s="104">
        <v>1.4583333333333333</v>
      </c>
      <c r="E89" s="104">
        <v>0</v>
      </c>
      <c r="F89" s="104">
        <v>0</v>
      </c>
      <c r="G89" s="104">
        <v>0</v>
      </c>
      <c r="H89" s="104">
        <v>0</v>
      </c>
      <c r="I89" s="104">
        <v>14.583333333333334</v>
      </c>
      <c r="J89" s="104">
        <v>6.125</v>
      </c>
      <c r="K89" s="104">
        <v>0</v>
      </c>
      <c r="L89" s="104">
        <v>4.375</v>
      </c>
      <c r="M89" s="104">
        <v>0</v>
      </c>
      <c r="N89" s="81">
        <v>0</v>
      </c>
      <c r="O89" s="81">
        <v>0</v>
      </c>
      <c r="P89" s="81">
        <v>0</v>
      </c>
      <c r="Q89" s="82">
        <v>0</v>
      </c>
    </row>
    <row r="90" spans="1:17">
      <c r="A90" s="1318"/>
      <c r="B90" s="56" t="s">
        <v>151</v>
      </c>
      <c r="C90" s="103">
        <v>15</v>
      </c>
      <c r="D90" s="104">
        <v>5</v>
      </c>
      <c r="E90" s="104">
        <v>0.58333333333333337</v>
      </c>
      <c r="F90" s="104">
        <v>0.5</v>
      </c>
      <c r="G90" s="104">
        <v>0</v>
      </c>
      <c r="H90" s="104">
        <v>0</v>
      </c>
      <c r="I90" s="104">
        <v>7.5</v>
      </c>
      <c r="J90" s="104">
        <v>2.5</v>
      </c>
      <c r="K90" s="104">
        <v>0</v>
      </c>
      <c r="L90" s="104">
        <v>2.3333333333333335</v>
      </c>
      <c r="M90" s="104">
        <v>0.16666666666666666</v>
      </c>
      <c r="N90" s="81">
        <v>0</v>
      </c>
      <c r="O90" s="81">
        <v>0</v>
      </c>
      <c r="P90" s="115">
        <v>0.66666666666666663</v>
      </c>
      <c r="Q90" s="82">
        <v>0</v>
      </c>
    </row>
    <row r="91" spans="1:17">
      <c r="A91" s="1318"/>
      <c r="B91" s="56" t="s">
        <v>535</v>
      </c>
      <c r="C91" s="103">
        <v>35.700000000000003</v>
      </c>
      <c r="D91" s="104">
        <v>7.88</v>
      </c>
      <c r="E91" s="104">
        <v>0.88</v>
      </c>
      <c r="F91" s="104">
        <v>0.51</v>
      </c>
      <c r="G91" s="104">
        <v>0</v>
      </c>
      <c r="H91" s="104">
        <v>0</v>
      </c>
      <c r="I91" s="104">
        <v>18.260000000000002</v>
      </c>
      <c r="J91" s="104">
        <v>7.14</v>
      </c>
      <c r="K91" s="104">
        <v>0</v>
      </c>
      <c r="L91" s="104">
        <v>5.89</v>
      </c>
      <c r="M91" s="104">
        <v>0</v>
      </c>
      <c r="N91" s="81">
        <v>0</v>
      </c>
      <c r="O91" s="81">
        <v>0</v>
      </c>
      <c r="P91" s="81">
        <v>0</v>
      </c>
      <c r="Q91" s="82">
        <v>0</v>
      </c>
    </row>
    <row r="92" spans="1:17" ht="15" customHeight="1">
      <c r="A92" s="1318"/>
      <c r="B92" s="56" t="s">
        <v>152</v>
      </c>
      <c r="C92" s="103">
        <v>40</v>
      </c>
      <c r="D92" s="104">
        <v>15</v>
      </c>
      <c r="E92" s="104">
        <v>1.5</v>
      </c>
      <c r="F92" s="104">
        <v>1</v>
      </c>
      <c r="G92" s="104">
        <v>0</v>
      </c>
      <c r="H92" s="104">
        <v>0</v>
      </c>
      <c r="I92" s="104">
        <v>5</v>
      </c>
      <c r="J92" s="104">
        <v>6</v>
      </c>
      <c r="K92" s="104">
        <v>0</v>
      </c>
      <c r="L92" s="104">
        <v>5</v>
      </c>
      <c r="M92" s="104">
        <v>0</v>
      </c>
      <c r="N92" s="81">
        <v>0</v>
      </c>
      <c r="O92" s="81">
        <v>0</v>
      </c>
      <c r="P92" s="81">
        <v>2</v>
      </c>
      <c r="Q92" s="82">
        <v>0</v>
      </c>
    </row>
    <row r="93" spans="1:17">
      <c r="A93" s="1318"/>
      <c r="B93" s="56" t="s">
        <v>422</v>
      </c>
      <c r="C93" s="103">
        <v>16.54</v>
      </c>
      <c r="D93" s="104">
        <v>0</v>
      </c>
      <c r="E93" s="104">
        <v>0</v>
      </c>
      <c r="F93" s="104">
        <v>0</v>
      </c>
      <c r="G93" s="104">
        <v>0</v>
      </c>
      <c r="H93" s="104">
        <v>0</v>
      </c>
      <c r="I93" s="104">
        <v>0</v>
      </c>
      <c r="J93" s="104">
        <v>3.31</v>
      </c>
      <c r="K93" s="104">
        <v>0</v>
      </c>
      <c r="L93" s="104">
        <v>1.65</v>
      </c>
      <c r="M93" s="104">
        <v>0</v>
      </c>
      <c r="N93" s="81">
        <v>0</v>
      </c>
      <c r="O93" s="81">
        <v>0</v>
      </c>
      <c r="P93" s="81">
        <v>0</v>
      </c>
      <c r="Q93" s="82">
        <v>4</v>
      </c>
    </row>
    <row r="94" spans="1:17">
      <c r="A94" s="1318"/>
      <c r="B94" s="56" t="s">
        <v>536</v>
      </c>
      <c r="C94" s="103">
        <v>39.92</v>
      </c>
      <c r="D94" s="104">
        <v>15.4</v>
      </c>
      <c r="E94" s="104">
        <v>1.71</v>
      </c>
      <c r="F94" s="104">
        <v>0.56999999999999995</v>
      </c>
      <c r="G94" s="104">
        <v>0.04</v>
      </c>
      <c r="H94" s="104">
        <v>0</v>
      </c>
      <c r="I94" s="104">
        <v>32.79</v>
      </c>
      <c r="J94" s="104">
        <v>5.99</v>
      </c>
      <c r="K94" s="104">
        <v>0.28999999999999998</v>
      </c>
      <c r="L94" s="104">
        <v>3.42</v>
      </c>
      <c r="M94" s="104">
        <v>0.28999999999999998</v>
      </c>
      <c r="N94" s="81">
        <v>0</v>
      </c>
      <c r="O94" s="81">
        <v>0</v>
      </c>
      <c r="P94" s="81">
        <v>0</v>
      </c>
      <c r="Q94" s="82">
        <v>8</v>
      </c>
    </row>
    <row r="95" spans="1:17">
      <c r="A95" s="1318"/>
      <c r="B95" s="56" t="s">
        <v>154</v>
      </c>
      <c r="C95" s="103">
        <v>31.01</v>
      </c>
      <c r="D95" s="104">
        <v>0</v>
      </c>
      <c r="E95" s="104">
        <v>0</v>
      </c>
      <c r="F95" s="104">
        <v>0</v>
      </c>
      <c r="G95" s="104">
        <v>0</v>
      </c>
      <c r="H95" s="104">
        <v>0</v>
      </c>
      <c r="I95" s="104">
        <v>0.6</v>
      </c>
      <c r="J95" s="104">
        <v>7.74</v>
      </c>
      <c r="K95" s="104">
        <v>0</v>
      </c>
      <c r="L95" s="104">
        <v>7.58</v>
      </c>
      <c r="M95" s="104">
        <v>0</v>
      </c>
      <c r="N95" s="85">
        <v>0</v>
      </c>
      <c r="O95" s="85">
        <v>0</v>
      </c>
      <c r="P95" s="85">
        <v>2</v>
      </c>
      <c r="Q95" s="86">
        <v>6</v>
      </c>
    </row>
    <row r="96" spans="1:17">
      <c r="A96" s="1318"/>
      <c r="B96" s="56" t="s">
        <v>155</v>
      </c>
      <c r="C96" s="103">
        <v>35.83</v>
      </c>
      <c r="D96" s="104">
        <v>7.94</v>
      </c>
      <c r="E96" s="104">
        <v>0.88</v>
      </c>
      <c r="F96" s="104">
        <v>0.43</v>
      </c>
      <c r="G96" s="104">
        <v>0</v>
      </c>
      <c r="H96" s="104">
        <v>0.72</v>
      </c>
      <c r="I96" s="104">
        <v>44.3</v>
      </c>
      <c r="J96" s="104">
        <v>6.55</v>
      </c>
      <c r="K96" s="104">
        <v>0.12</v>
      </c>
      <c r="L96" s="104">
        <v>3.02</v>
      </c>
      <c r="M96" s="104">
        <v>0.42</v>
      </c>
      <c r="N96" s="81">
        <v>0</v>
      </c>
      <c r="O96" s="81">
        <v>0</v>
      </c>
      <c r="P96" s="81">
        <v>2</v>
      </c>
      <c r="Q96" s="82">
        <v>2</v>
      </c>
    </row>
    <row r="97" spans="1:17">
      <c r="A97" s="1318"/>
      <c r="B97" s="56" t="s">
        <v>156</v>
      </c>
      <c r="C97" s="103">
        <v>39.81</v>
      </c>
      <c r="D97" s="104">
        <v>13.78</v>
      </c>
      <c r="E97" s="104">
        <v>1.53</v>
      </c>
      <c r="F97" s="104">
        <v>0.46</v>
      </c>
      <c r="G97" s="104">
        <v>0</v>
      </c>
      <c r="H97" s="104">
        <v>0</v>
      </c>
      <c r="I97" s="104">
        <v>45.94</v>
      </c>
      <c r="J97" s="104">
        <v>5.82</v>
      </c>
      <c r="K97" s="104">
        <v>0.31</v>
      </c>
      <c r="L97" s="104">
        <v>3.37</v>
      </c>
      <c r="M97" s="104">
        <v>0.31</v>
      </c>
      <c r="N97" s="81">
        <v>0</v>
      </c>
      <c r="O97" s="81">
        <v>0</v>
      </c>
      <c r="P97" s="81">
        <v>2</v>
      </c>
      <c r="Q97" s="82">
        <v>6</v>
      </c>
    </row>
    <row r="98" spans="1:17">
      <c r="A98" s="1318"/>
      <c r="B98" s="56" t="s">
        <v>157</v>
      </c>
      <c r="C98" s="103">
        <v>41.67</v>
      </c>
      <c r="D98" s="104">
        <v>22.47</v>
      </c>
      <c r="E98" s="104">
        <v>2.5</v>
      </c>
      <c r="F98" s="104">
        <v>0.85</v>
      </c>
      <c r="G98" s="104">
        <v>0.01</v>
      </c>
      <c r="H98" s="104">
        <v>0.56000000000000005</v>
      </c>
      <c r="I98" s="104">
        <v>31.99</v>
      </c>
      <c r="J98" s="104">
        <v>4.5599999999999996</v>
      </c>
      <c r="K98" s="104">
        <v>0.32</v>
      </c>
      <c r="L98" s="104">
        <v>3.93</v>
      </c>
      <c r="M98" s="104">
        <v>0.95</v>
      </c>
      <c r="N98" s="81">
        <v>0</v>
      </c>
      <c r="O98" s="81">
        <v>0</v>
      </c>
      <c r="P98" s="81">
        <v>2</v>
      </c>
      <c r="Q98" s="82">
        <v>0</v>
      </c>
    </row>
    <row r="99" spans="1:17">
      <c r="A99" s="1318"/>
      <c r="B99" s="56" t="s">
        <v>158</v>
      </c>
      <c r="C99" s="103">
        <v>53.33</v>
      </c>
      <c r="D99" s="104">
        <v>43.89</v>
      </c>
      <c r="E99" s="104">
        <v>4.88</v>
      </c>
      <c r="F99" s="104">
        <v>0.81</v>
      </c>
      <c r="G99" s="104">
        <v>0</v>
      </c>
      <c r="H99" s="104">
        <v>0</v>
      </c>
      <c r="I99" s="104">
        <v>36.130000000000003</v>
      </c>
      <c r="J99" s="104">
        <v>1.52</v>
      </c>
      <c r="K99" s="104">
        <v>0.53</v>
      </c>
      <c r="L99" s="104">
        <v>0.77</v>
      </c>
      <c r="M99" s="104">
        <v>1.61</v>
      </c>
      <c r="N99" s="81">
        <v>0</v>
      </c>
      <c r="O99" s="81">
        <v>0</v>
      </c>
      <c r="P99" s="81">
        <v>2</v>
      </c>
      <c r="Q99" s="82">
        <v>2</v>
      </c>
    </row>
    <row r="100" spans="1:17">
      <c r="A100" s="1318"/>
      <c r="B100" s="56" t="s">
        <v>537</v>
      </c>
      <c r="C100" s="103">
        <v>42</v>
      </c>
      <c r="D100" s="104">
        <v>17.940000000000001</v>
      </c>
      <c r="E100" s="104">
        <v>1.99</v>
      </c>
      <c r="F100" s="104">
        <v>1.34</v>
      </c>
      <c r="G100" s="104">
        <v>0.02</v>
      </c>
      <c r="H100" s="104">
        <v>0</v>
      </c>
      <c r="I100" s="104">
        <v>16.18</v>
      </c>
      <c r="J100" s="104">
        <v>5.1100000000000003</v>
      </c>
      <c r="K100" s="104">
        <v>0.22</v>
      </c>
      <c r="L100" s="104">
        <v>4.55</v>
      </c>
      <c r="M100" s="104">
        <v>0.91</v>
      </c>
      <c r="N100" s="81">
        <v>0</v>
      </c>
      <c r="O100" s="81">
        <v>0</v>
      </c>
      <c r="P100" s="81">
        <v>0</v>
      </c>
      <c r="Q100" s="82">
        <v>0</v>
      </c>
    </row>
    <row r="101" spans="1:17">
      <c r="A101" s="1318"/>
      <c r="B101" s="56" t="s">
        <v>159</v>
      </c>
      <c r="C101" s="103">
        <v>40</v>
      </c>
      <c r="D101" s="104">
        <v>15</v>
      </c>
      <c r="E101" s="104">
        <v>2</v>
      </c>
      <c r="F101" s="104">
        <v>0.5</v>
      </c>
      <c r="G101" s="104">
        <v>0.04</v>
      </c>
      <c r="H101" s="104">
        <v>0</v>
      </c>
      <c r="I101" s="104">
        <v>20.059999999999999</v>
      </c>
      <c r="J101" s="104">
        <v>5.08</v>
      </c>
      <c r="K101" s="104">
        <v>0</v>
      </c>
      <c r="L101" s="104">
        <v>4</v>
      </c>
      <c r="M101" s="104">
        <v>1</v>
      </c>
      <c r="N101" s="81">
        <v>0</v>
      </c>
      <c r="O101" s="81">
        <v>0</v>
      </c>
      <c r="P101" s="81">
        <v>0</v>
      </c>
      <c r="Q101" s="82">
        <v>0</v>
      </c>
    </row>
    <row r="102" spans="1:17">
      <c r="A102" s="1318"/>
      <c r="B102" s="56" t="s">
        <v>161</v>
      </c>
      <c r="C102" s="103">
        <v>39.270000000000003</v>
      </c>
      <c r="D102" s="104">
        <v>14.06</v>
      </c>
      <c r="E102" s="104">
        <v>1.56</v>
      </c>
      <c r="F102" s="104">
        <v>1.32</v>
      </c>
      <c r="G102" s="104">
        <v>0.01</v>
      </c>
      <c r="H102" s="104">
        <v>0.04</v>
      </c>
      <c r="I102" s="104">
        <v>0.7</v>
      </c>
      <c r="J102" s="104">
        <v>6.52</v>
      </c>
      <c r="K102" s="104">
        <v>0.02</v>
      </c>
      <c r="L102" s="104">
        <v>3.98</v>
      </c>
      <c r="M102" s="104">
        <v>0</v>
      </c>
      <c r="N102" s="81">
        <v>0</v>
      </c>
      <c r="O102" s="81">
        <v>10</v>
      </c>
      <c r="P102" s="81">
        <v>0</v>
      </c>
      <c r="Q102" s="82">
        <v>0</v>
      </c>
    </row>
    <row r="103" spans="1:17">
      <c r="A103" s="1318"/>
      <c r="B103" s="56" t="s">
        <v>162</v>
      </c>
      <c r="C103" s="103">
        <v>11.05</v>
      </c>
      <c r="D103" s="104">
        <v>0.05</v>
      </c>
      <c r="E103" s="104">
        <v>0.01</v>
      </c>
      <c r="F103" s="104">
        <v>0</v>
      </c>
      <c r="G103" s="104">
        <v>0</v>
      </c>
      <c r="H103" s="104">
        <v>0</v>
      </c>
      <c r="I103" s="104">
        <v>1.53</v>
      </c>
      <c r="J103" s="104">
        <v>3.02</v>
      </c>
      <c r="K103" s="104">
        <v>0.1</v>
      </c>
      <c r="L103" s="104">
        <v>2.56</v>
      </c>
      <c r="M103" s="104">
        <v>0.03</v>
      </c>
      <c r="N103" s="81">
        <v>0</v>
      </c>
      <c r="O103" s="81">
        <v>0</v>
      </c>
      <c r="P103" s="81">
        <v>2</v>
      </c>
      <c r="Q103" s="82">
        <v>2</v>
      </c>
    </row>
    <row r="104" spans="1:17" ht="15" thickBot="1">
      <c r="A104" s="1319"/>
      <c r="B104" s="60" t="s">
        <v>163</v>
      </c>
      <c r="C104" s="108">
        <v>40.119999999999997</v>
      </c>
      <c r="D104" s="109">
        <v>23.04</v>
      </c>
      <c r="E104" s="109">
        <v>2.56</v>
      </c>
      <c r="F104" s="109">
        <v>0.19</v>
      </c>
      <c r="G104" s="109">
        <v>0</v>
      </c>
      <c r="H104" s="109">
        <v>0</v>
      </c>
      <c r="I104" s="109">
        <v>0.55000000000000004</v>
      </c>
      <c r="J104" s="109">
        <v>3.65</v>
      </c>
      <c r="K104" s="109">
        <v>0.43</v>
      </c>
      <c r="L104" s="109">
        <v>2.86</v>
      </c>
      <c r="M104" s="109">
        <v>0.61</v>
      </c>
      <c r="N104" s="83">
        <v>0</v>
      </c>
      <c r="O104" s="83">
        <v>0</v>
      </c>
      <c r="P104" s="83">
        <v>0</v>
      </c>
      <c r="Q104" s="84">
        <v>0</v>
      </c>
    </row>
    <row r="105" spans="1:17" ht="14.25" customHeight="1">
      <c r="A105" s="18"/>
      <c r="B105" s="24"/>
      <c r="C105" s="18"/>
      <c r="D105" s="18"/>
      <c r="E105" s="18"/>
      <c r="F105" s="18"/>
      <c r="G105" s="18"/>
      <c r="H105" s="18"/>
      <c r="I105" s="18"/>
      <c r="J105" s="18"/>
      <c r="K105" s="18"/>
      <c r="L105" s="18"/>
      <c r="M105" s="18"/>
      <c r="N105" s="19"/>
      <c r="O105" s="19"/>
      <c r="P105" s="19"/>
      <c r="Q105" s="19"/>
    </row>
    <row r="106" spans="1:17" ht="18" thickBot="1">
      <c r="A106" s="1308" t="s">
        <v>543</v>
      </c>
      <c r="B106" s="1308"/>
      <c r="C106" s="1226"/>
      <c r="D106" s="1226"/>
      <c r="E106" s="1226"/>
      <c r="F106" s="1226"/>
      <c r="G106" s="1226"/>
      <c r="H106" s="1226"/>
      <c r="I106" s="1226"/>
      <c r="J106" s="1226"/>
      <c r="K106" s="1226"/>
      <c r="L106" s="1226"/>
      <c r="M106" s="1226"/>
      <c r="N106" s="1226"/>
      <c r="O106" s="1226"/>
      <c r="P106" s="1226"/>
      <c r="Q106" s="1226"/>
    </row>
    <row r="107" spans="1:17" ht="37.5" customHeight="1" thickBot="1">
      <c r="A107" s="13"/>
      <c r="B107" s="25" t="s">
        <v>3</v>
      </c>
      <c r="C107" s="51" t="s">
        <v>4</v>
      </c>
      <c r="D107" s="51" t="s">
        <v>5</v>
      </c>
      <c r="E107" s="51" t="s">
        <v>6</v>
      </c>
      <c r="F107" s="51" t="s">
        <v>7</v>
      </c>
      <c r="G107" s="51" t="s">
        <v>8</v>
      </c>
      <c r="H107" s="51" t="s">
        <v>9</v>
      </c>
      <c r="I107" s="51" t="s">
        <v>10</v>
      </c>
      <c r="J107" s="51" t="s">
        <v>11</v>
      </c>
      <c r="K107" s="51" t="s">
        <v>12</v>
      </c>
      <c r="L107" s="51" t="s">
        <v>502</v>
      </c>
      <c r="M107" s="51" t="s">
        <v>15</v>
      </c>
      <c r="N107" s="52" t="s">
        <v>503</v>
      </c>
      <c r="O107" s="52" t="s">
        <v>504</v>
      </c>
      <c r="P107" s="52" t="s">
        <v>19</v>
      </c>
      <c r="Q107" s="52" t="s">
        <v>21</v>
      </c>
    </row>
    <row r="108" spans="1:17">
      <c r="A108" s="1321" t="s">
        <v>544</v>
      </c>
      <c r="B108" s="57" t="s">
        <v>129</v>
      </c>
      <c r="C108" s="98">
        <v>72.73</v>
      </c>
      <c r="D108" s="99">
        <v>40.36</v>
      </c>
      <c r="E108" s="99">
        <v>4.4800000000000004</v>
      </c>
      <c r="F108" s="99">
        <v>4.45</v>
      </c>
      <c r="G108" s="99">
        <v>0.04</v>
      </c>
      <c r="H108" s="99">
        <v>7.0000000000000007E-2</v>
      </c>
      <c r="I108" s="99">
        <v>13.23</v>
      </c>
      <c r="J108" s="99">
        <v>7.68</v>
      </c>
      <c r="K108" s="99">
        <v>0.21</v>
      </c>
      <c r="L108" s="99">
        <v>6.27</v>
      </c>
      <c r="M108" s="99">
        <v>0.41</v>
      </c>
      <c r="N108" s="99">
        <v>0.87</v>
      </c>
      <c r="O108" s="99">
        <v>0</v>
      </c>
      <c r="P108" s="99">
        <v>1.38</v>
      </c>
      <c r="Q108" s="118">
        <v>0.17</v>
      </c>
    </row>
    <row r="109" spans="1:17" ht="15" thickBot="1">
      <c r="A109" s="1322"/>
      <c r="B109" s="58" t="s">
        <v>130</v>
      </c>
      <c r="C109" s="108">
        <v>76.45</v>
      </c>
      <c r="D109" s="109">
        <v>45.96</v>
      </c>
      <c r="E109" s="109">
        <v>5.1100000000000003</v>
      </c>
      <c r="F109" s="109">
        <v>5.09</v>
      </c>
      <c r="G109" s="109">
        <v>0.01</v>
      </c>
      <c r="H109" s="109">
        <v>0.04</v>
      </c>
      <c r="I109" s="109">
        <v>11.42</v>
      </c>
      <c r="J109" s="109">
        <v>7.39</v>
      </c>
      <c r="K109" s="109">
        <v>0.02</v>
      </c>
      <c r="L109" s="109">
        <v>6.72</v>
      </c>
      <c r="M109" s="109">
        <v>0.22</v>
      </c>
      <c r="N109" s="109">
        <v>0.19</v>
      </c>
      <c r="O109" s="109">
        <v>0</v>
      </c>
      <c r="P109" s="109">
        <v>0.42</v>
      </c>
      <c r="Q109" s="120">
        <v>0.01</v>
      </c>
    </row>
    <row r="110" spans="1:17">
      <c r="A110" s="14"/>
      <c r="B110" s="22"/>
      <c r="C110" s="15"/>
      <c r="D110" s="15"/>
      <c r="E110" s="15"/>
      <c r="F110" s="15"/>
      <c r="G110" s="15"/>
      <c r="H110" s="15"/>
      <c r="I110" s="15"/>
      <c r="J110" s="15"/>
      <c r="K110" s="15"/>
      <c r="L110" s="15"/>
      <c r="M110" s="15"/>
      <c r="N110" s="15"/>
      <c r="O110" s="15"/>
      <c r="P110" s="15"/>
      <c r="Q110" s="15"/>
    </row>
    <row r="111" spans="1:17" ht="18" thickBot="1">
      <c r="A111" s="1308" t="s">
        <v>545</v>
      </c>
      <c r="B111" s="1308"/>
      <c r="C111" s="1226"/>
      <c r="D111" s="1226"/>
      <c r="E111" s="1226"/>
      <c r="F111" s="1226"/>
      <c r="G111" s="1226"/>
      <c r="H111" s="1226"/>
      <c r="I111" s="1226"/>
      <c r="J111" s="1226"/>
      <c r="K111" s="1226"/>
      <c r="L111" s="1226"/>
      <c r="M111" s="1226"/>
      <c r="N111" s="1226"/>
      <c r="O111" s="1226"/>
      <c r="P111" s="1226"/>
      <c r="Q111" s="1226"/>
    </row>
    <row r="112" spans="1:17" ht="37.5" customHeight="1" thickBot="1">
      <c r="A112" s="13"/>
      <c r="B112" s="25" t="s">
        <v>3</v>
      </c>
      <c r="C112" s="51" t="s">
        <v>4</v>
      </c>
      <c r="D112" s="51" t="s">
        <v>5</v>
      </c>
      <c r="E112" s="51" t="s">
        <v>6</v>
      </c>
      <c r="F112" s="51" t="s">
        <v>7</v>
      </c>
      <c r="G112" s="51" t="s">
        <v>8</v>
      </c>
      <c r="H112" s="51" t="s">
        <v>9</v>
      </c>
      <c r="I112" s="51" t="s">
        <v>10</v>
      </c>
      <c r="J112" s="51" t="s">
        <v>11</v>
      </c>
      <c r="K112" s="51" t="s">
        <v>12</v>
      </c>
      <c r="L112" s="51" t="s">
        <v>502</v>
      </c>
      <c r="M112" s="51" t="s">
        <v>15</v>
      </c>
      <c r="N112" s="52" t="s">
        <v>503</v>
      </c>
      <c r="O112" s="52" t="s">
        <v>504</v>
      </c>
      <c r="P112" s="52" t="s">
        <v>19</v>
      </c>
      <c r="Q112" s="52" t="s">
        <v>21</v>
      </c>
    </row>
    <row r="113" spans="1:17">
      <c r="A113" s="1321" t="s">
        <v>546</v>
      </c>
      <c r="B113" s="57" t="s">
        <v>130</v>
      </c>
      <c r="C113" s="98">
        <v>76.45</v>
      </c>
      <c r="D113" s="99">
        <v>45.96</v>
      </c>
      <c r="E113" s="99">
        <v>5.1100000000000003</v>
      </c>
      <c r="F113" s="99">
        <v>5.09</v>
      </c>
      <c r="G113" s="99">
        <v>0.01</v>
      </c>
      <c r="H113" s="99">
        <v>0.04</v>
      </c>
      <c r="I113" s="99">
        <v>11.42</v>
      </c>
      <c r="J113" s="99">
        <v>7.39</v>
      </c>
      <c r="K113" s="99">
        <v>0.02</v>
      </c>
      <c r="L113" s="99">
        <v>6.72</v>
      </c>
      <c r="M113" s="99">
        <v>0.22</v>
      </c>
      <c r="N113" s="99">
        <v>0.19</v>
      </c>
      <c r="O113" s="99">
        <v>0</v>
      </c>
      <c r="P113" s="99">
        <v>0.42</v>
      </c>
      <c r="Q113" s="118">
        <v>0.01</v>
      </c>
    </row>
    <row r="114" spans="1:17" ht="15" thickBot="1">
      <c r="A114" s="1322"/>
      <c r="B114" s="58" t="s">
        <v>129</v>
      </c>
      <c r="C114" s="108">
        <v>72.73</v>
      </c>
      <c r="D114" s="109">
        <v>40.36</v>
      </c>
      <c r="E114" s="109">
        <v>4.4800000000000004</v>
      </c>
      <c r="F114" s="109">
        <v>4.45</v>
      </c>
      <c r="G114" s="109">
        <v>0.04</v>
      </c>
      <c r="H114" s="109">
        <v>7.0000000000000007E-2</v>
      </c>
      <c r="I114" s="109">
        <v>13.23</v>
      </c>
      <c r="J114" s="109">
        <v>7.68</v>
      </c>
      <c r="K114" s="109">
        <v>0.21</v>
      </c>
      <c r="L114" s="109">
        <v>6.27</v>
      </c>
      <c r="M114" s="109">
        <v>0.41</v>
      </c>
      <c r="N114" s="109">
        <v>0.87</v>
      </c>
      <c r="O114" s="109">
        <v>0</v>
      </c>
      <c r="P114" s="109">
        <v>1.38</v>
      </c>
      <c r="Q114" s="120">
        <v>0.17</v>
      </c>
    </row>
    <row r="116" spans="1:17">
      <c r="B116" s="1227" t="s">
        <v>168</v>
      </c>
      <c r="C116" s="1227"/>
      <c r="D116" s="1227"/>
      <c r="E116" s="1227"/>
      <c r="F116" s="1227"/>
      <c r="G116" s="1227"/>
      <c r="H116" s="1227"/>
      <c r="I116" s="1227"/>
      <c r="J116" s="1227"/>
      <c r="K116" s="1227"/>
      <c r="L116" s="1227"/>
      <c r="M116" s="1227"/>
      <c r="N116" s="1227"/>
      <c r="O116" s="1227"/>
      <c r="P116" s="1227"/>
      <c r="Q116" s="1227"/>
    </row>
    <row r="117" spans="1:17">
      <c r="B117" s="1227"/>
      <c r="C117" s="1227"/>
      <c r="D117" s="1227"/>
      <c r="E117" s="1227"/>
      <c r="F117" s="1227"/>
      <c r="G117" s="1227"/>
      <c r="H117" s="1227"/>
      <c r="I117" s="1227"/>
      <c r="J117" s="1227"/>
      <c r="K117" s="1227"/>
      <c r="L117" s="1227"/>
      <c r="M117" s="1227"/>
      <c r="N117" s="1227"/>
      <c r="O117" s="1227"/>
      <c r="P117" s="1227"/>
      <c r="Q117" s="1227"/>
    </row>
    <row r="118" spans="1:17">
      <c r="B118" s="1227"/>
      <c r="C118" s="1227"/>
      <c r="D118" s="1227"/>
      <c r="E118" s="1227"/>
      <c r="F118" s="1227"/>
      <c r="G118" s="1227"/>
      <c r="H118" s="1227"/>
      <c r="I118" s="1227"/>
      <c r="J118" s="1227"/>
      <c r="K118" s="1227"/>
      <c r="L118" s="1227"/>
      <c r="M118" s="1227"/>
      <c r="N118" s="1227"/>
      <c r="O118" s="1227"/>
      <c r="P118" s="1227"/>
      <c r="Q118" s="1227"/>
    </row>
    <row r="120" spans="1:17" ht="29.15">
      <c r="B120" s="5" t="s">
        <v>547</v>
      </c>
      <c r="C120" s="4">
        <f>(AVERAGE(C5:C19)+AVERAGE(C23:C26)+AVERAGE(C30:C52)+AVERAGE(C56:C78)+AVERAGE(C82:C104)+AVERAGE(C108:C109)+AVERAGE(C113:C114))</f>
        <v>410.88389130434791</v>
      </c>
      <c r="D120" s="4">
        <f t="shared" ref="D120:Q120" si="0">(AVERAGE(D5:D19)+AVERAGE(D23:D26)+AVERAGE(D30:D52)+AVERAGE(D56:D78)+AVERAGE(D82:D104)+AVERAGE(D108:D109)+AVERAGE(D113:D114))</f>
        <v>199.60049275362317</v>
      </c>
      <c r="E120" s="4">
        <f t="shared" si="0"/>
        <v>22.109594202898549</v>
      </c>
      <c r="F120" s="4">
        <f t="shared" si="0"/>
        <v>15.514239130434781</v>
      </c>
      <c r="G120" s="4">
        <f t="shared" si="0"/>
        <v>7.0434782608695651E-2</v>
      </c>
      <c r="H120" s="4">
        <f t="shared" si="0"/>
        <v>30.211768115942029</v>
      </c>
      <c r="I120" s="4">
        <f t="shared" si="0"/>
        <v>178.25731884057967</v>
      </c>
      <c r="J120" s="4">
        <f t="shared" si="0"/>
        <v>49.856413043478256</v>
      </c>
      <c r="K120" s="4">
        <f t="shared" si="0"/>
        <v>1.1712681159420291</v>
      </c>
      <c r="L120" s="4">
        <f t="shared" si="0"/>
        <v>38.685057971014494</v>
      </c>
      <c r="M120" s="4">
        <f t="shared" si="0"/>
        <v>4.7917463768115951</v>
      </c>
      <c r="N120" s="4">
        <f t="shared" si="0"/>
        <v>7.3643478260869566</v>
      </c>
      <c r="O120" s="4">
        <f t="shared" si="0"/>
        <v>3.3986956521739127</v>
      </c>
      <c r="P120" s="4">
        <f t="shared" si="0"/>
        <v>15.80626811594203</v>
      </c>
      <c r="Q120" s="4">
        <f t="shared" si="0"/>
        <v>7.9732391304347825</v>
      </c>
    </row>
    <row r="121" spans="1:17" ht="29.15">
      <c r="B121" s="5" t="s">
        <v>548</v>
      </c>
      <c r="C121" s="4" t="str">
        <f>(ROUND((MIN(C5:C19)+MIN(C23:C26)+MIN(C30:C52)+MIN(C56:C78)+MIN(C82:C104)+MIN(C108:C109)+MIN(C113:C114)),0)&amp;" - "&amp;ROUND((MAX(C5:C19)+MAX(C23:C26)+MAX(C30:C52)+MAX(C56:C78)+MAX(C82:C104)+MAX(C108:C109)+MAX(C113:C114)),0))</f>
        <v>294 - 519</v>
      </c>
      <c r="D121" s="4" t="str">
        <f t="shared" ref="D121:Q121" si="1">(ROUND((MIN(D5:D19)+MIN(D23:D26)+MIN(D30:D52)+MIN(D56:D78)+MIN(D82:D104)+MIN(D108:D109)+MIN(D113:D114)),0)&amp;" - "&amp;ROUND((MAX(D5:D19)+MAX(D23:D26)+MAX(D30:D52)+MAX(D56:D78)+MAX(D82:D104)+MAX(D108:D109)+MAX(D113:D114)),0))</f>
        <v>123 - 358</v>
      </c>
      <c r="E121" s="4" t="str">
        <f t="shared" si="1"/>
        <v>14 - 40</v>
      </c>
      <c r="F121" s="4" t="str">
        <f t="shared" si="1"/>
        <v>12 - 20</v>
      </c>
      <c r="G121" s="4" t="str">
        <f t="shared" si="1"/>
        <v>0 - 0</v>
      </c>
      <c r="H121" s="4" t="str">
        <f t="shared" si="1"/>
        <v>26 - 36</v>
      </c>
      <c r="I121" s="4" t="str">
        <f t="shared" si="1"/>
        <v>80 - 328</v>
      </c>
      <c r="J121" s="4" t="str">
        <f t="shared" si="1"/>
        <v>33 - 64</v>
      </c>
      <c r="K121" s="4" t="str">
        <f t="shared" si="1"/>
        <v>0 - 4</v>
      </c>
      <c r="L121" s="4" t="str">
        <f t="shared" si="1"/>
        <v>23 - 56</v>
      </c>
      <c r="M121" s="4" t="str">
        <f t="shared" si="1"/>
        <v>2 - 12</v>
      </c>
      <c r="N121" s="4" t="str">
        <f t="shared" si="1"/>
        <v>4 - 51</v>
      </c>
      <c r="O121" s="4" t="str">
        <f t="shared" si="1"/>
        <v>0 - 33</v>
      </c>
      <c r="P121" s="4" t="str">
        <f t="shared" si="1"/>
        <v>5 - 64</v>
      </c>
      <c r="Q121" s="4" t="str">
        <f t="shared" si="1"/>
        <v>0 - 48</v>
      </c>
    </row>
  </sheetData>
  <mergeCells count="17">
    <mergeCell ref="A23:A26"/>
    <mergeCell ref="B116:Q118"/>
    <mergeCell ref="A1:Q1"/>
    <mergeCell ref="A2:Q2"/>
    <mergeCell ref="A113:A114"/>
    <mergeCell ref="A108:A109"/>
    <mergeCell ref="A106:Q106"/>
    <mergeCell ref="A28:Q28"/>
    <mergeCell ref="A3:Q3"/>
    <mergeCell ref="A5:A19"/>
    <mergeCell ref="A21:Q21"/>
    <mergeCell ref="A111:Q111"/>
    <mergeCell ref="A30:A52"/>
    <mergeCell ref="A54:Q54"/>
    <mergeCell ref="A56:A78"/>
    <mergeCell ref="A80:Q80"/>
    <mergeCell ref="A82:A104"/>
  </mergeCells>
  <pageMargins left="0.7" right="0.7" top="0.75" bottom="0.75" header="0.3" footer="0.3"/>
  <pageSetup scale="60" fitToHeight="0" orientation="landscape" r:id="rId1"/>
  <headerFooter>
    <oddHeader>&amp;LRita's Nutrition Supplement&amp;RUpdated:  8/23/16</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pageSetUpPr fitToPage="1"/>
  </sheetPr>
  <dimension ref="A1:AH121"/>
  <sheetViews>
    <sheetView topLeftCell="B1" zoomScaleNormal="100" zoomScalePageLayoutView="78" workbookViewId="0">
      <selection activeCell="E105" sqref="E105"/>
    </sheetView>
    <sheetView workbookViewId="1">
      <selection sqref="A1:Q1"/>
    </sheetView>
    <sheetView workbookViewId="2">
      <selection sqref="A1:Q1"/>
    </sheetView>
  </sheetViews>
  <sheetFormatPr defaultColWidth="8.84375" defaultRowHeight="14.6"/>
  <cols>
    <col min="1" max="1" width="6.53515625" style="6" customWidth="1"/>
    <col min="2" max="2" width="42.84375" style="23" customWidth="1"/>
    <col min="3" max="4" width="10.53515625" style="6" customWidth="1"/>
    <col min="5" max="5" width="8.53515625" style="6" customWidth="1"/>
    <col min="6" max="6" width="11.53515625" style="6" customWidth="1"/>
    <col min="7" max="7" width="8.53515625" style="6" customWidth="1"/>
    <col min="8" max="8" width="13" style="6" customWidth="1"/>
    <col min="9" max="9" width="9" style="6" customWidth="1"/>
    <col min="10" max="10" width="16.84375" style="6" customWidth="1"/>
    <col min="11" max="11" width="9" style="6" customWidth="1"/>
    <col min="12" max="12" width="7.84375" style="6" customWidth="1"/>
    <col min="13" max="13" width="9" style="6" customWidth="1"/>
    <col min="14" max="16" width="11.53515625" style="6" customWidth="1"/>
    <col min="17" max="17" width="9" style="6" customWidth="1"/>
    <col min="18" max="18" width="34.84375" style="6" bestFit="1" customWidth="1"/>
    <col min="19" max="19" width="32.53515625" style="10" bestFit="1" customWidth="1"/>
    <col min="20" max="16384" width="8.84375" style="10"/>
  </cols>
  <sheetData>
    <row r="1" spans="1:17" ht="22.75">
      <c r="A1" s="1225" t="s">
        <v>524</v>
      </c>
      <c r="B1" s="1320"/>
      <c r="C1" s="1320"/>
      <c r="D1" s="1320"/>
      <c r="E1" s="1320"/>
      <c r="F1" s="1320"/>
      <c r="G1" s="1320"/>
      <c r="H1" s="1320"/>
      <c r="I1" s="1320"/>
      <c r="J1" s="1320"/>
      <c r="K1" s="1320"/>
      <c r="L1" s="1320"/>
      <c r="M1" s="1320"/>
      <c r="N1" s="1320"/>
      <c r="O1" s="1320"/>
      <c r="P1" s="1320"/>
      <c r="Q1" s="1320"/>
    </row>
    <row r="2" spans="1:17" ht="18" customHeight="1">
      <c r="A2" s="1226" t="s">
        <v>549</v>
      </c>
      <c r="B2" s="1226"/>
      <c r="C2" s="1226"/>
      <c r="D2" s="1226"/>
      <c r="E2" s="1226"/>
      <c r="F2" s="1226"/>
      <c r="G2" s="1226"/>
      <c r="H2" s="1226"/>
      <c r="I2" s="1226"/>
      <c r="J2" s="1226"/>
      <c r="K2" s="1226"/>
      <c r="L2" s="1226"/>
      <c r="M2" s="1226"/>
      <c r="N2" s="1226"/>
      <c r="O2" s="1226"/>
      <c r="P2" s="1226"/>
      <c r="Q2" s="1226"/>
    </row>
    <row r="3" spans="1:17" ht="18" customHeight="1" thickBot="1">
      <c r="A3" s="1307" t="s">
        <v>526</v>
      </c>
      <c r="B3" s="1308"/>
      <c r="C3" s="1308"/>
      <c r="D3" s="1308"/>
      <c r="E3" s="1308"/>
      <c r="F3" s="1308"/>
      <c r="G3" s="1308"/>
      <c r="H3" s="1308"/>
      <c r="I3" s="1308"/>
      <c r="J3" s="1308"/>
      <c r="K3" s="1308"/>
      <c r="L3" s="1308"/>
      <c r="M3" s="1308"/>
      <c r="N3" s="1308"/>
      <c r="O3" s="1308"/>
      <c r="P3" s="1308"/>
      <c r="Q3" s="1308"/>
    </row>
    <row r="4" spans="1:17" ht="37.5" customHeight="1" thickBot="1">
      <c r="A4" s="12"/>
      <c r="B4" s="21" t="s">
        <v>3</v>
      </c>
      <c r="C4" s="1" t="s">
        <v>4</v>
      </c>
      <c r="D4" s="1" t="s">
        <v>5</v>
      </c>
      <c r="E4" s="1" t="s">
        <v>6</v>
      </c>
      <c r="F4" s="1" t="s">
        <v>7</v>
      </c>
      <c r="G4" s="1" t="s">
        <v>8</v>
      </c>
      <c r="H4" s="1" t="s">
        <v>9</v>
      </c>
      <c r="I4" s="1" t="s">
        <v>10</v>
      </c>
      <c r="J4" s="1" t="s">
        <v>11</v>
      </c>
      <c r="K4" s="1" t="s">
        <v>12</v>
      </c>
      <c r="L4" s="1" t="s">
        <v>502</v>
      </c>
      <c r="M4" s="1" t="s">
        <v>15</v>
      </c>
      <c r="N4" s="2" t="s">
        <v>503</v>
      </c>
      <c r="O4" s="2" t="s">
        <v>504</v>
      </c>
      <c r="P4" s="2" t="s">
        <v>19</v>
      </c>
      <c r="Q4" s="3" t="s">
        <v>21</v>
      </c>
    </row>
    <row r="5" spans="1:17" ht="15" customHeight="1">
      <c r="A5" s="1317" t="s">
        <v>396</v>
      </c>
      <c r="B5" s="61" t="s">
        <v>26</v>
      </c>
      <c r="C5" s="98">
        <f>'All Custard Custom Cake - Slice'!C5*12</f>
        <v>1136.6399999999999</v>
      </c>
      <c r="D5" s="99">
        <f>'All Custard Custom Cake - Slice'!D5*12</f>
        <v>539.40000000000009</v>
      </c>
      <c r="E5" s="99">
        <f>'All Custard Custom Cake - Slice'!E5*12</f>
        <v>59.88</v>
      </c>
      <c r="F5" s="99">
        <f>'All Custard Custom Cake - Slice'!F5*12</f>
        <v>38.160000000000004</v>
      </c>
      <c r="G5" s="99">
        <f>'All Custard Custom Cake - Slice'!G5*12</f>
        <v>0</v>
      </c>
      <c r="H5" s="99">
        <f>'All Custard Custom Cake - Slice'!H5*12</f>
        <v>354.12</v>
      </c>
      <c r="I5" s="99">
        <f>'All Custard Custom Cake - Slice'!I5*12</f>
        <v>773.04</v>
      </c>
      <c r="J5" s="99">
        <f>'All Custard Custom Cake - Slice'!J5*12</f>
        <v>136.92000000000002</v>
      </c>
      <c r="K5" s="99">
        <f>'All Custard Custom Cake - Slice'!K5*12</f>
        <v>0</v>
      </c>
      <c r="L5" s="99">
        <f>'All Custard Custom Cake - Slice'!L5*12</f>
        <v>108.96000000000001</v>
      </c>
      <c r="M5" s="99">
        <f>'All Custard Custom Cake - Slice'!M5*12</f>
        <v>21.84</v>
      </c>
      <c r="N5" s="99">
        <f>'All Custard Custom Cake - Slice'!N5*12</f>
        <v>48</v>
      </c>
      <c r="O5" s="99">
        <f>'All Custard Custom Cake - Slice'!O5*12</f>
        <v>0</v>
      </c>
      <c r="P5" s="99">
        <f>'All Custard Custom Cake - Slice'!P5*12</f>
        <v>72</v>
      </c>
      <c r="Q5" s="118">
        <f>'All Custard Custom Cake - Slice'!Q5*12</f>
        <v>0</v>
      </c>
    </row>
    <row r="6" spans="1:17">
      <c r="A6" s="1318"/>
      <c r="B6" s="62" t="s">
        <v>505</v>
      </c>
      <c r="C6" s="103">
        <f>'All Custard Custom Cake - Slice'!C6*12</f>
        <v>1124.1600000000001</v>
      </c>
      <c r="D6" s="104">
        <f>'All Custard Custom Cake - Slice'!D6*12</f>
        <v>548.88</v>
      </c>
      <c r="E6" s="104">
        <f>'All Custard Custom Cake - Slice'!E6*12</f>
        <v>60.96</v>
      </c>
      <c r="F6" s="104">
        <f>'All Custard Custom Cake - Slice'!F6*12</f>
        <v>38.76</v>
      </c>
      <c r="G6" s="104">
        <f>'All Custard Custom Cake - Slice'!G6*12</f>
        <v>0</v>
      </c>
      <c r="H6" s="104">
        <f>'All Custard Custom Cake - Slice'!H6*12</f>
        <v>360.12</v>
      </c>
      <c r="I6" s="104">
        <f>'All Custard Custom Cake - Slice'!I6*12</f>
        <v>781.56</v>
      </c>
      <c r="J6" s="104">
        <f>'All Custard Custom Cake - Slice'!J6*12</f>
        <v>130.32</v>
      </c>
      <c r="K6" s="104">
        <f>'All Custard Custom Cake - Slice'!K6*12</f>
        <v>0.12</v>
      </c>
      <c r="L6" s="104">
        <f>'All Custard Custom Cake - Slice'!L6*12</f>
        <v>100.44</v>
      </c>
      <c r="M6" s="104">
        <f>'All Custard Custom Cake - Slice'!M6*12</f>
        <v>22.200000000000003</v>
      </c>
      <c r="N6" s="104">
        <f>'All Custard Custom Cake - Slice'!N6*12</f>
        <v>48</v>
      </c>
      <c r="O6" s="104">
        <f>'All Custard Custom Cake - Slice'!O6*12</f>
        <v>0</v>
      </c>
      <c r="P6" s="104">
        <f>'All Custard Custom Cake - Slice'!P6*12</f>
        <v>72</v>
      </c>
      <c r="Q6" s="119">
        <f>'All Custard Custom Cake - Slice'!Q6*12</f>
        <v>0</v>
      </c>
    </row>
    <row r="7" spans="1:17">
      <c r="A7" s="1318"/>
      <c r="B7" s="62" t="s">
        <v>527</v>
      </c>
      <c r="C7" s="103">
        <f>'All Custard Custom Cake - Slice'!C7*12</f>
        <v>1132.68</v>
      </c>
      <c r="D7" s="104">
        <f>'All Custard Custom Cake - Slice'!D7*12</f>
        <v>552.96</v>
      </c>
      <c r="E7" s="104">
        <f>'All Custard Custom Cake - Slice'!E7*12</f>
        <v>61.44</v>
      </c>
      <c r="F7" s="104">
        <f>'All Custard Custom Cake - Slice'!F7*12</f>
        <v>39.119999999999997</v>
      </c>
      <c r="G7" s="104">
        <f>'All Custard Custom Cake - Slice'!G7*12</f>
        <v>0</v>
      </c>
      <c r="H7" s="104">
        <f>'All Custard Custom Cake - Slice'!H7*12</f>
        <v>363</v>
      </c>
      <c r="I7" s="104">
        <f>'All Custard Custom Cake - Slice'!I7*12</f>
        <v>787.19999999999993</v>
      </c>
      <c r="J7" s="104">
        <f>'All Custard Custom Cake - Slice'!J7*12</f>
        <v>132.47999999999999</v>
      </c>
      <c r="K7" s="104">
        <f>'All Custard Custom Cake - Slice'!K7*12</f>
        <v>0.12</v>
      </c>
      <c r="L7" s="104">
        <f>'All Custard Custom Cake - Slice'!L7*12</f>
        <v>103.68</v>
      </c>
      <c r="M7" s="104">
        <f>'All Custard Custom Cake - Slice'!M7*12</f>
        <v>22.32</v>
      </c>
      <c r="N7" s="104">
        <f>'All Custard Custom Cake - Slice'!N7*12</f>
        <v>48</v>
      </c>
      <c r="O7" s="104">
        <f>'All Custard Custom Cake - Slice'!O7*12</f>
        <v>0</v>
      </c>
      <c r="P7" s="104">
        <f>'All Custard Custom Cake - Slice'!P7*12</f>
        <v>72</v>
      </c>
      <c r="Q7" s="119">
        <f>'All Custard Custom Cake - Slice'!Q7*12</f>
        <v>0</v>
      </c>
    </row>
    <row r="8" spans="1:17">
      <c r="A8" s="1318"/>
      <c r="B8" s="62" t="s">
        <v>98</v>
      </c>
      <c r="C8" s="103">
        <f>'All Custard Custom Cake - Slice'!C8*12</f>
        <v>1160.76</v>
      </c>
      <c r="D8" s="104">
        <f>'All Custard Custom Cake - Slice'!D8*12</f>
        <v>523.43999999999994</v>
      </c>
      <c r="E8" s="104">
        <f>'All Custard Custom Cake - Slice'!E8*12</f>
        <v>58.199999999999996</v>
      </c>
      <c r="F8" s="104">
        <f>'All Custard Custom Cake - Slice'!F8*12</f>
        <v>36.96</v>
      </c>
      <c r="G8" s="104">
        <f>'All Custard Custom Cake - Slice'!G8*12</f>
        <v>0</v>
      </c>
      <c r="H8" s="104">
        <f>'All Custard Custom Cake - Slice'!H8*12</f>
        <v>343.68</v>
      </c>
      <c r="I8" s="104">
        <f>'All Custard Custom Cake - Slice'!I8*12</f>
        <v>745.56000000000006</v>
      </c>
      <c r="J8" s="104">
        <f>'All Custard Custom Cake - Slice'!J8*12</f>
        <v>147.12</v>
      </c>
      <c r="K8" s="104">
        <f>'All Custard Custom Cake - Slice'!K8*12</f>
        <v>0</v>
      </c>
      <c r="L8" s="104">
        <f>'All Custard Custom Cake - Slice'!L8*12</f>
        <v>119.16</v>
      </c>
      <c r="M8" s="104">
        <f>'All Custard Custom Cake - Slice'!M8*12</f>
        <v>21.12</v>
      </c>
      <c r="N8" s="104">
        <f>'All Custard Custom Cake - Slice'!N8*12</f>
        <v>48</v>
      </c>
      <c r="O8" s="104">
        <f>'All Custard Custom Cake - Slice'!O8*12</f>
        <v>0</v>
      </c>
      <c r="P8" s="104">
        <f>'All Custard Custom Cake - Slice'!P8*12</f>
        <v>72</v>
      </c>
      <c r="Q8" s="119">
        <f>'All Custard Custom Cake - Slice'!Q8*12</f>
        <v>0</v>
      </c>
    </row>
    <row r="9" spans="1:17">
      <c r="A9" s="1318"/>
      <c r="B9" s="62" t="s">
        <v>34</v>
      </c>
      <c r="C9" s="103">
        <f>'All Custard Custom Cake - Slice'!C9*12</f>
        <v>1190.6399999999999</v>
      </c>
      <c r="D9" s="104">
        <f>'All Custard Custom Cake - Slice'!D9*12</f>
        <v>510.24</v>
      </c>
      <c r="E9" s="104">
        <f>'All Custard Custom Cake - Slice'!E9*12</f>
        <v>56.64</v>
      </c>
      <c r="F9" s="104">
        <f>'All Custard Custom Cake - Slice'!F9*12</f>
        <v>33.96</v>
      </c>
      <c r="G9" s="104">
        <f>'All Custard Custom Cake - Slice'!G9*12</f>
        <v>0</v>
      </c>
      <c r="H9" s="104">
        <f>'All Custard Custom Cake - Slice'!H9*12</f>
        <v>311.88</v>
      </c>
      <c r="I9" s="104">
        <f>'All Custard Custom Cake - Slice'!I9*12</f>
        <v>652.08000000000004</v>
      </c>
      <c r="J9" s="104">
        <f>'All Custard Custom Cake - Slice'!J9*12</f>
        <v>153.12</v>
      </c>
      <c r="K9" s="104">
        <f>'All Custard Custom Cake - Slice'!K9*12</f>
        <v>0</v>
      </c>
      <c r="L9" s="104">
        <f>'All Custard Custom Cake - Slice'!L9*12</f>
        <v>119.03999999999999</v>
      </c>
      <c r="M9" s="104">
        <f>'All Custard Custom Cake - Slice'!M9*12</f>
        <v>22.68</v>
      </c>
      <c r="N9" s="104">
        <f>'All Custard Custom Cake - Slice'!N9*12</f>
        <v>48</v>
      </c>
      <c r="O9" s="104">
        <f>'All Custard Custom Cake - Slice'!O9*12</f>
        <v>0</v>
      </c>
      <c r="P9" s="104">
        <f>'All Custard Custom Cake - Slice'!P9*12</f>
        <v>48</v>
      </c>
      <c r="Q9" s="119">
        <f>'All Custard Custom Cake - Slice'!Q9*12</f>
        <v>24</v>
      </c>
    </row>
    <row r="10" spans="1:17">
      <c r="A10" s="1318"/>
      <c r="B10" s="62" t="s">
        <v>136</v>
      </c>
      <c r="C10" s="103">
        <f>'All Custard Custom Cake - Slice'!C10*12</f>
        <v>1127.6399999999999</v>
      </c>
      <c r="D10" s="104">
        <f>'All Custard Custom Cake - Slice'!D10*12</f>
        <v>554.52</v>
      </c>
      <c r="E10" s="104">
        <f>'All Custard Custom Cake - Slice'!E10*12</f>
        <v>61.56</v>
      </c>
      <c r="F10" s="104">
        <f>'All Custard Custom Cake - Slice'!F10*12</f>
        <v>39.24</v>
      </c>
      <c r="G10" s="104">
        <f>'All Custard Custom Cake - Slice'!G10*12</f>
        <v>0</v>
      </c>
      <c r="H10" s="104">
        <f>'All Custard Custom Cake - Slice'!H10*12</f>
        <v>364.08</v>
      </c>
      <c r="I10" s="104">
        <f>'All Custard Custom Cake - Slice'!I10*12</f>
        <v>822</v>
      </c>
      <c r="J10" s="104">
        <f>'All Custard Custom Cake - Slice'!J10*12</f>
        <v>130.56</v>
      </c>
      <c r="K10" s="104">
        <f>'All Custard Custom Cake - Slice'!K10*12</f>
        <v>0.12</v>
      </c>
      <c r="L10" s="104">
        <f>'All Custard Custom Cake - Slice'!L10*12</f>
        <v>101.16</v>
      </c>
      <c r="M10" s="104">
        <f>'All Custard Custom Cake - Slice'!M10*12</f>
        <v>22.68</v>
      </c>
      <c r="N10" s="104">
        <f>'All Custard Custom Cake - Slice'!N10*12</f>
        <v>48</v>
      </c>
      <c r="O10" s="104">
        <f>'All Custard Custom Cake - Slice'!O10*12</f>
        <v>0</v>
      </c>
      <c r="P10" s="104">
        <f>'All Custard Custom Cake - Slice'!P10*12</f>
        <v>72</v>
      </c>
      <c r="Q10" s="119">
        <f>'All Custard Custom Cake - Slice'!Q10*12</f>
        <v>0.12</v>
      </c>
    </row>
    <row r="11" spans="1:17">
      <c r="A11" s="1318"/>
      <c r="B11" s="62" t="s">
        <v>528</v>
      </c>
      <c r="C11" s="103">
        <f>'All Custard Custom Cake - Slice'!C11*12</f>
        <v>1146.24</v>
      </c>
      <c r="D11" s="104">
        <f>'All Custard Custom Cake - Slice'!D11*12</f>
        <v>540.84</v>
      </c>
      <c r="E11" s="104">
        <f>'All Custard Custom Cake - Slice'!E11*12</f>
        <v>60.12</v>
      </c>
      <c r="F11" s="104">
        <f>'All Custard Custom Cake - Slice'!F11*12</f>
        <v>38.28</v>
      </c>
      <c r="G11" s="104">
        <f>'All Custard Custom Cake - Slice'!G11*12</f>
        <v>0</v>
      </c>
      <c r="H11" s="104">
        <f>'All Custard Custom Cake - Slice'!H11*12</f>
        <v>355.08</v>
      </c>
      <c r="I11" s="104">
        <f>'All Custard Custom Cake - Slice'!I11*12</f>
        <v>767.88</v>
      </c>
      <c r="J11" s="104">
        <f>'All Custard Custom Cake - Slice'!J11*12</f>
        <v>138.96</v>
      </c>
      <c r="K11" s="104">
        <f>'All Custard Custom Cake - Slice'!K11*12</f>
        <v>0</v>
      </c>
      <c r="L11" s="104">
        <f>'All Custard Custom Cake - Slice'!L11*12</f>
        <v>110.16</v>
      </c>
      <c r="M11" s="104">
        <f>'All Custard Custom Cake - Slice'!M11*12</f>
        <v>21.84</v>
      </c>
      <c r="N11" s="104">
        <f>'All Custard Custom Cake - Slice'!N11*12</f>
        <v>48</v>
      </c>
      <c r="O11" s="104">
        <f>'All Custard Custom Cake - Slice'!O11*12</f>
        <v>0</v>
      </c>
      <c r="P11" s="104">
        <f>'All Custard Custom Cake - Slice'!P11*12</f>
        <v>72</v>
      </c>
      <c r="Q11" s="119">
        <f>'All Custard Custom Cake - Slice'!Q11*12</f>
        <v>0</v>
      </c>
    </row>
    <row r="12" spans="1:17" ht="15" customHeight="1">
      <c r="A12" s="1318"/>
      <c r="B12" s="62" t="s">
        <v>48</v>
      </c>
      <c r="C12" s="103">
        <f>'All Custard Custom Cake - Slice'!C12*12</f>
        <v>1132.68</v>
      </c>
      <c r="D12" s="104">
        <f>'All Custard Custom Cake - Slice'!D12*12</f>
        <v>548.28</v>
      </c>
      <c r="E12" s="104">
        <f>'All Custard Custom Cake - Slice'!E12*12</f>
        <v>60.96</v>
      </c>
      <c r="F12" s="104">
        <f>'All Custard Custom Cake - Slice'!F12*12</f>
        <v>38.76</v>
      </c>
      <c r="G12" s="104">
        <f>'All Custard Custom Cake - Slice'!G12*12</f>
        <v>0</v>
      </c>
      <c r="H12" s="104">
        <f>'All Custard Custom Cake - Slice'!H12*12</f>
        <v>360</v>
      </c>
      <c r="I12" s="104">
        <f>'All Custard Custom Cake - Slice'!I12*12</f>
        <v>777.24</v>
      </c>
      <c r="J12" s="104">
        <f>'All Custard Custom Cake - Slice'!J12*12</f>
        <v>133.68</v>
      </c>
      <c r="K12" s="104">
        <f>'All Custard Custom Cake - Slice'!K12*12</f>
        <v>0.12</v>
      </c>
      <c r="L12" s="104">
        <f>'All Custard Custom Cake - Slice'!L12*12</f>
        <v>105.12</v>
      </c>
      <c r="M12" s="104">
        <f>'All Custard Custom Cake - Slice'!M12*12</f>
        <v>22.200000000000003</v>
      </c>
      <c r="N12" s="104">
        <f>'All Custard Custom Cake - Slice'!N12*12</f>
        <v>48</v>
      </c>
      <c r="O12" s="104">
        <f>'All Custard Custom Cake - Slice'!O12*12</f>
        <v>0</v>
      </c>
      <c r="P12" s="104">
        <f>'All Custard Custom Cake - Slice'!P12*12</f>
        <v>72</v>
      </c>
      <c r="Q12" s="119">
        <f>'All Custard Custom Cake - Slice'!Q12*12</f>
        <v>0</v>
      </c>
    </row>
    <row r="13" spans="1:17">
      <c r="A13" s="1318"/>
      <c r="B13" s="62" t="s">
        <v>137</v>
      </c>
      <c r="C13" s="103">
        <f>'All Custard Custom Cake - Slice'!C13*12</f>
        <v>1116.96</v>
      </c>
      <c r="D13" s="104">
        <f>'All Custard Custom Cake - Slice'!D13*12</f>
        <v>553.56000000000006</v>
      </c>
      <c r="E13" s="104">
        <f>'All Custard Custom Cake - Slice'!E13*12</f>
        <v>61.56</v>
      </c>
      <c r="F13" s="104">
        <f>'All Custard Custom Cake - Slice'!F13*12</f>
        <v>39.119999999999997</v>
      </c>
      <c r="G13" s="104">
        <f>'All Custard Custom Cake - Slice'!G13*12</f>
        <v>0</v>
      </c>
      <c r="H13" s="104">
        <f>'All Custard Custom Cake - Slice'!H13*12</f>
        <v>362.52</v>
      </c>
      <c r="I13" s="104">
        <f>'All Custard Custom Cake - Slice'!I13*12</f>
        <v>786.24</v>
      </c>
      <c r="J13" s="104">
        <f>'All Custard Custom Cake - Slice'!J13*12</f>
        <v>128.39999999999998</v>
      </c>
      <c r="K13" s="104">
        <f>'All Custard Custom Cake - Slice'!K13*12</f>
        <v>0</v>
      </c>
      <c r="L13" s="104">
        <f>'All Custard Custom Cake - Slice'!L13*12</f>
        <v>100.56</v>
      </c>
      <c r="M13" s="104">
        <f>'All Custard Custom Cake - Slice'!M13*12</f>
        <v>22.32</v>
      </c>
      <c r="N13" s="104">
        <f>'All Custard Custom Cake - Slice'!N13*12</f>
        <v>48</v>
      </c>
      <c r="O13" s="104">
        <f>'All Custard Custom Cake - Slice'!O13*12</f>
        <v>0</v>
      </c>
      <c r="P13" s="104">
        <f>'All Custard Custom Cake - Slice'!P13*12</f>
        <v>72</v>
      </c>
      <c r="Q13" s="119">
        <f>'All Custard Custom Cake - Slice'!Q13*12</f>
        <v>0</v>
      </c>
    </row>
    <row r="14" spans="1:17">
      <c r="A14" s="1318"/>
      <c r="B14" s="62" t="s">
        <v>416</v>
      </c>
      <c r="C14" s="103">
        <f>'All Custard Custom Cake - Slice'!C14*12</f>
        <v>1136.4000000000001</v>
      </c>
      <c r="D14" s="104">
        <f>'All Custard Custom Cake - Slice'!D14*12</f>
        <v>546.96</v>
      </c>
      <c r="E14" s="104">
        <f>'All Custard Custom Cake - Slice'!E14*12</f>
        <v>60.72</v>
      </c>
      <c r="F14" s="104">
        <f>'All Custard Custom Cake - Slice'!F14*12</f>
        <v>38.64</v>
      </c>
      <c r="G14" s="104">
        <f>'All Custard Custom Cake - Slice'!G14*12</f>
        <v>0</v>
      </c>
      <c r="H14" s="104">
        <f>'All Custard Custom Cake - Slice'!H14*12</f>
        <v>359.15999999999997</v>
      </c>
      <c r="I14" s="104">
        <f>'All Custard Custom Cake - Slice'!I14*12</f>
        <v>779.16000000000008</v>
      </c>
      <c r="J14" s="104">
        <f>'All Custard Custom Cake - Slice'!J14*12</f>
        <v>134.16</v>
      </c>
      <c r="K14" s="104">
        <f>'All Custard Custom Cake - Slice'!K14*12</f>
        <v>0</v>
      </c>
      <c r="L14" s="104">
        <f>'All Custard Custom Cake - Slice'!L14*12</f>
        <v>105.72</v>
      </c>
      <c r="M14" s="104">
        <f>'All Custard Custom Cake - Slice'!M14*12</f>
        <v>22.080000000000002</v>
      </c>
      <c r="N14" s="104">
        <f>'All Custard Custom Cake - Slice'!N14*12</f>
        <v>48</v>
      </c>
      <c r="O14" s="104">
        <f>'All Custard Custom Cake - Slice'!O14*12</f>
        <v>0</v>
      </c>
      <c r="P14" s="104">
        <f>'All Custard Custom Cake - Slice'!P14*12</f>
        <v>72</v>
      </c>
      <c r="Q14" s="119">
        <f>'All Custard Custom Cake - Slice'!Q14*12</f>
        <v>0</v>
      </c>
    </row>
    <row r="15" spans="1:17">
      <c r="A15" s="1318"/>
      <c r="B15" s="62" t="s">
        <v>417</v>
      </c>
      <c r="C15" s="103">
        <f>'All Custard Custom Cake - Slice'!C15*12</f>
        <v>1142.52</v>
      </c>
      <c r="D15" s="104">
        <f>'All Custard Custom Cake - Slice'!D15*12</f>
        <v>553.68000000000006</v>
      </c>
      <c r="E15" s="104">
        <f>'All Custard Custom Cake - Slice'!E15*12</f>
        <v>61.56</v>
      </c>
      <c r="F15" s="104">
        <f>'All Custard Custom Cake - Slice'!F15*12</f>
        <v>39.119999999999997</v>
      </c>
      <c r="G15" s="104">
        <f>'All Custard Custom Cake - Slice'!G15*12</f>
        <v>0</v>
      </c>
      <c r="H15" s="104">
        <f>'All Custard Custom Cake - Slice'!H15*12</f>
        <v>363.48</v>
      </c>
      <c r="I15" s="104">
        <f>'All Custard Custom Cake - Slice'!I15*12</f>
        <v>786.96</v>
      </c>
      <c r="J15" s="104">
        <f>'All Custard Custom Cake - Slice'!J15*12</f>
        <v>133.80000000000001</v>
      </c>
      <c r="K15" s="104">
        <f>'All Custard Custom Cake - Slice'!K15*12</f>
        <v>0</v>
      </c>
      <c r="L15" s="104">
        <f>'All Custard Custom Cake - Slice'!L15*12</f>
        <v>104.03999999999999</v>
      </c>
      <c r="M15" s="104">
        <f>'All Custard Custom Cake - Slice'!M15*12</f>
        <v>22.32</v>
      </c>
      <c r="N15" s="104">
        <f>'All Custard Custom Cake - Slice'!N15*12</f>
        <v>48</v>
      </c>
      <c r="O15" s="104">
        <f>'All Custard Custom Cake - Slice'!O15*12</f>
        <v>0</v>
      </c>
      <c r="P15" s="104">
        <f>'All Custard Custom Cake - Slice'!P15*12</f>
        <v>72</v>
      </c>
      <c r="Q15" s="119">
        <f>'All Custard Custom Cake - Slice'!Q15*12</f>
        <v>0</v>
      </c>
    </row>
    <row r="16" spans="1:17">
      <c r="A16" s="1318"/>
      <c r="B16" s="62" t="s">
        <v>418</v>
      </c>
      <c r="C16" s="103">
        <f>'All Custard Custom Cake - Slice'!C16*12</f>
        <v>1147.08</v>
      </c>
      <c r="D16" s="104">
        <f>'All Custard Custom Cake - Slice'!D16*12</f>
        <v>543</v>
      </c>
      <c r="E16" s="104">
        <f>'All Custard Custom Cake - Slice'!E16*12</f>
        <v>60.36</v>
      </c>
      <c r="F16" s="104">
        <f>'All Custard Custom Cake - Slice'!F16*12</f>
        <v>38.400000000000006</v>
      </c>
      <c r="G16" s="104">
        <f>'All Custard Custom Cake - Slice'!G16*12</f>
        <v>0</v>
      </c>
      <c r="H16" s="104">
        <f>'All Custard Custom Cake - Slice'!H16*12</f>
        <v>356.52</v>
      </c>
      <c r="I16" s="104">
        <f>'All Custard Custom Cake - Slice'!I16*12</f>
        <v>781.56</v>
      </c>
      <c r="J16" s="104">
        <f>'All Custard Custom Cake - Slice'!J16*12</f>
        <v>138.84</v>
      </c>
      <c r="K16" s="104">
        <f>'All Custard Custom Cake - Slice'!K16*12</f>
        <v>0.12</v>
      </c>
      <c r="L16" s="104">
        <f>'All Custard Custom Cake - Slice'!L16*12</f>
        <v>110.16</v>
      </c>
      <c r="M16" s="104">
        <f>'All Custard Custom Cake - Slice'!M16*12</f>
        <v>21.96</v>
      </c>
      <c r="N16" s="104">
        <f>'All Custard Custom Cake - Slice'!N16*12</f>
        <v>48</v>
      </c>
      <c r="O16" s="104">
        <f>'All Custard Custom Cake - Slice'!O16*12</f>
        <v>0</v>
      </c>
      <c r="P16" s="104">
        <f>'All Custard Custom Cake - Slice'!P16*12</f>
        <v>72</v>
      </c>
      <c r="Q16" s="119">
        <f>'All Custard Custom Cake - Slice'!Q16*12</f>
        <v>0</v>
      </c>
    </row>
    <row r="17" spans="1:34">
      <c r="A17" s="1318"/>
      <c r="B17" s="62" t="s">
        <v>529</v>
      </c>
      <c r="C17" s="103">
        <f>'All Custard Custom Cake - Slice'!C17*12</f>
        <v>1135.8000000000002</v>
      </c>
      <c r="D17" s="104">
        <f>'All Custard Custom Cake - Slice'!D17*12</f>
        <v>552</v>
      </c>
      <c r="E17" s="104">
        <f>'All Custard Custom Cake - Slice'!E17*12</f>
        <v>61.320000000000007</v>
      </c>
      <c r="F17" s="104">
        <f>'All Custard Custom Cake - Slice'!F17*12</f>
        <v>39</v>
      </c>
      <c r="G17" s="104">
        <f>'All Custard Custom Cake - Slice'!G17*12</f>
        <v>0</v>
      </c>
      <c r="H17" s="104">
        <f>'All Custard Custom Cake - Slice'!H17*12</f>
        <v>362.4</v>
      </c>
      <c r="I17" s="104">
        <f>'All Custard Custom Cake - Slice'!I17*12</f>
        <v>780.59999999999991</v>
      </c>
      <c r="J17" s="104">
        <f>'All Custard Custom Cake - Slice'!J17*12</f>
        <v>133.19999999999999</v>
      </c>
      <c r="K17" s="104">
        <f>'All Custard Custom Cake - Slice'!K17*12</f>
        <v>0</v>
      </c>
      <c r="L17" s="104">
        <f>'All Custard Custom Cake - Slice'!L17*12</f>
        <v>104.03999999999999</v>
      </c>
      <c r="M17" s="104">
        <f>'All Custard Custom Cake - Slice'!M17*12</f>
        <v>22.32</v>
      </c>
      <c r="N17" s="104">
        <f>'All Custard Custom Cake - Slice'!N17*12</f>
        <v>48</v>
      </c>
      <c r="O17" s="104">
        <f>'All Custard Custom Cake - Slice'!O17*12</f>
        <v>0</v>
      </c>
      <c r="P17" s="104">
        <f>'All Custard Custom Cake - Slice'!P17*12</f>
        <v>72</v>
      </c>
      <c r="Q17" s="119">
        <f>'All Custard Custom Cake - Slice'!Q17*12</f>
        <v>0</v>
      </c>
    </row>
    <row r="18" spans="1:34">
      <c r="A18" s="1318"/>
      <c r="B18" s="62" t="s">
        <v>66</v>
      </c>
      <c r="C18" s="103">
        <f>'All Custard Custom Cake - Slice'!C18*12</f>
        <v>1140.1200000000001</v>
      </c>
      <c r="D18" s="104">
        <f>'All Custard Custom Cake - Slice'!D18*12</f>
        <v>548.16</v>
      </c>
      <c r="E18" s="104">
        <f>'All Custard Custom Cake - Slice'!E18*12</f>
        <v>60.96</v>
      </c>
      <c r="F18" s="104">
        <f>'All Custard Custom Cake - Slice'!F18*12</f>
        <v>38.76</v>
      </c>
      <c r="G18" s="104">
        <f>'All Custard Custom Cake - Slice'!G18*12</f>
        <v>0</v>
      </c>
      <c r="H18" s="104">
        <f>'All Custard Custom Cake - Slice'!H18*12</f>
        <v>359.88</v>
      </c>
      <c r="I18" s="104">
        <f>'All Custard Custom Cake - Slice'!I18*12</f>
        <v>777.72</v>
      </c>
      <c r="J18" s="104">
        <f>'All Custard Custom Cake - Slice'!J18*12</f>
        <v>135.60000000000002</v>
      </c>
      <c r="K18" s="104">
        <f>'All Custard Custom Cake - Slice'!K18*12</f>
        <v>0</v>
      </c>
      <c r="L18" s="104">
        <f>'All Custard Custom Cake - Slice'!L18*12</f>
        <v>107.64000000000001</v>
      </c>
      <c r="M18" s="104">
        <f>'All Custard Custom Cake - Slice'!M18*12</f>
        <v>22.200000000000003</v>
      </c>
      <c r="N18" s="104">
        <f>'All Custard Custom Cake - Slice'!N18*12</f>
        <v>48</v>
      </c>
      <c r="O18" s="104">
        <f>'All Custard Custom Cake - Slice'!O18*12</f>
        <v>0</v>
      </c>
      <c r="P18" s="104">
        <f>'All Custard Custom Cake - Slice'!P18*12</f>
        <v>72</v>
      </c>
      <c r="Q18" s="119">
        <f>'All Custard Custom Cake - Slice'!Q18*12</f>
        <v>0</v>
      </c>
    </row>
    <row r="19" spans="1:34" ht="15" thickBot="1">
      <c r="A19" s="1319"/>
      <c r="B19" s="63" t="s">
        <v>75</v>
      </c>
      <c r="C19" s="108">
        <f>'All Custard Custom Cake - Slice'!C19*12</f>
        <v>1134</v>
      </c>
      <c r="D19" s="109">
        <f>'All Custard Custom Cake - Slice'!D19*12</f>
        <v>561.36</v>
      </c>
      <c r="E19" s="109">
        <f>'All Custard Custom Cake - Slice'!E19*12</f>
        <v>62.400000000000006</v>
      </c>
      <c r="F19" s="109">
        <f>'All Custard Custom Cake - Slice'!F19*12</f>
        <v>39.72</v>
      </c>
      <c r="G19" s="109">
        <f>'All Custard Custom Cake - Slice'!G19*12</f>
        <v>0</v>
      </c>
      <c r="H19" s="109">
        <f>'All Custard Custom Cake - Slice'!H19*12</f>
        <v>368.52</v>
      </c>
      <c r="I19" s="109">
        <f>'All Custard Custom Cake - Slice'!I19*12</f>
        <v>793.80000000000007</v>
      </c>
      <c r="J19" s="109">
        <f>'All Custard Custom Cake - Slice'!J19*12</f>
        <v>130.44</v>
      </c>
      <c r="K19" s="109">
        <f>'All Custard Custom Cake - Slice'!K19*12</f>
        <v>0</v>
      </c>
      <c r="L19" s="109">
        <f>'All Custard Custom Cake - Slice'!L19*12</f>
        <v>102</v>
      </c>
      <c r="M19" s="109">
        <f>'All Custard Custom Cake - Slice'!M19*12</f>
        <v>22.68</v>
      </c>
      <c r="N19" s="109">
        <f>'All Custard Custom Cake - Slice'!N19*12</f>
        <v>48</v>
      </c>
      <c r="O19" s="109">
        <f>'All Custard Custom Cake - Slice'!O19*12</f>
        <v>0</v>
      </c>
      <c r="P19" s="109">
        <f>'All Custard Custom Cake - Slice'!P19*12</f>
        <v>72</v>
      </c>
      <c r="Q19" s="120">
        <f>'All Custard Custom Cake - Slice'!Q19*12</f>
        <v>0</v>
      </c>
    </row>
    <row r="20" spans="1:34">
      <c r="B20" s="22"/>
      <c r="C20" s="15"/>
      <c r="D20" s="15"/>
      <c r="E20" s="15"/>
      <c r="F20" s="15"/>
      <c r="G20" s="15"/>
      <c r="H20" s="15"/>
      <c r="I20" s="15"/>
      <c r="J20" s="15"/>
      <c r="K20" s="15"/>
      <c r="L20" s="15"/>
      <c r="M20" s="15"/>
      <c r="N20" s="15"/>
      <c r="O20" s="15"/>
      <c r="P20" s="15"/>
      <c r="Q20" s="15"/>
    </row>
    <row r="21" spans="1:34" ht="18" thickBot="1">
      <c r="A21" s="1308" t="s">
        <v>530</v>
      </c>
      <c r="B21" s="1308"/>
      <c r="C21" s="1308"/>
      <c r="D21" s="1308"/>
      <c r="E21" s="1308"/>
      <c r="F21" s="1308"/>
      <c r="G21" s="1308"/>
      <c r="H21" s="1308"/>
      <c r="I21" s="1308"/>
      <c r="J21" s="1308"/>
      <c r="K21" s="1308"/>
      <c r="L21" s="1308"/>
      <c r="M21" s="1308"/>
      <c r="N21" s="1308"/>
      <c r="O21" s="1308"/>
      <c r="P21" s="1308"/>
      <c r="Q21" s="1308"/>
      <c r="R21" s="16"/>
    </row>
    <row r="22" spans="1:34" ht="37.5" customHeight="1" thickBot="1">
      <c r="A22" s="13"/>
      <c r="B22" s="21" t="s">
        <v>3</v>
      </c>
      <c r="C22" s="1" t="s">
        <v>4</v>
      </c>
      <c r="D22" s="1" t="s">
        <v>5</v>
      </c>
      <c r="E22" s="1" t="s">
        <v>6</v>
      </c>
      <c r="F22" s="1" t="s">
        <v>7</v>
      </c>
      <c r="G22" s="1" t="s">
        <v>8</v>
      </c>
      <c r="H22" s="1" t="s">
        <v>9</v>
      </c>
      <c r="I22" s="1" t="s">
        <v>10</v>
      </c>
      <c r="J22" s="1" t="s">
        <v>11</v>
      </c>
      <c r="K22" s="1" t="s">
        <v>12</v>
      </c>
      <c r="L22" s="1" t="s">
        <v>502</v>
      </c>
      <c r="M22" s="1" t="s">
        <v>15</v>
      </c>
      <c r="N22" s="2" t="s">
        <v>503</v>
      </c>
      <c r="O22" s="2" t="s">
        <v>504</v>
      </c>
      <c r="P22" s="2" t="s">
        <v>19</v>
      </c>
      <c r="Q22" s="3" t="s">
        <v>21</v>
      </c>
    </row>
    <row r="23" spans="1:34" ht="15" customHeight="1">
      <c r="A23" s="1317" t="s">
        <v>530</v>
      </c>
      <c r="B23" s="61" t="s">
        <v>150</v>
      </c>
      <c r="C23" s="98">
        <v>540</v>
      </c>
      <c r="D23" s="99">
        <v>30</v>
      </c>
      <c r="E23" s="99">
        <v>0</v>
      </c>
      <c r="F23" s="99">
        <v>0</v>
      </c>
      <c r="G23" s="99">
        <v>0</v>
      </c>
      <c r="H23" s="99">
        <v>0</v>
      </c>
      <c r="I23" s="99">
        <v>300</v>
      </c>
      <c r="J23" s="99">
        <v>126</v>
      </c>
      <c r="K23" s="99">
        <v>0</v>
      </c>
      <c r="L23" s="99">
        <v>90</v>
      </c>
      <c r="M23" s="99">
        <v>0</v>
      </c>
      <c r="N23" s="99">
        <v>0</v>
      </c>
      <c r="O23" s="99">
        <v>0</v>
      </c>
      <c r="P23" s="99">
        <v>0</v>
      </c>
      <c r="Q23" s="118">
        <v>0</v>
      </c>
    </row>
    <row r="24" spans="1:34">
      <c r="A24" s="1318"/>
      <c r="B24" s="62" t="s">
        <v>165</v>
      </c>
      <c r="C24" s="103">
        <v>540</v>
      </c>
      <c r="D24" s="104">
        <v>180</v>
      </c>
      <c r="E24" s="104">
        <v>21</v>
      </c>
      <c r="F24" s="104">
        <v>18</v>
      </c>
      <c r="G24" s="104">
        <v>0</v>
      </c>
      <c r="H24" s="104">
        <v>0</v>
      </c>
      <c r="I24" s="104">
        <v>270</v>
      </c>
      <c r="J24" s="104">
        <v>90</v>
      </c>
      <c r="K24" s="104">
        <v>0</v>
      </c>
      <c r="L24" s="104">
        <v>84</v>
      </c>
      <c r="M24" s="104">
        <v>6</v>
      </c>
      <c r="N24" s="104">
        <v>0</v>
      </c>
      <c r="O24" s="104">
        <v>0</v>
      </c>
      <c r="P24" s="104">
        <v>24</v>
      </c>
      <c r="Q24" s="119">
        <v>0</v>
      </c>
    </row>
    <row r="25" spans="1:34">
      <c r="A25" s="1318"/>
      <c r="B25" s="62" t="s">
        <v>465</v>
      </c>
      <c r="C25" s="103">
        <f>'All Custard Custom Cake - Slice'!C25*12</f>
        <v>1097.1600000000001</v>
      </c>
      <c r="D25" s="104">
        <f>'All Custard Custom Cake - Slice'!D25*12</f>
        <v>902.87999999999988</v>
      </c>
      <c r="E25" s="104">
        <f>'All Custard Custom Cake - Slice'!E25*12</f>
        <v>100.32</v>
      </c>
      <c r="F25" s="104">
        <f>'All Custard Custom Cake - Slice'!F25*12</f>
        <v>16.68</v>
      </c>
      <c r="G25" s="104">
        <f>'All Custard Custom Cake - Slice'!G25*12</f>
        <v>0</v>
      </c>
      <c r="H25" s="104">
        <f>'All Custard Custom Cake - Slice'!H25*12</f>
        <v>0</v>
      </c>
      <c r="I25" s="104">
        <f>'All Custard Custom Cake - Slice'!I25*12</f>
        <v>743.28</v>
      </c>
      <c r="J25" s="104">
        <f>'All Custard Custom Cake - Slice'!J25*12</f>
        <v>31.32</v>
      </c>
      <c r="K25" s="104">
        <f>'All Custard Custom Cake - Slice'!K25*12</f>
        <v>10.92</v>
      </c>
      <c r="L25" s="104">
        <f>'All Custard Custom Cake - Slice'!L25*12</f>
        <v>15.72</v>
      </c>
      <c r="M25" s="104">
        <f>'All Custard Custom Cake - Slice'!M25*12</f>
        <v>33</v>
      </c>
      <c r="N25" s="104">
        <f>'All Custard Custom Cake - Slice'!N25*12</f>
        <v>0</v>
      </c>
      <c r="O25" s="104">
        <f>'All Custard Custom Cake - Slice'!O25*12</f>
        <v>0</v>
      </c>
      <c r="P25" s="104">
        <f>'All Custard Custom Cake - Slice'!P25*12</f>
        <v>118.92</v>
      </c>
      <c r="Q25" s="119">
        <f>'All Custard Custom Cake - Slice'!Q25*12</f>
        <v>5.88</v>
      </c>
    </row>
    <row r="26" spans="1:34" ht="15" thickBot="1">
      <c r="A26" s="1319"/>
      <c r="B26" s="63" t="s">
        <v>531</v>
      </c>
      <c r="C26" s="108">
        <f>'All Custard Custom Cake - Slice'!C26*12</f>
        <v>227.28000000000003</v>
      </c>
      <c r="D26" s="109">
        <f>'All Custard Custom Cake - Slice'!D26*12</f>
        <v>0.96</v>
      </c>
      <c r="E26" s="109">
        <f>'All Custard Custom Cake - Slice'!E26*12</f>
        <v>0.12</v>
      </c>
      <c r="F26" s="109">
        <f>'All Custard Custom Cake - Slice'!F26*12</f>
        <v>0</v>
      </c>
      <c r="G26" s="109">
        <f>'All Custard Custom Cake - Slice'!G26*12</f>
        <v>0</v>
      </c>
      <c r="H26" s="109">
        <f>'All Custard Custom Cake - Slice'!H26*12</f>
        <v>0</v>
      </c>
      <c r="I26" s="109">
        <f>'All Custard Custom Cake - Slice'!I26*12</f>
        <v>31.44</v>
      </c>
      <c r="J26" s="109">
        <f>'All Custard Custom Cake - Slice'!J26*12</f>
        <v>62.16</v>
      </c>
      <c r="K26" s="109">
        <f>'All Custard Custom Cake - Slice'!K26*12</f>
        <v>1.92</v>
      </c>
      <c r="L26" s="109">
        <f>'All Custard Custom Cake - Slice'!L26*12</f>
        <v>52.679999999999993</v>
      </c>
      <c r="M26" s="109">
        <f>'All Custard Custom Cake - Slice'!M26*12</f>
        <v>0.48</v>
      </c>
      <c r="N26" s="109">
        <f>'All Custard Custom Cake - Slice'!N26*12</f>
        <v>0</v>
      </c>
      <c r="O26" s="109">
        <f>'All Custard Custom Cake - Slice'!O26*12</f>
        <v>37.92</v>
      </c>
      <c r="P26" s="109">
        <f>'All Custard Custom Cake - Slice'!P26*12</f>
        <v>17.52</v>
      </c>
      <c r="Q26" s="120">
        <f>'All Custard Custom Cake - Slice'!Q26*12</f>
        <v>0.72</v>
      </c>
    </row>
    <row r="27" spans="1:34">
      <c r="A27" s="17"/>
      <c r="B27" s="22"/>
      <c r="C27" s="15"/>
      <c r="D27" s="15"/>
      <c r="E27" s="15"/>
      <c r="F27" s="15"/>
      <c r="G27" s="15"/>
      <c r="H27" s="15"/>
      <c r="I27" s="15"/>
      <c r="J27" s="15"/>
      <c r="K27" s="15"/>
      <c r="L27" s="15"/>
      <c r="M27" s="15"/>
      <c r="N27" s="15"/>
      <c r="O27" s="15"/>
      <c r="P27" s="15"/>
      <c r="Q27" s="15"/>
    </row>
    <row r="28" spans="1:34" ht="19.5" customHeight="1" thickBot="1">
      <c r="A28" s="1308" t="s">
        <v>532</v>
      </c>
      <c r="B28" s="1308"/>
      <c r="C28" s="1308"/>
      <c r="D28" s="1308"/>
      <c r="E28" s="1308"/>
      <c r="F28" s="1308"/>
      <c r="G28" s="1308"/>
      <c r="H28" s="1308"/>
      <c r="I28" s="1308"/>
      <c r="J28" s="1308"/>
      <c r="K28" s="1308"/>
      <c r="L28" s="1308"/>
      <c r="M28" s="1308"/>
      <c r="N28" s="1308"/>
      <c r="O28" s="1308"/>
      <c r="P28" s="1308"/>
      <c r="Q28" s="1308"/>
      <c r="R28" s="16"/>
    </row>
    <row r="29" spans="1:34" ht="37.5" customHeight="1" thickBot="1">
      <c r="A29" s="13"/>
      <c r="B29" s="21" t="s">
        <v>3</v>
      </c>
      <c r="C29" s="1" t="s">
        <v>4</v>
      </c>
      <c r="D29" s="1" t="s">
        <v>5</v>
      </c>
      <c r="E29" s="1" t="s">
        <v>6</v>
      </c>
      <c r="F29" s="1" t="s">
        <v>7</v>
      </c>
      <c r="G29" s="1" t="s">
        <v>8</v>
      </c>
      <c r="H29" s="1" t="s">
        <v>9</v>
      </c>
      <c r="I29" s="1" t="s">
        <v>10</v>
      </c>
      <c r="J29" s="1" t="s">
        <v>11</v>
      </c>
      <c r="K29" s="1" t="s">
        <v>12</v>
      </c>
      <c r="L29" s="1" t="s">
        <v>502</v>
      </c>
      <c r="M29" s="1" t="s">
        <v>15</v>
      </c>
      <c r="N29" s="2" t="s">
        <v>503</v>
      </c>
      <c r="O29" s="2" t="s">
        <v>504</v>
      </c>
      <c r="P29" s="2" t="s">
        <v>19</v>
      </c>
      <c r="Q29" s="3" t="s">
        <v>21</v>
      </c>
    </row>
    <row r="30" spans="1:34">
      <c r="A30" s="1317" t="s">
        <v>533</v>
      </c>
      <c r="B30" s="59" t="s">
        <v>144</v>
      </c>
      <c r="C30" s="98">
        <f>'All Custard Custom Cake - Slice'!C30*12</f>
        <v>775.68000000000006</v>
      </c>
      <c r="D30" s="99">
        <f>'All Custard Custom Cake - Slice'!D30*12</f>
        <v>398.04</v>
      </c>
      <c r="E30" s="99">
        <f>'All Custard Custom Cake - Slice'!E30*12</f>
        <v>44.28</v>
      </c>
      <c r="F30" s="99">
        <f>'All Custard Custom Cake - Slice'!F30*12</f>
        <v>26.400000000000002</v>
      </c>
      <c r="G30" s="99">
        <f>'All Custard Custom Cake - Slice'!G30*12</f>
        <v>0</v>
      </c>
      <c r="H30" s="99">
        <f>'All Custard Custom Cake - Slice'!H30*12</f>
        <v>0</v>
      </c>
      <c r="I30" s="99">
        <f>'All Custard Custom Cake - Slice'!I30*12</f>
        <v>0.36</v>
      </c>
      <c r="J30" s="99">
        <f>'All Custard Custom Cake - Slice'!J30*12</f>
        <v>114.12</v>
      </c>
      <c r="K30" s="99">
        <f>'All Custard Custom Cake - Slice'!K30*12</f>
        <v>13.440000000000001</v>
      </c>
      <c r="L30" s="99">
        <f>'All Custard Custom Cake - Slice'!L30*12</f>
        <v>92.16</v>
      </c>
      <c r="M30" s="99">
        <f>'All Custard Custom Cake - Slice'!M30*12</f>
        <v>8.52</v>
      </c>
      <c r="N30" s="99">
        <f>'All Custard Custom Cake - Slice'!N30*12</f>
        <v>0</v>
      </c>
      <c r="O30" s="99">
        <f>'All Custard Custom Cake - Slice'!O30*12</f>
        <v>0</v>
      </c>
      <c r="P30" s="99">
        <f>'All Custard Custom Cake - Slice'!P30*12</f>
        <v>24</v>
      </c>
      <c r="Q30" s="118">
        <f>'All Custard Custom Cake - Slice'!Q30*12</f>
        <v>180</v>
      </c>
      <c r="S30" s="11"/>
      <c r="T30" s="39"/>
      <c r="U30" s="39"/>
      <c r="V30" s="39"/>
      <c r="W30" s="39"/>
      <c r="X30" s="39"/>
      <c r="Y30" s="39"/>
      <c r="Z30" s="39"/>
      <c r="AA30" s="39"/>
      <c r="AB30" s="39"/>
      <c r="AC30" s="39"/>
      <c r="AD30" s="39"/>
      <c r="AE30" s="39"/>
      <c r="AF30" s="39"/>
      <c r="AG30" s="39"/>
      <c r="AH30" s="39"/>
    </row>
    <row r="31" spans="1:34">
      <c r="A31" s="1318"/>
      <c r="B31" s="56" t="s">
        <v>534</v>
      </c>
      <c r="C31" s="103">
        <f>'All Custard Custom Cake - Slice'!C31*12</f>
        <v>688.43999999999994</v>
      </c>
      <c r="D31" s="104">
        <f>'All Custard Custom Cake - Slice'!D31*12</f>
        <v>144</v>
      </c>
      <c r="E31" s="104">
        <f>'All Custard Custom Cake - Slice'!E31*12</f>
        <v>15.96</v>
      </c>
      <c r="F31" s="104">
        <f>'All Custard Custom Cake - Slice'!F31*12</f>
        <v>8.2799999999999994</v>
      </c>
      <c r="G31" s="104">
        <f>'All Custard Custom Cake - Slice'!G31*12</f>
        <v>0</v>
      </c>
      <c r="H31" s="104">
        <f>'All Custard Custom Cake - Slice'!H31*12</f>
        <v>0</v>
      </c>
      <c r="I31" s="104">
        <f>'All Custard Custom Cake - Slice'!I31*12</f>
        <v>1034.6399999999999</v>
      </c>
      <c r="J31" s="104">
        <f>'All Custard Custom Cake - Slice'!J31*12</f>
        <v>135.72</v>
      </c>
      <c r="K31" s="104">
        <f>'All Custard Custom Cake - Slice'!K31*12</f>
        <v>8.64</v>
      </c>
      <c r="L31" s="104">
        <f>'All Custard Custom Cake - Slice'!L31*12</f>
        <v>52.679999999999993</v>
      </c>
      <c r="M31" s="104">
        <f>'All Custard Custom Cake - Slice'!M31*12</f>
        <v>10.08</v>
      </c>
      <c r="N31" s="104">
        <f>'All Custard Custom Cake - Slice'!N31*12</f>
        <v>0</v>
      </c>
      <c r="O31" s="104">
        <f>'All Custard Custom Cake - Slice'!O31*12</f>
        <v>0</v>
      </c>
      <c r="P31" s="104">
        <f>'All Custard Custom Cake - Slice'!P31*12</f>
        <v>180</v>
      </c>
      <c r="Q31" s="119">
        <f>'All Custard Custom Cake - Slice'!Q31*12</f>
        <v>0</v>
      </c>
      <c r="S31" s="11"/>
      <c r="T31" s="39"/>
      <c r="U31" s="39"/>
      <c r="V31" s="39"/>
      <c r="W31" s="39"/>
      <c r="X31" s="39"/>
      <c r="Y31" s="39"/>
      <c r="Z31" s="39"/>
      <c r="AA31" s="39"/>
      <c r="AB31" s="39"/>
      <c r="AC31" s="39"/>
      <c r="AD31" s="39"/>
      <c r="AE31" s="39"/>
      <c r="AF31" s="39"/>
      <c r="AG31" s="39"/>
      <c r="AH31" s="39"/>
    </row>
    <row r="32" spans="1:34">
      <c r="A32" s="1318"/>
      <c r="B32" s="56" t="s">
        <v>147</v>
      </c>
      <c r="C32" s="103">
        <f>'All Custard Custom Cake - Slice'!C32*12</f>
        <v>996.72</v>
      </c>
      <c r="D32" s="104">
        <f>'All Custard Custom Cake - Slice'!D32*12</f>
        <v>760.2</v>
      </c>
      <c r="E32" s="104">
        <f>'All Custard Custom Cake - Slice'!E32*12</f>
        <v>84.48</v>
      </c>
      <c r="F32" s="104">
        <f>'All Custard Custom Cake - Slice'!F32*12</f>
        <v>11.76</v>
      </c>
      <c r="G32" s="104">
        <f>'All Custard Custom Cake - Slice'!G32*12</f>
        <v>0</v>
      </c>
      <c r="H32" s="104">
        <f>'All Custard Custom Cake - Slice'!H32*12</f>
        <v>0</v>
      </c>
      <c r="I32" s="104">
        <f>'All Custard Custom Cake - Slice'!I32*12</f>
        <v>244.92000000000002</v>
      </c>
      <c r="J32" s="104">
        <f>'All Custard Custom Cake - Slice'!J32*12</f>
        <v>36.36</v>
      </c>
      <c r="K32" s="104">
        <f>'All Custard Custom Cake - Slice'!K32*12</f>
        <v>15.84</v>
      </c>
      <c r="L32" s="104">
        <f>'All Custard Custom Cake - Slice'!L32*12</f>
        <v>7.1999999999999993</v>
      </c>
      <c r="M32" s="104">
        <f>'All Custard Custom Cake - Slice'!M32*12</f>
        <v>40.32</v>
      </c>
      <c r="N32" s="104">
        <f>'All Custard Custom Cake - Slice'!N32*12</f>
        <v>180</v>
      </c>
      <c r="O32" s="104">
        <f>'All Custard Custom Cake - Slice'!O32*12</f>
        <v>120</v>
      </c>
      <c r="P32" s="104">
        <f>'All Custard Custom Cake - Slice'!P32*12</f>
        <v>0</v>
      </c>
      <c r="Q32" s="119">
        <f>'All Custard Custom Cake - Slice'!Q32*12</f>
        <v>120</v>
      </c>
      <c r="S32" s="11"/>
      <c r="T32" s="39"/>
      <c r="U32" s="39"/>
      <c r="V32" s="39"/>
      <c r="W32" s="39"/>
      <c r="X32" s="39"/>
      <c r="Y32" s="39"/>
      <c r="Z32" s="39"/>
      <c r="AA32" s="39"/>
      <c r="AB32" s="39"/>
      <c r="AC32" s="39"/>
      <c r="AD32" s="39"/>
      <c r="AE32" s="39"/>
      <c r="AF32" s="39"/>
      <c r="AG32" s="39"/>
      <c r="AH32" s="39"/>
    </row>
    <row r="33" spans="1:34">
      <c r="A33" s="1318"/>
      <c r="B33" s="56" t="s">
        <v>148</v>
      </c>
      <c r="C33" s="103">
        <f>'All Custard Custom Cake - Slice'!C33*12</f>
        <v>693</v>
      </c>
      <c r="D33" s="104">
        <f>'All Custard Custom Cake - Slice'!D33*12</f>
        <v>56.64</v>
      </c>
      <c r="E33" s="104">
        <f>'All Custard Custom Cake - Slice'!E33*12</f>
        <v>6.24</v>
      </c>
      <c r="F33" s="104">
        <f>'All Custard Custom Cake - Slice'!F33*12</f>
        <v>6.24</v>
      </c>
      <c r="G33" s="104">
        <f>'All Custard Custom Cake - Slice'!G33*12</f>
        <v>0</v>
      </c>
      <c r="H33" s="104">
        <f>'All Custard Custom Cake - Slice'!H33*12</f>
        <v>0</v>
      </c>
      <c r="I33" s="104">
        <f>'All Custard Custom Cake - Slice'!I33*12</f>
        <v>1071</v>
      </c>
      <c r="J33" s="104">
        <f>'All Custard Custom Cake - Slice'!J33*12</f>
        <v>144.84</v>
      </c>
      <c r="K33" s="104">
        <f>'All Custard Custom Cake - Slice'!K33*12</f>
        <v>0</v>
      </c>
      <c r="L33" s="104">
        <f>'All Custard Custom Cake - Slice'!L33*12</f>
        <v>56.64</v>
      </c>
      <c r="M33" s="104">
        <f>'All Custard Custom Cake - Slice'!M33*12</f>
        <v>6.24</v>
      </c>
      <c r="N33" s="104">
        <f>'All Custard Custom Cake - Slice'!N33*12</f>
        <v>24</v>
      </c>
      <c r="O33" s="104">
        <f>'All Custard Custom Cake - Slice'!O33*12</f>
        <v>0</v>
      </c>
      <c r="P33" s="104">
        <f>'All Custard Custom Cake - Slice'!P33*12</f>
        <v>24</v>
      </c>
      <c r="Q33" s="119">
        <f>'All Custard Custom Cake - Slice'!Q33*12</f>
        <v>0</v>
      </c>
      <c r="S33" s="11"/>
      <c r="T33" s="39"/>
      <c r="U33" s="39"/>
      <c r="V33" s="39"/>
      <c r="W33" s="39"/>
      <c r="X33" s="39"/>
      <c r="Y33" s="39"/>
      <c r="Z33" s="39"/>
      <c r="AA33" s="39"/>
      <c r="AB33" s="39"/>
      <c r="AC33" s="39"/>
      <c r="AD33" s="39"/>
      <c r="AE33" s="39"/>
      <c r="AF33" s="39"/>
      <c r="AG33" s="39"/>
      <c r="AH33" s="39"/>
    </row>
    <row r="34" spans="1:34">
      <c r="A34" s="1318"/>
      <c r="B34" s="56" t="s">
        <v>306</v>
      </c>
      <c r="C34" s="103">
        <f>'All Custard Custom Cake - Slice'!C34*12</f>
        <v>540</v>
      </c>
      <c r="D34" s="104">
        <f>'All Custard Custom Cake - Slice'!D34*12</f>
        <v>0</v>
      </c>
      <c r="E34" s="104">
        <f>'All Custard Custom Cake - Slice'!E34*12</f>
        <v>0</v>
      </c>
      <c r="F34" s="104">
        <f>'All Custard Custom Cake - Slice'!F34*12</f>
        <v>0</v>
      </c>
      <c r="G34" s="104">
        <f>'All Custard Custom Cake - Slice'!G34*12</f>
        <v>0</v>
      </c>
      <c r="H34" s="104">
        <f>'All Custard Custom Cake - Slice'!H34*12</f>
        <v>0</v>
      </c>
      <c r="I34" s="104">
        <f>'All Custard Custom Cake - Slice'!I34*12</f>
        <v>0</v>
      </c>
      <c r="J34" s="104">
        <f>'All Custard Custom Cake - Slice'!J34*12</f>
        <v>120</v>
      </c>
      <c r="K34" s="104">
        <f>'All Custard Custom Cake - Slice'!K34*12</f>
        <v>0</v>
      </c>
      <c r="L34" s="104">
        <f>'All Custard Custom Cake - Slice'!L34*12</f>
        <v>72</v>
      </c>
      <c r="M34" s="104">
        <f>'All Custard Custom Cake - Slice'!M34*12</f>
        <v>9.48</v>
      </c>
      <c r="N34" s="104">
        <f>'All Custard Custom Cake - Slice'!N34*12</f>
        <v>0</v>
      </c>
      <c r="O34" s="104">
        <f>'All Custard Custom Cake - Slice'!O34*12</f>
        <v>0</v>
      </c>
      <c r="P34" s="104">
        <f>'All Custard Custom Cake - Slice'!P34*12</f>
        <v>0</v>
      </c>
      <c r="Q34" s="119">
        <f>'All Custard Custom Cake - Slice'!Q34*12</f>
        <v>0</v>
      </c>
      <c r="S34" s="11"/>
      <c r="T34" s="39"/>
      <c r="U34" s="39"/>
      <c r="V34" s="39"/>
      <c r="W34" s="39"/>
      <c r="X34" s="39"/>
      <c r="Y34" s="39"/>
      <c r="Z34" s="39"/>
      <c r="AA34" s="39"/>
      <c r="AB34" s="39"/>
      <c r="AC34" s="39"/>
      <c r="AD34" s="39"/>
      <c r="AE34" s="39"/>
      <c r="AF34" s="39"/>
      <c r="AG34" s="39"/>
      <c r="AH34" s="39"/>
    </row>
    <row r="35" spans="1:34">
      <c r="A35" s="1318"/>
      <c r="B35" s="56" t="s">
        <v>149</v>
      </c>
      <c r="C35" s="103">
        <f>'All Custard Custom Cake - Slice'!C35*12</f>
        <v>896.40000000000009</v>
      </c>
      <c r="D35" s="104">
        <f>'All Custard Custom Cake - Slice'!D35*12</f>
        <v>497.52</v>
      </c>
      <c r="E35" s="104">
        <f>'All Custard Custom Cake - Slice'!E35*12</f>
        <v>55.320000000000007</v>
      </c>
      <c r="F35" s="104">
        <f>'All Custard Custom Cake - Slice'!F35*12</f>
        <v>29.28</v>
      </c>
      <c r="G35" s="104">
        <f>'All Custard Custom Cake - Slice'!G35*12</f>
        <v>0.72</v>
      </c>
      <c r="H35" s="104">
        <f>'All Custard Custom Cake - Slice'!H35*12</f>
        <v>31.799999999999997</v>
      </c>
      <c r="I35" s="104">
        <f>'All Custard Custom Cake - Slice'!I35*12</f>
        <v>590.88</v>
      </c>
      <c r="J35" s="104">
        <f>'All Custard Custom Cake - Slice'!J35*12</f>
        <v>105.84</v>
      </c>
      <c r="K35" s="104">
        <f>'All Custard Custom Cake - Slice'!K35*12</f>
        <v>2.16</v>
      </c>
      <c r="L35" s="104">
        <f>'All Custard Custom Cake - Slice'!L35*12</f>
        <v>102</v>
      </c>
      <c r="M35" s="104">
        <f>'All Custard Custom Cake - Slice'!M35*12</f>
        <v>5.28</v>
      </c>
      <c r="N35" s="104">
        <f>'All Custard Custom Cake - Slice'!N35*12</f>
        <v>0</v>
      </c>
      <c r="O35" s="104">
        <f>'All Custard Custom Cake - Slice'!O35*12</f>
        <v>0</v>
      </c>
      <c r="P35" s="104">
        <f>'All Custard Custom Cake - Slice'!P35*12</f>
        <v>24</v>
      </c>
      <c r="Q35" s="119">
        <f>'All Custard Custom Cake - Slice'!Q35*12</f>
        <v>24</v>
      </c>
      <c r="S35" s="11"/>
      <c r="T35" s="39"/>
      <c r="U35" s="39"/>
      <c r="V35" s="39"/>
      <c r="W35" s="39"/>
      <c r="X35" s="39"/>
      <c r="Y35" s="39"/>
      <c r="Z35" s="39"/>
      <c r="AA35" s="39"/>
      <c r="AB35" s="39"/>
      <c r="AC35" s="39"/>
      <c r="AD35" s="39"/>
      <c r="AE35" s="39"/>
      <c r="AF35" s="39"/>
      <c r="AG35" s="39"/>
      <c r="AH35" s="39"/>
    </row>
    <row r="36" spans="1:34">
      <c r="A36" s="1318"/>
      <c r="B36" s="56" t="s">
        <v>150</v>
      </c>
      <c r="C36" s="103">
        <v>540</v>
      </c>
      <c r="D36" s="104">
        <v>30</v>
      </c>
      <c r="E36" s="104">
        <v>0</v>
      </c>
      <c r="F36" s="104">
        <v>0</v>
      </c>
      <c r="G36" s="104">
        <v>0</v>
      </c>
      <c r="H36" s="104">
        <v>0</v>
      </c>
      <c r="I36" s="104">
        <v>300</v>
      </c>
      <c r="J36" s="104">
        <v>126</v>
      </c>
      <c r="K36" s="104">
        <v>0</v>
      </c>
      <c r="L36" s="104">
        <v>90</v>
      </c>
      <c r="M36" s="104">
        <v>0</v>
      </c>
      <c r="N36" s="104">
        <v>0</v>
      </c>
      <c r="O36" s="104">
        <v>0</v>
      </c>
      <c r="P36" s="104">
        <v>0</v>
      </c>
      <c r="Q36" s="119">
        <v>0</v>
      </c>
      <c r="S36" s="11"/>
      <c r="T36" s="39"/>
      <c r="U36" s="39"/>
      <c r="V36" s="39"/>
      <c r="W36" s="39"/>
      <c r="X36" s="39"/>
      <c r="Y36" s="39"/>
      <c r="Z36" s="39"/>
      <c r="AA36" s="39"/>
      <c r="AB36" s="39"/>
      <c r="AC36" s="39"/>
      <c r="AD36" s="39"/>
      <c r="AE36" s="39"/>
      <c r="AF36" s="39"/>
      <c r="AG36" s="39"/>
      <c r="AH36" s="39"/>
    </row>
    <row r="37" spans="1:34">
      <c r="A37" s="1318"/>
      <c r="B37" s="56" t="s">
        <v>151</v>
      </c>
      <c r="C37" s="103">
        <v>540</v>
      </c>
      <c r="D37" s="104">
        <v>180</v>
      </c>
      <c r="E37" s="104">
        <v>21</v>
      </c>
      <c r="F37" s="104">
        <v>18</v>
      </c>
      <c r="G37" s="104">
        <v>0</v>
      </c>
      <c r="H37" s="104">
        <v>0</v>
      </c>
      <c r="I37" s="104">
        <v>270</v>
      </c>
      <c r="J37" s="104">
        <v>90</v>
      </c>
      <c r="K37" s="104">
        <v>0</v>
      </c>
      <c r="L37" s="104">
        <v>84</v>
      </c>
      <c r="M37" s="104">
        <v>6</v>
      </c>
      <c r="N37" s="104">
        <v>0</v>
      </c>
      <c r="O37" s="104">
        <v>0</v>
      </c>
      <c r="P37" s="104">
        <v>24</v>
      </c>
      <c r="Q37" s="119">
        <v>0</v>
      </c>
      <c r="S37" s="11"/>
      <c r="T37" s="39"/>
      <c r="U37" s="39"/>
      <c r="V37" s="39"/>
      <c r="W37" s="39"/>
      <c r="X37" s="39"/>
      <c r="Y37" s="39"/>
      <c r="Z37" s="39"/>
      <c r="AA37" s="39"/>
      <c r="AB37" s="39"/>
      <c r="AC37" s="39"/>
      <c r="AD37" s="39"/>
      <c r="AE37" s="39"/>
      <c r="AF37" s="39"/>
      <c r="AG37" s="39"/>
      <c r="AH37" s="39"/>
    </row>
    <row r="38" spans="1:34">
      <c r="A38" s="1318"/>
      <c r="B38" s="56" t="s">
        <v>535</v>
      </c>
      <c r="C38" s="103">
        <f>'All Custard Custom Cake - Slice'!C38*12</f>
        <v>734.40000000000009</v>
      </c>
      <c r="D38" s="104">
        <f>'All Custard Custom Cake - Slice'!D38*12</f>
        <v>162.12</v>
      </c>
      <c r="E38" s="104">
        <f>'All Custard Custom Cake - Slice'!E38*12</f>
        <v>18</v>
      </c>
      <c r="F38" s="104">
        <f>'All Custard Custom Cake - Slice'!F38*12</f>
        <v>10.44</v>
      </c>
      <c r="G38" s="104">
        <f>'All Custard Custom Cake - Slice'!G38*12</f>
        <v>0</v>
      </c>
      <c r="H38" s="104">
        <f>'All Custard Custom Cake - Slice'!H38*12</f>
        <v>0.12</v>
      </c>
      <c r="I38" s="104">
        <f>'All Custard Custom Cake - Slice'!I38*12</f>
        <v>375.6</v>
      </c>
      <c r="J38" s="104">
        <f>'All Custard Custom Cake - Slice'!J38*12</f>
        <v>146.88</v>
      </c>
      <c r="K38" s="104">
        <f>'All Custard Custom Cake - Slice'!K38*12</f>
        <v>0.12</v>
      </c>
      <c r="L38" s="104">
        <f>'All Custard Custom Cake - Slice'!L38*12</f>
        <v>121.19999999999999</v>
      </c>
      <c r="M38" s="104">
        <f>'All Custard Custom Cake - Slice'!M38*12</f>
        <v>0</v>
      </c>
      <c r="N38" s="104">
        <f>'All Custard Custom Cake - Slice'!N38*12</f>
        <v>24</v>
      </c>
      <c r="O38" s="104">
        <f>'All Custard Custom Cake - Slice'!O38*12</f>
        <v>0</v>
      </c>
      <c r="P38" s="104">
        <f>'All Custard Custom Cake - Slice'!P38*12</f>
        <v>24</v>
      </c>
      <c r="Q38" s="119">
        <f>'All Custard Custom Cake - Slice'!Q38*12</f>
        <v>48</v>
      </c>
      <c r="S38" s="11"/>
      <c r="T38" s="39"/>
      <c r="U38" s="39"/>
      <c r="V38" s="39"/>
      <c r="W38" s="39"/>
      <c r="X38" s="39"/>
      <c r="Y38" s="39"/>
      <c r="Z38" s="39"/>
      <c r="AA38" s="39"/>
      <c r="AB38" s="39"/>
      <c r="AC38" s="39"/>
      <c r="AD38" s="39"/>
      <c r="AE38" s="39"/>
      <c r="AF38" s="39"/>
      <c r="AG38" s="39"/>
      <c r="AH38" s="39"/>
    </row>
    <row r="39" spans="1:34">
      <c r="A39" s="1318"/>
      <c r="B39" s="56" t="s">
        <v>152</v>
      </c>
      <c r="C39" s="103">
        <f>'All Custard Custom Cake - Slice'!C39*12</f>
        <v>840</v>
      </c>
      <c r="D39" s="104">
        <f>'All Custard Custom Cake - Slice'!D39*12</f>
        <v>300</v>
      </c>
      <c r="E39" s="104">
        <f>'All Custard Custom Cake - Slice'!E39*12</f>
        <v>36</v>
      </c>
      <c r="F39" s="104">
        <f>'All Custard Custom Cake - Slice'!F39*12</f>
        <v>24</v>
      </c>
      <c r="G39" s="104">
        <f>'All Custard Custom Cake - Slice'!G39*12</f>
        <v>0</v>
      </c>
      <c r="H39" s="104">
        <f>'All Custard Custom Cake - Slice'!H39*12</f>
        <v>0</v>
      </c>
      <c r="I39" s="104">
        <f>'All Custard Custom Cake - Slice'!I39*12</f>
        <v>120</v>
      </c>
      <c r="J39" s="104">
        <f>'All Custard Custom Cake - Slice'!J39*12</f>
        <v>120</v>
      </c>
      <c r="K39" s="104">
        <f>'All Custard Custom Cake - Slice'!K39*12</f>
        <v>0</v>
      </c>
      <c r="L39" s="104">
        <f>'All Custard Custom Cake - Slice'!L39*12</f>
        <v>108</v>
      </c>
      <c r="M39" s="104">
        <f>'All Custard Custom Cake - Slice'!M39*12</f>
        <v>12</v>
      </c>
      <c r="N39" s="104">
        <f>'All Custard Custom Cake - Slice'!N39*12</f>
        <v>0</v>
      </c>
      <c r="O39" s="104">
        <f>'All Custard Custom Cake - Slice'!O39*12</f>
        <v>0</v>
      </c>
      <c r="P39" s="104">
        <f>'All Custard Custom Cake - Slice'!P39*12</f>
        <v>24</v>
      </c>
      <c r="Q39" s="119">
        <f>'All Custard Custom Cake - Slice'!Q39*12</f>
        <v>24</v>
      </c>
      <c r="S39" s="11"/>
      <c r="T39" s="39"/>
      <c r="U39" s="39"/>
      <c r="V39" s="39"/>
      <c r="W39" s="39"/>
      <c r="X39" s="39"/>
      <c r="Y39" s="39"/>
      <c r="Z39" s="39"/>
      <c r="AA39" s="39"/>
      <c r="AB39" s="39"/>
      <c r="AC39" s="39"/>
      <c r="AD39" s="39"/>
      <c r="AE39" s="39"/>
      <c r="AF39" s="39"/>
      <c r="AG39" s="39"/>
      <c r="AH39" s="39"/>
    </row>
    <row r="40" spans="1:34">
      <c r="A40" s="1318"/>
      <c r="B40" s="56" t="s">
        <v>422</v>
      </c>
      <c r="C40" s="103">
        <f>'All Custard Custom Cake - Slice'!C40*12</f>
        <v>340.20000000000005</v>
      </c>
      <c r="D40" s="104">
        <f>'All Custard Custom Cake - Slice'!D40*12</f>
        <v>0</v>
      </c>
      <c r="E40" s="104">
        <f>'All Custard Custom Cake - Slice'!E40*12</f>
        <v>0</v>
      </c>
      <c r="F40" s="104">
        <f>'All Custard Custom Cake - Slice'!F40*12</f>
        <v>0</v>
      </c>
      <c r="G40" s="104">
        <f>'All Custard Custom Cake - Slice'!G40*12</f>
        <v>0</v>
      </c>
      <c r="H40" s="104">
        <f>'All Custard Custom Cake - Slice'!H40*12</f>
        <v>0</v>
      </c>
      <c r="I40" s="104">
        <f>'All Custard Custom Cake - Slice'!I40*12</f>
        <v>0</v>
      </c>
      <c r="J40" s="104">
        <f>'All Custard Custom Cake - Slice'!J40*12</f>
        <v>68.039999999999992</v>
      </c>
      <c r="K40" s="104">
        <f>'All Custard Custom Cake - Slice'!K40*12</f>
        <v>0</v>
      </c>
      <c r="L40" s="104">
        <f>'All Custard Custom Cake - Slice'!L40*12</f>
        <v>33.96</v>
      </c>
      <c r="M40" s="104">
        <f>'All Custard Custom Cake - Slice'!M40*12</f>
        <v>0</v>
      </c>
      <c r="N40" s="104">
        <f>'All Custard Custom Cake - Slice'!N40*12</f>
        <v>0</v>
      </c>
      <c r="O40" s="104">
        <f>'All Custard Custom Cake - Slice'!O40*12</f>
        <v>0</v>
      </c>
      <c r="P40" s="104">
        <f>'All Custard Custom Cake - Slice'!P40*12</f>
        <v>0</v>
      </c>
      <c r="Q40" s="119">
        <f>'All Custard Custom Cake - Slice'!Q40*12</f>
        <v>0</v>
      </c>
      <c r="S40" s="11"/>
      <c r="T40" s="39"/>
      <c r="U40" s="39"/>
      <c r="V40" s="39"/>
      <c r="W40" s="39"/>
      <c r="X40" s="39"/>
      <c r="Y40" s="39"/>
      <c r="Z40" s="39"/>
      <c r="AA40" s="39"/>
      <c r="AB40" s="39"/>
      <c r="AC40" s="39"/>
      <c r="AD40" s="39"/>
      <c r="AE40" s="39"/>
      <c r="AF40" s="39"/>
      <c r="AG40" s="39"/>
      <c r="AH40" s="39"/>
    </row>
    <row r="41" spans="1:34">
      <c r="A41" s="1318"/>
      <c r="B41" s="56" t="s">
        <v>536</v>
      </c>
      <c r="C41" s="103">
        <f>'All Custard Custom Cake - Slice'!C41*12</f>
        <v>821.16000000000008</v>
      </c>
      <c r="D41" s="104">
        <f>'All Custard Custom Cake - Slice'!D41*12</f>
        <v>316.68</v>
      </c>
      <c r="E41" s="104">
        <f>'All Custard Custom Cake - Slice'!E41*12</f>
        <v>35.160000000000004</v>
      </c>
      <c r="F41" s="104">
        <f>'All Custard Custom Cake - Slice'!F41*12</f>
        <v>11.76</v>
      </c>
      <c r="G41" s="104">
        <f>'All Custard Custom Cake - Slice'!G41*12</f>
        <v>0.84000000000000008</v>
      </c>
      <c r="H41" s="104">
        <f>'All Custard Custom Cake - Slice'!H41*12</f>
        <v>0</v>
      </c>
      <c r="I41" s="104">
        <f>'All Custard Custom Cake - Slice'!I41*12</f>
        <v>674.52</v>
      </c>
      <c r="J41" s="104">
        <f>'All Custard Custom Cake - Slice'!J41*12</f>
        <v>123.12</v>
      </c>
      <c r="K41" s="104">
        <f>'All Custard Custom Cake - Slice'!K41*12</f>
        <v>5.88</v>
      </c>
      <c r="L41" s="104">
        <f>'All Custard Custom Cake - Slice'!L41*12</f>
        <v>70.44</v>
      </c>
      <c r="M41" s="104">
        <f>'All Custard Custom Cake - Slice'!M41*12</f>
        <v>5.88</v>
      </c>
      <c r="N41" s="104">
        <f>'All Custard Custom Cake - Slice'!N41*12</f>
        <v>0</v>
      </c>
      <c r="O41" s="104">
        <f>'All Custard Custom Cake - Slice'!O41*12</f>
        <v>0</v>
      </c>
      <c r="P41" s="104">
        <f>'All Custard Custom Cake - Slice'!P41*12</f>
        <v>0</v>
      </c>
      <c r="Q41" s="119">
        <f>'All Custard Custom Cake - Slice'!Q41*12</f>
        <v>48</v>
      </c>
      <c r="S41" s="11"/>
      <c r="T41" s="39"/>
      <c r="U41" s="39"/>
      <c r="V41" s="39"/>
      <c r="W41" s="39"/>
      <c r="X41" s="39"/>
      <c r="Y41" s="39"/>
      <c r="Z41" s="39"/>
      <c r="AA41" s="39"/>
      <c r="AB41" s="39"/>
      <c r="AC41" s="39"/>
      <c r="AD41" s="39"/>
      <c r="AE41" s="39"/>
      <c r="AF41" s="39"/>
      <c r="AG41" s="39"/>
      <c r="AH41" s="39"/>
    </row>
    <row r="42" spans="1:34">
      <c r="A42" s="1318"/>
      <c r="B42" s="56" t="s">
        <v>154</v>
      </c>
      <c r="C42" s="103">
        <f>'All Custard Custom Cake - Slice'!C42*12</f>
        <v>637.91999999999996</v>
      </c>
      <c r="D42" s="104">
        <f>'All Custard Custom Cake - Slice'!D42*12</f>
        <v>0</v>
      </c>
      <c r="E42" s="104">
        <f>'All Custard Custom Cake - Slice'!E42*12</f>
        <v>0</v>
      </c>
      <c r="F42" s="104">
        <f>'All Custard Custom Cake - Slice'!F42*12</f>
        <v>0</v>
      </c>
      <c r="G42" s="104">
        <f>'All Custard Custom Cake - Slice'!G42*12</f>
        <v>0</v>
      </c>
      <c r="H42" s="104">
        <f>'All Custard Custom Cake - Slice'!H42*12</f>
        <v>0</v>
      </c>
      <c r="I42" s="104">
        <f>'All Custard Custom Cake - Slice'!I42*12</f>
        <v>12.48</v>
      </c>
      <c r="J42" s="104">
        <f>'All Custard Custom Cake - Slice'!J42*12</f>
        <v>159.24</v>
      </c>
      <c r="K42" s="104">
        <f>'All Custard Custom Cake - Slice'!K42*12</f>
        <v>0</v>
      </c>
      <c r="L42" s="104">
        <f>'All Custard Custom Cake - Slice'!L42*12</f>
        <v>156</v>
      </c>
      <c r="M42" s="104">
        <f>'All Custard Custom Cake - Slice'!M42*12</f>
        <v>0</v>
      </c>
      <c r="N42" s="104">
        <f>'All Custard Custom Cake - Slice'!N42*12</f>
        <v>0</v>
      </c>
      <c r="O42" s="104">
        <f>'All Custard Custom Cake - Slice'!O42*12</f>
        <v>0</v>
      </c>
      <c r="P42" s="104">
        <f>'All Custard Custom Cake - Slice'!P42*12</f>
        <v>0</v>
      </c>
      <c r="Q42" s="119">
        <f>'All Custard Custom Cake - Slice'!Q42*12</f>
        <v>96</v>
      </c>
      <c r="S42" s="11"/>
      <c r="T42" s="39"/>
      <c r="U42" s="39"/>
      <c r="V42" s="39"/>
      <c r="W42" s="39"/>
      <c r="X42" s="39"/>
      <c r="Y42" s="39"/>
      <c r="Z42" s="39"/>
      <c r="AA42" s="39"/>
      <c r="AB42" s="39"/>
      <c r="AC42" s="39"/>
      <c r="AD42" s="39"/>
      <c r="AE42" s="39"/>
      <c r="AF42" s="39"/>
      <c r="AG42" s="39"/>
      <c r="AH42" s="39"/>
    </row>
    <row r="43" spans="1:34">
      <c r="A43" s="1318"/>
      <c r="B43" s="56" t="s">
        <v>155</v>
      </c>
      <c r="C43" s="103">
        <f>'All Custard Custom Cake - Slice'!C43*12</f>
        <v>737.04</v>
      </c>
      <c r="D43" s="104">
        <f>'All Custard Custom Cake - Slice'!D43*12</f>
        <v>163.32</v>
      </c>
      <c r="E43" s="104">
        <f>'All Custard Custom Cake - Slice'!E43*12</f>
        <v>18.12</v>
      </c>
      <c r="F43" s="104">
        <f>'All Custard Custom Cake - Slice'!F43*12</f>
        <v>8.879999999999999</v>
      </c>
      <c r="G43" s="104">
        <f>'All Custard Custom Cake - Slice'!G43*12</f>
        <v>0</v>
      </c>
      <c r="H43" s="104">
        <f>'All Custard Custom Cake - Slice'!H43*12</f>
        <v>14.76</v>
      </c>
      <c r="I43" s="104">
        <f>'All Custard Custom Cake - Slice'!I43*12</f>
        <v>911.40000000000009</v>
      </c>
      <c r="J43" s="104">
        <f>'All Custard Custom Cake - Slice'!J43*12</f>
        <v>134.88</v>
      </c>
      <c r="K43" s="104">
        <f>'All Custard Custom Cake - Slice'!K43*12</f>
        <v>2.52</v>
      </c>
      <c r="L43" s="104">
        <f>'All Custard Custom Cake - Slice'!L43*12</f>
        <v>62.04</v>
      </c>
      <c r="M43" s="104">
        <f>'All Custard Custom Cake - Slice'!M43*12</f>
        <v>8.64</v>
      </c>
      <c r="N43" s="104">
        <f>'All Custard Custom Cake - Slice'!N43*12</f>
        <v>0</v>
      </c>
      <c r="O43" s="104">
        <f>'All Custard Custom Cake - Slice'!O43*12</f>
        <v>0</v>
      </c>
      <c r="P43" s="104">
        <f>'All Custard Custom Cake - Slice'!P43*12</f>
        <v>24</v>
      </c>
      <c r="Q43" s="119">
        <f>'All Custard Custom Cake - Slice'!Q43*12</f>
        <v>72</v>
      </c>
      <c r="S43" s="11"/>
      <c r="T43" s="39"/>
      <c r="U43" s="39"/>
      <c r="V43" s="39"/>
      <c r="W43" s="39"/>
      <c r="X43" s="39"/>
      <c r="Y43" s="39"/>
      <c r="Z43" s="39"/>
      <c r="AA43" s="39"/>
      <c r="AB43" s="39"/>
      <c r="AC43" s="39"/>
      <c r="AD43" s="39"/>
      <c r="AE43" s="39"/>
      <c r="AF43" s="39"/>
      <c r="AG43" s="39"/>
      <c r="AH43" s="39"/>
    </row>
    <row r="44" spans="1:34">
      <c r="A44" s="1318"/>
      <c r="B44" s="56" t="s">
        <v>156</v>
      </c>
      <c r="C44" s="103">
        <f>'All Custard Custom Cake - Slice'!C44*12</f>
        <v>819</v>
      </c>
      <c r="D44" s="104">
        <f>'All Custard Custom Cake - Slice'!D44*12</f>
        <v>283.44</v>
      </c>
      <c r="E44" s="104">
        <f>'All Custard Custom Cake - Slice'!E44*12</f>
        <v>31.44</v>
      </c>
      <c r="F44" s="104">
        <f>'All Custard Custom Cake - Slice'!F44*12</f>
        <v>9.48</v>
      </c>
      <c r="G44" s="104">
        <f>'All Custard Custom Cake - Slice'!G44*12</f>
        <v>0</v>
      </c>
      <c r="H44" s="104">
        <f>'All Custard Custom Cake - Slice'!H44*12</f>
        <v>0</v>
      </c>
      <c r="I44" s="104">
        <f>'All Custard Custom Cake - Slice'!I44*12</f>
        <v>945</v>
      </c>
      <c r="J44" s="104">
        <f>'All Custard Custom Cake - Slice'!J44*12</f>
        <v>119.64000000000001</v>
      </c>
      <c r="K44" s="104">
        <f>'All Custard Custom Cake - Slice'!K44*12</f>
        <v>6.24</v>
      </c>
      <c r="L44" s="104">
        <f>'All Custard Custom Cake - Slice'!L44*12</f>
        <v>69.239999999999995</v>
      </c>
      <c r="M44" s="104">
        <f>'All Custard Custom Cake - Slice'!M44*12</f>
        <v>6.24</v>
      </c>
      <c r="N44" s="104">
        <f>'All Custard Custom Cake - Slice'!N44*12</f>
        <v>0</v>
      </c>
      <c r="O44" s="104">
        <f>'All Custard Custom Cake - Slice'!O44*12</f>
        <v>0</v>
      </c>
      <c r="P44" s="104">
        <f>'All Custard Custom Cake - Slice'!P44*12</f>
        <v>24</v>
      </c>
      <c r="Q44" s="119">
        <f>'All Custard Custom Cake - Slice'!Q44*12</f>
        <v>24</v>
      </c>
      <c r="S44" s="11"/>
      <c r="T44" s="39"/>
      <c r="U44" s="39"/>
      <c r="V44" s="39"/>
      <c r="W44" s="39"/>
      <c r="X44" s="39"/>
      <c r="Y44" s="39"/>
      <c r="Z44" s="39"/>
      <c r="AA44" s="39"/>
      <c r="AB44" s="39"/>
      <c r="AC44" s="39"/>
      <c r="AD44" s="39"/>
      <c r="AE44" s="39"/>
      <c r="AF44" s="39"/>
      <c r="AG44" s="39"/>
      <c r="AH44" s="39"/>
    </row>
    <row r="45" spans="1:34">
      <c r="A45" s="1318"/>
      <c r="B45" s="56" t="s">
        <v>157</v>
      </c>
      <c r="C45" s="103">
        <f>'All Custard Custom Cake - Slice'!C45*12</f>
        <v>857.28</v>
      </c>
      <c r="D45" s="104">
        <f>'All Custard Custom Cake - Slice'!D45*12</f>
        <v>462.36</v>
      </c>
      <c r="E45" s="104">
        <f>'All Custard Custom Cake - Slice'!E45*12</f>
        <v>51.36</v>
      </c>
      <c r="F45" s="104">
        <f>'All Custard Custom Cake - Slice'!F45*12</f>
        <v>17.52</v>
      </c>
      <c r="G45" s="104">
        <f>'All Custard Custom Cake - Slice'!G45*12</f>
        <v>0.12</v>
      </c>
      <c r="H45" s="104">
        <f>'All Custard Custom Cake - Slice'!H45*12</f>
        <v>11.52</v>
      </c>
      <c r="I45" s="104">
        <f>'All Custard Custom Cake - Slice'!I45*12</f>
        <v>658.08</v>
      </c>
      <c r="J45" s="104">
        <f>'All Custard Custom Cake - Slice'!J45*12</f>
        <v>93.72</v>
      </c>
      <c r="K45" s="104">
        <f>'All Custard Custom Cake - Slice'!K45*12</f>
        <v>6.6000000000000005</v>
      </c>
      <c r="L45" s="104">
        <f>'All Custard Custom Cake - Slice'!L45*12</f>
        <v>80.760000000000005</v>
      </c>
      <c r="M45" s="104">
        <f>'All Custard Custom Cake - Slice'!M45*12</f>
        <v>19.559999999999999</v>
      </c>
      <c r="N45" s="104">
        <f>'All Custard Custom Cake - Slice'!N45*12</f>
        <v>0</v>
      </c>
      <c r="O45" s="104">
        <f>'All Custard Custom Cake - Slice'!O45*12</f>
        <v>0</v>
      </c>
      <c r="P45" s="104">
        <f>'All Custard Custom Cake - Slice'!P45*12</f>
        <v>24</v>
      </c>
      <c r="Q45" s="119">
        <f>'All Custard Custom Cake - Slice'!Q45*12</f>
        <v>72</v>
      </c>
      <c r="S45" s="11"/>
      <c r="T45" s="39"/>
      <c r="U45" s="39"/>
      <c r="V45" s="39"/>
      <c r="W45" s="39"/>
      <c r="X45" s="39"/>
      <c r="Y45" s="39"/>
      <c r="Z45" s="39"/>
      <c r="AA45" s="39"/>
      <c r="AB45" s="39"/>
      <c r="AC45" s="39"/>
      <c r="AD45" s="39"/>
      <c r="AE45" s="39"/>
      <c r="AF45" s="39"/>
      <c r="AG45" s="39"/>
      <c r="AH45" s="39"/>
    </row>
    <row r="46" spans="1:34">
      <c r="A46" s="1318"/>
      <c r="B46" s="56" t="s">
        <v>158</v>
      </c>
      <c r="C46" s="103">
        <f>'All Custard Custom Cake - Slice'!C46*12</f>
        <v>1097.1600000000001</v>
      </c>
      <c r="D46" s="104">
        <f>'All Custard Custom Cake - Slice'!D46*12</f>
        <v>902.87999999999988</v>
      </c>
      <c r="E46" s="104">
        <f>'All Custard Custom Cake - Slice'!E46*12</f>
        <v>100.32</v>
      </c>
      <c r="F46" s="104">
        <f>'All Custard Custom Cake - Slice'!F46*12</f>
        <v>16.68</v>
      </c>
      <c r="G46" s="104">
        <f>'All Custard Custom Cake - Slice'!G46*12</f>
        <v>0</v>
      </c>
      <c r="H46" s="104">
        <f>'All Custard Custom Cake - Slice'!H46*12</f>
        <v>0</v>
      </c>
      <c r="I46" s="104">
        <f>'All Custard Custom Cake - Slice'!I46*12</f>
        <v>743.28</v>
      </c>
      <c r="J46" s="104">
        <f>'All Custard Custom Cake - Slice'!J46*12</f>
        <v>31.32</v>
      </c>
      <c r="K46" s="104">
        <f>'All Custard Custom Cake - Slice'!K46*12</f>
        <v>10.92</v>
      </c>
      <c r="L46" s="104">
        <f>'All Custard Custom Cake - Slice'!L46*12</f>
        <v>15.72</v>
      </c>
      <c r="M46" s="104">
        <f>'All Custard Custom Cake - Slice'!M46*12</f>
        <v>33</v>
      </c>
      <c r="N46" s="104">
        <f>'All Custard Custom Cake - Slice'!N46*12</f>
        <v>0</v>
      </c>
      <c r="O46" s="104">
        <f>'All Custard Custom Cake - Slice'!O46*12</f>
        <v>0</v>
      </c>
      <c r="P46" s="104">
        <f>'All Custard Custom Cake - Slice'!P46*12</f>
        <v>24</v>
      </c>
      <c r="Q46" s="119">
        <f>'All Custard Custom Cake - Slice'!Q46*12</f>
        <v>0</v>
      </c>
      <c r="S46" s="11"/>
      <c r="T46" s="39"/>
      <c r="U46" s="39"/>
      <c r="V46" s="39"/>
      <c r="W46" s="39"/>
      <c r="X46" s="39"/>
      <c r="Y46" s="39"/>
      <c r="Z46" s="39"/>
      <c r="AA46" s="39"/>
      <c r="AB46" s="39"/>
      <c r="AC46" s="39"/>
      <c r="AD46" s="39"/>
      <c r="AE46" s="39"/>
      <c r="AF46" s="39"/>
      <c r="AG46" s="39"/>
      <c r="AH46" s="39"/>
    </row>
    <row r="47" spans="1:34">
      <c r="A47" s="1318"/>
      <c r="B47" s="56" t="s">
        <v>537</v>
      </c>
      <c r="C47" s="103">
        <f>'All Custard Custom Cake - Slice'!C47*12</f>
        <v>864.12000000000012</v>
      </c>
      <c r="D47" s="104">
        <f>'All Custard Custom Cake - Slice'!D47*12</f>
        <v>369.12</v>
      </c>
      <c r="E47" s="104">
        <f>'All Custard Custom Cake - Slice'!E47*12</f>
        <v>41.04</v>
      </c>
      <c r="F47" s="104">
        <f>'All Custard Custom Cake - Slice'!F47*12</f>
        <v>27.48</v>
      </c>
      <c r="G47" s="104">
        <f>'All Custard Custom Cake - Slice'!G47*12</f>
        <v>0.36</v>
      </c>
      <c r="H47" s="104">
        <f>'All Custard Custom Cake - Slice'!H47*12</f>
        <v>0</v>
      </c>
      <c r="I47" s="104">
        <f>'All Custard Custom Cake - Slice'!I47*12</f>
        <v>332.88</v>
      </c>
      <c r="J47" s="104">
        <f>'All Custard Custom Cake - Slice'!J47*12</f>
        <v>105.12</v>
      </c>
      <c r="K47" s="104">
        <f>'All Custard Custom Cake - Slice'!K47*12</f>
        <v>4.5600000000000005</v>
      </c>
      <c r="L47" s="104">
        <f>'All Custard Custom Cake - Slice'!L47*12</f>
        <v>93.6</v>
      </c>
      <c r="M47" s="104">
        <f>'All Custard Custom Cake - Slice'!M47*12</f>
        <v>18.72</v>
      </c>
      <c r="N47" s="104">
        <f>'All Custard Custom Cake - Slice'!N47*12</f>
        <v>0</v>
      </c>
      <c r="O47" s="104">
        <f>'All Custard Custom Cake - Slice'!O47*12</f>
        <v>0</v>
      </c>
      <c r="P47" s="104">
        <f>'All Custard Custom Cake - Slice'!P47*12</f>
        <v>24</v>
      </c>
      <c r="Q47" s="119">
        <f>'All Custard Custom Cake - Slice'!Q47*12</f>
        <v>24</v>
      </c>
      <c r="S47" s="11"/>
      <c r="T47" s="39"/>
      <c r="U47" s="39"/>
      <c r="V47" s="39"/>
      <c r="W47" s="39"/>
      <c r="X47" s="39"/>
      <c r="Y47" s="39"/>
      <c r="Z47" s="39"/>
      <c r="AA47" s="39"/>
      <c r="AB47" s="39"/>
      <c r="AC47" s="39"/>
      <c r="AD47" s="39"/>
      <c r="AE47" s="39"/>
      <c r="AF47" s="39"/>
      <c r="AG47" s="39"/>
      <c r="AH47" s="39"/>
    </row>
    <row r="48" spans="1:34">
      <c r="A48" s="1318"/>
      <c r="B48" s="56" t="s">
        <v>159</v>
      </c>
      <c r="C48" s="103">
        <f>'All Custard Custom Cake - Slice'!C48*12</f>
        <v>840</v>
      </c>
      <c r="D48" s="104">
        <f>'All Custard Custom Cake - Slice'!D48*12</f>
        <v>360</v>
      </c>
      <c r="E48" s="104">
        <f>'All Custard Custom Cake - Slice'!E48*12</f>
        <v>36</v>
      </c>
      <c r="F48" s="104">
        <f>'All Custard Custom Cake - Slice'!F48*12</f>
        <v>12</v>
      </c>
      <c r="G48" s="104">
        <f>'All Custard Custom Cake - Slice'!G48*12</f>
        <v>0</v>
      </c>
      <c r="H48" s="104">
        <f>'All Custard Custom Cake - Slice'!H48*12</f>
        <v>0</v>
      </c>
      <c r="I48" s="104">
        <f>'All Custard Custom Cake - Slice'!I48*12</f>
        <v>420</v>
      </c>
      <c r="J48" s="104">
        <f>'All Custard Custom Cake - Slice'!J48*12</f>
        <v>108</v>
      </c>
      <c r="K48" s="104">
        <f>'All Custard Custom Cake - Slice'!K48*12</f>
        <v>3.7199999999999998</v>
      </c>
      <c r="L48" s="104">
        <f>'All Custard Custom Cake - Slice'!L48*12</f>
        <v>84</v>
      </c>
      <c r="M48" s="104">
        <f>'All Custard Custom Cake - Slice'!M48*12</f>
        <v>12</v>
      </c>
      <c r="N48" s="104">
        <f>'All Custard Custom Cake - Slice'!N48*12</f>
        <v>0</v>
      </c>
      <c r="O48" s="104">
        <f>'All Custard Custom Cake - Slice'!O48*12</f>
        <v>0</v>
      </c>
      <c r="P48" s="104">
        <f>'All Custard Custom Cake - Slice'!P48*12</f>
        <v>24</v>
      </c>
      <c r="Q48" s="119">
        <f>'All Custard Custom Cake - Slice'!Q48*12</f>
        <v>0</v>
      </c>
      <c r="S48" s="11"/>
      <c r="T48" s="39"/>
      <c r="U48" s="39"/>
      <c r="V48" s="39"/>
      <c r="W48" s="39"/>
      <c r="X48" s="39"/>
      <c r="Y48" s="39"/>
      <c r="Z48" s="39"/>
      <c r="AA48" s="39"/>
      <c r="AB48" s="39"/>
      <c r="AC48" s="39"/>
      <c r="AD48" s="39"/>
      <c r="AE48" s="39"/>
      <c r="AF48" s="39"/>
      <c r="AG48" s="39"/>
      <c r="AH48" s="39"/>
    </row>
    <row r="49" spans="1:34">
      <c r="A49" s="1318"/>
      <c r="B49" s="56" t="s">
        <v>160</v>
      </c>
      <c r="C49" s="103">
        <f>'All Custard Custom Cake - Slice'!C49*12</f>
        <v>825.83999999999992</v>
      </c>
      <c r="D49" s="104">
        <f>'All Custard Custom Cake - Slice'!D49*12</f>
        <v>329.15999999999997</v>
      </c>
      <c r="E49" s="104">
        <f>'All Custard Custom Cake - Slice'!E49*12</f>
        <v>36.599999999999994</v>
      </c>
      <c r="F49" s="104">
        <f>'All Custard Custom Cake - Slice'!F49*12</f>
        <v>31.44</v>
      </c>
      <c r="G49" s="104">
        <f>'All Custard Custom Cake - Slice'!G49*12</f>
        <v>0.36</v>
      </c>
      <c r="H49" s="104">
        <f>'All Custard Custom Cake - Slice'!H49*12</f>
        <v>0.12</v>
      </c>
      <c r="I49" s="104">
        <f>'All Custard Custom Cake - Slice'!I49*12</f>
        <v>169.92000000000002</v>
      </c>
      <c r="J49" s="104">
        <f>'All Custard Custom Cake - Slice'!J49*12</f>
        <v>119.03999999999999</v>
      </c>
      <c r="K49" s="104">
        <f>'All Custard Custom Cake - Slice'!K49*12</f>
        <v>6.24</v>
      </c>
      <c r="L49" s="104">
        <f>'All Custard Custom Cake - Slice'!L49*12</f>
        <v>60.84</v>
      </c>
      <c r="M49" s="104">
        <f>'All Custard Custom Cake - Slice'!M49*12</f>
        <v>5.16</v>
      </c>
      <c r="N49" s="104">
        <f>'All Custard Custom Cake - Slice'!N49*12</f>
        <v>0</v>
      </c>
      <c r="O49" s="104">
        <f>'All Custard Custom Cake - Slice'!O49*12</f>
        <v>0</v>
      </c>
      <c r="P49" s="104">
        <f>'All Custard Custom Cake - Slice'!P49*12</f>
        <v>0</v>
      </c>
      <c r="Q49" s="119">
        <f>'All Custard Custom Cake - Slice'!Q49*12</f>
        <v>0</v>
      </c>
      <c r="S49" s="11"/>
      <c r="T49" s="39"/>
      <c r="U49" s="39"/>
      <c r="V49" s="39"/>
      <c r="W49" s="39"/>
      <c r="X49" s="39"/>
      <c r="Y49" s="39"/>
      <c r="Z49" s="39"/>
      <c r="AA49" s="39"/>
      <c r="AB49" s="39"/>
      <c r="AC49" s="39"/>
      <c r="AD49" s="39"/>
      <c r="AE49" s="39"/>
      <c r="AF49" s="39"/>
      <c r="AG49" s="39"/>
      <c r="AH49" s="39"/>
    </row>
    <row r="50" spans="1:34">
      <c r="A50" s="1318"/>
      <c r="B50" s="56" t="s">
        <v>161</v>
      </c>
      <c r="C50" s="103">
        <f>'All Custard Custom Cake - Slice'!C50*12</f>
        <v>807.83999999999992</v>
      </c>
      <c r="D50" s="104">
        <f>'All Custard Custom Cake - Slice'!D50*12</f>
        <v>289.32</v>
      </c>
      <c r="E50" s="104">
        <f>'All Custard Custom Cake - Slice'!E50*12</f>
        <v>32.160000000000004</v>
      </c>
      <c r="F50" s="104">
        <f>'All Custard Custom Cake - Slice'!F50*12</f>
        <v>27.240000000000002</v>
      </c>
      <c r="G50" s="104">
        <f>'All Custard Custom Cake - Slice'!G50*12</f>
        <v>0.24</v>
      </c>
      <c r="H50" s="104">
        <f>'All Custard Custom Cake - Slice'!H50*12</f>
        <v>0.84000000000000008</v>
      </c>
      <c r="I50" s="104">
        <f>'All Custard Custom Cake - Slice'!I50*12</f>
        <v>14.399999999999999</v>
      </c>
      <c r="J50" s="104">
        <f>'All Custard Custom Cake - Slice'!J50*12</f>
        <v>134.16</v>
      </c>
      <c r="K50" s="104">
        <f>'All Custard Custom Cake - Slice'!K50*12</f>
        <v>0.36</v>
      </c>
      <c r="L50" s="104">
        <f>'All Custard Custom Cake - Slice'!L50*12</f>
        <v>81.84</v>
      </c>
      <c r="M50" s="104">
        <f>'All Custard Custom Cake - Slice'!M50*12</f>
        <v>0</v>
      </c>
      <c r="N50" s="104">
        <f>'All Custard Custom Cake - Slice'!N50*12</f>
        <v>0</v>
      </c>
      <c r="O50" s="104">
        <f>'All Custard Custom Cake - Slice'!O50*12</f>
        <v>120</v>
      </c>
      <c r="P50" s="104">
        <f>'All Custard Custom Cake - Slice'!P50*12</f>
        <v>0</v>
      </c>
      <c r="Q50" s="119">
        <f>'All Custard Custom Cake - Slice'!Q50*12</f>
        <v>0</v>
      </c>
      <c r="S50" s="11"/>
      <c r="T50" s="39"/>
      <c r="U50" s="39"/>
      <c r="V50" s="39"/>
      <c r="W50" s="39"/>
      <c r="X50" s="39"/>
      <c r="Y50" s="39"/>
      <c r="Z50" s="39"/>
      <c r="AA50" s="39"/>
      <c r="AB50" s="39"/>
      <c r="AC50" s="39"/>
      <c r="AD50" s="39"/>
      <c r="AE50" s="39"/>
      <c r="AF50" s="39"/>
      <c r="AG50" s="39"/>
      <c r="AH50" s="39"/>
    </row>
    <row r="51" spans="1:34">
      <c r="A51" s="1318"/>
      <c r="B51" s="56" t="s">
        <v>162</v>
      </c>
      <c r="C51" s="103">
        <f>'All Custard Custom Cake - Slice'!C51*12</f>
        <v>227.28000000000003</v>
      </c>
      <c r="D51" s="104">
        <f>'All Custard Custom Cake - Slice'!D51*12</f>
        <v>0.96</v>
      </c>
      <c r="E51" s="104">
        <f>'All Custard Custom Cake - Slice'!E51*12</f>
        <v>0.12</v>
      </c>
      <c r="F51" s="104">
        <f>'All Custard Custom Cake - Slice'!F51*12</f>
        <v>0</v>
      </c>
      <c r="G51" s="104">
        <f>'All Custard Custom Cake - Slice'!G51*12</f>
        <v>0</v>
      </c>
      <c r="H51" s="104">
        <f>'All Custard Custom Cake - Slice'!H51*12</f>
        <v>0</v>
      </c>
      <c r="I51" s="104">
        <f>'All Custard Custom Cake - Slice'!I51*12</f>
        <v>31.44</v>
      </c>
      <c r="J51" s="104">
        <f>'All Custard Custom Cake - Slice'!J51*12</f>
        <v>62.16</v>
      </c>
      <c r="K51" s="104">
        <f>'All Custard Custom Cake - Slice'!K51*12</f>
        <v>1.92</v>
      </c>
      <c r="L51" s="104">
        <f>'All Custard Custom Cake - Slice'!L51*12</f>
        <v>52.679999999999993</v>
      </c>
      <c r="M51" s="104">
        <f>'All Custard Custom Cake - Slice'!M51*12</f>
        <v>0.48</v>
      </c>
      <c r="N51" s="104">
        <f>'All Custard Custom Cake - Slice'!N51*12</f>
        <v>0</v>
      </c>
      <c r="O51" s="104">
        <f>'All Custard Custom Cake - Slice'!O51*12</f>
        <v>0</v>
      </c>
      <c r="P51" s="104">
        <f>'All Custard Custom Cake - Slice'!P51*12</f>
        <v>24</v>
      </c>
      <c r="Q51" s="119">
        <f>'All Custard Custom Cake - Slice'!Q51*12</f>
        <v>24</v>
      </c>
      <c r="S51" s="11"/>
      <c r="T51" s="39"/>
      <c r="U51" s="39"/>
      <c r="V51" s="39"/>
      <c r="W51" s="39"/>
      <c r="X51" s="39"/>
      <c r="Y51" s="39"/>
      <c r="Z51" s="39"/>
      <c r="AA51" s="39"/>
      <c r="AB51" s="39"/>
      <c r="AC51" s="39"/>
      <c r="AD51" s="39"/>
      <c r="AE51" s="39"/>
      <c r="AF51" s="39"/>
      <c r="AG51" s="39"/>
      <c r="AH51" s="39"/>
    </row>
    <row r="52" spans="1:34" ht="15" thickBot="1">
      <c r="A52" s="1319"/>
      <c r="B52" s="60" t="s">
        <v>163</v>
      </c>
      <c r="C52" s="108">
        <f>'All Custard Custom Cake - Slice'!C52*12</f>
        <v>825.36</v>
      </c>
      <c r="D52" s="109">
        <f>'All Custard Custom Cake - Slice'!D52*12</f>
        <v>474</v>
      </c>
      <c r="E52" s="109">
        <f>'All Custard Custom Cake - Slice'!E52*12</f>
        <v>52.679999999999993</v>
      </c>
      <c r="F52" s="109">
        <f>'All Custard Custom Cake - Slice'!F52*12</f>
        <v>3.96</v>
      </c>
      <c r="G52" s="109">
        <f>'All Custard Custom Cake - Slice'!G52*12</f>
        <v>0</v>
      </c>
      <c r="H52" s="109">
        <f>'All Custard Custom Cake - Slice'!H52*12</f>
        <v>0</v>
      </c>
      <c r="I52" s="109">
        <f>'All Custard Custom Cake - Slice'!I52*12</f>
        <v>11.399999999999999</v>
      </c>
      <c r="J52" s="109">
        <f>'All Custard Custom Cake - Slice'!J52*12</f>
        <v>75.12</v>
      </c>
      <c r="K52" s="109">
        <f>'All Custard Custom Cake - Slice'!K52*12</f>
        <v>9</v>
      </c>
      <c r="L52" s="109">
        <f>'All Custard Custom Cake - Slice'!L52*12</f>
        <v>58.800000000000004</v>
      </c>
      <c r="M52" s="109">
        <f>'All Custard Custom Cake - Slice'!M52*12</f>
        <v>12.48</v>
      </c>
      <c r="N52" s="109">
        <f>'All Custard Custom Cake - Slice'!N52*12</f>
        <v>0</v>
      </c>
      <c r="O52" s="109">
        <f>'All Custard Custom Cake - Slice'!O52*12</f>
        <v>0</v>
      </c>
      <c r="P52" s="109">
        <f>'All Custard Custom Cake - Slice'!P52*12</f>
        <v>0</v>
      </c>
      <c r="Q52" s="120">
        <f>'All Custard Custom Cake - Slice'!Q52*12</f>
        <v>0</v>
      </c>
      <c r="S52" s="11"/>
      <c r="T52" s="39"/>
      <c r="U52" s="39"/>
      <c r="V52" s="39"/>
      <c r="W52" s="39"/>
      <c r="X52" s="39"/>
      <c r="Y52" s="39"/>
      <c r="Z52" s="39"/>
      <c r="AA52" s="39"/>
      <c r="AB52" s="39"/>
      <c r="AC52" s="39"/>
      <c r="AD52" s="39"/>
      <c r="AE52" s="39"/>
      <c r="AF52" s="39"/>
      <c r="AG52" s="39"/>
      <c r="AH52" s="39"/>
    </row>
    <row r="53" spans="1:34">
      <c r="A53" s="18"/>
      <c r="B53" s="24"/>
      <c r="C53" s="18"/>
      <c r="D53" s="18"/>
      <c r="E53" s="18"/>
      <c r="F53" s="18"/>
      <c r="G53" s="18"/>
      <c r="H53" s="18"/>
      <c r="I53" s="18"/>
      <c r="J53" s="18"/>
      <c r="K53" s="18"/>
      <c r="L53" s="18"/>
      <c r="M53" s="18"/>
      <c r="N53" s="19"/>
      <c r="O53" s="19"/>
      <c r="P53" s="19"/>
      <c r="Q53" s="19"/>
    </row>
    <row r="54" spans="1:34" ht="18" thickBot="1">
      <c r="A54" s="1308" t="s">
        <v>538</v>
      </c>
      <c r="B54" s="1308"/>
      <c r="C54" s="1308"/>
      <c r="D54" s="1308"/>
      <c r="E54" s="1308"/>
      <c r="F54" s="1308"/>
      <c r="G54" s="1308"/>
      <c r="H54" s="1308"/>
      <c r="I54" s="1308"/>
      <c r="J54" s="1308"/>
      <c r="K54" s="1308"/>
      <c r="L54" s="1308"/>
      <c r="M54" s="1308"/>
      <c r="N54" s="1308"/>
      <c r="O54" s="1308"/>
      <c r="P54" s="1308"/>
      <c r="Q54" s="1308"/>
    </row>
    <row r="55" spans="1:34" ht="37.5" customHeight="1" thickBot="1">
      <c r="A55" s="13"/>
      <c r="B55" s="21" t="s">
        <v>3</v>
      </c>
      <c r="C55" s="1" t="s">
        <v>4</v>
      </c>
      <c r="D55" s="1" t="s">
        <v>5</v>
      </c>
      <c r="E55" s="1" t="s">
        <v>6</v>
      </c>
      <c r="F55" s="1" t="s">
        <v>7</v>
      </c>
      <c r="G55" s="1" t="s">
        <v>8</v>
      </c>
      <c r="H55" s="1" t="s">
        <v>9</v>
      </c>
      <c r="I55" s="1" t="s">
        <v>10</v>
      </c>
      <c r="J55" s="1" t="s">
        <v>11</v>
      </c>
      <c r="K55" s="1" t="s">
        <v>12</v>
      </c>
      <c r="L55" s="1" t="s">
        <v>502</v>
      </c>
      <c r="M55" s="1" t="s">
        <v>15</v>
      </c>
      <c r="N55" s="2" t="s">
        <v>503</v>
      </c>
      <c r="O55" s="2" t="s">
        <v>504</v>
      </c>
      <c r="P55" s="2" t="s">
        <v>19</v>
      </c>
      <c r="Q55" s="3" t="s">
        <v>21</v>
      </c>
    </row>
    <row r="56" spans="1:34">
      <c r="A56" s="1317" t="s">
        <v>539</v>
      </c>
      <c r="B56" s="59" t="s">
        <v>144</v>
      </c>
      <c r="C56" s="98">
        <f>'All Custard Custom Cake - Slice'!C56*12</f>
        <v>258.60000000000002</v>
      </c>
      <c r="D56" s="99">
        <f>'All Custard Custom Cake - Slice'!D56*12</f>
        <v>132.72</v>
      </c>
      <c r="E56" s="99">
        <f>'All Custard Custom Cake - Slice'!E56*12</f>
        <v>14.76</v>
      </c>
      <c r="F56" s="99">
        <f>'All Custard Custom Cake - Slice'!F56*12</f>
        <v>8.76</v>
      </c>
      <c r="G56" s="99">
        <f>'All Custard Custom Cake - Slice'!G56*12</f>
        <v>0</v>
      </c>
      <c r="H56" s="99">
        <f>'All Custard Custom Cake - Slice'!H56*12</f>
        <v>0</v>
      </c>
      <c r="I56" s="99">
        <f>'All Custard Custom Cake - Slice'!I56*12</f>
        <v>0.12</v>
      </c>
      <c r="J56" s="99">
        <f>'All Custard Custom Cake - Slice'!J56*12</f>
        <v>38.04</v>
      </c>
      <c r="K56" s="99">
        <f>'All Custard Custom Cake - Slice'!K56*12</f>
        <v>4.4399999999999995</v>
      </c>
      <c r="L56" s="99">
        <f>'All Custard Custom Cake - Slice'!L56*12</f>
        <v>30.72</v>
      </c>
      <c r="M56" s="99">
        <f>'All Custard Custom Cake - Slice'!M56*12</f>
        <v>2.88</v>
      </c>
      <c r="N56" s="99">
        <f>'All Custard Custom Cake - Slice'!N56*12</f>
        <v>0</v>
      </c>
      <c r="O56" s="99">
        <f>'All Custard Custom Cake - Slice'!O56*12</f>
        <v>0</v>
      </c>
      <c r="P56" s="99">
        <f>'All Custard Custom Cake - Slice'!P56*12</f>
        <v>24</v>
      </c>
      <c r="Q56" s="118">
        <f>'All Custard Custom Cake - Slice'!Q56*12</f>
        <v>180</v>
      </c>
    </row>
    <row r="57" spans="1:34">
      <c r="A57" s="1318"/>
      <c r="B57" s="56" t="s">
        <v>534</v>
      </c>
      <c r="C57" s="103">
        <f>'All Custard Custom Cake - Slice'!C57*12</f>
        <v>229.44</v>
      </c>
      <c r="D57" s="104">
        <f>'All Custard Custom Cake - Slice'!D57*12</f>
        <v>48</v>
      </c>
      <c r="E57" s="104">
        <f>'All Custard Custom Cake - Slice'!E57*12</f>
        <v>5.28</v>
      </c>
      <c r="F57" s="104">
        <f>'All Custard Custom Cake - Slice'!F57*12</f>
        <v>2.7600000000000002</v>
      </c>
      <c r="G57" s="104">
        <f>'All Custard Custom Cake - Slice'!G57*12</f>
        <v>0</v>
      </c>
      <c r="H57" s="104">
        <f>'All Custard Custom Cake - Slice'!H57*12</f>
        <v>0</v>
      </c>
      <c r="I57" s="104">
        <f>'All Custard Custom Cake - Slice'!I57*12</f>
        <v>344.88</v>
      </c>
      <c r="J57" s="104">
        <f>'All Custard Custom Cake - Slice'!J57*12</f>
        <v>45.24</v>
      </c>
      <c r="K57" s="104">
        <f>'All Custard Custom Cake - Slice'!K57*12</f>
        <v>2.88</v>
      </c>
      <c r="L57" s="104">
        <f>'All Custard Custom Cake - Slice'!L57*12</f>
        <v>17.52</v>
      </c>
      <c r="M57" s="104">
        <f>'All Custard Custom Cake - Slice'!M57*12</f>
        <v>3.3600000000000003</v>
      </c>
      <c r="N57" s="104">
        <f>'All Custard Custom Cake - Slice'!N57*12</f>
        <v>0</v>
      </c>
      <c r="O57" s="104">
        <f>'All Custard Custom Cake - Slice'!O57*12</f>
        <v>0</v>
      </c>
      <c r="P57" s="104">
        <f>'All Custard Custom Cake - Slice'!P57*12</f>
        <v>180</v>
      </c>
      <c r="Q57" s="119">
        <f>'All Custard Custom Cake - Slice'!Q57*12</f>
        <v>0</v>
      </c>
    </row>
    <row r="58" spans="1:34">
      <c r="A58" s="1318"/>
      <c r="B58" s="56" t="s">
        <v>540</v>
      </c>
      <c r="C58" s="103">
        <f>'All Custard Custom Cake - Slice'!C58*12</f>
        <v>275.28000000000003</v>
      </c>
      <c r="D58" s="104">
        <f>'All Custard Custom Cake - Slice'!D58*12</f>
        <v>109.68</v>
      </c>
      <c r="E58" s="104">
        <f>'All Custard Custom Cake - Slice'!E58*12</f>
        <v>12.24</v>
      </c>
      <c r="F58" s="104">
        <f>'All Custard Custom Cake - Slice'!F58*12</f>
        <v>10.44</v>
      </c>
      <c r="G58" s="104">
        <f>'All Custard Custom Cake - Slice'!G58*12</f>
        <v>0.12</v>
      </c>
      <c r="H58" s="104">
        <f>'All Custard Custom Cake - Slice'!H58*12</f>
        <v>0</v>
      </c>
      <c r="I58" s="104">
        <f>'All Custard Custom Cake - Slice'!I58*12</f>
        <v>56.64</v>
      </c>
      <c r="J58" s="104">
        <f>'All Custard Custom Cake - Slice'!J58*12</f>
        <v>39.72</v>
      </c>
      <c r="K58" s="104">
        <f>'All Custard Custom Cake - Slice'!K58*12</f>
        <v>2.04</v>
      </c>
      <c r="L58" s="104">
        <f>'All Custard Custom Cake - Slice'!L58*12</f>
        <v>20.28</v>
      </c>
      <c r="M58" s="104">
        <f>'All Custard Custom Cake - Slice'!M58*12</f>
        <v>1.6800000000000002</v>
      </c>
      <c r="N58" s="104">
        <f>'All Custard Custom Cake - Slice'!N58*12</f>
        <v>180</v>
      </c>
      <c r="O58" s="104">
        <f>'All Custard Custom Cake - Slice'!O58*12</f>
        <v>120</v>
      </c>
      <c r="P58" s="104">
        <f>'All Custard Custom Cake - Slice'!P58*12</f>
        <v>0</v>
      </c>
      <c r="Q58" s="119">
        <f>'All Custard Custom Cake - Slice'!Q58*12</f>
        <v>120</v>
      </c>
    </row>
    <row r="59" spans="1:34">
      <c r="A59" s="1318"/>
      <c r="B59" s="56" t="s">
        <v>147</v>
      </c>
      <c r="C59" s="103">
        <f>'All Custard Custom Cake - Slice'!C59*12</f>
        <v>332.28000000000003</v>
      </c>
      <c r="D59" s="104">
        <f>'All Custard Custom Cake - Slice'!D59*12</f>
        <v>253.44</v>
      </c>
      <c r="E59" s="104">
        <f>'All Custard Custom Cake - Slice'!E59*12</f>
        <v>28.200000000000003</v>
      </c>
      <c r="F59" s="104">
        <f>'All Custard Custom Cake - Slice'!F59*12</f>
        <v>3.96</v>
      </c>
      <c r="G59" s="104">
        <f>'All Custard Custom Cake - Slice'!G59*12</f>
        <v>0</v>
      </c>
      <c r="H59" s="104">
        <f>'All Custard Custom Cake - Slice'!H59*12</f>
        <v>0</v>
      </c>
      <c r="I59" s="104">
        <f>'All Custard Custom Cake - Slice'!I59*12</f>
        <v>81.599999999999994</v>
      </c>
      <c r="J59" s="104">
        <f>'All Custard Custom Cake - Slice'!J59*12</f>
        <v>12.120000000000001</v>
      </c>
      <c r="K59" s="104">
        <f>'All Custard Custom Cake - Slice'!K59*12</f>
        <v>5.28</v>
      </c>
      <c r="L59" s="104">
        <f>'All Custard Custom Cake - Slice'!L59*12</f>
        <v>2.4000000000000004</v>
      </c>
      <c r="M59" s="104">
        <f>'All Custard Custom Cake - Slice'!M59*12</f>
        <v>13.440000000000001</v>
      </c>
      <c r="N59" s="104">
        <f>'All Custard Custom Cake - Slice'!N59*12</f>
        <v>24</v>
      </c>
      <c r="O59" s="104">
        <f>'All Custard Custom Cake - Slice'!O59*12</f>
        <v>0</v>
      </c>
      <c r="P59" s="104">
        <f>'All Custard Custom Cake - Slice'!P59*12</f>
        <v>24</v>
      </c>
      <c r="Q59" s="119">
        <f>'All Custard Custom Cake - Slice'!Q59*12</f>
        <v>0</v>
      </c>
    </row>
    <row r="60" spans="1:34">
      <c r="A60" s="1318"/>
      <c r="B60" s="56" t="s">
        <v>148</v>
      </c>
      <c r="C60" s="103">
        <f>'All Custard Custom Cake - Slice'!C60*12</f>
        <v>231</v>
      </c>
      <c r="D60" s="104">
        <f>'All Custard Custom Cake - Slice'!D60*12</f>
        <v>18.84</v>
      </c>
      <c r="E60" s="104">
        <f>'All Custard Custom Cake - Slice'!E60*12</f>
        <v>2.04</v>
      </c>
      <c r="F60" s="104">
        <f>'All Custard Custom Cake - Slice'!F60*12</f>
        <v>2.04</v>
      </c>
      <c r="G60" s="104">
        <f>'All Custard Custom Cake - Slice'!G60*12</f>
        <v>0</v>
      </c>
      <c r="H60" s="104">
        <f>'All Custard Custom Cake - Slice'!H60*12</f>
        <v>0</v>
      </c>
      <c r="I60" s="104">
        <f>'All Custard Custom Cake - Slice'!I60*12</f>
        <v>357</v>
      </c>
      <c r="J60" s="104">
        <f>'All Custard Custom Cake - Slice'!J60*12</f>
        <v>48.239999999999995</v>
      </c>
      <c r="K60" s="104">
        <f>'All Custard Custom Cake - Slice'!K60*12</f>
        <v>0</v>
      </c>
      <c r="L60" s="104">
        <f>'All Custard Custom Cake - Slice'!L60*12</f>
        <v>18.84</v>
      </c>
      <c r="M60" s="104">
        <f>'All Custard Custom Cake - Slice'!M60*12</f>
        <v>2.04</v>
      </c>
      <c r="N60" s="104">
        <f>'All Custard Custom Cake - Slice'!N60*12</f>
        <v>0</v>
      </c>
      <c r="O60" s="104">
        <f>'All Custard Custom Cake - Slice'!O60*12</f>
        <v>0</v>
      </c>
      <c r="P60" s="104">
        <f>'All Custard Custom Cake - Slice'!P60*12</f>
        <v>24</v>
      </c>
      <c r="Q60" s="119">
        <f>'All Custard Custom Cake - Slice'!Q60*12</f>
        <v>0</v>
      </c>
    </row>
    <row r="61" spans="1:34">
      <c r="A61" s="1318"/>
      <c r="B61" s="56" t="s">
        <v>306</v>
      </c>
      <c r="C61" s="103">
        <f>'All Custard Custom Cake - Slice'!C61*12</f>
        <v>180</v>
      </c>
      <c r="D61" s="104">
        <f>'All Custard Custom Cake - Slice'!D61*12</f>
        <v>0</v>
      </c>
      <c r="E61" s="104">
        <f>'All Custard Custom Cake - Slice'!E61*12</f>
        <v>0</v>
      </c>
      <c r="F61" s="104">
        <f>'All Custard Custom Cake - Slice'!F61*12</f>
        <v>0</v>
      </c>
      <c r="G61" s="104">
        <f>'All Custard Custom Cake - Slice'!G61*12</f>
        <v>0</v>
      </c>
      <c r="H61" s="104">
        <f>'All Custard Custom Cake - Slice'!H61*12</f>
        <v>0</v>
      </c>
      <c r="I61" s="104">
        <f>'All Custard Custom Cake - Slice'!I61*12</f>
        <v>0</v>
      </c>
      <c r="J61" s="104">
        <f>'All Custard Custom Cake - Slice'!J61*12</f>
        <v>36</v>
      </c>
      <c r="K61" s="104">
        <f>'All Custard Custom Cake - Slice'!K61*12</f>
        <v>0</v>
      </c>
      <c r="L61" s="104">
        <f>'All Custard Custom Cake - Slice'!L61*12</f>
        <v>24</v>
      </c>
      <c r="M61" s="104">
        <f>'All Custard Custom Cake - Slice'!M61*12</f>
        <v>0</v>
      </c>
      <c r="N61" s="104">
        <f>'All Custard Custom Cake - Slice'!N61*12</f>
        <v>0</v>
      </c>
      <c r="O61" s="104">
        <f>'All Custard Custom Cake - Slice'!O61*12</f>
        <v>0</v>
      </c>
      <c r="P61" s="104">
        <f>'All Custard Custom Cake - Slice'!P61*12</f>
        <v>0</v>
      </c>
      <c r="Q61" s="119">
        <f>'All Custard Custom Cake - Slice'!Q61*12</f>
        <v>0</v>
      </c>
    </row>
    <row r="62" spans="1:34">
      <c r="A62" s="1318"/>
      <c r="B62" s="56" t="s">
        <v>149</v>
      </c>
      <c r="C62" s="103">
        <f>'All Custard Custom Cake - Slice'!C62*12</f>
        <v>298.79999999999995</v>
      </c>
      <c r="D62" s="104">
        <f>'All Custard Custom Cake - Slice'!D62*12</f>
        <v>165.84</v>
      </c>
      <c r="E62" s="104">
        <f>'All Custard Custom Cake - Slice'!E62*12</f>
        <v>18.48</v>
      </c>
      <c r="F62" s="104">
        <f>'All Custard Custom Cake - Slice'!F62*12</f>
        <v>9.7200000000000006</v>
      </c>
      <c r="G62" s="104">
        <f>'All Custard Custom Cake - Slice'!G62*12</f>
        <v>0.24</v>
      </c>
      <c r="H62" s="104">
        <f>'All Custard Custom Cake - Slice'!H62*12</f>
        <v>10.56</v>
      </c>
      <c r="I62" s="104">
        <f>'All Custard Custom Cake - Slice'!I62*12</f>
        <v>196.92000000000002</v>
      </c>
      <c r="J62" s="104">
        <f>'All Custard Custom Cake - Slice'!J62*12</f>
        <v>35.28</v>
      </c>
      <c r="K62" s="104">
        <f>'All Custard Custom Cake - Slice'!K62*12</f>
        <v>0.72</v>
      </c>
      <c r="L62" s="104">
        <f>'All Custard Custom Cake - Slice'!L62*12</f>
        <v>33.96</v>
      </c>
      <c r="M62" s="104">
        <f>'All Custard Custom Cake - Slice'!M62*12</f>
        <v>1.7999999999999998</v>
      </c>
      <c r="N62" s="104">
        <f>'All Custard Custom Cake - Slice'!N62*12</f>
        <v>0</v>
      </c>
      <c r="O62" s="104">
        <f>'All Custard Custom Cake - Slice'!O62*12</f>
        <v>0</v>
      </c>
      <c r="P62" s="104">
        <f>'All Custard Custom Cake - Slice'!P62*12</f>
        <v>0</v>
      </c>
      <c r="Q62" s="119">
        <f>'All Custard Custom Cake - Slice'!Q62*12</f>
        <v>0</v>
      </c>
    </row>
    <row r="63" spans="1:34">
      <c r="A63" s="1318"/>
      <c r="B63" s="56" t="s">
        <v>150</v>
      </c>
      <c r="C63" s="103">
        <v>180</v>
      </c>
      <c r="D63" s="104">
        <v>10</v>
      </c>
      <c r="E63" s="104">
        <v>0</v>
      </c>
      <c r="F63" s="104">
        <v>0</v>
      </c>
      <c r="G63" s="104">
        <v>0</v>
      </c>
      <c r="H63" s="104">
        <v>0</v>
      </c>
      <c r="I63" s="104">
        <v>100</v>
      </c>
      <c r="J63" s="104">
        <v>42</v>
      </c>
      <c r="K63" s="104">
        <v>0</v>
      </c>
      <c r="L63" s="104">
        <v>30</v>
      </c>
      <c r="M63" s="104">
        <v>0</v>
      </c>
      <c r="N63" s="104">
        <v>0</v>
      </c>
      <c r="O63" s="104">
        <v>0</v>
      </c>
      <c r="P63" s="104">
        <v>0</v>
      </c>
      <c r="Q63" s="119">
        <v>0</v>
      </c>
    </row>
    <row r="64" spans="1:34">
      <c r="A64" s="1318"/>
      <c r="B64" s="56" t="s">
        <v>151</v>
      </c>
      <c r="C64" s="103">
        <v>180</v>
      </c>
      <c r="D64" s="104">
        <v>60</v>
      </c>
      <c r="E64" s="104">
        <v>7</v>
      </c>
      <c r="F64" s="104">
        <v>6</v>
      </c>
      <c r="G64" s="104">
        <v>0</v>
      </c>
      <c r="H64" s="104">
        <v>0</v>
      </c>
      <c r="I64" s="104">
        <v>90</v>
      </c>
      <c r="J64" s="104">
        <v>30</v>
      </c>
      <c r="K64" s="104">
        <v>0</v>
      </c>
      <c r="L64" s="104">
        <v>28</v>
      </c>
      <c r="M64" s="104">
        <v>2</v>
      </c>
      <c r="N64" s="104">
        <v>0</v>
      </c>
      <c r="O64" s="104">
        <v>0</v>
      </c>
      <c r="P64" s="104">
        <v>8</v>
      </c>
      <c r="Q64" s="119">
        <v>0</v>
      </c>
    </row>
    <row r="65" spans="1:18">
      <c r="A65" s="1318"/>
      <c r="B65" s="56" t="s">
        <v>535</v>
      </c>
      <c r="C65" s="103">
        <f>'All Custard Custom Cake - Slice'!C65*12</f>
        <v>244.79999999999998</v>
      </c>
      <c r="D65" s="104">
        <f>'All Custard Custom Cake - Slice'!D65*12</f>
        <v>54</v>
      </c>
      <c r="E65" s="104">
        <f>'All Custard Custom Cake - Slice'!E65*12</f>
        <v>6</v>
      </c>
      <c r="F65" s="104">
        <f>'All Custard Custom Cake - Slice'!F65*12</f>
        <v>3.4799999999999995</v>
      </c>
      <c r="G65" s="104">
        <f>'All Custard Custom Cake - Slice'!G65*12</f>
        <v>0</v>
      </c>
      <c r="H65" s="104">
        <f>'All Custard Custom Cake - Slice'!H65*12</f>
        <v>0</v>
      </c>
      <c r="I65" s="104">
        <f>'All Custard Custom Cake - Slice'!I65*12</f>
        <v>125.16</v>
      </c>
      <c r="J65" s="104">
        <f>'All Custard Custom Cake - Slice'!J65*12</f>
        <v>48.96</v>
      </c>
      <c r="K65" s="104">
        <f>'All Custard Custom Cake - Slice'!K65*12</f>
        <v>0</v>
      </c>
      <c r="L65" s="104">
        <f>'All Custard Custom Cake - Slice'!L65*12</f>
        <v>40.44</v>
      </c>
      <c r="M65" s="104">
        <f>'All Custard Custom Cake - Slice'!M65*12</f>
        <v>0</v>
      </c>
      <c r="N65" s="104">
        <f>'All Custard Custom Cake - Slice'!N65*12</f>
        <v>0</v>
      </c>
      <c r="O65" s="104">
        <f>'All Custard Custom Cake - Slice'!O65*12</f>
        <v>0</v>
      </c>
      <c r="P65" s="104">
        <f>'All Custard Custom Cake - Slice'!P65*12</f>
        <v>0</v>
      </c>
      <c r="Q65" s="119">
        <f>'All Custard Custom Cake - Slice'!Q65*12</f>
        <v>0</v>
      </c>
    </row>
    <row r="66" spans="1:18">
      <c r="A66" s="1318"/>
      <c r="B66" s="56" t="s">
        <v>152</v>
      </c>
      <c r="C66" s="103">
        <f>'All Custard Custom Cake - Slice'!C66*12</f>
        <v>300</v>
      </c>
      <c r="D66" s="104">
        <f>'All Custard Custom Cake - Slice'!D66*12</f>
        <v>120</v>
      </c>
      <c r="E66" s="104">
        <f>'All Custard Custom Cake - Slice'!E66*12</f>
        <v>12</v>
      </c>
      <c r="F66" s="104">
        <f>'All Custard Custom Cake - Slice'!F66*12</f>
        <v>6</v>
      </c>
      <c r="G66" s="104">
        <f>'All Custard Custom Cake - Slice'!G66*12</f>
        <v>0</v>
      </c>
      <c r="H66" s="104">
        <f>'All Custard Custom Cake - Slice'!H66*12</f>
        <v>0</v>
      </c>
      <c r="I66" s="104">
        <f>'All Custard Custom Cake - Slice'!I66*12</f>
        <v>0</v>
      </c>
      <c r="J66" s="104">
        <f>'All Custard Custom Cake - Slice'!J66*12</f>
        <v>36</v>
      </c>
      <c r="K66" s="104">
        <f>'All Custard Custom Cake - Slice'!K66*12</f>
        <v>0</v>
      </c>
      <c r="L66" s="104">
        <f>'All Custard Custom Cake - Slice'!L66*12</f>
        <v>36</v>
      </c>
      <c r="M66" s="104">
        <f>'All Custard Custom Cake - Slice'!M66*12</f>
        <v>0</v>
      </c>
      <c r="N66" s="104">
        <f>'All Custard Custom Cake - Slice'!N66*12</f>
        <v>0</v>
      </c>
      <c r="O66" s="104">
        <f>'All Custard Custom Cake - Slice'!O66*12</f>
        <v>0</v>
      </c>
      <c r="P66" s="104">
        <f>'All Custard Custom Cake - Slice'!P66*12</f>
        <v>0</v>
      </c>
      <c r="Q66" s="119">
        <f>'All Custard Custom Cake - Slice'!Q66*12</f>
        <v>0</v>
      </c>
    </row>
    <row r="67" spans="1:18">
      <c r="A67" s="1318"/>
      <c r="B67" s="56" t="s">
        <v>422</v>
      </c>
      <c r="C67" s="103">
        <f>'All Custard Custom Cake - Slice'!C67*12</f>
        <v>113.39999999999999</v>
      </c>
      <c r="D67" s="104">
        <f>'All Custard Custom Cake - Slice'!D67*12</f>
        <v>0</v>
      </c>
      <c r="E67" s="104">
        <f>'All Custard Custom Cake - Slice'!E67*12</f>
        <v>0</v>
      </c>
      <c r="F67" s="104">
        <f>'All Custard Custom Cake - Slice'!F67*12</f>
        <v>0</v>
      </c>
      <c r="G67" s="104">
        <f>'All Custard Custom Cake - Slice'!G67*12</f>
        <v>0</v>
      </c>
      <c r="H67" s="104">
        <f>'All Custard Custom Cake - Slice'!H67*12</f>
        <v>0</v>
      </c>
      <c r="I67" s="104">
        <f>'All Custard Custom Cake - Slice'!I67*12</f>
        <v>0</v>
      </c>
      <c r="J67" s="104">
        <f>'All Custard Custom Cake - Slice'!J67*12</f>
        <v>22.68</v>
      </c>
      <c r="K67" s="104">
        <f>'All Custard Custom Cake - Slice'!K67*12</f>
        <v>0</v>
      </c>
      <c r="L67" s="104">
        <f>'All Custard Custom Cake - Slice'!L67*12</f>
        <v>11.28</v>
      </c>
      <c r="M67" s="104">
        <f>'All Custard Custom Cake - Slice'!M67*12</f>
        <v>0</v>
      </c>
      <c r="N67" s="104">
        <f>'All Custard Custom Cake - Slice'!N67*12</f>
        <v>0</v>
      </c>
      <c r="O67" s="104">
        <f>'All Custard Custom Cake - Slice'!O67*12</f>
        <v>0</v>
      </c>
      <c r="P67" s="104">
        <f>'All Custard Custom Cake - Slice'!P67*12</f>
        <v>0</v>
      </c>
      <c r="Q67" s="119">
        <f>'All Custard Custom Cake - Slice'!Q67*12</f>
        <v>48</v>
      </c>
    </row>
    <row r="68" spans="1:18">
      <c r="A68" s="1318"/>
      <c r="B68" s="56" t="s">
        <v>536</v>
      </c>
      <c r="C68" s="103">
        <f>'All Custard Custom Cake - Slice'!C68*12</f>
        <v>164.28</v>
      </c>
      <c r="D68" s="104">
        <f>'All Custard Custom Cake - Slice'!D68*12</f>
        <v>63.36</v>
      </c>
      <c r="E68" s="104">
        <f>'All Custard Custom Cake - Slice'!E68*12</f>
        <v>7.08</v>
      </c>
      <c r="F68" s="104">
        <f>'All Custard Custom Cake - Slice'!F68*12</f>
        <v>2.4000000000000004</v>
      </c>
      <c r="G68" s="104">
        <f>'All Custard Custom Cake - Slice'!G68*12</f>
        <v>0.12</v>
      </c>
      <c r="H68" s="104">
        <f>'All Custard Custom Cake - Slice'!H68*12</f>
        <v>0</v>
      </c>
      <c r="I68" s="104">
        <f>'All Custard Custom Cake - Slice'!I68*12</f>
        <v>134.88</v>
      </c>
      <c r="J68" s="104">
        <f>'All Custard Custom Cake - Slice'!J68*12</f>
        <v>24.599999999999998</v>
      </c>
      <c r="K68" s="104">
        <f>'All Custard Custom Cake - Slice'!K68*12</f>
        <v>1.2000000000000002</v>
      </c>
      <c r="L68" s="104">
        <f>'All Custard Custom Cake - Slice'!L68*12</f>
        <v>14.04</v>
      </c>
      <c r="M68" s="104">
        <f>'All Custard Custom Cake - Slice'!M68*12</f>
        <v>1.2000000000000002</v>
      </c>
      <c r="N68" s="104">
        <f>'All Custard Custom Cake - Slice'!N68*12</f>
        <v>0</v>
      </c>
      <c r="O68" s="104">
        <f>'All Custard Custom Cake - Slice'!O68*12</f>
        <v>0</v>
      </c>
      <c r="P68" s="104">
        <f>'All Custard Custom Cake - Slice'!P68*12</f>
        <v>0</v>
      </c>
      <c r="Q68" s="119">
        <f>'All Custard Custom Cake - Slice'!Q68*12</f>
        <v>96</v>
      </c>
    </row>
    <row r="69" spans="1:18">
      <c r="A69" s="1318"/>
      <c r="B69" s="56" t="s">
        <v>154</v>
      </c>
      <c r="C69" s="103">
        <f>'All Custard Custom Cake - Slice'!C69*12</f>
        <v>212.64</v>
      </c>
      <c r="D69" s="104">
        <f>'All Custard Custom Cake - Slice'!D69*12</f>
        <v>0</v>
      </c>
      <c r="E69" s="104">
        <f>'All Custard Custom Cake - Slice'!E69*12</f>
        <v>0</v>
      </c>
      <c r="F69" s="104">
        <f>'All Custard Custom Cake - Slice'!F69*12</f>
        <v>0</v>
      </c>
      <c r="G69" s="104">
        <f>'All Custard Custom Cake - Slice'!G69*12</f>
        <v>0</v>
      </c>
      <c r="H69" s="104">
        <f>'All Custard Custom Cake - Slice'!H69*12</f>
        <v>0</v>
      </c>
      <c r="I69" s="104">
        <f>'All Custard Custom Cake - Slice'!I69*12</f>
        <v>4.1999999999999993</v>
      </c>
      <c r="J69" s="104">
        <f>'All Custard Custom Cake - Slice'!J69*12</f>
        <v>53.04</v>
      </c>
      <c r="K69" s="104">
        <f>'All Custard Custom Cake - Slice'!K69*12</f>
        <v>0</v>
      </c>
      <c r="L69" s="104">
        <f>'All Custard Custom Cake - Slice'!L69*12</f>
        <v>51.96</v>
      </c>
      <c r="M69" s="104">
        <f>'All Custard Custom Cake - Slice'!M69*12</f>
        <v>0</v>
      </c>
      <c r="N69" s="104">
        <f>'All Custard Custom Cake - Slice'!N69*12</f>
        <v>0</v>
      </c>
      <c r="O69" s="104">
        <f>'All Custard Custom Cake - Slice'!O69*12</f>
        <v>0</v>
      </c>
      <c r="P69" s="104">
        <f>'All Custard Custom Cake - Slice'!P69*12</f>
        <v>24</v>
      </c>
      <c r="Q69" s="119">
        <f>'All Custard Custom Cake - Slice'!Q69*12</f>
        <v>72</v>
      </c>
    </row>
    <row r="70" spans="1:18" ht="19.5" customHeight="1">
      <c r="A70" s="1318"/>
      <c r="B70" s="56" t="s">
        <v>155</v>
      </c>
      <c r="C70" s="103">
        <f>'All Custard Custom Cake - Slice'!C70*12</f>
        <v>245.64</v>
      </c>
      <c r="D70" s="104">
        <f>'All Custard Custom Cake - Slice'!D70*12</f>
        <v>54.480000000000004</v>
      </c>
      <c r="E70" s="104">
        <f>'All Custard Custom Cake - Slice'!E70*12</f>
        <v>6</v>
      </c>
      <c r="F70" s="104">
        <f>'All Custard Custom Cake - Slice'!F70*12</f>
        <v>3</v>
      </c>
      <c r="G70" s="104">
        <f>'All Custard Custom Cake - Slice'!G70*12</f>
        <v>0</v>
      </c>
      <c r="H70" s="104">
        <f>'All Custard Custom Cake - Slice'!H70*12</f>
        <v>4.92</v>
      </c>
      <c r="I70" s="104">
        <f>'All Custard Custom Cake - Slice'!I70*12</f>
        <v>303.84000000000003</v>
      </c>
      <c r="J70" s="104">
        <f>'All Custard Custom Cake - Slice'!J70*12</f>
        <v>45</v>
      </c>
      <c r="K70" s="104">
        <f>'All Custard Custom Cake - Slice'!K70*12</f>
        <v>0.84000000000000008</v>
      </c>
      <c r="L70" s="104">
        <f>'All Custard Custom Cake - Slice'!L70*12</f>
        <v>20.64</v>
      </c>
      <c r="M70" s="104">
        <f>'All Custard Custom Cake - Slice'!M70*12</f>
        <v>2.88</v>
      </c>
      <c r="N70" s="104">
        <f>'All Custard Custom Cake - Slice'!N70*12</f>
        <v>0</v>
      </c>
      <c r="O70" s="104">
        <f>'All Custard Custom Cake - Slice'!O70*12</f>
        <v>0</v>
      </c>
      <c r="P70" s="104">
        <f>'All Custard Custom Cake - Slice'!P70*12</f>
        <v>24</v>
      </c>
      <c r="Q70" s="119">
        <f>'All Custard Custom Cake - Slice'!Q70*12</f>
        <v>24</v>
      </c>
      <c r="R70" s="16"/>
    </row>
    <row r="71" spans="1:18">
      <c r="A71" s="1318"/>
      <c r="B71" s="56" t="s">
        <v>156</v>
      </c>
      <c r="C71" s="103">
        <f>'All Custard Custom Cake - Slice'!C71*12</f>
        <v>273</v>
      </c>
      <c r="D71" s="104">
        <f>'All Custard Custom Cake - Slice'!D71*12</f>
        <v>94.44</v>
      </c>
      <c r="E71" s="104">
        <f>'All Custard Custom Cake - Slice'!E71*12</f>
        <v>10.44</v>
      </c>
      <c r="F71" s="104">
        <f>'All Custard Custom Cake - Slice'!F71*12</f>
        <v>3.12</v>
      </c>
      <c r="G71" s="104">
        <f>'All Custard Custom Cake - Slice'!G71*12</f>
        <v>0</v>
      </c>
      <c r="H71" s="104">
        <f>'All Custard Custom Cake - Slice'!H71*12</f>
        <v>0</v>
      </c>
      <c r="I71" s="104">
        <f>'All Custard Custom Cake - Slice'!I71*12</f>
        <v>315</v>
      </c>
      <c r="J71" s="104">
        <f>'All Custard Custom Cake - Slice'!J71*12</f>
        <v>39.839999999999996</v>
      </c>
      <c r="K71" s="104">
        <f>'All Custard Custom Cake - Slice'!K71*12</f>
        <v>2.04</v>
      </c>
      <c r="L71" s="104">
        <f>'All Custard Custom Cake - Slice'!L71*12</f>
        <v>23.04</v>
      </c>
      <c r="M71" s="104">
        <f>'All Custard Custom Cake - Slice'!M71*12</f>
        <v>2.04</v>
      </c>
      <c r="N71" s="104">
        <f>'All Custard Custom Cake - Slice'!N71*12</f>
        <v>0</v>
      </c>
      <c r="O71" s="104">
        <f>'All Custard Custom Cake - Slice'!O71*12</f>
        <v>0</v>
      </c>
      <c r="P71" s="104">
        <f>'All Custard Custom Cake - Slice'!P71*12</f>
        <v>24</v>
      </c>
      <c r="Q71" s="119">
        <f>'All Custard Custom Cake - Slice'!Q71*12</f>
        <v>72</v>
      </c>
    </row>
    <row r="72" spans="1:18">
      <c r="A72" s="1318"/>
      <c r="B72" s="56" t="s">
        <v>157</v>
      </c>
      <c r="C72" s="103">
        <f>'All Custard Custom Cake - Slice'!C72*12</f>
        <v>285.71999999999997</v>
      </c>
      <c r="D72" s="104">
        <f>'All Custard Custom Cake - Slice'!D72*12</f>
        <v>154.07999999999998</v>
      </c>
      <c r="E72" s="104">
        <f>'All Custard Custom Cake - Slice'!E72*12</f>
        <v>17.16</v>
      </c>
      <c r="F72" s="104">
        <f>'All Custard Custom Cake - Slice'!F72*12</f>
        <v>5.88</v>
      </c>
      <c r="G72" s="104">
        <f>'All Custard Custom Cake - Slice'!G72*12</f>
        <v>0</v>
      </c>
      <c r="H72" s="104">
        <f>'All Custard Custom Cake - Slice'!H72*12</f>
        <v>3.84</v>
      </c>
      <c r="I72" s="104">
        <f>'All Custard Custom Cake - Slice'!I72*12</f>
        <v>219.36</v>
      </c>
      <c r="J72" s="104">
        <f>'All Custard Custom Cake - Slice'!J72*12</f>
        <v>31.200000000000003</v>
      </c>
      <c r="K72" s="104">
        <f>'All Custard Custom Cake - Slice'!K72*12</f>
        <v>2.16</v>
      </c>
      <c r="L72" s="104">
        <f>'All Custard Custom Cake - Slice'!L72*12</f>
        <v>26.880000000000003</v>
      </c>
      <c r="M72" s="104">
        <f>'All Custard Custom Cake - Slice'!M72*12</f>
        <v>6.48</v>
      </c>
      <c r="N72" s="104">
        <f>'All Custard Custom Cake - Slice'!N72*12</f>
        <v>0</v>
      </c>
      <c r="O72" s="104">
        <f>'All Custard Custom Cake - Slice'!O72*12</f>
        <v>0</v>
      </c>
      <c r="P72" s="104">
        <f>'All Custard Custom Cake - Slice'!P72*12</f>
        <v>24</v>
      </c>
      <c r="Q72" s="119">
        <f>'All Custard Custom Cake - Slice'!Q72*12</f>
        <v>0</v>
      </c>
    </row>
    <row r="73" spans="1:18" ht="12.75" customHeight="1">
      <c r="A73" s="1318"/>
      <c r="B73" s="56" t="s">
        <v>158</v>
      </c>
      <c r="C73" s="103">
        <f>'All Custard Custom Cake - Slice'!C73*12</f>
        <v>365.76</v>
      </c>
      <c r="D73" s="104">
        <f>'All Custard Custom Cake - Slice'!D73*12</f>
        <v>300.95999999999998</v>
      </c>
      <c r="E73" s="104">
        <f>'All Custard Custom Cake - Slice'!E73*12</f>
        <v>33.480000000000004</v>
      </c>
      <c r="F73" s="104">
        <f>'All Custard Custom Cake - Slice'!F73*12</f>
        <v>5.5200000000000005</v>
      </c>
      <c r="G73" s="104">
        <f>'All Custard Custom Cake - Slice'!G73*12</f>
        <v>0</v>
      </c>
      <c r="H73" s="104">
        <f>'All Custard Custom Cake - Slice'!H73*12</f>
        <v>0</v>
      </c>
      <c r="I73" s="104">
        <f>'All Custard Custom Cake - Slice'!I73*12</f>
        <v>247.79999999999998</v>
      </c>
      <c r="J73" s="104">
        <f>'All Custard Custom Cake - Slice'!J73*12</f>
        <v>10.44</v>
      </c>
      <c r="K73" s="104">
        <f>'All Custard Custom Cake - Slice'!K73*12</f>
        <v>3.5999999999999996</v>
      </c>
      <c r="L73" s="104">
        <f>'All Custard Custom Cake - Slice'!L73*12</f>
        <v>5.28</v>
      </c>
      <c r="M73" s="104">
        <f>'All Custard Custom Cake - Slice'!M73*12</f>
        <v>11.040000000000001</v>
      </c>
      <c r="N73" s="104">
        <f>'All Custard Custom Cake - Slice'!N73*12</f>
        <v>0</v>
      </c>
      <c r="O73" s="104">
        <f>'All Custard Custom Cake - Slice'!O73*12</f>
        <v>0</v>
      </c>
      <c r="P73" s="104">
        <f>'All Custard Custom Cake - Slice'!P73*12</f>
        <v>24</v>
      </c>
      <c r="Q73" s="119">
        <f>'All Custard Custom Cake - Slice'!Q73*12</f>
        <v>24</v>
      </c>
    </row>
    <row r="74" spans="1:18" ht="12.75" customHeight="1">
      <c r="A74" s="1318"/>
      <c r="B74" s="56" t="s">
        <v>537</v>
      </c>
      <c r="C74" s="103">
        <f>'All Custard Custom Cake - Slice'!C74*12</f>
        <v>288</v>
      </c>
      <c r="D74" s="104">
        <f>'All Custard Custom Cake - Slice'!D74*12</f>
        <v>123</v>
      </c>
      <c r="E74" s="104">
        <f>'All Custard Custom Cake - Slice'!E74*12</f>
        <v>13.68</v>
      </c>
      <c r="F74" s="104">
        <f>'All Custard Custom Cake - Slice'!F74*12</f>
        <v>9.120000000000001</v>
      </c>
      <c r="G74" s="104">
        <f>'All Custard Custom Cake - Slice'!G74*12</f>
        <v>0.12</v>
      </c>
      <c r="H74" s="104">
        <f>'All Custard Custom Cake - Slice'!H74*12</f>
        <v>0</v>
      </c>
      <c r="I74" s="104">
        <f>'All Custard Custom Cake - Slice'!I74*12</f>
        <v>111</v>
      </c>
      <c r="J74" s="104">
        <f>'All Custard Custom Cake - Slice'!J74*12</f>
        <v>35.04</v>
      </c>
      <c r="K74" s="104">
        <f>'All Custard Custom Cake - Slice'!K74*12</f>
        <v>1.56</v>
      </c>
      <c r="L74" s="104">
        <f>'All Custard Custom Cake - Slice'!L74*12</f>
        <v>31.200000000000003</v>
      </c>
      <c r="M74" s="104">
        <f>'All Custard Custom Cake - Slice'!M74*12</f>
        <v>6.24</v>
      </c>
      <c r="N74" s="104">
        <f>'All Custard Custom Cake - Slice'!N74*12</f>
        <v>0</v>
      </c>
      <c r="O74" s="104">
        <f>'All Custard Custom Cake - Slice'!O74*12</f>
        <v>0</v>
      </c>
      <c r="P74" s="104">
        <f>'All Custard Custom Cake - Slice'!P74*12</f>
        <v>0</v>
      </c>
      <c r="Q74" s="119">
        <f>'All Custard Custom Cake - Slice'!Q74*12</f>
        <v>0</v>
      </c>
    </row>
    <row r="75" spans="1:18" ht="12.75" customHeight="1">
      <c r="A75" s="1318"/>
      <c r="B75" s="56" t="s">
        <v>159</v>
      </c>
      <c r="C75" s="103">
        <f>'All Custard Custom Cake - Slice'!C75*12</f>
        <v>240</v>
      </c>
      <c r="D75" s="104">
        <f>'All Custard Custom Cake - Slice'!D75*12</f>
        <v>114.84</v>
      </c>
      <c r="E75" s="104">
        <f>'All Custard Custom Cake - Slice'!E75*12</f>
        <v>12.72</v>
      </c>
      <c r="F75" s="104">
        <f>'All Custard Custom Cake - Slice'!F75*12</f>
        <v>4.92</v>
      </c>
      <c r="G75" s="104">
        <f>'All Custard Custom Cake - Slice'!G75*12</f>
        <v>0.24</v>
      </c>
      <c r="H75" s="104">
        <f>'All Custard Custom Cake - Slice'!H75*12</f>
        <v>0</v>
      </c>
      <c r="I75" s="104">
        <f>'All Custard Custom Cake - Slice'!I75*12</f>
        <v>120</v>
      </c>
      <c r="J75" s="104">
        <f>'All Custard Custom Cake - Slice'!J75*12</f>
        <v>36</v>
      </c>
      <c r="K75" s="104">
        <f>'All Custard Custom Cake - Slice'!K75*12</f>
        <v>1.2000000000000002</v>
      </c>
      <c r="L75" s="104">
        <f>'All Custard Custom Cake - Slice'!L75*12</f>
        <v>28.92</v>
      </c>
      <c r="M75" s="104">
        <f>'All Custard Custom Cake - Slice'!M75*12</f>
        <v>4.68</v>
      </c>
      <c r="N75" s="104">
        <f>'All Custard Custom Cake - Slice'!N75*12</f>
        <v>0</v>
      </c>
      <c r="O75" s="104">
        <f>'All Custard Custom Cake - Slice'!O75*12</f>
        <v>0</v>
      </c>
      <c r="P75" s="104">
        <f>'All Custard Custom Cake - Slice'!P75*12</f>
        <v>0</v>
      </c>
      <c r="Q75" s="119">
        <f>'All Custard Custom Cake - Slice'!Q75*12</f>
        <v>0</v>
      </c>
    </row>
    <row r="76" spans="1:18" ht="14.25" customHeight="1">
      <c r="A76" s="1318"/>
      <c r="B76" s="56" t="s">
        <v>161</v>
      </c>
      <c r="C76" s="103">
        <f>'All Custard Custom Cake - Slice'!C76*12</f>
        <v>269.28000000000003</v>
      </c>
      <c r="D76" s="104">
        <f>'All Custard Custom Cake - Slice'!D76*12</f>
        <v>96.47999999999999</v>
      </c>
      <c r="E76" s="104">
        <f>'All Custard Custom Cake - Slice'!E76*12</f>
        <v>10.68</v>
      </c>
      <c r="F76" s="104">
        <f>'All Custard Custom Cake - Slice'!F76*12</f>
        <v>9.120000000000001</v>
      </c>
      <c r="G76" s="104">
        <f>'All Custard Custom Cake - Slice'!G76*12</f>
        <v>0.12</v>
      </c>
      <c r="H76" s="104">
        <f>'All Custard Custom Cake - Slice'!H76*12</f>
        <v>0.24</v>
      </c>
      <c r="I76" s="104">
        <f>'All Custard Custom Cake - Slice'!I76*12</f>
        <v>4.8000000000000007</v>
      </c>
      <c r="J76" s="104">
        <f>'All Custard Custom Cake - Slice'!J76*12</f>
        <v>44.76</v>
      </c>
      <c r="K76" s="104">
        <f>'All Custard Custom Cake - Slice'!K76*12</f>
        <v>0.12</v>
      </c>
      <c r="L76" s="104">
        <f>'All Custard Custom Cake - Slice'!L76*12</f>
        <v>27.240000000000002</v>
      </c>
      <c r="M76" s="104">
        <f>'All Custard Custom Cake - Slice'!M76*12</f>
        <v>0</v>
      </c>
      <c r="N76" s="104">
        <f>'All Custard Custom Cake - Slice'!N76*12</f>
        <v>0</v>
      </c>
      <c r="O76" s="104">
        <f>'All Custard Custom Cake - Slice'!O76*12</f>
        <v>120</v>
      </c>
      <c r="P76" s="104">
        <f>'All Custard Custom Cake - Slice'!P76*12</f>
        <v>0</v>
      </c>
      <c r="Q76" s="119">
        <f>'All Custard Custom Cake - Slice'!Q76*12</f>
        <v>0</v>
      </c>
      <c r="R76" s="16"/>
    </row>
    <row r="77" spans="1:18">
      <c r="A77" s="1318"/>
      <c r="B77" s="56" t="s">
        <v>162</v>
      </c>
      <c r="C77" s="103">
        <f>'All Custard Custom Cake - Slice'!C77*12</f>
        <v>75.72</v>
      </c>
      <c r="D77" s="104">
        <f>'All Custard Custom Cake - Slice'!D77*12</f>
        <v>0.36</v>
      </c>
      <c r="E77" s="104">
        <f>'All Custard Custom Cake - Slice'!E77*12</f>
        <v>0</v>
      </c>
      <c r="F77" s="104">
        <f>'All Custard Custom Cake - Slice'!F77*12</f>
        <v>0</v>
      </c>
      <c r="G77" s="104">
        <f>'All Custard Custom Cake - Slice'!G77*12</f>
        <v>0</v>
      </c>
      <c r="H77" s="104">
        <f>'All Custard Custom Cake - Slice'!H77*12</f>
        <v>0</v>
      </c>
      <c r="I77" s="104">
        <f>'All Custard Custom Cake - Slice'!I77*12</f>
        <v>10.44</v>
      </c>
      <c r="J77" s="104">
        <f>'All Custard Custom Cake - Slice'!J77*12</f>
        <v>20.759999999999998</v>
      </c>
      <c r="K77" s="104">
        <f>'All Custard Custom Cake - Slice'!K77*12</f>
        <v>0.60000000000000009</v>
      </c>
      <c r="L77" s="104">
        <f>'All Custard Custom Cake - Slice'!L77*12</f>
        <v>17.52</v>
      </c>
      <c r="M77" s="104">
        <f>'All Custard Custom Cake - Slice'!M77*12</f>
        <v>0.12</v>
      </c>
      <c r="N77" s="104">
        <f>'All Custard Custom Cake - Slice'!N77*12</f>
        <v>0</v>
      </c>
      <c r="O77" s="104">
        <f>'All Custard Custom Cake - Slice'!O77*12</f>
        <v>0</v>
      </c>
      <c r="P77" s="104">
        <f>'All Custard Custom Cake - Slice'!P77*12</f>
        <v>24</v>
      </c>
      <c r="Q77" s="119">
        <f>'All Custard Custom Cake - Slice'!Q77*12</f>
        <v>24</v>
      </c>
    </row>
    <row r="78" spans="1:18" ht="15" thickBot="1">
      <c r="A78" s="1319"/>
      <c r="B78" s="60" t="s">
        <v>163</v>
      </c>
      <c r="C78" s="108">
        <f>'All Custard Custom Cake - Slice'!C78*12</f>
        <v>275.15999999999997</v>
      </c>
      <c r="D78" s="109">
        <f>'All Custard Custom Cake - Slice'!D78*12</f>
        <v>158.04</v>
      </c>
      <c r="E78" s="109">
        <f>'All Custard Custom Cake - Slice'!E78*12</f>
        <v>17.52</v>
      </c>
      <c r="F78" s="109">
        <f>'All Custard Custom Cake - Slice'!F78*12</f>
        <v>1.32</v>
      </c>
      <c r="G78" s="109">
        <f>'All Custard Custom Cake - Slice'!G78*12</f>
        <v>0</v>
      </c>
      <c r="H78" s="109">
        <f>'All Custard Custom Cake - Slice'!H78*12</f>
        <v>0</v>
      </c>
      <c r="I78" s="109">
        <f>'All Custard Custom Cake - Slice'!I78*12</f>
        <v>3.84</v>
      </c>
      <c r="J78" s="109">
        <f>'All Custard Custom Cake - Slice'!J78*12</f>
        <v>25.08</v>
      </c>
      <c r="K78" s="109">
        <f>'All Custard Custom Cake - Slice'!K78*12</f>
        <v>3</v>
      </c>
      <c r="L78" s="109">
        <f>'All Custard Custom Cake - Slice'!L78*12</f>
        <v>19.559999999999999</v>
      </c>
      <c r="M78" s="109">
        <f>'All Custard Custom Cake - Slice'!M78*12</f>
        <v>4.1999999999999993</v>
      </c>
      <c r="N78" s="109">
        <f>'All Custard Custom Cake - Slice'!N78*12</f>
        <v>0</v>
      </c>
      <c r="O78" s="109">
        <f>'All Custard Custom Cake - Slice'!O78*12</f>
        <v>0</v>
      </c>
      <c r="P78" s="109">
        <f>'All Custard Custom Cake - Slice'!P78*12</f>
        <v>0</v>
      </c>
      <c r="Q78" s="120">
        <f>'All Custard Custom Cake - Slice'!Q78*12</f>
        <v>0</v>
      </c>
    </row>
    <row r="79" spans="1:18">
      <c r="A79" s="18"/>
      <c r="B79" s="24"/>
      <c r="C79" s="18"/>
      <c r="D79" s="18"/>
      <c r="E79" s="18"/>
      <c r="F79" s="18"/>
      <c r="G79" s="18"/>
      <c r="H79" s="18"/>
      <c r="I79" s="18"/>
      <c r="J79" s="18"/>
      <c r="K79" s="18"/>
      <c r="L79" s="18"/>
      <c r="M79" s="18"/>
      <c r="N79" s="19"/>
      <c r="O79" s="19"/>
      <c r="P79" s="19"/>
      <c r="Q79" s="19"/>
    </row>
    <row r="80" spans="1:18" ht="18" thickBot="1">
      <c r="A80" s="1308" t="s">
        <v>541</v>
      </c>
      <c r="B80" s="1308"/>
      <c r="C80" s="1308"/>
      <c r="D80" s="1308"/>
      <c r="E80" s="1308"/>
      <c r="F80" s="1308"/>
      <c r="G80" s="1308"/>
      <c r="H80" s="1308"/>
      <c r="I80" s="1308"/>
      <c r="J80" s="1308"/>
      <c r="K80" s="1308"/>
      <c r="L80" s="1308"/>
      <c r="M80" s="1308"/>
      <c r="N80" s="1308"/>
      <c r="O80" s="1308"/>
      <c r="P80" s="1308"/>
      <c r="Q80" s="1308"/>
    </row>
    <row r="81" spans="1:17" ht="37.5" customHeight="1" thickBot="1">
      <c r="A81" s="13"/>
      <c r="B81" s="21" t="s">
        <v>3</v>
      </c>
      <c r="C81" s="1" t="s">
        <v>4</v>
      </c>
      <c r="D81" s="1" t="s">
        <v>5</v>
      </c>
      <c r="E81" s="1" t="s">
        <v>6</v>
      </c>
      <c r="F81" s="1" t="s">
        <v>7</v>
      </c>
      <c r="G81" s="1" t="s">
        <v>8</v>
      </c>
      <c r="H81" s="1" t="s">
        <v>9</v>
      </c>
      <c r="I81" s="1" t="s">
        <v>10</v>
      </c>
      <c r="J81" s="1" t="s">
        <v>11</v>
      </c>
      <c r="K81" s="1" t="s">
        <v>12</v>
      </c>
      <c r="L81" s="1" t="s">
        <v>502</v>
      </c>
      <c r="M81" s="1" t="s">
        <v>15</v>
      </c>
      <c r="N81" s="2" t="s">
        <v>503</v>
      </c>
      <c r="O81" s="2" t="s">
        <v>504</v>
      </c>
      <c r="P81" s="2" t="s">
        <v>19</v>
      </c>
      <c r="Q81" s="3" t="s">
        <v>21</v>
      </c>
    </row>
    <row r="82" spans="1:17">
      <c r="A82" s="1317" t="s">
        <v>542</v>
      </c>
      <c r="B82" s="59" t="s">
        <v>144</v>
      </c>
      <c r="C82" s="98">
        <f>'All Custard Custom Cake - Slice'!C82*12</f>
        <v>452.40000000000003</v>
      </c>
      <c r="D82" s="99">
        <f>'All Custard Custom Cake - Slice'!D82*12</f>
        <v>232.20000000000002</v>
      </c>
      <c r="E82" s="99">
        <f>'All Custard Custom Cake - Slice'!E82*12</f>
        <v>25.799999999999997</v>
      </c>
      <c r="F82" s="99">
        <f>'All Custard Custom Cake - Slice'!F82*12</f>
        <v>15.36</v>
      </c>
      <c r="G82" s="99">
        <f>'All Custard Custom Cake - Slice'!G82*12</f>
        <v>0</v>
      </c>
      <c r="H82" s="99">
        <f>'All Custard Custom Cake - Slice'!H82*12</f>
        <v>0</v>
      </c>
      <c r="I82" s="99">
        <f>'All Custard Custom Cake - Slice'!I82*12</f>
        <v>0.24</v>
      </c>
      <c r="J82" s="99">
        <f>'All Custard Custom Cake - Slice'!J82*12</f>
        <v>66.599999999999994</v>
      </c>
      <c r="K82" s="99">
        <f>'All Custard Custom Cake - Slice'!K82*12</f>
        <v>7.8000000000000007</v>
      </c>
      <c r="L82" s="99">
        <f>'All Custard Custom Cake - Slice'!L82*12</f>
        <v>53.760000000000005</v>
      </c>
      <c r="M82" s="99">
        <f>'All Custard Custom Cake - Slice'!M82*12</f>
        <v>4.92</v>
      </c>
      <c r="N82" s="99">
        <f>'All Custard Custom Cake - Slice'!N82*12</f>
        <v>0</v>
      </c>
      <c r="O82" s="99">
        <f>'All Custard Custom Cake - Slice'!O82*12</f>
        <v>0</v>
      </c>
      <c r="P82" s="99">
        <f>'All Custard Custom Cake - Slice'!P82*12</f>
        <v>24</v>
      </c>
      <c r="Q82" s="118">
        <f>'All Custard Custom Cake - Slice'!Q82*12</f>
        <v>180</v>
      </c>
    </row>
    <row r="83" spans="1:17">
      <c r="A83" s="1318"/>
      <c r="B83" s="56" t="s">
        <v>534</v>
      </c>
      <c r="C83" s="103">
        <f>'All Custard Custom Cake - Slice'!C83*12</f>
        <v>401.64</v>
      </c>
      <c r="D83" s="104">
        <f>'All Custard Custom Cake - Slice'!D83*12</f>
        <v>84</v>
      </c>
      <c r="E83" s="104">
        <f>'All Custard Custom Cake - Slice'!E83*12</f>
        <v>9.36</v>
      </c>
      <c r="F83" s="104">
        <f>'All Custard Custom Cake - Slice'!F83*12</f>
        <v>4.8000000000000007</v>
      </c>
      <c r="G83" s="104">
        <f>'All Custard Custom Cake - Slice'!G83*12</f>
        <v>0</v>
      </c>
      <c r="H83" s="104">
        <f>'All Custard Custom Cake - Slice'!H83*12</f>
        <v>0</v>
      </c>
      <c r="I83" s="104">
        <f>'All Custard Custom Cake - Slice'!I83*12</f>
        <v>603.48</v>
      </c>
      <c r="J83" s="104">
        <f>'All Custard Custom Cake - Slice'!J83*12</f>
        <v>79.199999999999989</v>
      </c>
      <c r="K83" s="104">
        <f>'All Custard Custom Cake - Slice'!K83*12</f>
        <v>5.04</v>
      </c>
      <c r="L83" s="104">
        <f>'All Custard Custom Cake - Slice'!L83*12</f>
        <v>30.72</v>
      </c>
      <c r="M83" s="104">
        <f>'All Custard Custom Cake - Slice'!M83*12</f>
        <v>5.88</v>
      </c>
      <c r="N83" s="104">
        <f>'All Custard Custom Cake - Slice'!N83*12</f>
        <v>0</v>
      </c>
      <c r="O83" s="104">
        <f>'All Custard Custom Cake - Slice'!O83*12</f>
        <v>0</v>
      </c>
      <c r="P83" s="104">
        <f>'All Custard Custom Cake - Slice'!P83*12</f>
        <v>180</v>
      </c>
      <c r="Q83" s="119">
        <f>'All Custard Custom Cake - Slice'!Q83*12</f>
        <v>0</v>
      </c>
    </row>
    <row r="84" spans="1:17">
      <c r="A84" s="1318"/>
      <c r="B84" s="56" t="s">
        <v>540</v>
      </c>
      <c r="C84" s="103">
        <f>'All Custard Custom Cake - Slice'!C84*12</f>
        <v>481.68</v>
      </c>
      <c r="D84" s="104">
        <f>'All Custard Custom Cake - Slice'!D84*12</f>
        <v>192</v>
      </c>
      <c r="E84" s="104">
        <f>'All Custard Custom Cake - Slice'!E84*12</f>
        <v>21.36</v>
      </c>
      <c r="F84" s="104">
        <f>'All Custard Custom Cake - Slice'!F84*12</f>
        <v>18.36</v>
      </c>
      <c r="G84" s="104">
        <f>'All Custard Custom Cake - Slice'!G84*12</f>
        <v>0.24</v>
      </c>
      <c r="H84" s="104">
        <f>'All Custard Custom Cake - Slice'!H84*12</f>
        <v>0.12</v>
      </c>
      <c r="I84" s="104">
        <f>'All Custard Custom Cake - Slice'!I84*12</f>
        <v>99.12</v>
      </c>
      <c r="J84" s="104">
        <f>'All Custard Custom Cake - Slice'!J84*12</f>
        <v>69.48</v>
      </c>
      <c r="K84" s="104">
        <f>'All Custard Custom Cake - Slice'!K84*12</f>
        <v>3.7199999999999998</v>
      </c>
      <c r="L84" s="104">
        <f>'All Custard Custom Cake - Slice'!L84*12</f>
        <v>35.519999999999996</v>
      </c>
      <c r="M84" s="104">
        <f>'All Custard Custom Cake - Slice'!M84*12</f>
        <v>3</v>
      </c>
      <c r="N84" s="104">
        <f>'All Custard Custom Cake - Slice'!N84*12</f>
        <v>180</v>
      </c>
      <c r="O84" s="104">
        <f>'All Custard Custom Cake - Slice'!O84*12</f>
        <v>120</v>
      </c>
      <c r="P84" s="104">
        <f>'All Custard Custom Cake - Slice'!P84*12</f>
        <v>0</v>
      </c>
      <c r="Q84" s="119">
        <f>'All Custard Custom Cake - Slice'!Q84*12</f>
        <v>120</v>
      </c>
    </row>
    <row r="85" spans="1:17">
      <c r="A85" s="1318"/>
      <c r="B85" s="56" t="s">
        <v>147</v>
      </c>
      <c r="C85" s="103">
        <f>'All Custard Custom Cake - Slice'!C85*12</f>
        <v>581.40000000000009</v>
      </c>
      <c r="D85" s="104">
        <f>'All Custard Custom Cake - Slice'!D85*12</f>
        <v>443.52</v>
      </c>
      <c r="E85" s="104">
        <f>'All Custard Custom Cake - Slice'!E85*12</f>
        <v>49.320000000000007</v>
      </c>
      <c r="F85" s="104">
        <f>'All Custard Custom Cake - Slice'!F85*12</f>
        <v>6.84</v>
      </c>
      <c r="G85" s="104">
        <f>'All Custard Custom Cake - Slice'!G85*12</f>
        <v>0</v>
      </c>
      <c r="H85" s="104">
        <f>'All Custard Custom Cake - Slice'!H85*12</f>
        <v>0</v>
      </c>
      <c r="I85" s="104">
        <f>'All Custard Custom Cake - Slice'!I85*12</f>
        <v>142.92000000000002</v>
      </c>
      <c r="J85" s="104">
        <f>'All Custard Custom Cake - Slice'!J85*12</f>
        <v>21.240000000000002</v>
      </c>
      <c r="K85" s="104">
        <f>'All Custard Custom Cake - Slice'!K85*12</f>
        <v>9.24</v>
      </c>
      <c r="L85" s="104">
        <f>'All Custard Custom Cake - Slice'!L85*12</f>
        <v>4.1999999999999993</v>
      </c>
      <c r="M85" s="104">
        <f>'All Custard Custom Cake - Slice'!M85*12</f>
        <v>23.52</v>
      </c>
      <c r="N85" s="104">
        <f>'All Custard Custom Cake - Slice'!N85*12</f>
        <v>24</v>
      </c>
      <c r="O85" s="104">
        <f>'All Custard Custom Cake - Slice'!O85*12</f>
        <v>0</v>
      </c>
      <c r="P85" s="104">
        <f>'All Custard Custom Cake - Slice'!P85*12</f>
        <v>24</v>
      </c>
      <c r="Q85" s="119">
        <f>'All Custard Custom Cake - Slice'!Q85*12</f>
        <v>0</v>
      </c>
    </row>
    <row r="86" spans="1:17">
      <c r="A86" s="1318"/>
      <c r="B86" s="56" t="s">
        <v>148</v>
      </c>
      <c r="C86" s="103">
        <f>'All Custard Custom Cake - Slice'!C86*12</f>
        <v>404.28</v>
      </c>
      <c r="D86" s="104">
        <f>'All Custard Custom Cake - Slice'!D86*12</f>
        <v>33.119999999999997</v>
      </c>
      <c r="E86" s="104">
        <f>'All Custard Custom Cake - Slice'!E86*12</f>
        <v>3.7199999999999998</v>
      </c>
      <c r="F86" s="104">
        <f>'All Custard Custom Cake - Slice'!F86*12</f>
        <v>3.7199999999999998</v>
      </c>
      <c r="G86" s="104">
        <f>'All Custard Custom Cake - Slice'!G86*12</f>
        <v>0</v>
      </c>
      <c r="H86" s="104">
        <f>'All Custard Custom Cake - Slice'!H86*12</f>
        <v>0</v>
      </c>
      <c r="I86" s="104">
        <f>'All Custard Custom Cake - Slice'!I86*12</f>
        <v>624.72</v>
      </c>
      <c r="J86" s="104">
        <f>'All Custard Custom Cake - Slice'!J86*12</f>
        <v>84.48</v>
      </c>
      <c r="K86" s="104">
        <f>'All Custard Custom Cake - Slice'!K86*12</f>
        <v>0</v>
      </c>
      <c r="L86" s="104">
        <f>'All Custard Custom Cake - Slice'!L86*12</f>
        <v>33.119999999999997</v>
      </c>
      <c r="M86" s="104">
        <f>'All Custard Custom Cake - Slice'!M86*12</f>
        <v>3.7199999999999998</v>
      </c>
      <c r="N86" s="104">
        <f>'All Custard Custom Cake - Slice'!N86*12</f>
        <v>0</v>
      </c>
      <c r="O86" s="104">
        <f>'All Custard Custom Cake - Slice'!O86*12</f>
        <v>0</v>
      </c>
      <c r="P86" s="104">
        <f>'All Custard Custom Cake - Slice'!P86*12</f>
        <v>24</v>
      </c>
      <c r="Q86" s="119">
        <f>'All Custard Custom Cake - Slice'!Q86*12</f>
        <v>0</v>
      </c>
    </row>
    <row r="87" spans="1:17">
      <c r="A87" s="1318"/>
      <c r="B87" s="56" t="s">
        <v>306</v>
      </c>
      <c r="C87" s="103">
        <f>'All Custard Custom Cake - Slice'!C87*12</f>
        <v>300.12</v>
      </c>
      <c r="D87" s="104">
        <f>'All Custard Custom Cake - Slice'!D87*12</f>
        <v>0</v>
      </c>
      <c r="E87" s="104">
        <f>'All Custard Custom Cake - Slice'!E87*12</f>
        <v>0</v>
      </c>
      <c r="F87" s="104">
        <f>'All Custard Custom Cake - Slice'!F87*12</f>
        <v>0</v>
      </c>
      <c r="G87" s="104">
        <f>'All Custard Custom Cake - Slice'!G87*12</f>
        <v>0</v>
      </c>
      <c r="H87" s="104">
        <f>'All Custard Custom Cake - Slice'!H87*12</f>
        <v>0</v>
      </c>
      <c r="I87" s="104">
        <f>'All Custard Custom Cake - Slice'!I87*12</f>
        <v>0</v>
      </c>
      <c r="J87" s="104">
        <f>'All Custard Custom Cake - Slice'!J87*12</f>
        <v>73.44</v>
      </c>
      <c r="K87" s="104">
        <f>'All Custard Custom Cake - Slice'!K87*12</f>
        <v>0</v>
      </c>
      <c r="L87" s="104">
        <f>'All Custard Custom Cake - Slice'!L87*12</f>
        <v>48</v>
      </c>
      <c r="M87" s="104">
        <f>'All Custard Custom Cake - Slice'!M87*12</f>
        <v>5.5200000000000005</v>
      </c>
      <c r="N87" s="104">
        <f>'All Custard Custom Cake - Slice'!N87*12</f>
        <v>0</v>
      </c>
      <c r="O87" s="104">
        <f>'All Custard Custom Cake - Slice'!O87*12</f>
        <v>0</v>
      </c>
      <c r="P87" s="104">
        <f>'All Custard Custom Cake - Slice'!P87*12</f>
        <v>0</v>
      </c>
      <c r="Q87" s="119">
        <f>'All Custard Custom Cake - Slice'!Q87*12</f>
        <v>0</v>
      </c>
    </row>
    <row r="88" spans="1:17">
      <c r="A88" s="1318"/>
      <c r="B88" s="56" t="s">
        <v>149</v>
      </c>
      <c r="C88" s="103">
        <f>'All Custard Custom Cake - Slice'!C88*12</f>
        <v>522.96</v>
      </c>
      <c r="D88" s="104">
        <f>'All Custard Custom Cake - Slice'!D88*12</f>
        <v>290.28000000000003</v>
      </c>
      <c r="E88" s="104">
        <f>'All Custard Custom Cake - Slice'!E88*12</f>
        <v>32.28</v>
      </c>
      <c r="F88" s="104">
        <f>'All Custard Custom Cake - Slice'!F88*12</f>
        <v>17.04</v>
      </c>
      <c r="G88" s="104">
        <f>'All Custard Custom Cake - Slice'!G88*12</f>
        <v>0.36</v>
      </c>
      <c r="H88" s="104">
        <f>'All Custard Custom Cake - Slice'!H88*12</f>
        <v>18.600000000000001</v>
      </c>
      <c r="I88" s="104">
        <f>'All Custard Custom Cake - Slice'!I88*12</f>
        <v>344.64</v>
      </c>
      <c r="J88" s="104">
        <f>'All Custard Custom Cake - Slice'!J88*12</f>
        <v>61.800000000000004</v>
      </c>
      <c r="K88" s="104">
        <f>'All Custard Custom Cake - Slice'!K88*12</f>
        <v>1.32</v>
      </c>
      <c r="L88" s="104">
        <f>'All Custard Custom Cake - Slice'!L88*12</f>
        <v>59.519999999999996</v>
      </c>
      <c r="M88" s="104">
        <f>'All Custard Custom Cake - Slice'!M88*12</f>
        <v>3.12</v>
      </c>
      <c r="N88" s="104">
        <f>'All Custard Custom Cake - Slice'!N88*12</f>
        <v>0</v>
      </c>
      <c r="O88" s="104">
        <f>'All Custard Custom Cake - Slice'!O88*12</f>
        <v>0</v>
      </c>
      <c r="P88" s="104">
        <f>'All Custard Custom Cake - Slice'!P88*12</f>
        <v>0</v>
      </c>
      <c r="Q88" s="119">
        <f>'All Custard Custom Cake - Slice'!Q88*12</f>
        <v>0</v>
      </c>
    </row>
    <row r="89" spans="1:17">
      <c r="A89" s="1318"/>
      <c r="B89" s="56" t="s">
        <v>150</v>
      </c>
      <c r="C89" s="103">
        <f>'All Custard Custom Cake - Slice'!C89*12</f>
        <v>315</v>
      </c>
      <c r="D89" s="104">
        <f>'All Custard Custom Cake - Slice'!D89*12</f>
        <v>17.5</v>
      </c>
      <c r="E89" s="104">
        <f>'All Custard Custom Cake - Slice'!E89*12</f>
        <v>0</v>
      </c>
      <c r="F89" s="104">
        <f>'All Custard Custom Cake - Slice'!F89*12</f>
        <v>0</v>
      </c>
      <c r="G89" s="104">
        <f>'All Custard Custom Cake - Slice'!G89*12</f>
        <v>0</v>
      </c>
      <c r="H89" s="104">
        <f>'All Custard Custom Cake - Slice'!H89*12</f>
        <v>0</v>
      </c>
      <c r="I89" s="104">
        <f>'All Custard Custom Cake - Slice'!I89*12</f>
        <v>175</v>
      </c>
      <c r="J89" s="104">
        <f>'All Custard Custom Cake - Slice'!J89*12</f>
        <v>73.5</v>
      </c>
      <c r="K89" s="104">
        <f>'All Custard Custom Cake - Slice'!K89*12</f>
        <v>0</v>
      </c>
      <c r="L89" s="104">
        <f>'All Custard Custom Cake - Slice'!L89*12</f>
        <v>52.5</v>
      </c>
      <c r="M89" s="104">
        <f>'All Custard Custom Cake - Slice'!M89*12</f>
        <v>0</v>
      </c>
      <c r="N89" s="104">
        <f>'All Custard Custom Cake - Slice'!N89*12</f>
        <v>0</v>
      </c>
      <c r="O89" s="104">
        <f>'All Custard Custom Cake - Slice'!O89*12</f>
        <v>0</v>
      </c>
      <c r="P89" s="104">
        <f>'All Custard Custom Cake - Slice'!P89*12</f>
        <v>0</v>
      </c>
      <c r="Q89" s="119">
        <f>'All Custard Custom Cake - Slice'!Q89*12</f>
        <v>0</v>
      </c>
    </row>
    <row r="90" spans="1:17">
      <c r="A90" s="1318"/>
      <c r="B90" s="56" t="s">
        <v>151</v>
      </c>
      <c r="C90" s="103">
        <v>180</v>
      </c>
      <c r="D90" s="104">
        <v>60</v>
      </c>
      <c r="E90" s="104">
        <v>7</v>
      </c>
      <c r="F90" s="104">
        <v>6</v>
      </c>
      <c r="G90" s="104">
        <v>0</v>
      </c>
      <c r="H90" s="104">
        <v>0</v>
      </c>
      <c r="I90" s="104">
        <v>90</v>
      </c>
      <c r="J90" s="104">
        <v>30</v>
      </c>
      <c r="K90" s="104">
        <v>0</v>
      </c>
      <c r="L90" s="104">
        <v>28</v>
      </c>
      <c r="M90" s="104">
        <v>2</v>
      </c>
      <c r="N90" s="104">
        <v>0</v>
      </c>
      <c r="O90" s="104">
        <v>0</v>
      </c>
      <c r="P90" s="104">
        <v>8</v>
      </c>
      <c r="Q90" s="119">
        <v>0</v>
      </c>
    </row>
    <row r="91" spans="1:17">
      <c r="A91" s="1318"/>
      <c r="B91" s="56" t="s">
        <v>535</v>
      </c>
      <c r="C91" s="103">
        <f>'All Custard Custom Cake - Slice'!C91*12</f>
        <v>428.40000000000003</v>
      </c>
      <c r="D91" s="104">
        <f>'All Custard Custom Cake - Slice'!D91*12</f>
        <v>94.56</v>
      </c>
      <c r="E91" s="104">
        <f>'All Custard Custom Cake - Slice'!E91*12</f>
        <v>10.56</v>
      </c>
      <c r="F91" s="104">
        <f>'All Custard Custom Cake - Slice'!F91*12</f>
        <v>6.12</v>
      </c>
      <c r="G91" s="104">
        <f>'All Custard Custom Cake - Slice'!G91*12</f>
        <v>0</v>
      </c>
      <c r="H91" s="104">
        <f>'All Custard Custom Cake - Slice'!H91*12</f>
        <v>0</v>
      </c>
      <c r="I91" s="104">
        <f>'All Custard Custom Cake - Slice'!I91*12</f>
        <v>219.12</v>
      </c>
      <c r="J91" s="104">
        <f>'All Custard Custom Cake - Slice'!J91*12</f>
        <v>85.679999999999993</v>
      </c>
      <c r="K91" s="104">
        <f>'All Custard Custom Cake - Slice'!K91*12</f>
        <v>0</v>
      </c>
      <c r="L91" s="104">
        <f>'All Custard Custom Cake - Slice'!L91*12</f>
        <v>70.679999999999993</v>
      </c>
      <c r="M91" s="104">
        <f>'All Custard Custom Cake - Slice'!M91*12</f>
        <v>0</v>
      </c>
      <c r="N91" s="104">
        <f>'All Custard Custom Cake - Slice'!N91*12</f>
        <v>0</v>
      </c>
      <c r="O91" s="104">
        <f>'All Custard Custom Cake - Slice'!O91*12</f>
        <v>0</v>
      </c>
      <c r="P91" s="104">
        <f>'All Custard Custom Cake - Slice'!P91*12</f>
        <v>0</v>
      </c>
      <c r="Q91" s="119">
        <f>'All Custard Custom Cake - Slice'!Q91*12</f>
        <v>0</v>
      </c>
    </row>
    <row r="92" spans="1:17" ht="15" customHeight="1">
      <c r="A92" s="1318"/>
      <c r="B92" s="56" t="s">
        <v>152</v>
      </c>
      <c r="C92" s="103">
        <f>'All Custard Custom Cake - Slice'!C92*12</f>
        <v>480</v>
      </c>
      <c r="D92" s="104">
        <f>'All Custard Custom Cake - Slice'!D92*12</f>
        <v>180</v>
      </c>
      <c r="E92" s="104">
        <f>'All Custard Custom Cake - Slice'!E92*12</f>
        <v>18</v>
      </c>
      <c r="F92" s="104">
        <f>'All Custard Custom Cake - Slice'!F92*12</f>
        <v>12</v>
      </c>
      <c r="G92" s="104">
        <f>'All Custard Custom Cake - Slice'!G92*12</f>
        <v>0</v>
      </c>
      <c r="H92" s="104">
        <f>'All Custard Custom Cake - Slice'!H92*12</f>
        <v>0</v>
      </c>
      <c r="I92" s="104">
        <f>'All Custard Custom Cake - Slice'!I92*12</f>
        <v>60</v>
      </c>
      <c r="J92" s="104">
        <f>'All Custard Custom Cake - Slice'!J92*12</f>
        <v>72</v>
      </c>
      <c r="K92" s="104">
        <f>'All Custard Custom Cake - Slice'!K92*12</f>
        <v>0</v>
      </c>
      <c r="L92" s="104">
        <f>'All Custard Custom Cake - Slice'!L92*12</f>
        <v>60</v>
      </c>
      <c r="M92" s="104">
        <f>'All Custard Custom Cake - Slice'!M92*12</f>
        <v>0</v>
      </c>
      <c r="N92" s="104">
        <f>'All Custard Custom Cake - Slice'!N92*12</f>
        <v>0</v>
      </c>
      <c r="O92" s="104">
        <f>'All Custard Custom Cake - Slice'!O92*12</f>
        <v>0</v>
      </c>
      <c r="P92" s="104">
        <f>'All Custard Custom Cake - Slice'!P92*12</f>
        <v>24</v>
      </c>
      <c r="Q92" s="119">
        <f>'All Custard Custom Cake - Slice'!Q92*12</f>
        <v>0</v>
      </c>
    </row>
    <row r="93" spans="1:17">
      <c r="A93" s="1318"/>
      <c r="B93" s="56" t="s">
        <v>422</v>
      </c>
      <c r="C93" s="103">
        <f>'All Custard Custom Cake - Slice'!C93*12</f>
        <v>198.48</v>
      </c>
      <c r="D93" s="104">
        <f>'All Custard Custom Cake - Slice'!D93*12</f>
        <v>0</v>
      </c>
      <c r="E93" s="104">
        <f>'All Custard Custom Cake - Slice'!E93*12</f>
        <v>0</v>
      </c>
      <c r="F93" s="104">
        <f>'All Custard Custom Cake - Slice'!F93*12</f>
        <v>0</v>
      </c>
      <c r="G93" s="104">
        <f>'All Custard Custom Cake - Slice'!G93*12</f>
        <v>0</v>
      </c>
      <c r="H93" s="104">
        <f>'All Custard Custom Cake - Slice'!H93*12</f>
        <v>0</v>
      </c>
      <c r="I93" s="104">
        <f>'All Custard Custom Cake - Slice'!I93*12</f>
        <v>0</v>
      </c>
      <c r="J93" s="104">
        <f>'All Custard Custom Cake - Slice'!J93*12</f>
        <v>39.72</v>
      </c>
      <c r="K93" s="104">
        <f>'All Custard Custom Cake - Slice'!K93*12</f>
        <v>0</v>
      </c>
      <c r="L93" s="104">
        <f>'All Custard Custom Cake - Slice'!L93*12</f>
        <v>19.799999999999997</v>
      </c>
      <c r="M93" s="104">
        <f>'All Custard Custom Cake - Slice'!M93*12</f>
        <v>0</v>
      </c>
      <c r="N93" s="104">
        <f>'All Custard Custom Cake - Slice'!N93*12</f>
        <v>0</v>
      </c>
      <c r="O93" s="104">
        <f>'All Custard Custom Cake - Slice'!O93*12</f>
        <v>0</v>
      </c>
      <c r="P93" s="104">
        <f>'All Custard Custom Cake - Slice'!P93*12</f>
        <v>0</v>
      </c>
      <c r="Q93" s="119">
        <f>'All Custard Custom Cake - Slice'!Q93*12</f>
        <v>48</v>
      </c>
    </row>
    <row r="94" spans="1:17">
      <c r="A94" s="1318"/>
      <c r="B94" s="56" t="s">
        <v>536</v>
      </c>
      <c r="C94" s="103">
        <f>'All Custard Custom Cake - Slice'!C94*12</f>
        <v>479.04</v>
      </c>
      <c r="D94" s="104">
        <f>'All Custard Custom Cake - Slice'!D94*12</f>
        <v>184.8</v>
      </c>
      <c r="E94" s="104">
        <f>'All Custard Custom Cake - Slice'!E94*12</f>
        <v>20.52</v>
      </c>
      <c r="F94" s="104">
        <f>'All Custard Custom Cake - Slice'!F94*12</f>
        <v>6.84</v>
      </c>
      <c r="G94" s="104">
        <f>'All Custard Custom Cake - Slice'!G94*12</f>
        <v>0.48</v>
      </c>
      <c r="H94" s="104">
        <f>'All Custard Custom Cake - Slice'!H94*12</f>
        <v>0</v>
      </c>
      <c r="I94" s="104">
        <f>'All Custard Custom Cake - Slice'!I94*12</f>
        <v>393.48</v>
      </c>
      <c r="J94" s="104">
        <f>'All Custard Custom Cake - Slice'!J94*12</f>
        <v>71.88</v>
      </c>
      <c r="K94" s="104">
        <f>'All Custard Custom Cake - Slice'!K94*12</f>
        <v>3.4799999999999995</v>
      </c>
      <c r="L94" s="104">
        <f>'All Custard Custom Cake - Slice'!L94*12</f>
        <v>41.04</v>
      </c>
      <c r="M94" s="104">
        <f>'All Custard Custom Cake - Slice'!M94*12</f>
        <v>3.4799999999999995</v>
      </c>
      <c r="N94" s="104">
        <f>'All Custard Custom Cake - Slice'!N94*12</f>
        <v>0</v>
      </c>
      <c r="O94" s="104">
        <f>'All Custard Custom Cake - Slice'!O94*12</f>
        <v>0</v>
      </c>
      <c r="P94" s="104">
        <f>'All Custard Custom Cake - Slice'!P94*12</f>
        <v>0</v>
      </c>
      <c r="Q94" s="119">
        <f>'All Custard Custom Cake - Slice'!Q94*12</f>
        <v>96</v>
      </c>
    </row>
    <row r="95" spans="1:17">
      <c r="A95" s="1318"/>
      <c r="B95" s="56" t="s">
        <v>154</v>
      </c>
      <c r="C95" s="103">
        <f>'All Custard Custom Cake - Slice'!C95*12</f>
        <v>372.12</v>
      </c>
      <c r="D95" s="104">
        <f>'All Custard Custom Cake - Slice'!D95*12</f>
        <v>0</v>
      </c>
      <c r="E95" s="104">
        <f>'All Custard Custom Cake - Slice'!E95*12</f>
        <v>0</v>
      </c>
      <c r="F95" s="104">
        <f>'All Custard Custom Cake - Slice'!F95*12</f>
        <v>0</v>
      </c>
      <c r="G95" s="104">
        <f>'All Custard Custom Cake - Slice'!G95*12</f>
        <v>0</v>
      </c>
      <c r="H95" s="104">
        <f>'All Custard Custom Cake - Slice'!H95*12</f>
        <v>0</v>
      </c>
      <c r="I95" s="104">
        <f>'All Custard Custom Cake - Slice'!I95*12</f>
        <v>7.1999999999999993</v>
      </c>
      <c r="J95" s="104">
        <f>'All Custard Custom Cake - Slice'!J95*12</f>
        <v>92.88</v>
      </c>
      <c r="K95" s="104">
        <f>'All Custard Custom Cake - Slice'!K95*12</f>
        <v>0</v>
      </c>
      <c r="L95" s="104">
        <f>'All Custard Custom Cake - Slice'!L95*12</f>
        <v>90.960000000000008</v>
      </c>
      <c r="M95" s="104">
        <f>'All Custard Custom Cake - Slice'!M95*12</f>
        <v>0</v>
      </c>
      <c r="N95" s="104">
        <f>'All Custard Custom Cake - Slice'!N96*12</f>
        <v>0</v>
      </c>
      <c r="O95" s="104">
        <f>'All Custard Custom Cake - Slice'!O96*12</f>
        <v>0</v>
      </c>
      <c r="P95" s="104">
        <f>'All Custard Custom Cake - Slice'!P96*12</f>
        <v>24</v>
      </c>
      <c r="Q95" s="119">
        <f>'All Custard Custom Cake - Slice'!Q96*12</f>
        <v>24</v>
      </c>
    </row>
    <row r="96" spans="1:17">
      <c r="A96" s="1318"/>
      <c r="B96" s="56" t="s">
        <v>155</v>
      </c>
      <c r="C96" s="103">
        <f>'All Custard Custom Cake - Slice'!C96*12</f>
        <v>429.96</v>
      </c>
      <c r="D96" s="104">
        <f>'All Custard Custom Cake - Slice'!D96*12</f>
        <v>95.28</v>
      </c>
      <c r="E96" s="104">
        <f>'All Custard Custom Cake - Slice'!E96*12</f>
        <v>10.56</v>
      </c>
      <c r="F96" s="104">
        <f>'All Custard Custom Cake - Slice'!F96*12</f>
        <v>5.16</v>
      </c>
      <c r="G96" s="104">
        <f>'All Custard Custom Cake - Slice'!G96*12</f>
        <v>0</v>
      </c>
      <c r="H96" s="104">
        <f>'All Custard Custom Cake - Slice'!H96*12</f>
        <v>8.64</v>
      </c>
      <c r="I96" s="104">
        <f>'All Custard Custom Cake - Slice'!I96*12</f>
        <v>531.59999999999991</v>
      </c>
      <c r="J96" s="104">
        <f>'All Custard Custom Cake - Slice'!J96*12</f>
        <v>78.599999999999994</v>
      </c>
      <c r="K96" s="104">
        <f>'All Custard Custom Cake - Slice'!K96*12</f>
        <v>1.44</v>
      </c>
      <c r="L96" s="104">
        <f>'All Custard Custom Cake - Slice'!L96*12</f>
        <v>36.24</v>
      </c>
      <c r="M96" s="104">
        <f>'All Custard Custom Cake - Slice'!M96*12</f>
        <v>5.04</v>
      </c>
      <c r="N96" s="104">
        <f>'All Custard Custom Cake - Slice'!N97*12</f>
        <v>0</v>
      </c>
      <c r="O96" s="104">
        <f>'All Custard Custom Cake - Slice'!O97*12</f>
        <v>0</v>
      </c>
      <c r="P96" s="104">
        <f>'All Custard Custom Cake - Slice'!P97*12</f>
        <v>24</v>
      </c>
      <c r="Q96" s="119">
        <f>'All Custard Custom Cake - Slice'!Q97*12</f>
        <v>72</v>
      </c>
    </row>
    <row r="97" spans="1:17">
      <c r="A97" s="1318"/>
      <c r="B97" s="56" t="s">
        <v>156</v>
      </c>
      <c r="C97" s="103">
        <f>'All Custard Custom Cake - Slice'!C97*12</f>
        <v>477.72</v>
      </c>
      <c r="D97" s="104">
        <f>'All Custard Custom Cake - Slice'!D97*12</f>
        <v>165.35999999999999</v>
      </c>
      <c r="E97" s="104">
        <f>'All Custard Custom Cake - Slice'!E97*12</f>
        <v>18.36</v>
      </c>
      <c r="F97" s="104">
        <f>'All Custard Custom Cake - Slice'!F97*12</f>
        <v>5.5200000000000005</v>
      </c>
      <c r="G97" s="104">
        <f>'All Custard Custom Cake - Slice'!G97*12</f>
        <v>0</v>
      </c>
      <c r="H97" s="104">
        <f>'All Custard Custom Cake - Slice'!H97*12</f>
        <v>0</v>
      </c>
      <c r="I97" s="104">
        <f>'All Custard Custom Cake - Slice'!I97*12</f>
        <v>551.28</v>
      </c>
      <c r="J97" s="104">
        <f>'All Custard Custom Cake - Slice'!J97*12</f>
        <v>69.84</v>
      </c>
      <c r="K97" s="104">
        <f>'All Custard Custom Cake - Slice'!K97*12</f>
        <v>3.7199999999999998</v>
      </c>
      <c r="L97" s="104">
        <f>'All Custard Custom Cake - Slice'!L97*12</f>
        <v>40.44</v>
      </c>
      <c r="M97" s="104">
        <f>'All Custard Custom Cake - Slice'!M97*12</f>
        <v>3.7199999999999998</v>
      </c>
      <c r="N97" s="104">
        <f>'All Custard Custom Cake - Slice'!N98*12</f>
        <v>0</v>
      </c>
      <c r="O97" s="104">
        <f>'All Custard Custom Cake - Slice'!O98*12</f>
        <v>0</v>
      </c>
      <c r="P97" s="104">
        <f>'All Custard Custom Cake - Slice'!P98*12</f>
        <v>24</v>
      </c>
      <c r="Q97" s="119">
        <f>'All Custard Custom Cake - Slice'!Q98*12</f>
        <v>0</v>
      </c>
    </row>
    <row r="98" spans="1:17">
      <c r="A98" s="1318"/>
      <c r="B98" s="56" t="s">
        <v>157</v>
      </c>
      <c r="C98" s="103">
        <f>'All Custard Custom Cake - Slice'!C98*12</f>
        <v>500.04</v>
      </c>
      <c r="D98" s="104">
        <f>'All Custard Custom Cake - Slice'!D98*12</f>
        <v>269.64</v>
      </c>
      <c r="E98" s="104">
        <f>'All Custard Custom Cake - Slice'!E98*12</f>
        <v>30</v>
      </c>
      <c r="F98" s="104">
        <f>'All Custard Custom Cake - Slice'!F98*12</f>
        <v>10.199999999999999</v>
      </c>
      <c r="G98" s="104">
        <f>'All Custard Custom Cake - Slice'!G98*12</f>
        <v>0.12</v>
      </c>
      <c r="H98" s="104">
        <f>'All Custard Custom Cake - Slice'!H98*12</f>
        <v>6.7200000000000006</v>
      </c>
      <c r="I98" s="104">
        <f>'All Custard Custom Cake - Slice'!I98*12</f>
        <v>383.88</v>
      </c>
      <c r="J98" s="104">
        <f>'All Custard Custom Cake - Slice'!J98*12</f>
        <v>54.72</v>
      </c>
      <c r="K98" s="104">
        <f>'All Custard Custom Cake - Slice'!K98*12</f>
        <v>3.84</v>
      </c>
      <c r="L98" s="104">
        <f>'All Custard Custom Cake - Slice'!L98*12</f>
        <v>47.160000000000004</v>
      </c>
      <c r="M98" s="104">
        <f>'All Custard Custom Cake - Slice'!M98*12</f>
        <v>11.399999999999999</v>
      </c>
      <c r="N98" s="104">
        <f>'All Custard Custom Cake - Slice'!N99*12</f>
        <v>0</v>
      </c>
      <c r="O98" s="104">
        <f>'All Custard Custom Cake - Slice'!O99*12</f>
        <v>0</v>
      </c>
      <c r="P98" s="104">
        <f>'All Custard Custom Cake - Slice'!P99*12</f>
        <v>24</v>
      </c>
      <c r="Q98" s="119">
        <f>'All Custard Custom Cake - Slice'!Q99*12</f>
        <v>24</v>
      </c>
    </row>
    <row r="99" spans="1:17">
      <c r="A99" s="1318"/>
      <c r="B99" s="56" t="s">
        <v>158</v>
      </c>
      <c r="C99" s="103">
        <f>'All Custard Custom Cake - Slice'!C99*12</f>
        <v>639.96</v>
      </c>
      <c r="D99" s="104">
        <f>'All Custard Custom Cake - Slice'!D99*12</f>
        <v>526.68000000000006</v>
      </c>
      <c r="E99" s="104">
        <f>'All Custard Custom Cake - Slice'!E99*12</f>
        <v>58.56</v>
      </c>
      <c r="F99" s="104">
        <f>'All Custard Custom Cake - Slice'!F99*12</f>
        <v>9.7200000000000006</v>
      </c>
      <c r="G99" s="104">
        <f>'All Custard Custom Cake - Slice'!G99*12</f>
        <v>0</v>
      </c>
      <c r="H99" s="104">
        <f>'All Custard Custom Cake - Slice'!H99*12</f>
        <v>0</v>
      </c>
      <c r="I99" s="104">
        <f>'All Custard Custom Cake - Slice'!I99*12</f>
        <v>433.56000000000006</v>
      </c>
      <c r="J99" s="104">
        <f>'All Custard Custom Cake - Slice'!J99*12</f>
        <v>18.240000000000002</v>
      </c>
      <c r="K99" s="104">
        <f>'All Custard Custom Cake - Slice'!K99*12</f>
        <v>6.36</v>
      </c>
      <c r="L99" s="104">
        <f>'All Custard Custom Cake - Slice'!L99*12</f>
        <v>9.24</v>
      </c>
      <c r="M99" s="104">
        <f>'All Custard Custom Cake - Slice'!M99*12</f>
        <v>19.32</v>
      </c>
      <c r="N99" s="104">
        <f>'All Custard Custom Cake - Slice'!N100*12</f>
        <v>0</v>
      </c>
      <c r="O99" s="104">
        <f>'All Custard Custom Cake - Slice'!O100*12</f>
        <v>0</v>
      </c>
      <c r="P99" s="104">
        <f>'All Custard Custom Cake - Slice'!P100*12</f>
        <v>0</v>
      </c>
      <c r="Q99" s="119">
        <f>'All Custard Custom Cake - Slice'!Q100*12</f>
        <v>0</v>
      </c>
    </row>
    <row r="100" spans="1:17">
      <c r="A100" s="1318"/>
      <c r="B100" s="56" t="s">
        <v>537</v>
      </c>
      <c r="C100" s="103">
        <f>'All Custard Custom Cake - Slice'!C100*12</f>
        <v>504</v>
      </c>
      <c r="D100" s="104">
        <f>'All Custard Custom Cake - Slice'!D100*12</f>
        <v>215.28000000000003</v>
      </c>
      <c r="E100" s="104">
        <f>'All Custard Custom Cake - Slice'!E100*12</f>
        <v>23.88</v>
      </c>
      <c r="F100" s="104">
        <f>'All Custard Custom Cake - Slice'!F100*12</f>
        <v>16.080000000000002</v>
      </c>
      <c r="G100" s="104">
        <f>'All Custard Custom Cake - Slice'!G100*12</f>
        <v>0.24</v>
      </c>
      <c r="H100" s="104">
        <f>'All Custard Custom Cake - Slice'!H100*12</f>
        <v>0</v>
      </c>
      <c r="I100" s="104">
        <f>'All Custard Custom Cake - Slice'!I100*12</f>
        <v>194.16</v>
      </c>
      <c r="J100" s="104">
        <f>'All Custard Custom Cake - Slice'!J100*12</f>
        <v>61.320000000000007</v>
      </c>
      <c r="K100" s="104">
        <f>'All Custard Custom Cake - Slice'!K100*12</f>
        <v>2.64</v>
      </c>
      <c r="L100" s="104">
        <f>'All Custard Custom Cake - Slice'!L100*12</f>
        <v>54.599999999999994</v>
      </c>
      <c r="M100" s="104">
        <f>'All Custard Custom Cake - Slice'!M100*12</f>
        <v>10.92</v>
      </c>
      <c r="N100" s="104">
        <f>'All Custard Custom Cake - Slice'!N101*12</f>
        <v>0</v>
      </c>
      <c r="O100" s="104">
        <f>'All Custard Custom Cake - Slice'!O101*12</f>
        <v>0</v>
      </c>
      <c r="P100" s="104">
        <f>'All Custard Custom Cake - Slice'!P101*12</f>
        <v>0</v>
      </c>
      <c r="Q100" s="119">
        <f>'All Custard Custom Cake - Slice'!Q101*12</f>
        <v>0</v>
      </c>
    </row>
    <row r="101" spans="1:17">
      <c r="A101" s="1318"/>
      <c r="B101" s="56" t="s">
        <v>159</v>
      </c>
      <c r="C101" s="103">
        <f>'All Custard Custom Cake - Slice'!C101*12</f>
        <v>480</v>
      </c>
      <c r="D101" s="104">
        <f>'All Custard Custom Cake - Slice'!D101*12</f>
        <v>180</v>
      </c>
      <c r="E101" s="104">
        <f>'All Custard Custom Cake - Slice'!E101*12</f>
        <v>24</v>
      </c>
      <c r="F101" s="104">
        <f>'All Custard Custom Cake - Slice'!F101*12</f>
        <v>6</v>
      </c>
      <c r="G101" s="104">
        <f>'All Custard Custom Cake - Slice'!G101*12</f>
        <v>0.48</v>
      </c>
      <c r="H101" s="104">
        <f>'All Custard Custom Cake - Slice'!H101*12</f>
        <v>0</v>
      </c>
      <c r="I101" s="104">
        <f>'All Custard Custom Cake - Slice'!I101*12</f>
        <v>240.71999999999997</v>
      </c>
      <c r="J101" s="104">
        <f>'All Custard Custom Cake - Slice'!J101*12</f>
        <v>60.96</v>
      </c>
      <c r="K101" s="104">
        <f>'All Custard Custom Cake - Slice'!K101*12</f>
        <v>0</v>
      </c>
      <c r="L101" s="104">
        <f>'All Custard Custom Cake - Slice'!L101*12</f>
        <v>48</v>
      </c>
      <c r="M101" s="104">
        <f>'All Custard Custom Cake - Slice'!M101*12</f>
        <v>12</v>
      </c>
      <c r="N101" s="104">
        <f>'All Custard Custom Cake - Slice'!N102*12</f>
        <v>0</v>
      </c>
      <c r="O101" s="104">
        <f>'All Custard Custom Cake - Slice'!O102*12</f>
        <v>120</v>
      </c>
      <c r="P101" s="104">
        <f>'All Custard Custom Cake - Slice'!P102*12</f>
        <v>0</v>
      </c>
      <c r="Q101" s="119">
        <f>'All Custard Custom Cake - Slice'!Q102*12</f>
        <v>0</v>
      </c>
    </row>
    <row r="102" spans="1:17">
      <c r="A102" s="1318"/>
      <c r="B102" s="56" t="s">
        <v>161</v>
      </c>
      <c r="C102" s="103">
        <f>'All Custard Custom Cake - Slice'!C102*12</f>
        <v>471.24</v>
      </c>
      <c r="D102" s="104">
        <f>'All Custard Custom Cake - Slice'!D102*12</f>
        <v>168.72</v>
      </c>
      <c r="E102" s="104">
        <f>'All Custard Custom Cake - Slice'!E102*12</f>
        <v>18.72</v>
      </c>
      <c r="F102" s="104">
        <f>'All Custard Custom Cake - Slice'!F102*12</f>
        <v>15.84</v>
      </c>
      <c r="G102" s="104">
        <f>'All Custard Custom Cake - Slice'!G102*12</f>
        <v>0.12</v>
      </c>
      <c r="H102" s="104">
        <f>'All Custard Custom Cake - Slice'!H102*12</f>
        <v>0.48</v>
      </c>
      <c r="I102" s="104">
        <f>'All Custard Custom Cake - Slice'!I102*12</f>
        <v>8.3999999999999986</v>
      </c>
      <c r="J102" s="104">
        <f>'All Custard Custom Cake - Slice'!J102*12</f>
        <v>78.239999999999995</v>
      </c>
      <c r="K102" s="104">
        <f>'All Custard Custom Cake - Slice'!K102*12</f>
        <v>0.24</v>
      </c>
      <c r="L102" s="104">
        <f>'All Custard Custom Cake - Slice'!L102*12</f>
        <v>47.76</v>
      </c>
      <c r="M102" s="104">
        <f>'All Custard Custom Cake - Slice'!M102*12</f>
        <v>0</v>
      </c>
      <c r="N102" s="104">
        <f>'All Custard Custom Cake - Slice'!N103*12</f>
        <v>0</v>
      </c>
      <c r="O102" s="104">
        <f>'All Custard Custom Cake - Slice'!O103*12</f>
        <v>0</v>
      </c>
      <c r="P102" s="104">
        <f>'All Custard Custom Cake - Slice'!P103*12</f>
        <v>24</v>
      </c>
      <c r="Q102" s="119">
        <f>'All Custard Custom Cake - Slice'!Q103*12</f>
        <v>24</v>
      </c>
    </row>
    <row r="103" spans="1:17">
      <c r="A103" s="1318"/>
      <c r="B103" s="56" t="s">
        <v>162</v>
      </c>
      <c r="C103" s="103">
        <f>'All Custard Custom Cake - Slice'!C103*12</f>
        <v>132.60000000000002</v>
      </c>
      <c r="D103" s="104">
        <f>'All Custard Custom Cake - Slice'!D103*12</f>
        <v>0.60000000000000009</v>
      </c>
      <c r="E103" s="104">
        <f>'All Custard Custom Cake - Slice'!E103*12</f>
        <v>0.12</v>
      </c>
      <c r="F103" s="104">
        <f>'All Custard Custom Cake - Slice'!F103*12</f>
        <v>0</v>
      </c>
      <c r="G103" s="104">
        <f>'All Custard Custom Cake - Slice'!G103*12</f>
        <v>0</v>
      </c>
      <c r="H103" s="104">
        <f>'All Custard Custom Cake - Slice'!H103*12</f>
        <v>0</v>
      </c>
      <c r="I103" s="104">
        <f>'All Custard Custom Cake - Slice'!I103*12</f>
        <v>18.36</v>
      </c>
      <c r="J103" s="104">
        <f>'All Custard Custom Cake - Slice'!J103*12</f>
        <v>36.24</v>
      </c>
      <c r="K103" s="104">
        <f>'All Custard Custom Cake - Slice'!K103*12</f>
        <v>1.2000000000000002</v>
      </c>
      <c r="L103" s="104">
        <f>'All Custard Custom Cake - Slice'!L103*12</f>
        <v>30.72</v>
      </c>
      <c r="M103" s="104">
        <f>'All Custard Custom Cake - Slice'!M103*12</f>
        <v>0.36</v>
      </c>
      <c r="N103" s="104">
        <f>'All Custard Custom Cake - Slice'!N104*12</f>
        <v>0</v>
      </c>
      <c r="O103" s="104">
        <f>'All Custard Custom Cake - Slice'!O104*12</f>
        <v>0</v>
      </c>
      <c r="P103" s="104">
        <f>'All Custard Custom Cake - Slice'!P104*12</f>
        <v>0</v>
      </c>
      <c r="Q103" s="119">
        <f>'All Custard Custom Cake - Slice'!Q104*12</f>
        <v>0</v>
      </c>
    </row>
    <row r="104" spans="1:17" ht="15" thickBot="1">
      <c r="A104" s="1319"/>
      <c r="B104" s="60" t="s">
        <v>163</v>
      </c>
      <c r="C104" s="108">
        <f>'All Custard Custom Cake - Slice'!C104*12</f>
        <v>481.43999999999994</v>
      </c>
      <c r="D104" s="109">
        <f>'All Custard Custom Cake - Slice'!D104*12</f>
        <v>276.48</v>
      </c>
      <c r="E104" s="109">
        <f>'All Custard Custom Cake - Slice'!E104*12</f>
        <v>30.72</v>
      </c>
      <c r="F104" s="109">
        <f>'All Custard Custom Cake - Slice'!F104*12</f>
        <v>2.2800000000000002</v>
      </c>
      <c r="G104" s="109">
        <f>'All Custard Custom Cake - Slice'!G104*12</f>
        <v>0</v>
      </c>
      <c r="H104" s="109">
        <f>'All Custard Custom Cake - Slice'!H104*12</f>
        <v>0</v>
      </c>
      <c r="I104" s="109">
        <f>'All Custard Custom Cake - Slice'!I104*12</f>
        <v>6.6000000000000005</v>
      </c>
      <c r="J104" s="109">
        <f>'All Custard Custom Cake - Slice'!J104*12</f>
        <v>43.8</v>
      </c>
      <c r="K104" s="109">
        <f>'All Custard Custom Cake - Slice'!K104*12</f>
        <v>5.16</v>
      </c>
      <c r="L104" s="109">
        <f>'All Custard Custom Cake - Slice'!L104*12</f>
        <v>34.32</v>
      </c>
      <c r="M104" s="109">
        <f>'All Custard Custom Cake - Slice'!M104*12</f>
        <v>7.32</v>
      </c>
      <c r="N104" s="109">
        <f>'All Custard Custom Cake - Slice'!N104*12</f>
        <v>0</v>
      </c>
      <c r="O104" s="109">
        <f>'All Custard Custom Cake - Slice'!O104*12</f>
        <v>0</v>
      </c>
      <c r="P104" s="109">
        <f>'All Custard Custom Cake - Slice'!P104*12</f>
        <v>0</v>
      </c>
      <c r="Q104" s="120">
        <f>'All Custard Custom Cake - Slice'!Q104*12</f>
        <v>0</v>
      </c>
    </row>
    <row r="105" spans="1:17">
      <c r="A105" s="18"/>
      <c r="B105" s="24"/>
      <c r="C105" s="18"/>
      <c r="D105" s="18"/>
      <c r="E105" s="18"/>
      <c r="F105" s="18"/>
      <c r="G105" s="18"/>
      <c r="H105" s="18"/>
      <c r="I105" s="18"/>
      <c r="J105" s="18"/>
      <c r="K105" s="18"/>
      <c r="L105" s="18"/>
      <c r="M105" s="18"/>
      <c r="N105" s="19"/>
      <c r="O105" s="19"/>
      <c r="P105" s="19"/>
      <c r="Q105" s="19"/>
    </row>
    <row r="106" spans="1:17" ht="18" thickBot="1">
      <c r="A106" s="1308" t="s">
        <v>543</v>
      </c>
      <c r="B106" s="1308"/>
      <c r="C106" s="1226"/>
      <c r="D106" s="1226"/>
      <c r="E106" s="1226"/>
      <c r="F106" s="1226"/>
      <c r="G106" s="1226"/>
      <c r="H106" s="1226"/>
      <c r="I106" s="1226"/>
      <c r="J106" s="1226"/>
      <c r="K106" s="1226"/>
      <c r="L106" s="1226"/>
      <c r="M106" s="1226"/>
      <c r="N106" s="1226"/>
      <c r="O106" s="1226"/>
      <c r="P106" s="1226"/>
      <c r="Q106" s="1226"/>
    </row>
    <row r="107" spans="1:17" ht="37.5" customHeight="1" thickBot="1">
      <c r="A107" s="13"/>
      <c r="B107" s="25" t="s">
        <v>3</v>
      </c>
      <c r="C107" s="51" t="s">
        <v>4</v>
      </c>
      <c r="D107" s="51" t="s">
        <v>5</v>
      </c>
      <c r="E107" s="51" t="s">
        <v>6</v>
      </c>
      <c r="F107" s="51" t="s">
        <v>7</v>
      </c>
      <c r="G107" s="51" t="s">
        <v>8</v>
      </c>
      <c r="H107" s="51" t="s">
        <v>9</v>
      </c>
      <c r="I107" s="51" t="s">
        <v>10</v>
      </c>
      <c r="J107" s="51" t="s">
        <v>11</v>
      </c>
      <c r="K107" s="51" t="s">
        <v>12</v>
      </c>
      <c r="L107" s="51" t="s">
        <v>502</v>
      </c>
      <c r="M107" s="51" t="s">
        <v>15</v>
      </c>
      <c r="N107" s="52" t="s">
        <v>503</v>
      </c>
      <c r="O107" s="52" t="s">
        <v>504</v>
      </c>
      <c r="P107" s="52" t="s">
        <v>19</v>
      </c>
      <c r="Q107" s="52" t="s">
        <v>21</v>
      </c>
    </row>
    <row r="108" spans="1:17">
      <c r="A108" s="1321" t="s">
        <v>544</v>
      </c>
      <c r="B108" s="57" t="s">
        <v>129</v>
      </c>
      <c r="C108" s="98">
        <f>'All Custard Custom Cake - Slice'!C108*12</f>
        <v>872.76</v>
      </c>
      <c r="D108" s="99">
        <f>'All Custard Custom Cake - Slice'!D108*12</f>
        <v>484.32</v>
      </c>
      <c r="E108" s="99">
        <f>'All Custard Custom Cake - Slice'!E108*12</f>
        <v>53.760000000000005</v>
      </c>
      <c r="F108" s="99">
        <f>'All Custard Custom Cake - Slice'!F108*12</f>
        <v>53.400000000000006</v>
      </c>
      <c r="G108" s="99">
        <f>'All Custard Custom Cake - Slice'!G108*12</f>
        <v>0.48</v>
      </c>
      <c r="H108" s="99">
        <f>'All Custard Custom Cake - Slice'!H108*12</f>
        <v>0.84000000000000008</v>
      </c>
      <c r="I108" s="99">
        <f>'All Custard Custom Cake - Slice'!I108*12</f>
        <v>158.76</v>
      </c>
      <c r="J108" s="99">
        <f>'All Custard Custom Cake - Slice'!J108*12</f>
        <v>92.16</v>
      </c>
      <c r="K108" s="99">
        <f>'All Custard Custom Cake - Slice'!K108*12</f>
        <v>2.52</v>
      </c>
      <c r="L108" s="99">
        <f>'All Custard Custom Cake - Slice'!L108*12</f>
        <v>75.239999999999995</v>
      </c>
      <c r="M108" s="99">
        <f>'All Custard Custom Cake - Slice'!M108*12</f>
        <v>4.92</v>
      </c>
      <c r="N108" s="99">
        <f>'All Custard Custom Cake - Slice'!N108*12</f>
        <v>10.44</v>
      </c>
      <c r="O108" s="99">
        <f>'All Custard Custom Cake - Slice'!O108*12</f>
        <v>0</v>
      </c>
      <c r="P108" s="99">
        <f>'All Custard Custom Cake - Slice'!P108*12</f>
        <v>16.559999999999999</v>
      </c>
      <c r="Q108" s="118">
        <f>'All Custard Custom Cake - Slice'!Q108*12</f>
        <v>2.04</v>
      </c>
    </row>
    <row r="109" spans="1:17" ht="15" thickBot="1">
      <c r="A109" s="1322"/>
      <c r="B109" s="58" t="s">
        <v>130</v>
      </c>
      <c r="C109" s="108">
        <f>'All Custard Custom Cake - Slice'!C109*12</f>
        <v>917.40000000000009</v>
      </c>
      <c r="D109" s="109">
        <f>'All Custard Custom Cake - Slice'!D109*12</f>
        <v>551.52</v>
      </c>
      <c r="E109" s="109">
        <f>'All Custard Custom Cake - Slice'!E109*12</f>
        <v>61.320000000000007</v>
      </c>
      <c r="F109" s="109">
        <f>'All Custard Custom Cake - Slice'!F109*12</f>
        <v>61.08</v>
      </c>
      <c r="G109" s="109">
        <f>'All Custard Custom Cake - Slice'!G109*12</f>
        <v>0.12</v>
      </c>
      <c r="H109" s="109">
        <f>'All Custard Custom Cake - Slice'!H109*12</f>
        <v>0.48</v>
      </c>
      <c r="I109" s="109">
        <f>'All Custard Custom Cake - Slice'!I109*12</f>
        <v>137.04</v>
      </c>
      <c r="J109" s="109">
        <f>'All Custard Custom Cake - Slice'!J109*12</f>
        <v>88.679999999999993</v>
      </c>
      <c r="K109" s="109">
        <f>'All Custard Custom Cake - Slice'!K109*12</f>
        <v>0.24</v>
      </c>
      <c r="L109" s="109">
        <f>'All Custard Custom Cake - Slice'!L109*12</f>
        <v>80.64</v>
      </c>
      <c r="M109" s="109">
        <f>'All Custard Custom Cake - Slice'!M109*12</f>
        <v>2.64</v>
      </c>
      <c r="N109" s="109">
        <f>'All Custard Custom Cake - Slice'!N109*12</f>
        <v>2.2800000000000002</v>
      </c>
      <c r="O109" s="109">
        <f>'All Custard Custom Cake - Slice'!O109*12</f>
        <v>0</v>
      </c>
      <c r="P109" s="109">
        <f>'All Custard Custom Cake - Slice'!P109*12</f>
        <v>5.04</v>
      </c>
      <c r="Q109" s="120">
        <f>'All Custard Custom Cake - Slice'!Q109*12</f>
        <v>0.12</v>
      </c>
    </row>
    <row r="110" spans="1:17">
      <c r="A110" s="14"/>
      <c r="B110" s="22"/>
      <c r="C110" s="15"/>
      <c r="D110" s="15"/>
      <c r="E110" s="15"/>
      <c r="F110" s="15"/>
      <c r="G110" s="15"/>
      <c r="H110" s="15"/>
      <c r="I110" s="15"/>
      <c r="J110" s="15"/>
      <c r="K110" s="15"/>
      <c r="L110" s="15"/>
      <c r="M110" s="15"/>
      <c r="N110" s="15"/>
      <c r="O110" s="15"/>
      <c r="P110" s="15"/>
      <c r="Q110" s="15"/>
    </row>
    <row r="111" spans="1:17" ht="18" thickBot="1">
      <c r="A111" s="1308" t="s">
        <v>545</v>
      </c>
      <c r="B111" s="1308"/>
      <c r="C111" s="1226"/>
      <c r="D111" s="1226"/>
      <c r="E111" s="1226"/>
      <c r="F111" s="1226"/>
      <c r="G111" s="1226"/>
      <c r="H111" s="1226"/>
      <c r="I111" s="1226"/>
      <c r="J111" s="1226"/>
      <c r="K111" s="1226"/>
      <c r="L111" s="1226"/>
      <c r="M111" s="1226"/>
      <c r="N111" s="1226"/>
      <c r="O111" s="1226"/>
      <c r="P111" s="1226"/>
      <c r="Q111" s="1226"/>
    </row>
    <row r="112" spans="1:17" ht="37.5" customHeight="1" thickBot="1">
      <c r="A112" s="13"/>
      <c r="B112" s="25" t="s">
        <v>3</v>
      </c>
      <c r="C112" s="51" t="s">
        <v>4</v>
      </c>
      <c r="D112" s="51" t="s">
        <v>5</v>
      </c>
      <c r="E112" s="51" t="s">
        <v>6</v>
      </c>
      <c r="F112" s="51" t="s">
        <v>7</v>
      </c>
      <c r="G112" s="51" t="s">
        <v>8</v>
      </c>
      <c r="H112" s="51" t="s">
        <v>9</v>
      </c>
      <c r="I112" s="51" t="s">
        <v>10</v>
      </c>
      <c r="J112" s="51" t="s">
        <v>11</v>
      </c>
      <c r="K112" s="51" t="s">
        <v>12</v>
      </c>
      <c r="L112" s="51" t="s">
        <v>502</v>
      </c>
      <c r="M112" s="51" t="s">
        <v>15</v>
      </c>
      <c r="N112" s="52" t="s">
        <v>503</v>
      </c>
      <c r="O112" s="52" t="s">
        <v>504</v>
      </c>
      <c r="P112" s="52" t="s">
        <v>19</v>
      </c>
      <c r="Q112" s="52" t="s">
        <v>21</v>
      </c>
    </row>
    <row r="113" spans="1:17">
      <c r="A113" s="1321" t="s">
        <v>546</v>
      </c>
      <c r="B113" s="57" t="s">
        <v>129</v>
      </c>
      <c r="C113" s="98">
        <f>'All Custard Custom Cake - Slice'!C114*12</f>
        <v>872.76</v>
      </c>
      <c r="D113" s="99">
        <f>'All Custard Custom Cake - Slice'!D114*12</f>
        <v>484.32</v>
      </c>
      <c r="E113" s="99">
        <f>'All Custard Custom Cake - Slice'!E114*12</f>
        <v>53.760000000000005</v>
      </c>
      <c r="F113" s="99">
        <f>'All Custard Custom Cake - Slice'!F114*12</f>
        <v>53.400000000000006</v>
      </c>
      <c r="G113" s="99">
        <f>'All Custard Custom Cake - Slice'!G114*12</f>
        <v>0.48</v>
      </c>
      <c r="H113" s="99">
        <f>'All Custard Custom Cake - Slice'!H114*12</f>
        <v>0.84000000000000008</v>
      </c>
      <c r="I113" s="99">
        <f>'All Custard Custom Cake - Slice'!I114*12</f>
        <v>158.76</v>
      </c>
      <c r="J113" s="99">
        <f>'All Custard Custom Cake - Slice'!J114*12</f>
        <v>92.16</v>
      </c>
      <c r="K113" s="99">
        <f>'All Custard Custom Cake - Slice'!K114*12</f>
        <v>2.52</v>
      </c>
      <c r="L113" s="99">
        <f>'All Custard Custom Cake - Slice'!L114*12</f>
        <v>75.239999999999995</v>
      </c>
      <c r="M113" s="99">
        <f>'All Custard Custom Cake - Slice'!M114*12</f>
        <v>4.92</v>
      </c>
      <c r="N113" s="99">
        <f>'All Custard Custom Cake - Slice'!N114*12</f>
        <v>10.44</v>
      </c>
      <c r="O113" s="99">
        <f>'All Custard Custom Cake - Slice'!O114*12</f>
        <v>0</v>
      </c>
      <c r="P113" s="99">
        <f>'All Custard Custom Cake - Slice'!P114*12</f>
        <v>16.559999999999999</v>
      </c>
      <c r="Q113" s="118">
        <f>'All Custard Custom Cake - Slice'!Q114*12</f>
        <v>2.04</v>
      </c>
    </row>
    <row r="114" spans="1:17" ht="15" thickBot="1">
      <c r="A114" s="1322"/>
      <c r="B114" s="58" t="s">
        <v>130</v>
      </c>
      <c r="C114" s="108">
        <f>'All Custard Custom Cake - Slice'!C113*12</f>
        <v>917.40000000000009</v>
      </c>
      <c r="D114" s="109">
        <f>'All Custard Custom Cake - Slice'!D113*12</f>
        <v>551.52</v>
      </c>
      <c r="E114" s="109">
        <f>'All Custard Custom Cake - Slice'!E113*12</f>
        <v>61.320000000000007</v>
      </c>
      <c r="F114" s="109">
        <f>'All Custard Custom Cake - Slice'!F113*12</f>
        <v>61.08</v>
      </c>
      <c r="G114" s="109">
        <f>'All Custard Custom Cake - Slice'!G113*12</f>
        <v>0.12</v>
      </c>
      <c r="H114" s="109">
        <f>'All Custard Custom Cake - Slice'!H113*12</f>
        <v>0.48</v>
      </c>
      <c r="I114" s="109">
        <f>'All Custard Custom Cake - Slice'!I113*12</f>
        <v>137.04</v>
      </c>
      <c r="J114" s="109">
        <f>'All Custard Custom Cake - Slice'!J113*12</f>
        <v>88.679999999999993</v>
      </c>
      <c r="K114" s="109">
        <f>'All Custard Custom Cake - Slice'!K113*12</f>
        <v>0.24</v>
      </c>
      <c r="L114" s="109">
        <f>'All Custard Custom Cake - Slice'!L113*12</f>
        <v>80.64</v>
      </c>
      <c r="M114" s="109">
        <f>'All Custard Custom Cake - Slice'!M113*12</f>
        <v>2.64</v>
      </c>
      <c r="N114" s="109">
        <f>'All Custard Custom Cake - Slice'!N113*12</f>
        <v>2.2800000000000002</v>
      </c>
      <c r="O114" s="109">
        <f>'All Custard Custom Cake - Slice'!O113*12</f>
        <v>0</v>
      </c>
      <c r="P114" s="109">
        <f>'All Custard Custom Cake - Slice'!P113*12</f>
        <v>5.04</v>
      </c>
      <c r="Q114" s="120">
        <f>'All Custard Custom Cake - Slice'!Q113*12</f>
        <v>0.12</v>
      </c>
    </row>
    <row r="116" spans="1:17">
      <c r="B116" s="1227" t="s">
        <v>168</v>
      </c>
      <c r="C116" s="1227"/>
      <c r="D116" s="1227"/>
      <c r="E116" s="1227"/>
      <c r="F116" s="1227"/>
      <c r="G116" s="1227"/>
      <c r="H116" s="1227"/>
      <c r="I116" s="1227"/>
      <c r="J116" s="1227"/>
      <c r="K116" s="1227"/>
      <c r="L116" s="1227"/>
      <c r="M116" s="1227"/>
      <c r="N116" s="1227"/>
      <c r="O116" s="1227"/>
      <c r="P116" s="1227"/>
      <c r="Q116" s="1227"/>
    </row>
    <row r="117" spans="1:17">
      <c r="B117" s="1227"/>
      <c r="C117" s="1227"/>
      <c r="D117" s="1227"/>
      <c r="E117" s="1227"/>
      <c r="F117" s="1227"/>
      <c r="G117" s="1227"/>
      <c r="H117" s="1227"/>
      <c r="I117" s="1227"/>
      <c r="J117" s="1227"/>
      <c r="K117" s="1227"/>
      <c r="L117" s="1227"/>
      <c r="M117" s="1227"/>
      <c r="N117" s="1227"/>
      <c r="O117" s="1227"/>
      <c r="P117" s="1227"/>
      <c r="Q117" s="1227"/>
    </row>
    <row r="118" spans="1:17">
      <c r="B118" s="1227"/>
      <c r="C118" s="1227"/>
      <c r="D118" s="1227"/>
      <c r="E118" s="1227"/>
      <c r="F118" s="1227"/>
      <c r="G118" s="1227"/>
      <c r="H118" s="1227"/>
      <c r="I118" s="1227"/>
      <c r="J118" s="1227"/>
      <c r="K118" s="1227"/>
      <c r="L118" s="1227"/>
      <c r="M118" s="1227"/>
      <c r="N118" s="1227"/>
      <c r="O118" s="1227"/>
      <c r="P118" s="1227"/>
      <c r="Q118" s="1227"/>
    </row>
    <row r="120" spans="1:17">
      <c r="B120" s="5" t="s">
        <v>550</v>
      </c>
      <c r="C120" s="4">
        <f>(AVERAGE(C5:C19)+AVERAGE(C23:C26)+AVERAGE(C30:C52)+AVERAGE(C56:C78)+AVERAGE(C82:C104)+AVERAGE(C108:C109)+AVERAGE(C113:C114))</f>
        <v>4930.6066956521736</v>
      </c>
      <c r="D120" s="4">
        <f t="shared" ref="D120:Q120" si="0">(AVERAGE(D5:D19)+AVERAGE(D23:D26)+AVERAGE(D30:D52)+AVERAGE(D56:D78)+AVERAGE(D82:D104)+AVERAGE(D108:D109)+AVERAGE(D113:D114))</f>
        <v>2395.2059130434782</v>
      </c>
      <c r="E120" s="4">
        <f t="shared" si="0"/>
        <v>265.31513043478265</v>
      </c>
      <c r="F120" s="4">
        <f t="shared" si="0"/>
        <v>186.1708695652174</v>
      </c>
      <c r="G120" s="4">
        <f t="shared" si="0"/>
        <v>0.84521739130434792</v>
      </c>
      <c r="H120" s="4">
        <f t="shared" si="0"/>
        <v>362.54121739130431</v>
      </c>
      <c r="I120" s="4">
        <f t="shared" si="0"/>
        <v>2139.0878260869563</v>
      </c>
      <c r="J120" s="4">
        <f t="shared" si="0"/>
        <v>598.27695652173907</v>
      </c>
      <c r="K120" s="4">
        <f t="shared" si="0"/>
        <v>14.055217391304346</v>
      </c>
      <c r="L120" s="4">
        <f t="shared" si="0"/>
        <v>464.2206956521739</v>
      </c>
      <c r="M120" s="4">
        <f t="shared" si="0"/>
        <v>57.500956521739134</v>
      </c>
      <c r="N120" s="4">
        <f t="shared" si="0"/>
        <v>88.372173913043468</v>
      </c>
      <c r="O120" s="4">
        <f t="shared" si="0"/>
        <v>40.784347826086957</v>
      </c>
      <c r="P120" s="4">
        <f t="shared" si="0"/>
        <v>188.63173913043482</v>
      </c>
      <c r="Q120" s="4">
        <f t="shared" si="0"/>
        <v>92.548434782608695</v>
      </c>
    </row>
    <row r="121" spans="1:17" ht="29.15">
      <c r="B121" s="5" t="s">
        <v>551</v>
      </c>
      <c r="C121" s="4" t="str">
        <f>(ROUND((MIN(C5:C19)+MIN(C23:C26)+MIN(C30:C52)+MIN(C56:C78)+MIN(C82:C104)+MIN(C108:C109)+MIN(C113:C114)),0)&amp;" - "&amp;ROUND((MAX(C5:C19)+MAX(C23:C26)+MAX(C30:C52)+MAX(C56:C78)+MAX(C82:C104)+MAX(C108:C109)+MAX(C113:C114)),0))</f>
        <v>3525 - 6225</v>
      </c>
      <c r="D121" s="4" t="str">
        <f t="shared" ref="D121:Q121" si="1">(ROUND((MIN(D5:D19)+MIN(D23:D26)+MIN(D30:D52)+MIN(D56:D78)+MIN(D82:D104)+MIN(D108:D109)+MIN(D113:D114)),0)&amp;" - "&amp;ROUND((MAX(D5:D19)+MAX(D23:D26)+MAX(D30:D52)+MAX(D56:D78)+MAX(D82:D104)+MAX(D108:D109)+MAX(D113:D114)),0))</f>
        <v>1480 - 4298</v>
      </c>
      <c r="E121" s="4" t="str">
        <f t="shared" si="1"/>
        <v>164 - 478</v>
      </c>
      <c r="F121" s="4" t="str">
        <f t="shared" si="1"/>
        <v>141 - 240</v>
      </c>
      <c r="G121" s="4" t="str">
        <f t="shared" si="1"/>
        <v>0 - 3</v>
      </c>
      <c r="H121" s="4" t="str">
        <f t="shared" si="1"/>
        <v>313 - 431</v>
      </c>
      <c r="I121" s="4" t="str">
        <f t="shared" si="1"/>
        <v>958 - 3936</v>
      </c>
      <c r="J121" s="4" t="str">
        <f t="shared" si="1"/>
        <v>397 - 769</v>
      </c>
      <c r="K121" s="4" t="str">
        <f t="shared" si="1"/>
        <v>0 - 46</v>
      </c>
      <c r="L121" s="4" t="str">
        <f t="shared" si="1"/>
        <v>280 - 669</v>
      </c>
      <c r="M121" s="4" t="str">
        <f t="shared" si="1"/>
        <v>26 - 143</v>
      </c>
      <c r="N121" s="4" t="str">
        <f t="shared" si="1"/>
        <v>53 - 609</v>
      </c>
      <c r="O121" s="4" t="str">
        <f t="shared" si="1"/>
        <v>0 - 398</v>
      </c>
      <c r="P121" s="4" t="str">
        <f t="shared" si="1"/>
        <v>58 - 764</v>
      </c>
      <c r="Q121" s="4" t="str">
        <f t="shared" si="1"/>
        <v>0 - 574</v>
      </c>
    </row>
  </sheetData>
  <sortState xmlns:xlrd2="http://schemas.microsoft.com/office/spreadsheetml/2017/richdata2" ref="B121:Q122">
    <sortCondition ref="B121"/>
  </sortState>
  <mergeCells count="17">
    <mergeCell ref="B116:Q118"/>
    <mergeCell ref="A106:Q106"/>
    <mergeCell ref="A108:A109"/>
    <mergeCell ref="A111:Q111"/>
    <mergeCell ref="A113:A114"/>
    <mergeCell ref="A82:A104"/>
    <mergeCell ref="A23:A26"/>
    <mergeCell ref="A1:Q1"/>
    <mergeCell ref="A2:Q2"/>
    <mergeCell ref="A3:Q3"/>
    <mergeCell ref="A5:A19"/>
    <mergeCell ref="A21:Q21"/>
    <mergeCell ref="A28:Q28"/>
    <mergeCell ref="A30:A52"/>
    <mergeCell ref="A54:Q54"/>
    <mergeCell ref="A56:A78"/>
    <mergeCell ref="A80:Q80"/>
  </mergeCells>
  <pageMargins left="0.7" right="0.7" top="0.75" bottom="0.75" header="0.3" footer="0.3"/>
  <pageSetup scale="60" fitToHeight="0" orientation="landscape" r:id="rId1"/>
  <headerFooter>
    <oddHeader>&amp;LRita's Nutrition Supplement&amp;RUpdated:  8/23/16</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0000"/>
    <pageSetUpPr fitToPage="1"/>
  </sheetPr>
  <dimension ref="A1:X160"/>
  <sheetViews>
    <sheetView zoomScale="70" zoomScaleNormal="70" workbookViewId="0">
      <selection activeCell="E105" sqref="E105"/>
    </sheetView>
    <sheetView workbookViewId="1">
      <selection sqref="A1:X1"/>
    </sheetView>
    <sheetView workbookViewId="2">
      <selection sqref="A1:X1"/>
    </sheetView>
  </sheetViews>
  <sheetFormatPr defaultColWidth="9.15234375" defaultRowHeight="12.45"/>
  <cols>
    <col min="1" max="1" width="6.53515625" style="26" customWidth="1"/>
    <col min="2" max="2" width="42.84375" style="27" customWidth="1"/>
    <col min="3" max="4" width="10.53515625" style="26" customWidth="1"/>
    <col min="5" max="5" width="8.53515625" style="26" customWidth="1"/>
    <col min="6" max="6" width="11.53515625" style="26" customWidth="1"/>
    <col min="7" max="7" width="8.53515625" style="26" customWidth="1"/>
    <col min="8" max="8" width="13" style="26" customWidth="1"/>
    <col min="9" max="9" width="9" style="26" customWidth="1"/>
    <col min="10" max="10" width="16.84375" style="26" customWidth="1"/>
    <col min="11" max="11" width="9" style="26" customWidth="1"/>
    <col min="12" max="12" width="7.84375" style="26" customWidth="1"/>
    <col min="13" max="13" width="9" style="26" customWidth="1"/>
    <col min="14" max="16" width="11.53515625" style="26" customWidth="1"/>
    <col min="17" max="17" width="9" style="26" customWidth="1"/>
    <col min="18" max="16384" width="9.15234375" style="37"/>
  </cols>
  <sheetData>
    <row r="1" spans="1:24" ht="22.5" customHeight="1">
      <c r="A1" s="1313" t="s">
        <v>552</v>
      </c>
      <c r="B1" s="1225"/>
      <c r="C1" s="1225"/>
      <c r="D1" s="1225"/>
      <c r="E1" s="1225"/>
      <c r="F1" s="1225"/>
      <c r="G1" s="1225"/>
      <c r="H1" s="1225"/>
      <c r="I1" s="1225"/>
      <c r="J1" s="1225"/>
      <c r="K1" s="1225"/>
      <c r="L1" s="1225"/>
      <c r="M1" s="1225"/>
      <c r="N1" s="1225"/>
      <c r="O1" s="1225"/>
      <c r="P1" s="1225"/>
      <c r="Q1" s="1225"/>
      <c r="R1" s="1225"/>
      <c r="S1" s="1225"/>
      <c r="T1" s="1225"/>
      <c r="U1" s="1225"/>
      <c r="V1" s="1225"/>
      <c r="W1" s="1225"/>
      <c r="X1" s="1225"/>
    </row>
    <row r="2" spans="1:24" ht="18" customHeight="1">
      <c r="A2" s="1226" t="s">
        <v>553</v>
      </c>
      <c r="B2" s="1226"/>
      <c r="C2" s="1226"/>
      <c r="D2" s="1226"/>
      <c r="E2" s="1226"/>
      <c r="F2" s="1226"/>
      <c r="G2" s="1226"/>
      <c r="H2" s="1226"/>
      <c r="I2" s="1226"/>
      <c r="J2" s="1226"/>
      <c r="K2" s="1226"/>
      <c r="L2" s="1226"/>
      <c r="M2" s="1226"/>
      <c r="N2" s="1226"/>
      <c r="O2" s="1226"/>
      <c r="P2" s="1226"/>
      <c r="Q2" s="1226"/>
      <c r="R2" s="1226"/>
      <c r="S2" s="1226"/>
      <c r="T2" s="1226"/>
      <c r="U2" s="1226"/>
      <c r="V2" s="1226"/>
      <c r="W2" s="1226"/>
      <c r="X2" s="1226"/>
    </row>
    <row r="3" spans="1:24" ht="18" customHeight="1" thickBot="1">
      <c r="A3" s="1308" t="s">
        <v>554</v>
      </c>
      <c r="B3" s="1308"/>
      <c r="C3" s="1308"/>
      <c r="D3" s="1308"/>
      <c r="E3" s="1308"/>
      <c r="F3" s="1308"/>
      <c r="G3" s="1308"/>
      <c r="H3" s="1308"/>
      <c r="I3" s="1308"/>
      <c r="J3" s="1308"/>
      <c r="K3" s="1308"/>
      <c r="L3" s="1308"/>
      <c r="M3" s="1308"/>
      <c r="N3" s="1308"/>
      <c r="O3" s="1308"/>
      <c r="P3" s="1308"/>
      <c r="Q3" s="1308"/>
      <c r="R3" s="1308"/>
      <c r="S3" s="1308"/>
      <c r="T3" s="1308"/>
      <c r="U3" s="1308"/>
      <c r="V3" s="1308"/>
      <c r="W3" s="1308"/>
      <c r="X3" s="1308"/>
    </row>
    <row r="4" spans="1:24" ht="37.5" customHeight="1" thickBot="1">
      <c r="A4" s="77"/>
      <c r="B4" s="38" t="s">
        <v>3</v>
      </c>
      <c r="C4" s="44" t="s">
        <v>4</v>
      </c>
      <c r="D4" s="44" t="s">
        <v>5</v>
      </c>
      <c r="E4" s="44" t="s">
        <v>6</v>
      </c>
      <c r="F4" s="44" t="s">
        <v>7</v>
      </c>
      <c r="G4" s="44" t="s">
        <v>8</v>
      </c>
      <c r="H4" s="44" t="s">
        <v>9</v>
      </c>
      <c r="I4" s="44" t="s">
        <v>10</v>
      </c>
      <c r="J4" s="44" t="s">
        <v>11</v>
      </c>
      <c r="K4" s="44" t="s">
        <v>12</v>
      </c>
      <c r="L4" s="44" t="s">
        <v>13</v>
      </c>
      <c r="M4" s="44" t="s">
        <v>14</v>
      </c>
      <c r="N4" s="44" t="s">
        <v>15</v>
      </c>
      <c r="O4" s="45" t="s">
        <v>16</v>
      </c>
      <c r="P4" s="45" t="s">
        <v>17</v>
      </c>
      <c r="Q4" s="45" t="s">
        <v>18</v>
      </c>
      <c r="R4" s="45" t="s">
        <v>19</v>
      </c>
      <c r="S4" s="45" t="s">
        <v>20</v>
      </c>
      <c r="T4" s="45" t="s">
        <v>21</v>
      </c>
      <c r="U4" s="45" t="s">
        <v>22</v>
      </c>
      <c r="V4" s="45" t="s">
        <v>23</v>
      </c>
      <c r="W4" s="45" t="s">
        <v>377</v>
      </c>
      <c r="X4" s="46" t="s">
        <v>378</v>
      </c>
    </row>
    <row r="5" spans="1:24" ht="14.6">
      <c r="A5" s="1317" t="s">
        <v>24</v>
      </c>
      <c r="B5" s="53" t="s">
        <v>26</v>
      </c>
      <c r="C5" s="133">
        <v>45</v>
      </c>
      <c r="D5" s="133">
        <v>0</v>
      </c>
      <c r="E5" s="133">
        <v>0</v>
      </c>
      <c r="F5" s="133">
        <v>0</v>
      </c>
      <c r="G5" s="133">
        <v>0</v>
      </c>
      <c r="H5" s="133">
        <v>0</v>
      </c>
      <c r="I5" s="133">
        <v>5</v>
      </c>
      <c r="J5" s="133">
        <v>11</v>
      </c>
      <c r="K5" s="133">
        <v>0</v>
      </c>
      <c r="L5" s="133">
        <v>11</v>
      </c>
      <c r="M5" s="133">
        <v>10</v>
      </c>
      <c r="N5" s="133">
        <v>0</v>
      </c>
      <c r="O5" s="134">
        <v>0</v>
      </c>
      <c r="P5" s="134">
        <v>0</v>
      </c>
      <c r="Q5" s="134">
        <v>1</v>
      </c>
      <c r="R5" s="134">
        <v>0</v>
      </c>
      <c r="S5" s="134">
        <v>0</v>
      </c>
      <c r="T5" s="134">
        <v>0</v>
      </c>
      <c r="U5" s="134">
        <v>9</v>
      </c>
      <c r="V5" s="134">
        <v>0</v>
      </c>
      <c r="W5" s="134">
        <v>0</v>
      </c>
      <c r="X5" s="135">
        <v>0</v>
      </c>
    </row>
    <row r="6" spans="1:24" ht="14.6">
      <c r="A6" s="1318"/>
      <c r="B6" s="54" t="s">
        <v>27</v>
      </c>
      <c r="C6" s="177">
        <v>30</v>
      </c>
      <c r="D6" s="177">
        <v>0</v>
      </c>
      <c r="E6" s="177">
        <v>0</v>
      </c>
      <c r="F6" s="177">
        <v>0</v>
      </c>
      <c r="G6" s="177">
        <v>0</v>
      </c>
      <c r="H6" s="177">
        <v>0</v>
      </c>
      <c r="I6" s="177">
        <v>0</v>
      </c>
      <c r="J6" s="177">
        <v>8</v>
      </c>
      <c r="K6" s="177"/>
      <c r="L6" s="177">
        <v>7</v>
      </c>
      <c r="M6" s="177">
        <v>7</v>
      </c>
      <c r="N6" s="177">
        <v>0</v>
      </c>
      <c r="O6" s="177"/>
      <c r="P6" s="177"/>
      <c r="Q6" s="177">
        <v>1.1850799999999999</v>
      </c>
      <c r="R6" s="177">
        <v>0</v>
      </c>
      <c r="S6" s="177">
        <v>1.405E-3</v>
      </c>
      <c r="T6" s="177">
        <v>0</v>
      </c>
      <c r="U6" s="177">
        <v>0</v>
      </c>
      <c r="V6" s="177">
        <v>0</v>
      </c>
      <c r="W6" s="177">
        <v>0</v>
      </c>
      <c r="X6" s="177">
        <v>0</v>
      </c>
    </row>
    <row r="7" spans="1:24" ht="14.6">
      <c r="A7" s="1318"/>
      <c r="B7" s="54" t="s">
        <v>28</v>
      </c>
      <c r="C7" s="136">
        <v>35</v>
      </c>
      <c r="D7" s="136">
        <v>0</v>
      </c>
      <c r="E7" s="136">
        <v>0</v>
      </c>
      <c r="F7" s="136">
        <v>0</v>
      </c>
      <c r="G7" s="136">
        <v>0</v>
      </c>
      <c r="H7" s="136">
        <v>0</v>
      </c>
      <c r="I7" s="136">
        <v>0</v>
      </c>
      <c r="J7" s="136">
        <v>9</v>
      </c>
      <c r="K7" s="136">
        <v>0</v>
      </c>
      <c r="L7" s="136">
        <v>9</v>
      </c>
      <c r="M7" s="136">
        <v>9</v>
      </c>
      <c r="N7" s="136">
        <v>0</v>
      </c>
      <c r="O7" s="137">
        <v>0</v>
      </c>
      <c r="P7" s="137">
        <v>0</v>
      </c>
      <c r="Q7" s="137">
        <v>1</v>
      </c>
      <c r="R7" s="137">
        <v>0</v>
      </c>
      <c r="S7" s="137">
        <v>0</v>
      </c>
      <c r="T7" s="137">
        <v>0</v>
      </c>
      <c r="U7" s="137">
        <v>2</v>
      </c>
      <c r="V7" s="137">
        <v>0</v>
      </c>
      <c r="W7" s="137">
        <v>0</v>
      </c>
      <c r="X7" s="138">
        <v>0</v>
      </c>
    </row>
    <row r="8" spans="1:24" ht="14.6">
      <c r="A8" s="1318"/>
      <c r="B8" s="54" t="s">
        <v>29</v>
      </c>
      <c r="C8" s="136">
        <v>40</v>
      </c>
      <c r="D8" s="136">
        <v>0</v>
      </c>
      <c r="E8" s="136">
        <v>0</v>
      </c>
      <c r="F8" s="136">
        <v>0</v>
      </c>
      <c r="G8" s="136">
        <v>0</v>
      </c>
      <c r="H8" s="136">
        <v>0</v>
      </c>
      <c r="I8" s="136">
        <v>5</v>
      </c>
      <c r="J8" s="136">
        <v>10</v>
      </c>
      <c r="K8" s="136">
        <v>0</v>
      </c>
      <c r="L8" s="136">
        <v>10</v>
      </c>
      <c r="M8" s="136">
        <v>10</v>
      </c>
      <c r="N8" s="136">
        <v>0</v>
      </c>
      <c r="O8" s="137">
        <v>0</v>
      </c>
      <c r="P8" s="137">
        <v>0</v>
      </c>
      <c r="Q8" s="137">
        <v>1</v>
      </c>
      <c r="R8" s="137">
        <v>0</v>
      </c>
      <c r="S8" s="137">
        <v>0</v>
      </c>
      <c r="T8" s="137">
        <v>0</v>
      </c>
      <c r="U8" s="137">
        <v>0</v>
      </c>
      <c r="V8" s="137">
        <v>0</v>
      </c>
      <c r="W8" s="137">
        <v>0</v>
      </c>
      <c r="X8" s="138">
        <v>0</v>
      </c>
    </row>
    <row r="9" spans="1:24" ht="14.6">
      <c r="A9" s="1318"/>
      <c r="B9" s="54" t="s">
        <v>30</v>
      </c>
      <c r="C9" s="136">
        <v>60</v>
      </c>
      <c r="D9" s="136">
        <v>0</v>
      </c>
      <c r="E9" s="136">
        <v>0</v>
      </c>
      <c r="F9" s="136">
        <v>0</v>
      </c>
      <c r="G9" s="136">
        <v>0</v>
      </c>
      <c r="H9" s="136">
        <v>0</v>
      </c>
      <c r="I9" s="136">
        <v>5</v>
      </c>
      <c r="J9" s="136">
        <v>15</v>
      </c>
      <c r="K9" s="136">
        <v>0</v>
      </c>
      <c r="L9" s="136">
        <v>14</v>
      </c>
      <c r="M9" s="136">
        <v>14</v>
      </c>
      <c r="N9" s="136">
        <v>0</v>
      </c>
      <c r="O9" s="137">
        <v>0</v>
      </c>
      <c r="P9" s="137">
        <v>0</v>
      </c>
      <c r="Q9" s="137">
        <v>1</v>
      </c>
      <c r="R9" s="137">
        <v>0</v>
      </c>
      <c r="S9" s="137">
        <v>0</v>
      </c>
      <c r="T9" s="137">
        <v>0</v>
      </c>
      <c r="U9" s="137">
        <v>0</v>
      </c>
      <c r="V9" s="137">
        <v>0</v>
      </c>
      <c r="W9" s="137">
        <v>0</v>
      </c>
      <c r="X9" s="138">
        <v>0</v>
      </c>
    </row>
    <row r="10" spans="1:24" ht="14.6">
      <c r="A10" s="1318"/>
      <c r="B10" s="54" t="s">
        <v>31</v>
      </c>
      <c r="C10" s="136">
        <v>30</v>
      </c>
      <c r="D10" s="136">
        <v>0</v>
      </c>
      <c r="E10" s="136">
        <v>0</v>
      </c>
      <c r="F10" s="136">
        <v>0</v>
      </c>
      <c r="G10" s="136">
        <v>0</v>
      </c>
      <c r="H10" s="136">
        <v>0</v>
      </c>
      <c r="I10" s="136">
        <v>5</v>
      </c>
      <c r="J10" s="136">
        <v>8</v>
      </c>
      <c r="K10" s="136">
        <v>0</v>
      </c>
      <c r="L10" s="136">
        <v>8</v>
      </c>
      <c r="M10" s="136">
        <v>7</v>
      </c>
      <c r="N10" s="136">
        <v>0</v>
      </c>
      <c r="O10" s="137">
        <v>0</v>
      </c>
      <c r="P10" s="137">
        <v>0</v>
      </c>
      <c r="Q10" s="137">
        <v>2</v>
      </c>
      <c r="R10" s="137">
        <v>0</v>
      </c>
      <c r="S10" s="137">
        <v>0</v>
      </c>
      <c r="T10" s="137">
        <v>0</v>
      </c>
      <c r="U10" s="137">
        <v>0</v>
      </c>
      <c r="V10" s="137">
        <v>0</v>
      </c>
      <c r="W10" s="137">
        <v>0</v>
      </c>
      <c r="X10" s="138">
        <v>0</v>
      </c>
    </row>
    <row r="11" spans="1:24" ht="14.6">
      <c r="A11" s="1318"/>
      <c r="B11" s="54" t="s">
        <v>32</v>
      </c>
      <c r="C11" s="136">
        <v>35</v>
      </c>
      <c r="D11" s="136">
        <v>0</v>
      </c>
      <c r="E11" s="136">
        <v>0</v>
      </c>
      <c r="F11" s="136">
        <v>0</v>
      </c>
      <c r="G11" s="136">
        <v>0</v>
      </c>
      <c r="H11" s="136">
        <v>0</v>
      </c>
      <c r="I11" s="136">
        <v>5</v>
      </c>
      <c r="J11" s="136">
        <v>9</v>
      </c>
      <c r="K11" s="136">
        <v>0</v>
      </c>
      <c r="L11" s="136">
        <v>9</v>
      </c>
      <c r="M11" s="136">
        <v>8</v>
      </c>
      <c r="N11" s="136">
        <v>0</v>
      </c>
      <c r="O11" s="137">
        <v>0</v>
      </c>
      <c r="P11" s="137">
        <v>0</v>
      </c>
      <c r="Q11" s="137">
        <v>1</v>
      </c>
      <c r="R11" s="137">
        <v>0</v>
      </c>
      <c r="S11" s="137">
        <v>0</v>
      </c>
      <c r="T11" s="137">
        <v>0</v>
      </c>
      <c r="U11" s="137">
        <v>3</v>
      </c>
      <c r="V11" s="137">
        <v>0</v>
      </c>
      <c r="W11" s="137">
        <v>0</v>
      </c>
      <c r="X11" s="138">
        <v>2</v>
      </c>
    </row>
    <row r="12" spans="1:24" ht="14.6">
      <c r="A12" s="1318"/>
      <c r="B12" s="54" t="s">
        <v>33</v>
      </c>
      <c r="C12" s="136">
        <v>40</v>
      </c>
      <c r="D12" s="136">
        <v>0</v>
      </c>
      <c r="E12" s="136">
        <v>0</v>
      </c>
      <c r="F12" s="136">
        <v>0</v>
      </c>
      <c r="G12" s="136">
        <v>0</v>
      </c>
      <c r="H12" s="136">
        <v>0</v>
      </c>
      <c r="I12" s="136">
        <v>5</v>
      </c>
      <c r="J12" s="136">
        <v>10</v>
      </c>
      <c r="K12" s="136">
        <v>0</v>
      </c>
      <c r="L12" s="136">
        <v>10</v>
      </c>
      <c r="M12" s="136">
        <v>10</v>
      </c>
      <c r="N12" s="136">
        <v>0</v>
      </c>
      <c r="O12" s="137">
        <v>0</v>
      </c>
      <c r="P12" s="137">
        <v>0</v>
      </c>
      <c r="Q12" s="137">
        <v>1</v>
      </c>
      <c r="R12" s="137">
        <v>0</v>
      </c>
      <c r="S12" s="137">
        <v>0</v>
      </c>
      <c r="T12" s="137">
        <v>0</v>
      </c>
      <c r="U12" s="137">
        <v>1</v>
      </c>
      <c r="V12" s="137">
        <v>0</v>
      </c>
      <c r="W12" s="137">
        <v>0</v>
      </c>
      <c r="X12" s="138">
        <v>0</v>
      </c>
    </row>
    <row r="13" spans="1:24" ht="14.6">
      <c r="A13" s="1318"/>
      <c r="B13" s="54" t="s">
        <v>34</v>
      </c>
      <c r="C13" s="136">
        <v>45</v>
      </c>
      <c r="D13" s="136">
        <v>0</v>
      </c>
      <c r="E13" s="136">
        <v>0</v>
      </c>
      <c r="F13" s="136">
        <v>0</v>
      </c>
      <c r="G13" s="136">
        <v>0</v>
      </c>
      <c r="H13" s="136">
        <v>0</v>
      </c>
      <c r="I13" s="136">
        <v>10</v>
      </c>
      <c r="J13" s="136">
        <v>12</v>
      </c>
      <c r="K13" s="136">
        <v>0</v>
      </c>
      <c r="L13" s="136">
        <v>11</v>
      </c>
      <c r="M13" s="136">
        <v>11</v>
      </c>
      <c r="N13" s="136">
        <v>0</v>
      </c>
      <c r="O13" s="137">
        <v>0</v>
      </c>
      <c r="P13" s="137">
        <v>0</v>
      </c>
      <c r="Q13" s="137">
        <v>2</v>
      </c>
      <c r="R13" s="137">
        <v>0</v>
      </c>
      <c r="S13" s="137">
        <v>0</v>
      </c>
      <c r="T13" s="137">
        <v>0</v>
      </c>
      <c r="U13" s="137">
        <v>12</v>
      </c>
      <c r="V13" s="137">
        <v>0</v>
      </c>
      <c r="W13" s="137">
        <v>0</v>
      </c>
      <c r="X13" s="138">
        <v>0</v>
      </c>
    </row>
    <row r="14" spans="1:24" ht="14.6">
      <c r="A14" s="1318"/>
      <c r="B14" s="54" t="s">
        <v>35</v>
      </c>
      <c r="C14" s="87">
        <v>50</v>
      </c>
      <c r="D14" s="87">
        <v>5</v>
      </c>
      <c r="E14" s="87">
        <v>0</v>
      </c>
      <c r="F14" s="87">
        <v>0</v>
      </c>
      <c r="G14" s="87">
        <v>0</v>
      </c>
      <c r="H14" s="87">
        <v>0</v>
      </c>
      <c r="I14" s="87">
        <v>10</v>
      </c>
      <c r="J14" s="87">
        <v>12</v>
      </c>
      <c r="K14" s="87">
        <v>0</v>
      </c>
      <c r="L14" s="87">
        <v>12</v>
      </c>
      <c r="M14" s="87">
        <v>11</v>
      </c>
      <c r="N14" s="87">
        <v>0</v>
      </c>
      <c r="O14" s="85">
        <v>0</v>
      </c>
      <c r="P14" s="85">
        <v>0</v>
      </c>
      <c r="Q14" s="85">
        <v>3</v>
      </c>
      <c r="R14" s="85">
        <v>0</v>
      </c>
      <c r="S14" s="85">
        <v>0</v>
      </c>
      <c r="T14" s="85">
        <v>0</v>
      </c>
      <c r="U14" s="85">
        <v>12</v>
      </c>
      <c r="V14" s="85">
        <v>0</v>
      </c>
      <c r="W14" s="85">
        <v>0</v>
      </c>
      <c r="X14" s="86">
        <v>0</v>
      </c>
    </row>
    <row r="15" spans="1:24" ht="14.6">
      <c r="A15" s="1318"/>
      <c r="B15" s="54" t="s">
        <v>36</v>
      </c>
      <c r="C15" s="136">
        <v>40</v>
      </c>
      <c r="D15" s="136">
        <v>0</v>
      </c>
      <c r="E15" s="136">
        <v>0</v>
      </c>
      <c r="F15" s="136">
        <v>0</v>
      </c>
      <c r="G15" s="136">
        <v>0</v>
      </c>
      <c r="H15" s="136">
        <v>0</v>
      </c>
      <c r="I15" s="136">
        <v>0</v>
      </c>
      <c r="J15" s="136">
        <v>10</v>
      </c>
      <c r="K15" s="136">
        <v>0</v>
      </c>
      <c r="L15" s="136">
        <v>10</v>
      </c>
      <c r="M15" s="136">
        <v>4</v>
      </c>
      <c r="N15" s="136">
        <v>0</v>
      </c>
      <c r="O15" s="137">
        <v>0</v>
      </c>
      <c r="P15" s="137">
        <v>0</v>
      </c>
      <c r="Q15" s="137">
        <v>1</v>
      </c>
      <c r="R15" s="137">
        <v>0</v>
      </c>
      <c r="S15" s="137">
        <v>0</v>
      </c>
      <c r="T15" s="137">
        <v>0</v>
      </c>
      <c r="U15" s="137">
        <v>0</v>
      </c>
      <c r="V15" s="137">
        <v>0</v>
      </c>
      <c r="W15" s="137">
        <v>0</v>
      </c>
      <c r="X15" s="138">
        <v>0</v>
      </c>
    </row>
    <row r="16" spans="1:24" ht="14.6">
      <c r="A16" s="1318"/>
      <c r="B16" s="54" t="s">
        <v>37</v>
      </c>
      <c r="C16" s="87">
        <v>40</v>
      </c>
      <c r="D16" s="87">
        <v>0</v>
      </c>
      <c r="E16" s="87">
        <v>0</v>
      </c>
      <c r="F16" s="87">
        <v>0</v>
      </c>
      <c r="G16" s="87">
        <v>0</v>
      </c>
      <c r="H16" s="87">
        <v>0</v>
      </c>
      <c r="I16" s="87">
        <v>0</v>
      </c>
      <c r="J16" s="87">
        <v>11</v>
      </c>
      <c r="K16" s="87">
        <v>0</v>
      </c>
      <c r="L16" s="87">
        <v>11</v>
      </c>
      <c r="M16" s="87">
        <v>4</v>
      </c>
      <c r="N16" s="87">
        <v>0</v>
      </c>
      <c r="O16" s="85">
        <v>0</v>
      </c>
      <c r="P16" s="85">
        <v>0</v>
      </c>
      <c r="Q16" s="85">
        <v>1</v>
      </c>
      <c r="R16" s="85">
        <v>0</v>
      </c>
      <c r="S16" s="85">
        <v>0</v>
      </c>
      <c r="T16" s="85">
        <v>0</v>
      </c>
      <c r="U16" s="85">
        <v>0</v>
      </c>
      <c r="V16" s="85">
        <v>0</v>
      </c>
      <c r="W16" s="85">
        <v>0</v>
      </c>
      <c r="X16" s="86">
        <v>0</v>
      </c>
    </row>
    <row r="17" spans="1:24" ht="14.6">
      <c r="A17" s="1318"/>
      <c r="B17" s="54" t="s">
        <v>38</v>
      </c>
      <c r="C17" s="136">
        <v>35</v>
      </c>
      <c r="D17" s="136">
        <v>0</v>
      </c>
      <c r="E17" s="136">
        <v>0</v>
      </c>
      <c r="F17" s="136">
        <v>0</v>
      </c>
      <c r="G17" s="136">
        <v>0</v>
      </c>
      <c r="H17" s="136">
        <v>0</v>
      </c>
      <c r="I17" s="136">
        <v>5</v>
      </c>
      <c r="J17" s="136">
        <v>9</v>
      </c>
      <c r="K17" s="136">
        <v>0</v>
      </c>
      <c r="L17" s="136">
        <v>9</v>
      </c>
      <c r="M17" s="136">
        <v>8</v>
      </c>
      <c r="N17" s="136">
        <v>0</v>
      </c>
      <c r="O17" s="137">
        <v>0</v>
      </c>
      <c r="P17" s="137">
        <v>0</v>
      </c>
      <c r="Q17" s="137">
        <v>2</v>
      </c>
      <c r="R17" s="137">
        <v>0</v>
      </c>
      <c r="S17" s="137">
        <v>0</v>
      </c>
      <c r="T17" s="137">
        <v>0</v>
      </c>
      <c r="U17" s="137">
        <v>7</v>
      </c>
      <c r="V17" s="137">
        <v>0</v>
      </c>
      <c r="W17" s="137">
        <v>0</v>
      </c>
      <c r="X17" s="138">
        <v>2</v>
      </c>
    </row>
    <row r="18" spans="1:24" ht="14.6">
      <c r="A18" s="1318"/>
      <c r="B18" s="54" t="s">
        <v>39</v>
      </c>
      <c r="C18" s="136">
        <v>40</v>
      </c>
      <c r="D18" s="136">
        <v>0</v>
      </c>
      <c r="E18" s="136">
        <v>0</v>
      </c>
      <c r="F18" s="136">
        <v>0</v>
      </c>
      <c r="G18" s="136">
        <v>0</v>
      </c>
      <c r="H18" s="136">
        <v>0</v>
      </c>
      <c r="I18" s="136">
        <v>5</v>
      </c>
      <c r="J18" s="136">
        <v>10</v>
      </c>
      <c r="K18" s="136">
        <v>0</v>
      </c>
      <c r="L18" s="136">
        <v>9</v>
      </c>
      <c r="M18" s="136">
        <v>9</v>
      </c>
      <c r="N18" s="136">
        <v>0</v>
      </c>
      <c r="O18" s="137">
        <v>0</v>
      </c>
      <c r="P18" s="137">
        <v>0</v>
      </c>
      <c r="Q18" s="137">
        <v>1</v>
      </c>
      <c r="R18" s="137">
        <v>0</v>
      </c>
      <c r="S18" s="137">
        <v>0</v>
      </c>
      <c r="T18" s="137">
        <v>0</v>
      </c>
      <c r="U18" s="137">
        <v>0</v>
      </c>
      <c r="V18" s="137">
        <v>0</v>
      </c>
      <c r="W18" s="137">
        <v>0</v>
      </c>
      <c r="X18" s="138">
        <v>4</v>
      </c>
    </row>
    <row r="19" spans="1:24" ht="14.6">
      <c r="A19" s="1318"/>
      <c r="B19" s="54" t="s">
        <v>40</v>
      </c>
      <c r="C19" s="136">
        <v>40</v>
      </c>
      <c r="D19" s="136">
        <v>0</v>
      </c>
      <c r="E19" s="136">
        <v>0</v>
      </c>
      <c r="F19" s="136">
        <v>0</v>
      </c>
      <c r="G19" s="136">
        <v>0</v>
      </c>
      <c r="H19" s="136">
        <v>0</v>
      </c>
      <c r="I19" s="136">
        <v>5</v>
      </c>
      <c r="J19" s="136">
        <v>10</v>
      </c>
      <c r="K19" s="136">
        <v>0</v>
      </c>
      <c r="L19" s="136">
        <v>10</v>
      </c>
      <c r="M19" s="136">
        <v>9</v>
      </c>
      <c r="N19" s="136">
        <v>0</v>
      </c>
      <c r="O19" s="137">
        <v>0</v>
      </c>
      <c r="P19" s="137">
        <v>0</v>
      </c>
      <c r="Q19" s="137">
        <v>2</v>
      </c>
      <c r="R19" s="137">
        <v>0</v>
      </c>
      <c r="S19" s="137">
        <v>0</v>
      </c>
      <c r="T19" s="137">
        <v>0</v>
      </c>
      <c r="U19" s="137">
        <v>6</v>
      </c>
      <c r="V19" s="137">
        <v>0</v>
      </c>
      <c r="W19" s="137">
        <v>0</v>
      </c>
      <c r="X19" s="138">
        <v>0</v>
      </c>
    </row>
    <row r="20" spans="1:24" ht="14.6">
      <c r="A20" s="1318"/>
      <c r="B20" s="54" t="s">
        <v>41</v>
      </c>
      <c r="C20" s="81">
        <v>40</v>
      </c>
      <c r="D20" s="81">
        <v>0</v>
      </c>
      <c r="E20" s="81">
        <v>0</v>
      </c>
      <c r="F20" s="81">
        <v>0</v>
      </c>
      <c r="G20" s="81">
        <v>0</v>
      </c>
      <c r="H20" s="81">
        <v>0</v>
      </c>
      <c r="I20" s="81">
        <v>0</v>
      </c>
      <c r="J20" s="81">
        <v>11</v>
      </c>
      <c r="K20" s="81">
        <v>0</v>
      </c>
      <c r="L20" s="81">
        <v>10</v>
      </c>
      <c r="M20" s="81">
        <v>3</v>
      </c>
      <c r="N20" s="81">
        <v>0</v>
      </c>
      <c r="O20" s="85">
        <v>0</v>
      </c>
      <c r="P20" s="85">
        <v>0</v>
      </c>
      <c r="Q20" s="85">
        <v>1</v>
      </c>
      <c r="R20" s="85">
        <v>0</v>
      </c>
      <c r="S20" s="85">
        <v>0</v>
      </c>
      <c r="T20" s="85">
        <v>0</v>
      </c>
      <c r="U20" s="85">
        <v>0</v>
      </c>
      <c r="V20" s="85">
        <v>0</v>
      </c>
      <c r="W20" s="85">
        <v>0</v>
      </c>
      <c r="X20" s="86">
        <v>2</v>
      </c>
    </row>
    <row r="21" spans="1:24" ht="14.6">
      <c r="A21" s="1318"/>
      <c r="B21" s="54" t="s">
        <v>42</v>
      </c>
      <c r="C21" s="136">
        <v>40</v>
      </c>
      <c r="D21" s="136">
        <v>0</v>
      </c>
      <c r="E21" s="136">
        <v>0</v>
      </c>
      <c r="F21" s="136">
        <v>0</v>
      </c>
      <c r="G21" s="136">
        <v>0</v>
      </c>
      <c r="H21" s="136">
        <v>0</v>
      </c>
      <c r="I21" s="136">
        <v>5</v>
      </c>
      <c r="J21" s="136">
        <v>11</v>
      </c>
      <c r="K21" s="136">
        <v>0</v>
      </c>
      <c r="L21" s="136">
        <v>10</v>
      </c>
      <c r="M21" s="136">
        <v>10</v>
      </c>
      <c r="N21" s="136">
        <v>0</v>
      </c>
      <c r="O21" s="137">
        <v>0</v>
      </c>
      <c r="P21" s="137">
        <v>0</v>
      </c>
      <c r="Q21" s="137">
        <v>1</v>
      </c>
      <c r="R21" s="137">
        <v>0</v>
      </c>
      <c r="S21" s="137">
        <v>0</v>
      </c>
      <c r="T21" s="137">
        <v>0</v>
      </c>
      <c r="U21" s="137">
        <v>6</v>
      </c>
      <c r="V21" s="137">
        <v>0</v>
      </c>
      <c r="W21" s="137">
        <v>0</v>
      </c>
      <c r="X21" s="138">
        <v>0</v>
      </c>
    </row>
    <row r="22" spans="1:24" ht="14.6">
      <c r="A22" s="1318"/>
      <c r="B22" s="54" t="s">
        <v>43</v>
      </c>
      <c r="C22" s="136">
        <v>35</v>
      </c>
      <c r="D22" s="136">
        <v>0</v>
      </c>
      <c r="E22" s="136">
        <v>0</v>
      </c>
      <c r="F22" s="136">
        <v>0</v>
      </c>
      <c r="G22" s="136">
        <v>0</v>
      </c>
      <c r="H22" s="136">
        <v>0</v>
      </c>
      <c r="I22" s="136">
        <v>5</v>
      </c>
      <c r="J22" s="136">
        <v>9</v>
      </c>
      <c r="K22" s="136">
        <v>0</v>
      </c>
      <c r="L22" s="136">
        <v>9</v>
      </c>
      <c r="M22" s="136">
        <v>9</v>
      </c>
      <c r="N22" s="136">
        <v>0</v>
      </c>
      <c r="O22" s="137">
        <v>0</v>
      </c>
      <c r="P22" s="137">
        <v>0</v>
      </c>
      <c r="Q22" s="137">
        <v>1</v>
      </c>
      <c r="R22" s="137">
        <v>0</v>
      </c>
      <c r="S22" s="137">
        <v>0</v>
      </c>
      <c r="T22" s="137">
        <v>0</v>
      </c>
      <c r="U22" s="137">
        <v>0</v>
      </c>
      <c r="V22" s="137">
        <v>0</v>
      </c>
      <c r="W22" s="137">
        <v>0</v>
      </c>
      <c r="X22" s="138">
        <v>0</v>
      </c>
    </row>
    <row r="23" spans="1:24" ht="14.6">
      <c r="A23" s="1318"/>
      <c r="B23" s="54" t="s">
        <v>44</v>
      </c>
      <c r="C23" s="136">
        <v>25</v>
      </c>
      <c r="D23" s="136">
        <v>0</v>
      </c>
      <c r="E23" s="136">
        <v>0</v>
      </c>
      <c r="F23" s="136">
        <v>0</v>
      </c>
      <c r="G23" s="136">
        <v>0</v>
      </c>
      <c r="H23" s="136">
        <v>0</v>
      </c>
      <c r="I23" s="136">
        <v>5</v>
      </c>
      <c r="J23" s="136">
        <v>7</v>
      </c>
      <c r="K23" s="136">
        <v>0</v>
      </c>
      <c r="L23" s="136">
        <v>6</v>
      </c>
      <c r="M23" s="136">
        <v>6</v>
      </c>
      <c r="N23" s="136">
        <v>0</v>
      </c>
      <c r="O23" s="137">
        <v>0</v>
      </c>
      <c r="P23" s="137">
        <v>0</v>
      </c>
      <c r="Q23" s="137">
        <v>1</v>
      </c>
      <c r="R23" s="137">
        <v>0</v>
      </c>
      <c r="S23" s="137">
        <v>0</v>
      </c>
      <c r="T23" s="137">
        <v>0</v>
      </c>
      <c r="U23" s="137">
        <v>0</v>
      </c>
      <c r="V23" s="137">
        <v>0</v>
      </c>
      <c r="W23" s="137">
        <v>0</v>
      </c>
      <c r="X23" s="138">
        <v>0</v>
      </c>
    </row>
    <row r="24" spans="1:24" ht="14.6">
      <c r="A24" s="1318"/>
      <c r="B24" s="54" t="s">
        <v>45</v>
      </c>
      <c r="C24" s="137">
        <v>35</v>
      </c>
      <c r="D24" s="137">
        <v>0</v>
      </c>
      <c r="E24" s="137">
        <v>0</v>
      </c>
      <c r="F24" s="137">
        <v>0</v>
      </c>
      <c r="G24" s="139">
        <v>0</v>
      </c>
      <c r="H24" s="137">
        <v>0</v>
      </c>
      <c r="I24" s="137">
        <v>5</v>
      </c>
      <c r="J24" s="137">
        <v>9</v>
      </c>
      <c r="K24" s="137">
        <v>0</v>
      </c>
      <c r="L24" s="137">
        <v>9</v>
      </c>
      <c r="M24" s="137">
        <v>9</v>
      </c>
      <c r="N24" s="137">
        <v>0</v>
      </c>
      <c r="O24" s="137">
        <v>0</v>
      </c>
      <c r="P24" s="137">
        <v>0</v>
      </c>
      <c r="Q24" s="137">
        <v>1</v>
      </c>
      <c r="R24" s="137">
        <v>0</v>
      </c>
      <c r="S24" s="137">
        <v>0</v>
      </c>
      <c r="T24" s="137">
        <v>0</v>
      </c>
      <c r="U24" s="137">
        <v>0</v>
      </c>
      <c r="V24" s="137">
        <v>0</v>
      </c>
      <c r="W24" s="137">
        <v>0</v>
      </c>
      <c r="X24" s="138">
        <v>0</v>
      </c>
    </row>
    <row r="25" spans="1:24" ht="14.6">
      <c r="A25" s="1318"/>
      <c r="B25" s="54" t="s">
        <v>46</v>
      </c>
      <c r="C25" s="136">
        <v>40</v>
      </c>
      <c r="D25" s="136">
        <v>0</v>
      </c>
      <c r="E25" s="136">
        <v>0</v>
      </c>
      <c r="F25" s="136">
        <v>0</v>
      </c>
      <c r="G25" s="136">
        <v>0</v>
      </c>
      <c r="H25" s="136">
        <v>0</v>
      </c>
      <c r="I25" s="136">
        <v>10</v>
      </c>
      <c r="J25" s="136">
        <v>10</v>
      </c>
      <c r="K25" s="136">
        <v>0</v>
      </c>
      <c r="L25" s="136">
        <v>9</v>
      </c>
      <c r="M25" s="136">
        <v>9</v>
      </c>
      <c r="N25" s="136">
        <v>0</v>
      </c>
      <c r="O25" s="137">
        <v>0</v>
      </c>
      <c r="P25" s="137">
        <v>0</v>
      </c>
      <c r="Q25" s="137">
        <v>1</v>
      </c>
      <c r="R25" s="137">
        <v>0</v>
      </c>
      <c r="S25" s="137">
        <v>0</v>
      </c>
      <c r="T25" s="137">
        <v>0</v>
      </c>
      <c r="U25" s="137">
        <v>0</v>
      </c>
      <c r="V25" s="137">
        <v>0</v>
      </c>
      <c r="W25" s="137">
        <v>0</v>
      </c>
      <c r="X25" s="138">
        <v>0</v>
      </c>
    </row>
    <row r="26" spans="1:24" ht="14.6">
      <c r="A26" s="1318"/>
      <c r="B26" s="54" t="s">
        <v>47</v>
      </c>
      <c r="C26" s="136">
        <v>35</v>
      </c>
      <c r="D26" s="136">
        <v>0</v>
      </c>
      <c r="E26" s="136">
        <v>0</v>
      </c>
      <c r="F26" s="136">
        <v>0</v>
      </c>
      <c r="G26" s="136">
        <v>0</v>
      </c>
      <c r="H26" s="136">
        <v>0</v>
      </c>
      <c r="I26" s="136">
        <v>5</v>
      </c>
      <c r="J26" s="136">
        <v>9</v>
      </c>
      <c r="K26" s="136">
        <v>0</v>
      </c>
      <c r="L26" s="136">
        <v>9</v>
      </c>
      <c r="M26" s="136">
        <v>9</v>
      </c>
      <c r="N26" s="136">
        <v>0</v>
      </c>
      <c r="O26" s="137">
        <v>0</v>
      </c>
      <c r="P26" s="137">
        <v>0</v>
      </c>
      <c r="Q26" s="137">
        <v>1</v>
      </c>
      <c r="R26" s="137">
        <v>0</v>
      </c>
      <c r="S26" s="137">
        <v>0</v>
      </c>
      <c r="T26" s="137">
        <v>0</v>
      </c>
      <c r="U26" s="137">
        <v>1</v>
      </c>
      <c r="V26" s="137">
        <v>0</v>
      </c>
      <c r="W26" s="137">
        <v>0</v>
      </c>
      <c r="X26" s="138">
        <v>0</v>
      </c>
    </row>
    <row r="27" spans="1:24" ht="14.6">
      <c r="A27" s="1318"/>
      <c r="B27" s="54" t="s">
        <v>48</v>
      </c>
      <c r="C27" s="136">
        <v>30</v>
      </c>
      <c r="D27" s="136">
        <v>0</v>
      </c>
      <c r="E27" s="136">
        <v>0</v>
      </c>
      <c r="F27" s="136">
        <v>0</v>
      </c>
      <c r="G27" s="136">
        <v>0</v>
      </c>
      <c r="H27" s="136">
        <v>0</v>
      </c>
      <c r="I27" s="136">
        <v>0</v>
      </c>
      <c r="J27" s="136">
        <v>8</v>
      </c>
      <c r="K27" s="136">
        <v>0</v>
      </c>
      <c r="L27" s="136">
        <v>8</v>
      </c>
      <c r="M27" s="136">
        <v>8</v>
      </c>
      <c r="N27" s="136">
        <v>0</v>
      </c>
      <c r="O27" s="137">
        <v>0</v>
      </c>
      <c r="P27" s="137">
        <v>0</v>
      </c>
      <c r="Q27" s="137">
        <v>2</v>
      </c>
      <c r="R27" s="137">
        <v>0</v>
      </c>
      <c r="S27" s="137">
        <v>0</v>
      </c>
      <c r="T27" s="137">
        <v>0</v>
      </c>
      <c r="U27" s="137">
        <v>1</v>
      </c>
      <c r="V27" s="137">
        <v>0</v>
      </c>
      <c r="W27" s="137">
        <v>0</v>
      </c>
      <c r="X27" s="138">
        <v>0</v>
      </c>
    </row>
    <row r="28" spans="1:24" ht="14.6">
      <c r="A28" s="1318"/>
      <c r="B28" s="54" t="s">
        <v>49</v>
      </c>
      <c r="C28" s="136">
        <v>30</v>
      </c>
      <c r="D28" s="136">
        <v>0</v>
      </c>
      <c r="E28" s="136">
        <v>0</v>
      </c>
      <c r="F28" s="136">
        <v>0</v>
      </c>
      <c r="G28" s="136">
        <v>0</v>
      </c>
      <c r="H28" s="136">
        <v>0</v>
      </c>
      <c r="I28" s="136">
        <v>5</v>
      </c>
      <c r="J28" s="136">
        <v>7</v>
      </c>
      <c r="K28" s="136">
        <v>0</v>
      </c>
      <c r="L28" s="136">
        <v>7</v>
      </c>
      <c r="M28" s="136">
        <v>7</v>
      </c>
      <c r="N28" s="136">
        <v>0</v>
      </c>
      <c r="O28" s="137">
        <v>0</v>
      </c>
      <c r="P28" s="137">
        <v>0</v>
      </c>
      <c r="Q28" s="137">
        <v>1</v>
      </c>
      <c r="R28" s="137">
        <v>0</v>
      </c>
      <c r="S28" s="137">
        <v>0</v>
      </c>
      <c r="T28" s="137">
        <v>0</v>
      </c>
      <c r="U28" s="137">
        <v>0</v>
      </c>
      <c r="V28" s="137">
        <v>0</v>
      </c>
      <c r="W28" s="137">
        <v>0</v>
      </c>
      <c r="X28" s="138">
        <v>0</v>
      </c>
    </row>
    <row r="29" spans="1:24" ht="14.6">
      <c r="A29" s="1318"/>
      <c r="B29" s="54" t="s">
        <v>50</v>
      </c>
      <c r="C29" s="136">
        <v>40</v>
      </c>
      <c r="D29" s="136">
        <v>0</v>
      </c>
      <c r="E29" s="136">
        <v>0</v>
      </c>
      <c r="F29" s="136">
        <v>0</v>
      </c>
      <c r="G29" s="136">
        <v>0</v>
      </c>
      <c r="H29" s="136">
        <v>0</v>
      </c>
      <c r="I29" s="136">
        <v>5</v>
      </c>
      <c r="J29" s="136">
        <v>10</v>
      </c>
      <c r="K29" s="136">
        <v>0</v>
      </c>
      <c r="L29" s="136">
        <v>10</v>
      </c>
      <c r="M29" s="136">
        <v>10</v>
      </c>
      <c r="N29" s="136">
        <v>0</v>
      </c>
      <c r="O29" s="137">
        <v>0</v>
      </c>
      <c r="P29" s="137">
        <v>0</v>
      </c>
      <c r="Q29" s="137">
        <v>1</v>
      </c>
      <c r="R29" s="137">
        <v>0</v>
      </c>
      <c r="S29" s="137">
        <v>0</v>
      </c>
      <c r="T29" s="137">
        <v>0</v>
      </c>
      <c r="U29" s="137">
        <v>3</v>
      </c>
      <c r="V29" s="137">
        <v>0</v>
      </c>
      <c r="W29" s="137">
        <v>0</v>
      </c>
      <c r="X29" s="138">
        <v>0</v>
      </c>
    </row>
    <row r="30" spans="1:24" ht="14.6">
      <c r="A30" s="1318"/>
      <c r="B30" s="54" t="s">
        <v>51</v>
      </c>
      <c r="C30" s="136">
        <v>40</v>
      </c>
      <c r="D30" s="136">
        <v>0</v>
      </c>
      <c r="E30" s="136">
        <v>0</v>
      </c>
      <c r="F30" s="136">
        <v>0</v>
      </c>
      <c r="G30" s="136">
        <v>0</v>
      </c>
      <c r="H30" s="136">
        <v>0</v>
      </c>
      <c r="I30" s="136">
        <v>5</v>
      </c>
      <c r="J30" s="136">
        <v>10</v>
      </c>
      <c r="K30" s="136">
        <v>0</v>
      </c>
      <c r="L30" s="136">
        <v>9</v>
      </c>
      <c r="M30" s="136">
        <v>7</v>
      </c>
      <c r="N30" s="136">
        <v>0</v>
      </c>
      <c r="O30" s="140">
        <v>0</v>
      </c>
      <c r="P30" s="140">
        <v>0</v>
      </c>
      <c r="Q30" s="140">
        <v>1</v>
      </c>
      <c r="R30" s="140">
        <v>0</v>
      </c>
      <c r="S30" s="140">
        <v>0</v>
      </c>
      <c r="T30" s="140">
        <v>0</v>
      </c>
      <c r="U30" s="140">
        <v>2</v>
      </c>
      <c r="V30" s="140">
        <v>0</v>
      </c>
      <c r="W30" s="140">
        <v>0</v>
      </c>
      <c r="X30" s="141">
        <v>0</v>
      </c>
    </row>
    <row r="31" spans="1:24" ht="14.6">
      <c r="A31" s="1318"/>
      <c r="B31" s="54" t="s">
        <v>53</v>
      </c>
      <c r="C31" s="136">
        <v>40</v>
      </c>
      <c r="D31" s="136">
        <v>0</v>
      </c>
      <c r="E31" s="136">
        <v>0</v>
      </c>
      <c r="F31" s="136">
        <v>0</v>
      </c>
      <c r="G31" s="136">
        <v>0</v>
      </c>
      <c r="H31" s="136">
        <v>0</v>
      </c>
      <c r="I31" s="136">
        <v>5</v>
      </c>
      <c r="J31" s="136">
        <v>10</v>
      </c>
      <c r="K31" s="136">
        <v>0</v>
      </c>
      <c r="L31" s="136">
        <v>10</v>
      </c>
      <c r="M31" s="136">
        <v>10</v>
      </c>
      <c r="N31" s="136">
        <v>0</v>
      </c>
      <c r="O31" s="139">
        <v>0</v>
      </c>
      <c r="P31" s="139">
        <v>0</v>
      </c>
      <c r="Q31" s="139">
        <v>1</v>
      </c>
      <c r="R31" s="139">
        <v>0</v>
      </c>
      <c r="S31" s="139">
        <v>0</v>
      </c>
      <c r="T31" s="139">
        <v>0</v>
      </c>
      <c r="U31" s="139">
        <v>2</v>
      </c>
      <c r="V31" s="139">
        <v>0</v>
      </c>
      <c r="W31" s="139">
        <v>0</v>
      </c>
      <c r="X31" s="142">
        <v>0</v>
      </c>
    </row>
    <row r="32" spans="1:24" ht="14.6">
      <c r="A32" s="1318"/>
      <c r="B32" s="54" t="s">
        <v>54</v>
      </c>
      <c r="C32" s="136">
        <v>40</v>
      </c>
      <c r="D32" s="136">
        <v>0</v>
      </c>
      <c r="E32" s="136">
        <v>0</v>
      </c>
      <c r="F32" s="136">
        <v>0</v>
      </c>
      <c r="G32" s="136">
        <v>0</v>
      </c>
      <c r="H32" s="136">
        <v>0</v>
      </c>
      <c r="I32" s="136">
        <v>5</v>
      </c>
      <c r="J32" s="136">
        <v>10</v>
      </c>
      <c r="K32" s="136">
        <v>0</v>
      </c>
      <c r="L32" s="136">
        <v>10</v>
      </c>
      <c r="M32" s="136">
        <v>10</v>
      </c>
      <c r="N32" s="136">
        <v>0</v>
      </c>
      <c r="O32" s="137">
        <v>0</v>
      </c>
      <c r="P32" s="137">
        <v>0</v>
      </c>
      <c r="Q32" s="137">
        <v>1</v>
      </c>
      <c r="R32" s="137">
        <v>0</v>
      </c>
      <c r="S32" s="137">
        <v>0</v>
      </c>
      <c r="T32" s="137">
        <v>0</v>
      </c>
      <c r="U32" s="137">
        <v>2</v>
      </c>
      <c r="V32" s="137">
        <v>0</v>
      </c>
      <c r="W32" s="137">
        <v>0</v>
      </c>
      <c r="X32" s="138">
        <v>0</v>
      </c>
    </row>
    <row r="33" spans="1:24" ht="14.6">
      <c r="A33" s="1318"/>
      <c r="B33" s="54" t="s">
        <v>55</v>
      </c>
      <c r="C33" s="136">
        <v>35</v>
      </c>
      <c r="D33" s="136">
        <v>0</v>
      </c>
      <c r="E33" s="136">
        <v>0</v>
      </c>
      <c r="F33" s="136">
        <v>0</v>
      </c>
      <c r="G33" s="136">
        <v>0</v>
      </c>
      <c r="H33" s="136">
        <v>0</v>
      </c>
      <c r="I33" s="136">
        <v>5</v>
      </c>
      <c r="J33" s="136">
        <v>9</v>
      </c>
      <c r="K33" s="136">
        <v>0</v>
      </c>
      <c r="L33" s="136">
        <v>8</v>
      </c>
      <c r="M33" s="136">
        <v>8</v>
      </c>
      <c r="N33" s="136">
        <v>0</v>
      </c>
      <c r="O33" s="137">
        <v>0</v>
      </c>
      <c r="P33" s="137">
        <v>0</v>
      </c>
      <c r="Q33" s="137">
        <v>2</v>
      </c>
      <c r="R33" s="137">
        <v>0</v>
      </c>
      <c r="S33" s="137">
        <v>0</v>
      </c>
      <c r="T33" s="137">
        <v>0</v>
      </c>
      <c r="U33" s="137">
        <v>2</v>
      </c>
      <c r="V33" s="137">
        <v>0</v>
      </c>
      <c r="W33" s="137">
        <v>0</v>
      </c>
      <c r="X33" s="138">
        <v>2</v>
      </c>
    </row>
    <row r="34" spans="1:24" ht="14.6">
      <c r="A34" s="1318"/>
      <c r="B34" s="54" t="s">
        <v>57</v>
      </c>
      <c r="C34" s="136">
        <v>50</v>
      </c>
      <c r="D34" s="136">
        <v>0</v>
      </c>
      <c r="E34" s="136">
        <v>0</v>
      </c>
      <c r="F34" s="136">
        <v>0</v>
      </c>
      <c r="G34" s="136">
        <v>0</v>
      </c>
      <c r="H34" s="136">
        <v>0</v>
      </c>
      <c r="I34" s="136">
        <v>5</v>
      </c>
      <c r="J34" s="136">
        <v>14</v>
      </c>
      <c r="K34" s="136">
        <v>0</v>
      </c>
      <c r="L34" s="136">
        <v>13</v>
      </c>
      <c r="M34" s="136">
        <v>13</v>
      </c>
      <c r="N34" s="136">
        <v>0</v>
      </c>
      <c r="O34" s="137">
        <v>0</v>
      </c>
      <c r="P34" s="137">
        <v>0</v>
      </c>
      <c r="Q34" s="137">
        <v>1</v>
      </c>
      <c r="R34" s="137">
        <v>0</v>
      </c>
      <c r="S34" s="137">
        <v>0</v>
      </c>
      <c r="T34" s="137">
        <v>0</v>
      </c>
      <c r="U34" s="137">
        <v>8</v>
      </c>
      <c r="V34" s="137">
        <v>0</v>
      </c>
      <c r="W34" s="137">
        <v>0</v>
      </c>
      <c r="X34" s="138">
        <v>0</v>
      </c>
    </row>
    <row r="35" spans="1:24" ht="14.6">
      <c r="A35" s="1318"/>
      <c r="B35" s="54" t="s">
        <v>58</v>
      </c>
      <c r="C35" s="136">
        <v>40</v>
      </c>
      <c r="D35" s="136">
        <v>0</v>
      </c>
      <c r="E35" s="136">
        <v>0</v>
      </c>
      <c r="F35" s="136">
        <v>0</v>
      </c>
      <c r="G35" s="136">
        <v>0</v>
      </c>
      <c r="H35" s="136">
        <v>0</v>
      </c>
      <c r="I35" s="136">
        <v>5</v>
      </c>
      <c r="J35" s="136">
        <v>10</v>
      </c>
      <c r="K35" s="136">
        <v>0</v>
      </c>
      <c r="L35" s="136">
        <v>10</v>
      </c>
      <c r="M35" s="136">
        <v>10</v>
      </c>
      <c r="N35" s="136">
        <v>0</v>
      </c>
      <c r="O35" s="137">
        <v>0</v>
      </c>
      <c r="P35" s="137">
        <v>0</v>
      </c>
      <c r="Q35" s="137">
        <v>2</v>
      </c>
      <c r="R35" s="137">
        <v>0</v>
      </c>
      <c r="S35" s="137">
        <v>0</v>
      </c>
      <c r="T35" s="137">
        <v>0</v>
      </c>
      <c r="U35" s="137">
        <v>0</v>
      </c>
      <c r="V35" s="137">
        <v>0</v>
      </c>
      <c r="W35" s="137">
        <v>0</v>
      </c>
      <c r="X35" s="138">
        <v>0</v>
      </c>
    </row>
    <row r="36" spans="1:24" ht="14.6">
      <c r="A36" s="1318"/>
      <c r="B36" s="54" t="s">
        <v>59</v>
      </c>
      <c r="C36" s="136">
        <v>35</v>
      </c>
      <c r="D36" s="136">
        <v>0</v>
      </c>
      <c r="E36" s="136">
        <v>0</v>
      </c>
      <c r="F36" s="136">
        <v>0</v>
      </c>
      <c r="G36" s="136">
        <v>0</v>
      </c>
      <c r="H36" s="136">
        <v>0</v>
      </c>
      <c r="I36" s="136">
        <v>5</v>
      </c>
      <c r="J36" s="136">
        <v>9</v>
      </c>
      <c r="K36" s="136">
        <v>0</v>
      </c>
      <c r="L36" s="136">
        <v>9</v>
      </c>
      <c r="M36" s="136">
        <v>9</v>
      </c>
      <c r="N36" s="136">
        <v>0</v>
      </c>
      <c r="O36" s="137">
        <v>0</v>
      </c>
      <c r="P36" s="137">
        <v>0</v>
      </c>
      <c r="Q36" s="137">
        <v>1</v>
      </c>
      <c r="R36" s="137">
        <v>0</v>
      </c>
      <c r="S36" s="137">
        <v>0</v>
      </c>
      <c r="T36" s="137">
        <v>0</v>
      </c>
      <c r="U36" s="137">
        <v>2</v>
      </c>
      <c r="V36" s="137">
        <v>0</v>
      </c>
      <c r="W36" s="137">
        <v>0</v>
      </c>
      <c r="X36" s="138">
        <v>0</v>
      </c>
    </row>
    <row r="37" spans="1:24" ht="14.6">
      <c r="A37" s="1318"/>
      <c r="B37" s="54" t="s">
        <v>60</v>
      </c>
      <c r="C37" s="136">
        <v>40</v>
      </c>
      <c r="D37" s="136">
        <v>0</v>
      </c>
      <c r="E37" s="136">
        <v>0</v>
      </c>
      <c r="F37" s="136">
        <v>0</v>
      </c>
      <c r="G37" s="136">
        <v>0</v>
      </c>
      <c r="H37" s="136">
        <v>0</v>
      </c>
      <c r="I37" s="136">
        <v>5</v>
      </c>
      <c r="J37" s="136">
        <v>10</v>
      </c>
      <c r="K37" s="136">
        <v>0</v>
      </c>
      <c r="L37" s="136">
        <v>9</v>
      </c>
      <c r="M37" s="136">
        <v>9</v>
      </c>
      <c r="N37" s="136">
        <v>0</v>
      </c>
      <c r="O37" s="137">
        <v>0</v>
      </c>
      <c r="P37" s="137">
        <v>0</v>
      </c>
      <c r="Q37" s="137">
        <v>2</v>
      </c>
      <c r="R37" s="137">
        <v>0</v>
      </c>
      <c r="S37" s="137">
        <v>0</v>
      </c>
      <c r="T37" s="137">
        <v>0</v>
      </c>
      <c r="U37" s="137">
        <v>4</v>
      </c>
      <c r="V37" s="137">
        <v>0</v>
      </c>
      <c r="W37" s="137">
        <v>0</v>
      </c>
      <c r="X37" s="138">
        <v>0</v>
      </c>
    </row>
    <row r="38" spans="1:24" ht="14.6">
      <c r="A38" s="1318"/>
      <c r="B38" s="54" t="s">
        <v>61</v>
      </c>
      <c r="C38" s="136">
        <v>50</v>
      </c>
      <c r="D38" s="136">
        <v>0</v>
      </c>
      <c r="E38" s="136">
        <v>0</v>
      </c>
      <c r="F38" s="136">
        <v>0</v>
      </c>
      <c r="G38" s="136">
        <v>0</v>
      </c>
      <c r="H38" s="136">
        <v>0</v>
      </c>
      <c r="I38" s="136">
        <v>5</v>
      </c>
      <c r="J38" s="136">
        <v>12</v>
      </c>
      <c r="K38" s="136">
        <v>0</v>
      </c>
      <c r="L38" s="136">
        <v>12</v>
      </c>
      <c r="M38" s="136">
        <v>11</v>
      </c>
      <c r="N38" s="136">
        <v>0</v>
      </c>
      <c r="O38" s="137">
        <v>0</v>
      </c>
      <c r="P38" s="137">
        <v>0</v>
      </c>
      <c r="Q38" s="137">
        <v>2</v>
      </c>
      <c r="R38" s="137">
        <v>0</v>
      </c>
      <c r="S38" s="137">
        <v>0</v>
      </c>
      <c r="T38" s="137">
        <v>0</v>
      </c>
      <c r="U38" s="137">
        <v>1</v>
      </c>
      <c r="V38" s="137">
        <v>0</v>
      </c>
      <c r="W38" s="137">
        <v>0</v>
      </c>
      <c r="X38" s="138">
        <v>0</v>
      </c>
    </row>
    <row r="39" spans="1:24" ht="14.6">
      <c r="A39" s="1318"/>
      <c r="B39" s="54" t="s">
        <v>62</v>
      </c>
      <c r="C39" s="136">
        <v>60</v>
      </c>
      <c r="D39" s="136">
        <v>10</v>
      </c>
      <c r="E39" s="136">
        <v>1</v>
      </c>
      <c r="F39" s="136">
        <v>0</v>
      </c>
      <c r="G39" s="136">
        <v>0</v>
      </c>
      <c r="H39" s="136">
        <v>0</v>
      </c>
      <c r="I39" s="136">
        <v>15</v>
      </c>
      <c r="J39" s="136">
        <v>12</v>
      </c>
      <c r="K39" s="136">
        <v>0</v>
      </c>
      <c r="L39" s="136">
        <v>11</v>
      </c>
      <c r="M39" s="136">
        <v>11</v>
      </c>
      <c r="N39" s="136">
        <v>0</v>
      </c>
      <c r="O39" s="137">
        <v>0</v>
      </c>
      <c r="P39" s="137">
        <v>0</v>
      </c>
      <c r="Q39" s="137">
        <v>3</v>
      </c>
      <c r="R39" s="137">
        <v>0</v>
      </c>
      <c r="S39" s="137">
        <v>0</v>
      </c>
      <c r="T39" s="137">
        <v>0</v>
      </c>
      <c r="U39" s="137">
        <v>12</v>
      </c>
      <c r="V39" s="137">
        <v>0</v>
      </c>
      <c r="W39" s="137">
        <v>0</v>
      </c>
      <c r="X39" s="138">
        <v>0</v>
      </c>
    </row>
    <row r="40" spans="1:24" ht="14.6">
      <c r="A40" s="1318"/>
      <c r="B40" s="54" t="s">
        <v>63</v>
      </c>
      <c r="C40" s="136">
        <v>50</v>
      </c>
      <c r="D40" s="136">
        <v>10</v>
      </c>
      <c r="E40" s="136">
        <v>1.5</v>
      </c>
      <c r="F40" s="136">
        <v>0</v>
      </c>
      <c r="G40" s="136">
        <v>0</v>
      </c>
      <c r="H40" s="136">
        <v>0</v>
      </c>
      <c r="I40" s="136">
        <v>15</v>
      </c>
      <c r="J40" s="136">
        <v>10</v>
      </c>
      <c r="K40" s="136">
        <v>0</v>
      </c>
      <c r="L40" s="136">
        <v>10</v>
      </c>
      <c r="M40" s="136">
        <v>10</v>
      </c>
      <c r="N40" s="136">
        <v>0</v>
      </c>
      <c r="O40" s="137">
        <v>0</v>
      </c>
      <c r="P40" s="137">
        <v>0</v>
      </c>
      <c r="Q40" s="137">
        <v>3</v>
      </c>
      <c r="R40" s="137">
        <v>0</v>
      </c>
      <c r="S40" s="137">
        <v>0</v>
      </c>
      <c r="T40" s="137">
        <v>0</v>
      </c>
      <c r="U40" s="137">
        <v>1</v>
      </c>
      <c r="V40" s="137">
        <v>0</v>
      </c>
      <c r="W40" s="137">
        <v>0</v>
      </c>
      <c r="X40" s="138">
        <v>0</v>
      </c>
    </row>
    <row r="41" spans="1:24" ht="14.6">
      <c r="A41" s="1318"/>
      <c r="B41" s="54" t="s">
        <v>64</v>
      </c>
      <c r="C41" s="136">
        <v>40</v>
      </c>
      <c r="D41" s="136">
        <v>0</v>
      </c>
      <c r="E41" s="136">
        <v>0</v>
      </c>
      <c r="F41" s="136">
        <v>0</v>
      </c>
      <c r="G41" s="136">
        <v>0</v>
      </c>
      <c r="H41" s="136">
        <v>0</v>
      </c>
      <c r="I41" s="136">
        <v>5</v>
      </c>
      <c r="J41" s="136">
        <v>10</v>
      </c>
      <c r="K41" s="136">
        <v>0</v>
      </c>
      <c r="L41" s="136">
        <v>9</v>
      </c>
      <c r="M41" s="136">
        <v>9</v>
      </c>
      <c r="N41" s="136">
        <v>0</v>
      </c>
      <c r="O41" s="137">
        <v>0</v>
      </c>
      <c r="P41" s="137">
        <v>0</v>
      </c>
      <c r="Q41" s="137">
        <v>1</v>
      </c>
      <c r="R41" s="137">
        <v>0</v>
      </c>
      <c r="S41" s="137">
        <v>0</v>
      </c>
      <c r="T41" s="137">
        <v>0</v>
      </c>
      <c r="U41" s="137">
        <v>3</v>
      </c>
      <c r="V41" s="137">
        <v>0</v>
      </c>
      <c r="W41" s="137">
        <v>0</v>
      </c>
      <c r="X41" s="138">
        <v>0</v>
      </c>
    </row>
    <row r="42" spans="1:24" ht="14.6">
      <c r="A42" s="1318"/>
      <c r="B42" s="54" t="s">
        <v>65</v>
      </c>
      <c r="C42" s="136">
        <v>35</v>
      </c>
      <c r="D42" s="136">
        <v>0</v>
      </c>
      <c r="E42" s="136">
        <v>0</v>
      </c>
      <c r="F42" s="136">
        <v>0</v>
      </c>
      <c r="G42" s="136">
        <v>0</v>
      </c>
      <c r="H42" s="136">
        <v>0</v>
      </c>
      <c r="I42" s="136">
        <v>5</v>
      </c>
      <c r="J42" s="136">
        <v>10</v>
      </c>
      <c r="K42" s="136">
        <v>0</v>
      </c>
      <c r="L42" s="136">
        <v>10</v>
      </c>
      <c r="M42" s="136">
        <v>10</v>
      </c>
      <c r="N42" s="136">
        <v>0</v>
      </c>
      <c r="O42" s="137">
        <v>0</v>
      </c>
      <c r="P42" s="137">
        <v>0</v>
      </c>
      <c r="Q42" s="137">
        <v>1</v>
      </c>
      <c r="R42" s="137">
        <v>0</v>
      </c>
      <c r="S42" s="137">
        <v>0</v>
      </c>
      <c r="T42" s="137">
        <v>0</v>
      </c>
      <c r="U42" s="137">
        <v>0</v>
      </c>
      <c r="V42" s="137">
        <v>0</v>
      </c>
      <c r="W42" s="137">
        <v>0</v>
      </c>
      <c r="X42" s="138">
        <v>0</v>
      </c>
    </row>
    <row r="43" spans="1:24" ht="14.6">
      <c r="A43" s="1318"/>
      <c r="B43" s="54" t="s">
        <v>67</v>
      </c>
      <c r="C43" s="136">
        <v>40</v>
      </c>
      <c r="D43" s="136">
        <v>0</v>
      </c>
      <c r="E43" s="136">
        <v>0</v>
      </c>
      <c r="F43" s="136">
        <v>0</v>
      </c>
      <c r="G43" s="136">
        <v>0</v>
      </c>
      <c r="H43" s="136">
        <v>0</v>
      </c>
      <c r="I43" s="136">
        <v>5</v>
      </c>
      <c r="J43" s="136">
        <v>10</v>
      </c>
      <c r="K43" s="136">
        <v>0</v>
      </c>
      <c r="L43" s="136">
        <v>10</v>
      </c>
      <c r="M43" s="136">
        <v>10</v>
      </c>
      <c r="N43" s="136">
        <v>0</v>
      </c>
      <c r="O43" s="137">
        <v>0</v>
      </c>
      <c r="P43" s="137">
        <v>0</v>
      </c>
      <c r="Q43" s="137">
        <v>1</v>
      </c>
      <c r="R43" s="137">
        <v>0</v>
      </c>
      <c r="S43" s="137">
        <v>0</v>
      </c>
      <c r="T43" s="137">
        <v>0</v>
      </c>
      <c r="U43" s="137">
        <v>0</v>
      </c>
      <c r="V43" s="137">
        <v>0</v>
      </c>
      <c r="W43" s="137">
        <v>0</v>
      </c>
      <c r="X43" s="138">
        <v>0</v>
      </c>
    </row>
    <row r="44" spans="1:24" ht="14.6">
      <c r="A44" s="1318"/>
      <c r="B44" s="54" t="s">
        <v>66</v>
      </c>
      <c r="C44" s="136">
        <v>40</v>
      </c>
      <c r="D44" s="136">
        <v>0</v>
      </c>
      <c r="E44" s="136">
        <v>0</v>
      </c>
      <c r="F44" s="136">
        <v>0</v>
      </c>
      <c r="G44" s="136">
        <v>0</v>
      </c>
      <c r="H44" s="136">
        <v>0</v>
      </c>
      <c r="I44" s="136">
        <v>5</v>
      </c>
      <c r="J44" s="136">
        <v>10</v>
      </c>
      <c r="K44" s="136">
        <v>0</v>
      </c>
      <c r="L44" s="136">
        <v>9</v>
      </c>
      <c r="M44" s="136">
        <v>9</v>
      </c>
      <c r="N44" s="136">
        <v>0</v>
      </c>
      <c r="O44" s="137">
        <v>0</v>
      </c>
      <c r="P44" s="137">
        <v>0</v>
      </c>
      <c r="Q44" s="137">
        <v>1</v>
      </c>
      <c r="R44" s="137">
        <v>0</v>
      </c>
      <c r="S44" s="137">
        <v>0</v>
      </c>
      <c r="T44" s="137">
        <v>0</v>
      </c>
      <c r="U44" s="137">
        <v>1</v>
      </c>
      <c r="V44" s="137">
        <v>0</v>
      </c>
      <c r="W44" s="137">
        <v>0</v>
      </c>
      <c r="X44" s="138">
        <v>0</v>
      </c>
    </row>
    <row r="45" spans="1:24" ht="14.6">
      <c r="A45" s="1318"/>
      <c r="B45" s="54" t="s">
        <v>68</v>
      </c>
      <c r="C45" s="136">
        <v>35</v>
      </c>
      <c r="D45" s="136">
        <v>0</v>
      </c>
      <c r="E45" s="136">
        <v>0</v>
      </c>
      <c r="F45" s="136">
        <v>0</v>
      </c>
      <c r="G45" s="136">
        <v>0</v>
      </c>
      <c r="H45" s="136">
        <v>0</v>
      </c>
      <c r="I45" s="136">
        <v>5</v>
      </c>
      <c r="J45" s="136">
        <v>9</v>
      </c>
      <c r="K45" s="136">
        <v>0</v>
      </c>
      <c r="L45" s="136">
        <v>9</v>
      </c>
      <c r="M45" s="136">
        <v>9</v>
      </c>
      <c r="N45" s="136">
        <v>0</v>
      </c>
      <c r="O45" s="140">
        <v>0</v>
      </c>
      <c r="P45" s="140">
        <v>0</v>
      </c>
      <c r="Q45" s="140">
        <v>2</v>
      </c>
      <c r="R45" s="140">
        <v>0</v>
      </c>
      <c r="S45" s="140">
        <v>0</v>
      </c>
      <c r="T45" s="140">
        <v>0</v>
      </c>
      <c r="U45" s="140">
        <v>4</v>
      </c>
      <c r="V45" s="140">
        <v>0</v>
      </c>
      <c r="W45" s="140">
        <v>0</v>
      </c>
      <c r="X45" s="141">
        <v>2</v>
      </c>
    </row>
    <row r="46" spans="1:24" ht="14.6">
      <c r="A46" s="1318"/>
      <c r="B46" s="54" t="s">
        <v>69</v>
      </c>
      <c r="C46" s="136">
        <v>40</v>
      </c>
      <c r="D46" s="136">
        <v>0</v>
      </c>
      <c r="E46" s="136">
        <v>0</v>
      </c>
      <c r="F46" s="136">
        <v>0</v>
      </c>
      <c r="G46" s="136">
        <v>0</v>
      </c>
      <c r="H46" s="136">
        <v>0</v>
      </c>
      <c r="I46" s="136">
        <v>5</v>
      </c>
      <c r="J46" s="136">
        <v>10</v>
      </c>
      <c r="K46" s="136">
        <v>0</v>
      </c>
      <c r="L46" s="136">
        <v>10</v>
      </c>
      <c r="M46" s="136">
        <v>9</v>
      </c>
      <c r="N46" s="136">
        <v>0</v>
      </c>
      <c r="O46" s="137">
        <v>0</v>
      </c>
      <c r="P46" s="137">
        <v>0</v>
      </c>
      <c r="Q46" s="137">
        <v>2</v>
      </c>
      <c r="R46" s="137">
        <v>0</v>
      </c>
      <c r="S46" s="137">
        <v>0</v>
      </c>
      <c r="T46" s="137">
        <v>0</v>
      </c>
      <c r="U46" s="137">
        <v>3</v>
      </c>
      <c r="V46" s="137">
        <v>0</v>
      </c>
      <c r="W46" s="137">
        <v>0</v>
      </c>
      <c r="X46" s="138">
        <v>2</v>
      </c>
    </row>
    <row r="47" spans="1:24" ht="14.6">
      <c r="A47" s="1318"/>
      <c r="B47" s="54" t="s">
        <v>70</v>
      </c>
      <c r="C47" s="136">
        <v>30</v>
      </c>
      <c r="D47" s="136">
        <v>0</v>
      </c>
      <c r="E47" s="136">
        <v>0</v>
      </c>
      <c r="F47" s="136">
        <v>0</v>
      </c>
      <c r="G47" s="136">
        <v>0</v>
      </c>
      <c r="H47" s="136">
        <v>0</v>
      </c>
      <c r="I47" s="136">
        <v>5</v>
      </c>
      <c r="J47" s="136">
        <v>7</v>
      </c>
      <c r="K47" s="136">
        <v>0</v>
      </c>
      <c r="L47" s="136">
        <v>7</v>
      </c>
      <c r="M47" s="136">
        <v>7</v>
      </c>
      <c r="N47" s="136">
        <v>0</v>
      </c>
      <c r="O47" s="136">
        <v>0</v>
      </c>
      <c r="P47" s="136">
        <v>0</v>
      </c>
      <c r="Q47" s="136">
        <v>1</v>
      </c>
      <c r="R47" s="136">
        <v>0</v>
      </c>
      <c r="S47" s="136">
        <v>0</v>
      </c>
      <c r="T47" s="136">
        <v>0</v>
      </c>
      <c r="U47" s="136">
        <v>0</v>
      </c>
      <c r="V47" s="136">
        <v>0</v>
      </c>
      <c r="W47" s="136">
        <v>0</v>
      </c>
      <c r="X47" s="143">
        <v>0</v>
      </c>
    </row>
    <row r="48" spans="1:24" ht="14.6">
      <c r="A48" s="1318"/>
      <c r="B48" s="54" t="s">
        <v>71</v>
      </c>
      <c r="C48" s="136">
        <v>40</v>
      </c>
      <c r="D48" s="136">
        <v>0</v>
      </c>
      <c r="E48" s="136">
        <v>0</v>
      </c>
      <c r="F48" s="136">
        <v>0</v>
      </c>
      <c r="G48" s="136">
        <v>0</v>
      </c>
      <c r="H48" s="136">
        <v>0</v>
      </c>
      <c r="I48" s="136">
        <v>5</v>
      </c>
      <c r="J48" s="136">
        <v>10</v>
      </c>
      <c r="K48" s="136">
        <v>0</v>
      </c>
      <c r="L48" s="136">
        <v>9</v>
      </c>
      <c r="M48" s="136">
        <v>9</v>
      </c>
      <c r="N48" s="136">
        <v>0</v>
      </c>
      <c r="O48" s="137">
        <v>0</v>
      </c>
      <c r="P48" s="137">
        <v>0</v>
      </c>
      <c r="Q48" s="137">
        <v>1</v>
      </c>
      <c r="R48" s="137">
        <v>0</v>
      </c>
      <c r="S48" s="137">
        <v>0</v>
      </c>
      <c r="T48" s="137">
        <v>0</v>
      </c>
      <c r="U48" s="137">
        <v>3</v>
      </c>
      <c r="V48" s="137">
        <v>0</v>
      </c>
      <c r="W48" s="137">
        <v>0</v>
      </c>
      <c r="X48" s="138">
        <v>0</v>
      </c>
    </row>
    <row r="49" spans="1:24" ht="14.6">
      <c r="A49" s="1318"/>
      <c r="B49" s="54" t="s">
        <v>72</v>
      </c>
      <c r="C49" s="136">
        <v>45</v>
      </c>
      <c r="D49" s="136">
        <v>0</v>
      </c>
      <c r="E49" s="136">
        <v>0</v>
      </c>
      <c r="F49" s="136">
        <v>0</v>
      </c>
      <c r="G49" s="136">
        <v>0</v>
      </c>
      <c r="H49" s="136">
        <v>0</v>
      </c>
      <c r="I49" s="136">
        <v>10</v>
      </c>
      <c r="J49" s="136">
        <v>12</v>
      </c>
      <c r="K49" s="136">
        <v>0</v>
      </c>
      <c r="L49" s="136">
        <v>11</v>
      </c>
      <c r="M49" s="136">
        <v>11</v>
      </c>
      <c r="N49" s="136">
        <v>0</v>
      </c>
      <c r="O49" s="137">
        <v>0</v>
      </c>
      <c r="P49" s="137">
        <v>0</v>
      </c>
      <c r="Q49" s="137">
        <v>1</v>
      </c>
      <c r="R49" s="137">
        <v>0</v>
      </c>
      <c r="S49" s="137">
        <v>0</v>
      </c>
      <c r="T49" s="137">
        <v>0</v>
      </c>
      <c r="U49" s="137">
        <v>0</v>
      </c>
      <c r="V49" s="137">
        <v>0</v>
      </c>
      <c r="W49" s="137">
        <v>0</v>
      </c>
      <c r="X49" s="138">
        <v>0</v>
      </c>
    </row>
    <row r="50" spans="1:24" ht="14.6">
      <c r="A50" s="1318"/>
      <c r="B50" s="54" t="s">
        <v>74</v>
      </c>
      <c r="C50" s="136">
        <v>35</v>
      </c>
      <c r="D50" s="136">
        <v>0</v>
      </c>
      <c r="E50" s="136">
        <v>0</v>
      </c>
      <c r="F50" s="136">
        <v>0</v>
      </c>
      <c r="G50" s="136">
        <v>0</v>
      </c>
      <c r="H50" s="136">
        <v>0</v>
      </c>
      <c r="I50" s="136">
        <v>5</v>
      </c>
      <c r="J50" s="136">
        <v>10</v>
      </c>
      <c r="K50" s="136">
        <v>0</v>
      </c>
      <c r="L50" s="136">
        <v>9</v>
      </c>
      <c r="M50" s="136">
        <v>9</v>
      </c>
      <c r="N50" s="136">
        <v>0</v>
      </c>
      <c r="O50" s="137">
        <v>0</v>
      </c>
      <c r="P50" s="137">
        <v>0</v>
      </c>
      <c r="Q50" s="137">
        <v>1</v>
      </c>
      <c r="R50" s="137">
        <v>0</v>
      </c>
      <c r="S50" s="137">
        <v>0</v>
      </c>
      <c r="T50" s="137">
        <v>0</v>
      </c>
      <c r="U50" s="137">
        <v>0</v>
      </c>
      <c r="V50" s="137">
        <v>0</v>
      </c>
      <c r="W50" s="137">
        <v>0</v>
      </c>
      <c r="X50" s="138">
        <v>0</v>
      </c>
    </row>
    <row r="51" spans="1:24" ht="14.6">
      <c r="A51" s="1318"/>
      <c r="B51" s="54" t="s">
        <v>75</v>
      </c>
      <c r="C51" s="136">
        <v>35</v>
      </c>
      <c r="D51" s="136">
        <v>0</v>
      </c>
      <c r="E51" s="136">
        <v>0</v>
      </c>
      <c r="F51" s="136">
        <v>0</v>
      </c>
      <c r="G51" s="136">
        <v>0</v>
      </c>
      <c r="H51" s="136">
        <v>0</v>
      </c>
      <c r="I51" s="136">
        <v>5</v>
      </c>
      <c r="J51" s="136">
        <v>9</v>
      </c>
      <c r="K51" s="136">
        <v>0</v>
      </c>
      <c r="L51" s="136">
        <v>9</v>
      </c>
      <c r="M51" s="136">
        <v>9</v>
      </c>
      <c r="N51" s="136">
        <v>0</v>
      </c>
      <c r="O51" s="137">
        <v>0</v>
      </c>
      <c r="P51" s="137">
        <v>0</v>
      </c>
      <c r="Q51" s="137">
        <v>1</v>
      </c>
      <c r="R51" s="137">
        <v>0</v>
      </c>
      <c r="S51" s="137">
        <v>0</v>
      </c>
      <c r="T51" s="137">
        <v>0</v>
      </c>
      <c r="U51" s="137">
        <v>3</v>
      </c>
      <c r="V51" s="137">
        <v>0</v>
      </c>
      <c r="W51" s="137">
        <v>0</v>
      </c>
      <c r="X51" s="138">
        <v>0</v>
      </c>
    </row>
    <row r="52" spans="1:24" ht="14.6">
      <c r="A52" s="1318"/>
      <c r="B52" s="54" t="s">
        <v>76</v>
      </c>
      <c r="C52" s="136">
        <v>40</v>
      </c>
      <c r="D52" s="136">
        <v>0</v>
      </c>
      <c r="E52" s="136">
        <v>0</v>
      </c>
      <c r="F52" s="136">
        <v>0</v>
      </c>
      <c r="G52" s="136">
        <v>0</v>
      </c>
      <c r="H52" s="136">
        <v>0</v>
      </c>
      <c r="I52" s="136">
        <v>5</v>
      </c>
      <c r="J52" s="136">
        <v>11</v>
      </c>
      <c r="K52" s="136">
        <v>0</v>
      </c>
      <c r="L52" s="136">
        <v>10</v>
      </c>
      <c r="M52" s="136">
        <v>10</v>
      </c>
      <c r="N52" s="136">
        <v>0</v>
      </c>
      <c r="O52" s="139">
        <v>0</v>
      </c>
      <c r="P52" s="139">
        <v>0</v>
      </c>
      <c r="Q52" s="139">
        <v>1</v>
      </c>
      <c r="R52" s="139">
        <v>0</v>
      </c>
      <c r="S52" s="139">
        <v>0</v>
      </c>
      <c r="T52" s="139">
        <v>0</v>
      </c>
      <c r="U52" s="139">
        <v>1</v>
      </c>
      <c r="V52" s="139">
        <v>0</v>
      </c>
      <c r="W52" s="139">
        <v>0</v>
      </c>
      <c r="X52" s="142">
        <v>0</v>
      </c>
    </row>
    <row r="53" spans="1:24" ht="14.6">
      <c r="A53" s="1318"/>
      <c r="B53" s="54" t="s">
        <v>77</v>
      </c>
      <c r="C53" s="136">
        <v>40</v>
      </c>
      <c r="D53" s="136">
        <v>0</v>
      </c>
      <c r="E53" s="136">
        <v>0</v>
      </c>
      <c r="F53" s="136">
        <v>0</v>
      </c>
      <c r="G53" s="136">
        <v>0</v>
      </c>
      <c r="H53" s="136">
        <v>0</v>
      </c>
      <c r="I53" s="136">
        <v>5</v>
      </c>
      <c r="J53" s="136">
        <v>10</v>
      </c>
      <c r="K53" s="136">
        <v>0</v>
      </c>
      <c r="L53" s="136">
        <v>10</v>
      </c>
      <c r="M53" s="136">
        <v>10</v>
      </c>
      <c r="N53" s="136">
        <v>0</v>
      </c>
      <c r="O53" s="137">
        <v>0</v>
      </c>
      <c r="P53" s="137">
        <v>0</v>
      </c>
      <c r="Q53" s="137">
        <v>2</v>
      </c>
      <c r="R53" s="137">
        <v>0</v>
      </c>
      <c r="S53" s="137">
        <v>0</v>
      </c>
      <c r="T53" s="137">
        <v>0</v>
      </c>
      <c r="U53" s="137">
        <v>2</v>
      </c>
      <c r="V53" s="137">
        <v>0</v>
      </c>
      <c r="W53" s="137">
        <v>0</v>
      </c>
      <c r="X53" s="138">
        <v>0</v>
      </c>
    </row>
    <row r="54" spans="1:24" ht="15" thickBot="1">
      <c r="A54" s="1319"/>
      <c r="B54" s="55" t="s">
        <v>78</v>
      </c>
      <c r="C54" s="144">
        <v>40</v>
      </c>
      <c r="D54" s="144">
        <v>0</v>
      </c>
      <c r="E54" s="144">
        <v>0</v>
      </c>
      <c r="F54" s="144">
        <v>0</v>
      </c>
      <c r="G54" s="144">
        <v>0</v>
      </c>
      <c r="H54" s="144">
        <v>0</v>
      </c>
      <c r="I54" s="144">
        <v>0</v>
      </c>
      <c r="J54" s="144">
        <v>9</v>
      </c>
      <c r="K54" s="144">
        <v>0</v>
      </c>
      <c r="L54" s="144">
        <v>9</v>
      </c>
      <c r="M54" s="144">
        <v>9</v>
      </c>
      <c r="N54" s="144">
        <v>0</v>
      </c>
      <c r="O54" s="144">
        <v>0</v>
      </c>
      <c r="P54" s="144">
        <v>0</v>
      </c>
      <c r="Q54" s="144">
        <v>2</v>
      </c>
      <c r="R54" s="144">
        <v>0</v>
      </c>
      <c r="S54" s="144">
        <v>0</v>
      </c>
      <c r="T54" s="144">
        <v>0</v>
      </c>
      <c r="U54" s="144">
        <v>3</v>
      </c>
      <c r="V54" s="144">
        <v>0</v>
      </c>
      <c r="W54" s="144">
        <v>0</v>
      </c>
      <c r="X54" s="145">
        <v>0</v>
      </c>
    </row>
    <row r="55" spans="1:24" ht="14.6">
      <c r="A55" s="1317" t="s">
        <v>79</v>
      </c>
      <c r="B55" s="53" t="s">
        <v>80</v>
      </c>
      <c r="C55" s="133">
        <v>40</v>
      </c>
      <c r="D55" s="133">
        <v>0</v>
      </c>
      <c r="E55" s="133">
        <v>0</v>
      </c>
      <c r="F55" s="133">
        <v>0</v>
      </c>
      <c r="G55" s="133">
        <v>0</v>
      </c>
      <c r="H55" s="133">
        <v>0</v>
      </c>
      <c r="I55" s="133">
        <v>0</v>
      </c>
      <c r="J55" s="133">
        <v>8</v>
      </c>
      <c r="K55" s="133">
        <v>0</v>
      </c>
      <c r="L55" s="133">
        <v>8</v>
      </c>
      <c r="M55" s="133">
        <v>7</v>
      </c>
      <c r="N55" s="133">
        <v>0</v>
      </c>
      <c r="O55" s="134">
        <v>0</v>
      </c>
      <c r="P55" s="134">
        <v>0</v>
      </c>
      <c r="Q55" s="134">
        <v>3</v>
      </c>
      <c r="R55" s="134">
        <v>0</v>
      </c>
      <c r="S55" s="134">
        <v>0</v>
      </c>
      <c r="T55" s="134">
        <v>0</v>
      </c>
      <c r="U55" s="134">
        <v>30</v>
      </c>
      <c r="V55" s="134">
        <v>0</v>
      </c>
      <c r="W55" s="134">
        <v>0</v>
      </c>
      <c r="X55" s="135">
        <v>0</v>
      </c>
    </row>
    <row r="56" spans="1:24" ht="14.6">
      <c r="A56" s="1318"/>
      <c r="B56" s="54" t="s">
        <v>81</v>
      </c>
      <c r="C56" s="136">
        <v>30</v>
      </c>
      <c r="D56" s="136">
        <v>0</v>
      </c>
      <c r="E56" s="136">
        <v>0</v>
      </c>
      <c r="F56" s="136">
        <v>0</v>
      </c>
      <c r="G56" s="136">
        <v>0</v>
      </c>
      <c r="H56" s="136">
        <v>0</v>
      </c>
      <c r="I56" s="136">
        <v>0</v>
      </c>
      <c r="J56" s="136">
        <v>7</v>
      </c>
      <c r="K56" s="136">
        <v>0</v>
      </c>
      <c r="L56" s="136">
        <v>7</v>
      </c>
      <c r="M56" s="136">
        <v>6</v>
      </c>
      <c r="N56" s="136">
        <v>0</v>
      </c>
      <c r="O56" s="136">
        <v>0</v>
      </c>
      <c r="P56" s="136">
        <v>0</v>
      </c>
      <c r="Q56" s="136">
        <v>2</v>
      </c>
      <c r="R56" s="136">
        <v>0</v>
      </c>
      <c r="S56" s="136">
        <v>0</v>
      </c>
      <c r="T56" s="136">
        <v>0</v>
      </c>
      <c r="U56" s="136">
        <v>1</v>
      </c>
      <c r="V56" s="136">
        <v>0</v>
      </c>
      <c r="W56" s="136">
        <v>0</v>
      </c>
      <c r="X56" s="143">
        <v>0</v>
      </c>
    </row>
    <row r="57" spans="1:24" ht="14.6">
      <c r="A57" s="1318"/>
      <c r="B57" s="54" t="s">
        <v>82</v>
      </c>
      <c r="C57" s="136">
        <v>30</v>
      </c>
      <c r="D57" s="136">
        <v>0</v>
      </c>
      <c r="E57" s="136">
        <v>0</v>
      </c>
      <c r="F57" s="136">
        <v>0</v>
      </c>
      <c r="G57" s="136">
        <v>0</v>
      </c>
      <c r="H57" s="136">
        <v>0</v>
      </c>
      <c r="I57" s="136">
        <v>0</v>
      </c>
      <c r="J57" s="136">
        <v>8</v>
      </c>
      <c r="K57" s="136">
        <v>0</v>
      </c>
      <c r="L57" s="136">
        <v>8</v>
      </c>
      <c r="M57" s="136">
        <v>8</v>
      </c>
      <c r="N57" s="136">
        <v>0</v>
      </c>
      <c r="O57" s="136">
        <v>0</v>
      </c>
      <c r="P57" s="136">
        <v>0</v>
      </c>
      <c r="Q57" s="136">
        <v>2</v>
      </c>
      <c r="R57" s="136">
        <v>0</v>
      </c>
      <c r="S57" s="136">
        <v>0</v>
      </c>
      <c r="T57" s="136">
        <v>0</v>
      </c>
      <c r="U57" s="136">
        <v>1</v>
      </c>
      <c r="V57" s="136">
        <v>0</v>
      </c>
      <c r="W57" s="136">
        <v>0</v>
      </c>
      <c r="X57" s="143">
        <v>0</v>
      </c>
    </row>
    <row r="58" spans="1:24" ht="14.6">
      <c r="A58" s="1318"/>
      <c r="B58" s="54" t="s">
        <v>83</v>
      </c>
      <c r="C58" s="137">
        <v>30</v>
      </c>
      <c r="D58" s="137">
        <v>0</v>
      </c>
      <c r="E58" s="137">
        <v>0</v>
      </c>
      <c r="F58" s="137">
        <v>0</v>
      </c>
      <c r="G58" s="137">
        <v>0</v>
      </c>
      <c r="H58" s="137">
        <v>0</v>
      </c>
      <c r="I58" s="137">
        <v>0</v>
      </c>
      <c r="J58" s="137">
        <v>8</v>
      </c>
      <c r="K58" s="137">
        <v>0</v>
      </c>
      <c r="L58" s="137">
        <v>8</v>
      </c>
      <c r="M58" s="137">
        <v>8</v>
      </c>
      <c r="N58" s="137">
        <v>0</v>
      </c>
      <c r="O58" s="137">
        <v>0</v>
      </c>
      <c r="P58" s="137">
        <v>0</v>
      </c>
      <c r="Q58" s="137">
        <v>2</v>
      </c>
      <c r="R58" s="137">
        <v>0</v>
      </c>
      <c r="S58" s="137">
        <v>0</v>
      </c>
      <c r="T58" s="137">
        <v>0</v>
      </c>
      <c r="U58" s="137">
        <v>3</v>
      </c>
      <c r="V58" s="137">
        <v>0</v>
      </c>
      <c r="W58" s="137">
        <v>0</v>
      </c>
      <c r="X58" s="138">
        <v>6</v>
      </c>
    </row>
    <row r="59" spans="1:24" ht="14.6">
      <c r="A59" s="1318"/>
      <c r="B59" s="54" t="s">
        <v>84</v>
      </c>
      <c r="C59" s="136">
        <v>40</v>
      </c>
      <c r="D59" s="136">
        <v>0</v>
      </c>
      <c r="E59" s="136">
        <v>0</v>
      </c>
      <c r="F59" s="136">
        <v>0</v>
      </c>
      <c r="G59" s="136">
        <v>0</v>
      </c>
      <c r="H59" s="136">
        <v>0</v>
      </c>
      <c r="I59" s="136">
        <v>0</v>
      </c>
      <c r="J59" s="136">
        <v>8</v>
      </c>
      <c r="K59" s="136">
        <v>0</v>
      </c>
      <c r="L59" s="136">
        <v>7</v>
      </c>
      <c r="M59" s="136">
        <v>7</v>
      </c>
      <c r="N59" s="136">
        <v>0</v>
      </c>
      <c r="O59" s="136">
        <v>0</v>
      </c>
      <c r="P59" s="136">
        <v>0</v>
      </c>
      <c r="Q59" s="136">
        <v>4</v>
      </c>
      <c r="R59" s="136">
        <v>0</v>
      </c>
      <c r="S59" s="136">
        <v>0</v>
      </c>
      <c r="T59" s="136">
        <v>0</v>
      </c>
      <c r="U59" s="136">
        <v>23</v>
      </c>
      <c r="V59" s="136">
        <v>0</v>
      </c>
      <c r="W59" s="136">
        <v>0</v>
      </c>
      <c r="X59" s="143">
        <v>2</v>
      </c>
    </row>
    <row r="60" spans="1:24" ht="14.6">
      <c r="A60" s="1318"/>
      <c r="B60" s="54" t="s">
        <v>85</v>
      </c>
      <c r="C60" s="136">
        <v>35</v>
      </c>
      <c r="D60" s="136">
        <v>0</v>
      </c>
      <c r="E60" s="136">
        <v>0</v>
      </c>
      <c r="F60" s="136">
        <v>0</v>
      </c>
      <c r="G60" s="136">
        <v>0</v>
      </c>
      <c r="H60" s="136">
        <v>0</v>
      </c>
      <c r="I60" s="136">
        <v>0</v>
      </c>
      <c r="J60" s="136">
        <v>8</v>
      </c>
      <c r="K60" s="136">
        <v>0</v>
      </c>
      <c r="L60" s="136">
        <v>8</v>
      </c>
      <c r="M60" s="136">
        <v>7</v>
      </c>
      <c r="N60" s="136">
        <v>0</v>
      </c>
      <c r="O60" s="137">
        <v>0</v>
      </c>
      <c r="P60" s="137">
        <v>0</v>
      </c>
      <c r="Q60" s="137">
        <v>3</v>
      </c>
      <c r="R60" s="137">
        <v>0</v>
      </c>
      <c r="S60" s="137">
        <v>0</v>
      </c>
      <c r="T60" s="137">
        <v>0</v>
      </c>
      <c r="U60" s="137">
        <v>14</v>
      </c>
      <c r="V60" s="137">
        <v>0</v>
      </c>
      <c r="W60" s="137">
        <v>0</v>
      </c>
      <c r="X60" s="138">
        <v>40</v>
      </c>
    </row>
    <row r="61" spans="1:24" ht="14.6">
      <c r="A61" s="1318"/>
      <c r="B61" s="54" t="s">
        <v>379</v>
      </c>
      <c r="C61" s="136">
        <v>35</v>
      </c>
      <c r="D61" s="136">
        <v>0</v>
      </c>
      <c r="E61" s="136">
        <v>0</v>
      </c>
      <c r="F61" s="136">
        <v>0</v>
      </c>
      <c r="G61" s="136">
        <v>0</v>
      </c>
      <c r="H61" s="136">
        <v>0</v>
      </c>
      <c r="I61" s="136">
        <v>0</v>
      </c>
      <c r="J61" s="136">
        <v>8</v>
      </c>
      <c r="K61" s="136">
        <v>0</v>
      </c>
      <c r="L61" s="136">
        <v>8</v>
      </c>
      <c r="M61" s="136">
        <v>7</v>
      </c>
      <c r="N61" s="136">
        <v>0</v>
      </c>
      <c r="O61" s="137">
        <v>0</v>
      </c>
      <c r="P61" s="137">
        <v>0</v>
      </c>
      <c r="Q61" s="137">
        <v>2</v>
      </c>
      <c r="R61" s="137">
        <v>0</v>
      </c>
      <c r="S61" s="137">
        <v>0</v>
      </c>
      <c r="T61" s="137">
        <v>0</v>
      </c>
      <c r="U61" s="137">
        <v>11</v>
      </c>
      <c r="V61" s="137">
        <v>0</v>
      </c>
      <c r="W61" s="137">
        <v>0</v>
      </c>
      <c r="X61" s="138">
        <v>30</v>
      </c>
    </row>
    <row r="62" spans="1:24" ht="14.6">
      <c r="A62" s="1318"/>
      <c r="B62" s="54" t="s">
        <v>88</v>
      </c>
      <c r="C62" s="136">
        <v>35</v>
      </c>
      <c r="D62" s="136">
        <v>0</v>
      </c>
      <c r="E62" s="136">
        <v>0</v>
      </c>
      <c r="F62" s="136">
        <v>0</v>
      </c>
      <c r="G62" s="136">
        <v>0</v>
      </c>
      <c r="H62" s="136">
        <v>0</v>
      </c>
      <c r="I62" s="136">
        <v>0</v>
      </c>
      <c r="J62" s="136">
        <v>9</v>
      </c>
      <c r="K62" s="136">
        <v>0</v>
      </c>
      <c r="L62" s="136">
        <v>8</v>
      </c>
      <c r="M62" s="136">
        <v>8</v>
      </c>
      <c r="N62" s="136">
        <v>0</v>
      </c>
      <c r="O62" s="136">
        <v>0</v>
      </c>
      <c r="P62" s="136">
        <v>0</v>
      </c>
      <c r="Q62" s="136">
        <v>2</v>
      </c>
      <c r="R62" s="136">
        <v>0</v>
      </c>
      <c r="S62" s="136">
        <v>0</v>
      </c>
      <c r="T62" s="136">
        <v>0</v>
      </c>
      <c r="U62" s="136">
        <v>8</v>
      </c>
      <c r="V62" s="136">
        <v>0</v>
      </c>
      <c r="W62" s="136">
        <v>0</v>
      </c>
      <c r="X62" s="143">
        <v>20</v>
      </c>
    </row>
    <row r="63" spans="1:24" ht="14.6">
      <c r="A63" s="1318"/>
      <c r="B63" s="54" t="s">
        <v>87</v>
      </c>
      <c r="C63" s="136">
        <v>30</v>
      </c>
      <c r="D63" s="136">
        <v>0</v>
      </c>
      <c r="E63" s="136">
        <v>0</v>
      </c>
      <c r="F63" s="136">
        <v>0</v>
      </c>
      <c r="G63" s="136">
        <v>0</v>
      </c>
      <c r="H63" s="136">
        <v>0</v>
      </c>
      <c r="I63" s="136">
        <v>0</v>
      </c>
      <c r="J63" s="136">
        <v>8</v>
      </c>
      <c r="K63" s="136">
        <v>0</v>
      </c>
      <c r="L63" s="136">
        <v>7</v>
      </c>
      <c r="M63" s="136">
        <v>7</v>
      </c>
      <c r="N63" s="136">
        <v>0</v>
      </c>
      <c r="O63" s="137">
        <v>0</v>
      </c>
      <c r="P63" s="137">
        <v>0</v>
      </c>
      <c r="Q63" s="137">
        <v>2</v>
      </c>
      <c r="R63" s="137">
        <v>0</v>
      </c>
      <c r="S63" s="137">
        <v>0</v>
      </c>
      <c r="T63" s="137">
        <v>0</v>
      </c>
      <c r="U63" s="137">
        <v>2</v>
      </c>
      <c r="V63" s="137">
        <v>0</v>
      </c>
      <c r="W63" s="137">
        <v>0</v>
      </c>
      <c r="X63" s="138">
        <v>6</v>
      </c>
    </row>
    <row r="64" spans="1:24" ht="14.6">
      <c r="A64" s="1318"/>
      <c r="B64" s="54" t="s">
        <v>89</v>
      </c>
      <c r="C64" s="137">
        <v>45</v>
      </c>
      <c r="D64" s="137">
        <v>0</v>
      </c>
      <c r="E64" s="137">
        <v>0</v>
      </c>
      <c r="F64" s="137">
        <v>0</v>
      </c>
      <c r="G64" s="137">
        <v>0</v>
      </c>
      <c r="H64" s="137">
        <v>0</v>
      </c>
      <c r="I64" s="137">
        <v>0</v>
      </c>
      <c r="J64" s="137">
        <v>7</v>
      </c>
      <c r="K64" s="137">
        <v>0</v>
      </c>
      <c r="L64" s="137">
        <v>6</v>
      </c>
      <c r="M64" s="137">
        <v>6</v>
      </c>
      <c r="N64" s="137">
        <v>0</v>
      </c>
      <c r="O64" s="137">
        <v>0</v>
      </c>
      <c r="P64" s="137">
        <v>0</v>
      </c>
      <c r="Q64" s="137">
        <v>5</v>
      </c>
      <c r="R64" s="137">
        <v>0</v>
      </c>
      <c r="S64" s="137">
        <v>0</v>
      </c>
      <c r="T64" s="137">
        <v>0</v>
      </c>
      <c r="U64" s="137">
        <v>41</v>
      </c>
      <c r="V64" s="137">
        <v>0</v>
      </c>
      <c r="W64" s="137">
        <v>0</v>
      </c>
      <c r="X64" s="138">
        <v>0</v>
      </c>
    </row>
    <row r="65" spans="1:24" ht="14.6">
      <c r="A65" s="1318"/>
      <c r="B65" s="54" t="s">
        <v>90</v>
      </c>
      <c r="C65" s="137">
        <v>40</v>
      </c>
      <c r="D65" s="137">
        <v>0</v>
      </c>
      <c r="E65" s="137">
        <v>0</v>
      </c>
      <c r="F65" s="137">
        <v>0</v>
      </c>
      <c r="G65" s="137">
        <v>0</v>
      </c>
      <c r="H65" s="137">
        <v>0</v>
      </c>
      <c r="I65" s="137">
        <v>0</v>
      </c>
      <c r="J65" s="137">
        <v>7</v>
      </c>
      <c r="K65" s="137">
        <v>0</v>
      </c>
      <c r="L65" s="137">
        <v>7</v>
      </c>
      <c r="M65" s="137">
        <v>7</v>
      </c>
      <c r="N65" s="137">
        <v>0</v>
      </c>
      <c r="O65" s="137">
        <v>0</v>
      </c>
      <c r="P65" s="137">
        <v>0</v>
      </c>
      <c r="Q65" s="137">
        <v>4</v>
      </c>
      <c r="R65" s="137">
        <v>0</v>
      </c>
      <c r="S65" s="137">
        <v>0</v>
      </c>
      <c r="T65" s="137">
        <v>0</v>
      </c>
      <c r="U65" s="137">
        <v>27</v>
      </c>
      <c r="V65" s="137">
        <v>0</v>
      </c>
      <c r="W65" s="137">
        <v>0</v>
      </c>
      <c r="X65" s="138">
        <v>2</v>
      </c>
    </row>
    <row r="66" spans="1:24" ht="15" thickBot="1">
      <c r="A66" s="1319"/>
      <c r="B66" s="55" t="s">
        <v>91</v>
      </c>
      <c r="C66" s="144">
        <v>35</v>
      </c>
      <c r="D66" s="144">
        <v>0</v>
      </c>
      <c r="E66" s="144">
        <v>0</v>
      </c>
      <c r="F66" s="144">
        <v>0</v>
      </c>
      <c r="G66" s="144">
        <v>0</v>
      </c>
      <c r="H66" s="144">
        <v>0</v>
      </c>
      <c r="I66" s="144">
        <v>0</v>
      </c>
      <c r="J66" s="144">
        <v>7</v>
      </c>
      <c r="K66" s="144">
        <v>0</v>
      </c>
      <c r="L66" s="144">
        <v>6</v>
      </c>
      <c r="M66" s="144">
        <v>6</v>
      </c>
      <c r="N66" s="144">
        <v>0</v>
      </c>
      <c r="O66" s="144">
        <v>0</v>
      </c>
      <c r="P66" s="144">
        <v>0</v>
      </c>
      <c r="Q66" s="144">
        <v>4</v>
      </c>
      <c r="R66" s="144">
        <v>0</v>
      </c>
      <c r="S66" s="144">
        <v>0</v>
      </c>
      <c r="T66" s="144">
        <v>0</v>
      </c>
      <c r="U66" s="144">
        <v>25</v>
      </c>
      <c r="V66" s="144">
        <v>0</v>
      </c>
      <c r="W66" s="144">
        <v>0</v>
      </c>
      <c r="X66" s="145">
        <v>6</v>
      </c>
    </row>
    <row r="67" spans="1:24" ht="14.6">
      <c r="A67" s="1317" t="s">
        <v>92</v>
      </c>
      <c r="B67" s="53" t="s">
        <v>94</v>
      </c>
      <c r="C67" s="133">
        <v>50</v>
      </c>
      <c r="D67" s="133">
        <v>5</v>
      </c>
      <c r="E67" s="133">
        <v>0.5</v>
      </c>
      <c r="F67" s="133">
        <v>0</v>
      </c>
      <c r="G67" s="133">
        <v>0</v>
      </c>
      <c r="H67" s="133">
        <v>0</v>
      </c>
      <c r="I67" s="133">
        <v>25</v>
      </c>
      <c r="J67" s="133">
        <v>11</v>
      </c>
      <c r="K67" s="133">
        <v>0</v>
      </c>
      <c r="L67" s="133">
        <v>10</v>
      </c>
      <c r="M67" s="133">
        <v>8</v>
      </c>
      <c r="N67" s="133">
        <v>0</v>
      </c>
      <c r="O67" s="134">
        <v>0</v>
      </c>
      <c r="P67" s="134">
        <v>0</v>
      </c>
      <c r="Q67" s="134">
        <v>5</v>
      </c>
      <c r="R67" s="134">
        <v>0</v>
      </c>
      <c r="S67" s="134">
        <v>0</v>
      </c>
      <c r="T67" s="134">
        <v>0</v>
      </c>
      <c r="U67" s="134">
        <v>1</v>
      </c>
      <c r="V67" s="134">
        <v>0</v>
      </c>
      <c r="W67" s="134">
        <v>0</v>
      </c>
      <c r="X67" s="135">
        <v>0</v>
      </c>
    </row>
    <row r="68" spans="1:24" ht="14.6">
      <c r="A68" s="1318"/>
      <c r="B68" s="54" t="s">
        <v>93</v>
      </c>
      <c r="C68" s="87">
        <v>50</v>
      </c>
      <c r="D68" s="87">
        <v>5</v>
      </c>
      <c r="E68" s="87">
        <v>0.5</v>
      </c>
      <c r="F68" s="87">
        <v>0.5</v>
      </c>
      <c r="G68" s="87">
        <v>0</v>
      </c>
      <c r="H68" s="87">
        <v>0</v>
      </c>
      <c r="I68" s="87">
        <v>5</v>
      </c>
      <c r="J68" s="87">
        <v>11</v>
      </c>
      <c r="K68" s="87">
        <v>0</v>
      </c>
      <c r="L68" s="87">
        <v>10</v>
      </c>
      <c r="M68" s="87">
        <v>4</v>
      </c>
      <c r="N68" s="87">
        <v>0</v>
      </c>
      <c r="O68" s="88">
        <v>0</v>
      </c>
      <c r="P68" s="88">
        <v>0</v>
      </c>
      <c r="Q68" s="88">
        <v>2</v>
      </c>
      <c r="R68" s="88">
        <v>0</v>
      </c>
      <c r="S68" s="88">
        <v>0</v>
      </c>
      <c r="T68" s="88">
        <v>0</v>
      </c>
      <c r="U68" s="88">
        <v>1</v>
      </c>
      <c r="V68" s="88">
        <v>0</v>
      </c>
      <c r="W68" s="88">
        <v>0</v>
      </c>
      <c r="X68" s="89">
        <v>0</v>
      </c>
    </row>
    <row r="69" spans="1:24" ht="14.6">
      <c r="A69" s="1318"/>
      <c r="B69" s="54" t="s">
        <v>95</v>
      </c>
      <c r="C69" s="136">
        <v>45</v>
      </c>
      <c r="D69" s="136">
        <v>5</v>
      </c>
      <c r="E69" s="136">
        <v>0.5</v>
      </c>
      <c r="F69" s="136">
        <v>0</v>
      </c>
      <c r="G69" s="136">
        <v>0</v>
      </c>
      <c r="H69" s="136">
        <v>0</v>
      </c>
      <c r="I69" s="136">
        <v>10</v>
      </c>
      <c r="J69" s="136">
        <v>11</v>
      </c>
      <c r="K69" s="136">
        <v>0</v>
      </c>
      <c r="L69" s="136">
        <v>10</v>
      </c>
      <c r="M69" s="136">
        <v>4</v>
      </c>
      <c r="N69" s="136">
        <v>0</v>
      </c>
      <c r="O69" s="137">
        <v>0</v>
      </c>
      <c r="P69" s="137">
        <v>0</v>
      </c>
      <c r="Q69" s="137">
        <v>2</v>
      </c>
      <c r="R69" s="137">
        <v>0</v>
      </c>
      <c r="S69" s="137">
        <v>0</v>
      </c>
      <c r="T69" s="137">
        <v>0</v>
      </c>
      <c r="U69" s="137">
        <v>1</v>
      </c>
      <c r="V69" s="137">
        <v>0</v>
      </c>
      <c r="W69" s="137">
        <v>0</v>
      </c>
      <c r="X69" s="138">
        <v>0</v>
      </c>
    </row>
    <row r="70" spans="1:24" ht="14.6">
      <c r="A70" s="1318"/>
      <c r="B70" s="54" t="s">
        <v>97</v>
      </c>
      <c r="C70" s="136">
        <v>50</v>
      </c>
      <c r="D70" s="136">
        <v>5</v>
      </c>
      <c r="E70" s="136">
        <v>0.5</v>
      </c>
      <c r="F70" s="136">
        <v>0</v>
      </c>
      <c r="G70" s="136">
        <v>0</v>
      </c>
      <c r="H70" s="136">
        <v>0</v>
      </c>
      <c r="I70" s="136">
        <v>20</v>
      </c>
      <c r="J70" s="136">
        <v>12</v>
      </c>
      <c r="K70" s="136">
        <v>0</v>
      </c>
      <c r="L70" s="136">
        <v>11</v>
      </c>
      <c r="M70" s="136">
        <v>8</v>
      </c>
      <c r="N70" s="136">
        <v>0</v>
      </c>
      <c r="O70" s="140">
        <v>0</v>
      </c>
      <c r="P70" s="140">
        <v>0</v>
      </c>
      <c r="Q70" s="140">
        <v>2</v>
      </c>
      <c r="R70" s="140">
        <v>0</v>
      </c>
      <c r="S70" s="140">
        <v>0</v>
      </c>
      <c r="T70" s="140">
        <v>0</v>
      </c>
      <c r="U70" s="140">
        <v>4</v>
      </c>
      <c r="V70" s="140">
        <v>0</v>
      </c>
      <c r="W70" s="140">
        <v>0</v>
      </c>
      <c r="X70" s="141">
        <v>0</v>
      </c>
    </row>
    <row r="71" spans="1:24" ht="14.6">
      <c r="A71" s="1318"/>
      <c r="B71" s="54" t="s">
        <v>98</v>
      </c>
      <c r="C71" s="136">
        <v>45</v>
      </c>
      <c r="D71" s="136">
        <v>5</v>
      </c>
      <c r="E71" s="136">
        <v>0.5</v>
      </c>
      <c r="F71" s="136">
        <v>0</v>
      </c>
      <c r="G71" s="136">
        <v>0</v>
      </c>
      <c r="H71" s="136">
        <v>0</v>
      </c>
      <c r="I71" s="136">
        <v>10</v>
      </c>
      <c r="J71" s="136">
        <v>10</v>
      </c>
      <c r="K71" s="136">
        <v>0</v>
      </c>
      <c r="L71" s="136">
        <v>10</v>
      </c>
      <c r="M71" s="136">
        <v>4</v>
      </c>
      <c r="N71" s="136">
        <v>0</v>
      </c>
      <c r="O71" s="137">
        <v>0</v>
      </c>
      <c r="P71" s="137">
        <v>0</v>
      </c>
      <c r="Q71" s="137">
        <v>1</v>
      </c>
      <c r="R71" s="137">
        <v>0</v>
      </c>
      <c r="S71" s="137">
        <v>0</v>
      </c>
      <c r="T71" s="137">
        <v>0</v>
      </c>
      <c r="U71" s="137">
        <v>1</v>
      </c>
      <c r="V71" s="137">
        <v>0</v>
      </c>
      <c r="W71" s="137">
        <v>0</v>
      </c>
      <c r="X71" s="138">
        <v>0</v>
      </c>
    </row>
    <row r="72" spans="1:24" ht="14.6">
      <c r="A72" s="1318"/>
      <c r="B72" s="54" t="s">
        <v>99</v>
      </c>
      <c r="C72" s="87">
        <v>50</v>
      </c>
      <c r="D72" s="87">
        <v>10</v>
      </c>
      <c r="E72" s="87">
        <v>1</v>
      </c>
      <c r="F72" s="87">
        <v>0.5</v>
      </c>
      <c r="G72" s="87">
        <v>0</v>
      </c>
      <c r="H72" s="87">
        <v>0</v>
      </c>
      <c r="I72" s="87">
        <v>10</v>
      </c>
      <c r="J72" s="87">
        <v>11</v>
      </c>
      <c r="K72" s="87">
        <v>0</v>
      </c>
      <c r="L72" s="87">
        <v>10</v>
      </c>
      <c r="M72" s="87">
        <v>4</v>
      </c>
      <c r="N72" s="87">
        <v>0</v>
      </c>
      <c r="O72" s="85">
        <v>0</v>
      </c>
      <c r="P72" s="85">
        <v>0</v>
      </c>
      <c r="Q72" s="85">
        <v>2</v>
      </c>
      <c r="R72" s="85">
        <v>0</v>
      </c>
      <c r="S72" s="85">
        <v>0</v>
      </c>
      <c r="T72" s="85">
        <v>0</v>
      </c>
      <c r="U72" s="85">
        <v>1</v>
      </c>
      <c r="V72" s="85">
        <v>0</v>
      </c>
      <c r="W72" s="85">
        <v>0</v>
      </c>
      <c r="X72" s="86">
        <v>0</v>
      </c>
    </row>
    <row r="73" spans="1:24" ht="14.6">
      <c r="A73" s="1318"/>
      <c r="B73" s="54" t="s">
        <v>101</v>
      </c>
      <c r="C73" s="87">
        <v>50</v>
      </c>
      <c r="D73" s="87">
        <v>10</v>
      </c>
      <c r="E73" s="87">
        <v>1</v>
      </c>
      <c r="F73" s="87">
        <v>0.5</v>
      </c>
      <c r="G73" s="87">
        <v>0</v>
      </c>
      <c r="H73" s="87">
        <v>0</v>
      </c>
      <c r="I73" s="87">
        <v>10</v>
      </c>
      <c r="J73" s="87">
        <v>11</v>
      </c>
      <c r="K73" s="87">
        <v>0</v>
      </c>
      <c r="L73" s="87">
        <v>10</v>
      </c>
      <c r="M73" s="87">
        <v>9</v>
      </c>
      <c r="N73" s="87">
        <v>0</v>
      </c>
      <c r="O73" s="85">
        <v>0</v>
      </c>
      <c r="P73" s="85">
        <v>0</v>
      </c>
      <c r="Q73" s="85">
        <v>3</v>
      </c>
      <c r="R73" s="85">
        <v>0</v>
      </c>
      <c r="S73" s="85">
        <v>0</v>
      </c>
      <c r="T73" s="85">
        <v>0</v>
      </c>
      <c r="U73" s="85">
        <v>1</v>
      </c>
      <c r="V73" s="85">
        <v>0</v>
      </c>
      <c r="W73" s="85">
        <v>0</v>
      </c>
      <c r="X73" s="86">
        <v>0</v>
      </c>
    </row>
    <row r="74" spans="1:24" ht="14.6">
      <c r="A74" s="1318"/>
      <c r="B74" s="54" t="s">
        <v>102</v>
      </c>
      <c r="C74" s="136">
        <v>45</v>
      </c>
      <c r="D74" s="136">
        <v>5</v>
      </c>
      <c r="E74" s="136">
        <v>0.5</v>
      </c>
      <c r="F74" s="136">
        <v>0.5</v>
      </c>
      <c r="G74" s="136">
        <v>0</v>
      </c>
      <c r="H74" s="136">
        <v>0</v>
      </c>
      <c r="I74" s="136">
        <v>10</v>
      </c>
      <c r="J74" s="136">
        <v>10</v>
      </c>
      <c r="K74" s="136">
        <v>0</v>
      </c>
      <c r="L74" s="136">
        <v>9</v>
      </c>
      <c r="M74" s="136">
        <v>9</v>
      </c>
      <c r="N74" s="136">
        <v>0</v>
      </c>
      <c r="O74" s="137">
        <v>0</v>
      </c>
      <c r="P74" s="137">
        <v>0</v>
      </c>
      <c r="Q74" s="137">
        <v>1</v>
      </c>
      <c r="R74" s="137">
        <v>0</v>
      </c>
      <c r="S74" s="137">
        <v>0</v>
      </c>
      <c r="T74" s="137">
        <v>0</v>
      </c>
      <c r="U74" s="137">
        <v>1</v>
      </c>
      <c r="V74" s="137">
        <v>0</v>
      </c>
      <c r="W74" s="137">
        <v>0</v>
      </c>
      <c r="X74" s="138">
        <v>0</v>
      </c>
    </row>
    <row r="75" spans="1:24" ht="14.6">
      <c r="A75" s="1318"/>
      <c r="B75" s="54" t="s">
        <v>104</v>
      </c>
      <c r="C75" s="87">
        <v>50</v>
      </c>
      <c r="D75" s="87">
        <v>5</v>
      </c>
      <c r="E75" s="87">
        <v>1</v>
      </c>
      <c r="F75" s="87">
        <v>0.5</v>
      </c>
      <c r="G75" s="87">
        <v>0</v>
      </c>
      <c r="H75" s="87">
        <v>0</v>
      </c>
      <c r="I75" s="87">
        <v>15</v>
      </c>
      <c r="J75" s="87">
        <v>11</v>
      </c>
      <c r="K75" s="87">
        <v>0</v>
      </c>
      <c r="L75" s="87">
        <v>9</v>
      </c>
      <c r="M75" s="87">
        <v>9</v>
      </c>
      <c r="N75" s="87">
        <v>0</v>
      </c>
      <c r="O75" s="88">
        <v>0</v>
      </c>
      <c r="P75" s="88">
        <v>0</v>
      </c>
      <c r="Q75" s="88">
        <v>2</v>
      </c>
      <c r="R75" s="88">
        <v>0</v>
      </c>
      <c r="S75" s="88">
        <v>0</v>
      </c>
      <c r="T75" s="88">
        <v>0</v>
      </c>
      <c r="U75" s="88">
        <v>5</v>
      </c>
      <c r="V75" s="88">
        <v>0</v>
      </c>
      <c r="W75" s="88">
        <v>0</v>
      </c>
      <c r="X75" s="89">
        <v>0</v>
      </c>
    </row>
    <row r="76" spans="1:24" ht="14.6">
      <c r="A76" s="1318"/>
      <c r="B76" s="54" t="s">
        <v>103</v>
      </c>
      <c r="C76" s="136">
        <v>60</v>
      </c>
      <c r="D76" s="136">
        <v>5</v>
      </c>
      <c r="E76" s="136">
        <v>0.5</v>
      </c>
      <c r="F76" s="136">
        <v>0</v>
      </c>
      <c r="G76" s="136">
        <v>0</v>
      </c>
      <c r="H76" s="136">
        <v>0</v>
      </c>
      <c r="I76" s="136">
        <v>15</v>
      </c>
      <c r="J76" s="136">
        <v>13</v>
      </c>
      <c r="K76" s="136">
        <v>0</v>
      </c>
      <c r="L76" s="136">
        <v>12</v>
      </c>
      <c r="M76" s="136">
        <v>12</v>
      </c>
      <c r="N76" s="136">
        <v>0</v>
      </c>
      <c r="O76" s="137">
        <v>0</v>
      </c>
      <c r="P76" s="137">
        <v>0</v>
      </c>
      <c r="Q76" s="137">
        <v>1</v>
      </c>
      <c r="R76" s="137">
        <v>0</v>
      </c>
      <c r="S76" s="137">
        <v>0</v>
      </c>
      <c r="T76" s="137">
        <v>0</v>
      </c>
      <c r="U76" s="137">
        <v>3</v>
      </c>
      <c r="V76" s="137">
        <v>0</v>
      </c>
      <c r="W76" s="137">
        <v>0</v>
      </c>
      <c r="X76" s="138">
        <v>0</v>
      </c>
    </row>
    <row r="77" spans="1:24" ht="14.6">
      <c r="A77" s="1318"/>
      <c r="B77" s="54" t="s">
        <v>105</v>
      </c>
      <c r="C77" s="87">
        <v>50</v>
      </c>
      <c r="D77" s="87">
        <v>5</v>
      </c>
      <c r="E77" s="87">
        <v>1</v>
      </c>
      <c r="F77" s="87">
        <v>0.5</v>
      </c>
      <c r="G77" s="87">
        <v>0</v>
      </c>
      <c r="H77" s="87">
        <v>0</v>
      </c>
      <c r="I77" s="87">
        <v>15</v>
      </c>
      <c r="J77" s="87">
        <v>12</v>
      </c>
      <c r="K77" s="87">
        <v>0</v>
      </c>
      <c r="L77" s="87">
        <v>11</v>
      </c>
      <c r="M77" s="87">
        <v>10</v>
      </c>
      <c r="N77" s="87">
        <v>0</v>
      </c>
      <c r="O77" s="85">
        <v>0</v>
      </c>
      <c r="P77" s="85">
        <v>0</v>
      </c>
      <c r="Q77" s="85">
        <v>3</v>
      </c>
      <c r="R77" s="85">
        <v>0</v>
      </c>
      <c r="S77" s="85">
        <v>0</v>
      </c>
      <c r="T77" s="85">
        <v>0</v>
      </c>
      <c r="U77" s="85">
        <v>34</v>
      </c>
      <c r="V77" s="85">
        <v>0</v>
      </c>
      <c r="W77" s="85">
        <v>0</v>
      </c>
      <c r="X77" s="86">
        <v>0</v>
      </c>
    </row>
    <row r="78" spans="1:24" ht="14.6">
      <c r="A78" s="1318"/>
      <c r="B78" s="54" t="s">
        <v>106</v>
      </c>
      <c r="C78" s="136">
        <v>40</v>
      </c>
      <c r="D78" s="136">
        <v>5</v>
      </c>
      <c r="E78" s="136">
        <v>0</v>
      </c>
      <c r="F78" s="136">
        <v>0</v>
      </c>
      <c r="G78" s="136">
        <v>0</v>
      </c>
      <c r="H78" s="136">
        <v>0</v>
      </c>
      <c r="I78" s="136">
        <v>10</v>
      </c>
      <c r="J78" s="136">
        <v>9</v>
      </c>
      <c r="K78" s="136">
        <v>0</v>
      </c>
      <c r="L78" s="136">
        <v>9</v>
      </c>
      <c r="M78" s="136">
        <v>9</v>
      </c>
      <c r="N78" s="136">
        <v>0</v>
      </c>
      <c r="O78" s="139">
        <v>0</v>
      </c>
      <c r="P78" s="139">
        <v>0</v>
      </c>
      <c r="Q78" s="139">
        <v>1</v>
      </c>
      <c r="R78" s="139">
        <v>0</v>
      </c>
      <c r="S78" s="139">
        <v>0</v>
      </c>
      <c r="T78" s="139">
        <v>0</v>
      </c>
      <c r="U78" s="139">
        <v>2</v>
      </c>
      <c r="V78" s="139">
        <v>0</v>
      </c>
      <c r="W78" s="139">
        <v>0</v>
      </c>
      <c r="X78" s="142">
        <v>0</v>
      </c>
    </row>
    <row r="79" spans="1:24" ht="14.6">
      <c r="A79" s="1318"/>
      <c r="B79" s="54" t="s">
        <v>107</v>
      </c>
      <c r="C79" s="136">
        <v>40</v>
      </c>
      <c r="D79" s="136">
        <v>5</v>
      </c>
      <c r="E79" s="136">
        <v>0</v>
      </c>
      <c r="F79" s="136">
        <v>0</v>
      </c>
      <c r="G79" s="136">
        <v>0</v>
      </c>
      <c r="H79" s="136">
        <v>0</v>
      </c>
      <c r="I79" s="136">
        <v>25</v>
      </c>
      <c r="J79" s="136">
        <v>10</v>
      </c>
      <c r="K79" s="136">
        <v>0</v>
      </c>
      <c r="L79" s="136">
        <v>9</v>
      </c>
      <c r="M79" s="136">
        <v>9</v>
      </c>
      <c r="N79" s="136">
        <v>0</v>
      </c>
      <c r="O79" s="137">
        <v>0</v>
      </c>
      <c r="P79" s="137">
        <v>0</v>
      </c>
      <c r="Q79" s="137">
        <v>2</v>
      </c>
      <c r="R79" s="137">
        <v>0</v>
      </c>
      <c r="S79" s="137">
        <v>0</v>
      </c>
      <c r="T79" s="137">
        <v>0</v>
      </c>
      <c r="U79" s="137">
        <v>18</v>
      </c>
      <c r="V79" s="137">
        <v>0</v>
      </c>
      <c r="W79" s="137">
        <v>0</v>
      </c>
      <c r="X79" s="138">
        <v>0</v>
      </c>
    </row>
    <row r="80" spans="1:24" ht="14.6">
      <c r="A80" s="1318"/>
      <c r="B80" s="54" t="s">
        <v>108</v>
      </c>
      <c r="C80" s="87">
        <v>50</v>
      </c>
      <c r="D80" s="87">
        <v>5</v>
      </c>
      <c r="E80" s="87">
        <v>1</v>
      </c>
      <c r="F80" s="87">
        <v>0.5</v>
      </c>
      <c r="G80" s="87">
        <v>0</v>
      </c>
      <c r="H80" s="87">
        <v>0</v>
      </c>
      <c r="I80" s="87">
        <v>10</v>
      </c>
      <c r="J80" s="87">
        <v>11</v>
      </c>
      <c r="K80" s="87">
        <v>0</v>
      </c>
      <c r="L80" s="87">
        <v>10</v>
      </c>
      <c r="M80" s="87">
        <v>9</v>
      </c>
      <c r="N80" s="87">
        <v>0</v>
      </c>
      <c r="O80" s="85">
        <v>0</v>
      </c>
      <c r="P80" s="85">
        <v>0</v>
      </c>
      <c r="Q80" s="85">
        <v>2</v>
      </c>
      <c r="R80" s="85">
        <v>0</v>
      </c>
      <c r="S80" s="85">
        <v>0</v>
      </c>
      <c r="T80" s="85">
        <v>0</v>
      </c>
      <c r="U80" s="85">
        <v>2</v>
      </c>
      <c r="V80" s="85">
        <v>0</v>
      </c>
      <c r="W80" s="85">
        <v>0</v>
      </c>
      <c r="X80" s="86">
        <v>0</v>
      </c>
    </row>
    <row r="81" spans="1:24" ht="14.6">
      <c r="A81" s="1318"/>
      <c r="B81" s="54" t="s">
        <v>109</v>
      </c>
      <c r="C81" s="136">
        <v>45</v>
      </c>
      <c r="D81" s="136">
        <v>5</v>
      </c>
      <c r="E81" s="136">
        <v>0.5</v>
      </c>
      <c r="F81" s="136">
        <v>0</v>
      </c>
      <c r="G81" s="136">
        <v>0</v>
      </c>
      <c r="H81" s="136">
        <v>0</v>
      </c>
      <c r="I81" s="136">
        <v>15</v>
      </c>
      <c r="J81" s="136">
        <v>11</v>
      </c>
      <c r="K81" s="136">
        <v>0</v>
      </c>
      <c r="L81" s="136">
        <v>10</v>
      </c>
      <c r="M81" s="136">
        <v>7</v>
      </c>
      <c r="N81" s="136">
        <v>0</v>
      </c>
      <c r="O81" s="137">
        <v>0</v>
      </c>
      <c r="P81" s="137">
        <v>0</v>
      </c>
      <c r="Q81" s="137">
        <v>1</v>
      </c>
      <c r="R81" s="137">
        <v>0</v>
      </c>
      <c r="S81" s="137">
        <v>0</v>
      </c>
      <c r="T81" s="137">
        <v>0</v>
      </c>
      <c r="U81" s="137">
        <v>1</v>
      </c>
      <c r="V81" s="137">
        <v>0</v>
      </c>
      <c r="W81" s="137">
        <v>0</v>
      </c>
      <c r="X81" s="138">
        <v>0</v>
      </c>
    </row>
    <row r="82" spans="1:24" ht="14.6">
      <c r="A82" s="1318"/>
      <c r="B82" s="54" t="s">
        <v>110</v>
      </c>
      <c r="C82" s="136">
        <v>45</v>
      </c>
      <c r="D82" s="136">
        <v>5</v>
      </c>
      <c r="E82" s="136">
        <v>0</v>
      </c>
      <c r="F82" s="136">
        <v>0</v>
      </c>
      <c r="G82" s="136">
        <v>0</v>
      </c>
      <c r="H82" s="136">
        <v>0</v>
      </c>
      <c r="I82" s="136">
        <v>20</v>
      </c>
      <c r="J82" s="136">
        <v>10</v>
      </c>
      <c r="K82" s="136">
        <v>0</v>
      </c>
      <c r="L82" s="136">
        <v>9</v>
      </c>
      <c r="M82" s="136">
        <v>9</v>
      </c>
      <c r="N82" s="136">
        <v>0</v>
      </c>
      <c r="O82" s="139">
        <v>0</v>
      </c>
      <c r="P82" s="139">
        <v>0</v>
      </c>
      <c r="Q82" s="139">
        <v>2</v>
      </c>
      <c r="R82" s="139">
        <v>0</v>
      </c>
      <c r="S82" s="139">
        <v>0</v>
      </c>
      <c r="T82" s="139">
        <v>0</v>
      </c>
      <c r="U82" s="139">
        <v>15</v>
      </c>
      <c r="V82" s="139">
        <v>0</v>
      </c>
      <c r="W82" s="139">
        <v>0</v>
      </c>
      <c r="X82" s="142">
        <v>0</v>
      </c>
    </row>
    <row r="83" spans="1:24" ht="14.6">
      <c r="A83" s="1318"/>
      <c r="B83" s="54" t="s">
        <v>555</v>
      </c>
      <c r="C83" s="87">
        <v>50</v>
      </c>
      <c r="D83" s="87">
        <v>5</v>
      </c>
      <c r="E83" s="87">
        <v>1</v>
      </c>
      <c r="F83" s="87">
        <v>0.5</v>
      </c>
      <c r="G83" s="87">
        <v>0</v>
      </c>
      <c r="H83" s="87">
        <v>0</v>
      </c>
      <c r="I83" s="87">
        <v>10</v>
      </c>
      <c r="J83" s="87">
        <v>11</v>
      </c>
      <c r="K83" s="87">
        <v>0</v>
      </c>
      <c r="L83" s="87">
        <v>10</v>
      </c>
      <c r="M83" s="87">
        <v>10</v>
      </c>
      <c r="N83" s="87">
        <v>0</v>
      </c>
      <c r="O83" s="85">
        <v>0</v>
      </c>
      <c r="P83" s="85">
        <v>0</v>
      </c>
      <c r="Q83" s="85">
        <v>2</v>
      </c>
      <c r="R83" s="85">
        <v>0</v>
      </c>
      <c r="S83" s="85">
        <v>0</v>
      </c>
      <c r="T83" s="85">
        <v>0</v>
      </c>
      <c r="U83" s="85">
        <v>3</v>
      </c>
      <c r="V83" s="85">
        <v>0</v>
      </c>
      <c r="W83" s="85">
        <v>0</v>
      </c>
      <c r="X83" s="86">
        <v>0</v>
      </c>
    </row>
    <row r="84" spans="1:24" ht="14.6">
      <c r="A84" s="1318"/>
      <c r="B84" s="54" t="s">
        <v>111</v>
      </c>
      <c r="C84" s="136">
        <v>40</v>
      </c>
      <c r="D84" s="136">
        <v>5</v>
      </c>
      <c r="E84" s="136">
        <v>0</v>
      </c>
      <c r="F84" s="136">
        <v>0</v>
      </c>
      <c r="G84" s="136">
        <v>0</v>
      </c>
      <c r="H84" s="136">
        <v>0</v>
      </c>
      <c r="I84" s="136">
        <v>5</v>
      </c>
      <c r="J84" s="136">
        <v>9</v>
      </c>
      <c r="K84" s="136">
        <v>0</v>
      </c>
      <c r="L84" s="136">
        <v>9</v>
      </c>
      <c r="M84" s="136">
        <v>4</v>
      </c>
      <c r="N84" s="136">
        <v>0</v>
      </c>
      <c r="O84" s="137">
        <v>0</v>
      </c>
      <c r="P84" s="137">
        <v>0</v>
      </c>
      <c r="Q84" s="137">
        <v>2</v>
      </c>
      <c r="R84" s="137">
        <v>0</v>
      </c>
      <c r="S84" s="137">
        <v>0</v>
      </c>
      <c r="T84" s="137">
        <v>0</v>
      </c>
      <c r="U84" s="137">
        <v>2</v>
      </c>
      <c r="V84" s="137">
        <v>0</v>
      </c>
      <c r="W84" s="137">
        <v>0</v>
      </c>
      <c r="X84" s="138">
        <v>0</v>
      </c>
    </row>
    <row r="85" spans="1:24" ht="14.6">
      <c r="A85" s="1318"/>
      <c r="B85" s="54" t="s">
        <v>112</v>
      </c>
      <c r="C85" s="136">
        <v>40</v>
      </c>
      <c r="D85" s="136">
        <v>5</v>
      </c>
      <c r="E85" s="136">
        <v>0</v>
      </c>
      <c r="F85" s="136">
        <v>0</v>
      </c>
      <c r="G85" s="136">
        <v>0</v>
      </c>
      <c r="H85" s="136">
        <v>0</v>
      </c>
      <c r="I85" s="136">
        <v>10</v>
      </c>
      <c r="J85" s="136">
        <v>8</v>
      </c>
      <c r="K85" s="136">
        <v>0</v>
      </c>
      <c r="L85" s="136">
        <v>8</v>
      </c>
      <c r="M85" s="136">
        <v>8</v>
      </c>
      <c r="N85" s="136">
        <v>0</v>
      </c>
      <c r="O85" s="140">
        <v>0</v>
      </c>
      <c r="P85" s="140">
        <v>0</v>
      </c>
      <c r="Q85" s="140">
        <v>2</v>
      </c>
      <c r="R85" s="140">
        <v>0</v>
      </c>
      <c r="S85" s="140">
        <v>0</v>
      </c>
      <c r="T85" s="140">
        <v>0</v>
      </c>
      <c r="U85" s="140">
        <v>4</v>
      </c>
      <c r="V85" s="140">
        <v>0</v>
      </c>
      <c r="W85" s="140">
        <v>0</v>
      </c>
      <c r="X85" s="141">
        <v>0</v>
      </c>
    </row>
    <row r="86" spans="1:24" ht="14.6">
      <c r="A86" s="1318"/>
      <c r="B86" s="54" t="s">
        <v>113</v>
      </c>
      <c r="C86" s="136">
        <v>40</v>
      </c>
      <c r="D86" s="136">
        <v>5</v>
      </c>
      <c r="E86" s="136">
        <v>0.5</v>
      </c>
      <c r="F86" s="136">
        <v>0</v>
      </c>
      <c r="G86" s="136">
        <v>0</v>
      </c>
      <c r="H86" s="136">
        <v>0</v>
      </c>
      <c r="I86" s="136">
        <v>15</v>
      </c>
      <c r="J86" s="136">
        <v>9</v>
      </c>
      <c r="K86" s="136">
        <v>0</v>
      </c>
      <c r="L86" s="136">
        <v>8</v>
      </c>
      <c r="M86" s="136">
        <v>8</v>
      </c>
      <c r="N86" s="136">
        <v>0</v>
      </c>
      <c r="O86" s="137">
        <v>0</v>
      </c>
      <c r="P86" s="137">
        <v>0</v>
      </c>
      <c r="Q86" s="137">
        <v>2</v>
      </c>
      <c r="R86" s="137">
        <v>0</v>
      </c>
      <c r="S86" s="137">
        <v>0</v>
      </c>
      <c r="T86" s="137">
        <v>0</v>
      </c>
      <c r="U86" s="137">
        <v>12</v>
      </c>
      <c r="V86" s="137">
        <v>0</v>
      </c>
      <c r="W86" s="137">
        <v>0</v>
      </c>
      <c r="X86" s="138">
        <v>0</v>
      </c>
    </row>
    <row r="87" spans="1:24" ht="14.6">
      <c r="A87" s="1318"/>
      <c r="B87" s="54" t="s">
        <v>114</v>
      </c>
      <c r="C87" s="136">
        <v>60</v>
      </c>
      <c r="D87" s="136">
        <v>10</v>
      </c>
      <c r="E87" s="136">
        <v>1.5</v>
      </c>
      <c r="F87" s="136">
        <v>0.5</v>
      </c>
      <c r="G87" s="136">
        <v>0</v>
      </c>
      <c r="H87" s="136">
        <v>0</v>
      </c>
      <c r="I87" s="136">
        <v>15</v>
      </c>
      <c r="J87" s="136">
        <v>12</v>
      </c>
      <c r="K87" s="136">
        <v>0</v>
      </c>
      <c r="L87" s="136">
        <v>11</v>
      </c>
      <c r="M87" s="136">
        <v>11</v>
      </c>
      <c r="N87" s="136">
        <v>0</v>
      </c>
      <c r="O87" s="140">
        <v>0</v>
      </c>
      <c r="P87" s="140">
        <v>0</v>
      </c>
      <c r="Q87" s="140">
        <v>2</v>
      </c>
      <c r="R87" s="140">
        <v>0</v>
      </c>
      <c r="S87" s="140">
        <v>0</v>
      </c>
      <c r="T87" s="140">
        <v>0</v>
      </c>
      <c r="U87" s="140">
        <v>3</v>
      </c>
      <c r="V87" s="140">
        <v>0</v>
      </c>
      <c r="W87" s="140">
        <v>0</v>
      </c>
      <c r="X87" s="141">
        <v>0</v>
      </c>
    </row>
    <row r="88" spans="1:24" ht="14.6">
      <c r="A88" s="1318"/>
      <c r="B88" s="54" t="s">
        <v>115</v>
      </c>
      <c r="C88" s="136">
        <v>40</v>
      </c>
      <c r="D88" s="136">
        <v>0</v>
      </c>
      <c r="E88" s="136">
        <v>0</v>
      </c>
      <c r="F88" s="136">
        <v>0</v>
      </c>
      <c r="G88" s="136">
        <v>0</v>
      </c>
      <c r="H88" s="136">
        <v>0</v>
      </c>
      <c r="I88" s="136">
        <v>10</v>
      </c>
      <c r="J88" s="136">
        <v>10</v>
      </c>
      <c r="K88" s="136">
        <v>0</v>
      </c>
      <c r="L88" s="136">
        <v>9</v>
      </c>
      <c r="M88" s="136">
        <v>7</v>
      </c>
      <c r="N88" s="136">
        <v>0</v>
      </c>
      <c r="O88" s="137">
        <v>0</v>
      </c>
      <c r="P88" s="137">
        <v>0</v>
      </c>
      <c r="Q88" s="137">
        <v>1</v>
      </c>
      <c r="R88" s="137">
        <v>0</v>
      </c>
      <c r="S88" s="137">
        <v>0</v>
      </c>
      <c r="T88" s="137">
        <v>0</v>
      </c>
      <c r="U88" s="137">
        <v>2</v>
      </c>
      <c r="V88" s="137">
        <v>0</v>
      </c>
      <c r="W88" s="137">
        <v>0</v>
      </c>
      <c r="X88" s="138">
        <v>0</v>
      </c>
    </row>
    <row r="89" spans="1:24" ht="14.6">
      <c r="A89" s="1318"/>
      <c r="B89" s="54" t="s">
        <v>116</v>
      </c>
      <c r="C89" s="87">
        <v>50</v>
      </c>
      <c r="D89" s="87">
        <v>5</v>
      </c>
      <c r="E89" s="87">
        <v>0.5</v>
      </c>
      <c r="F89" s="87">
        <v>0.5</v>
      </c>
      <c r="G89" s="87">
        <v>0</v>
      </c>
      <c r="H89" s="87">
        <v>0</v>
      </c>
      <c r="I89" s="87">
        <v>10</v>
      </c>
      <c r="J89" s="87">
        <v>12</v>
      </c>
      <c r="K89" s="87">
        <v>0</v>
      </c>
      <c r="L89" s="87">
        <v>12</v>
      </c>
      <c r="M89" s="87">
        <v>11</v>
      </c>
      <c r="N89" s="87">
        <v>0</v>
      </c>
      <c r="O89" s="85">
        <v>0</v>
      </c>
      <c r="P89" s="85">
        <v>0</v>
      </c>
      <c r="Q89" s="85">
        <v>2</v>
      </c>
      <c r="R89" s="85">
        <v>0</v>
      </c>
      <c r="S89" s="85">
        <v>0</v>
      </c>
      <c r="T89" s="85">
        <v>0</v>
      </c>
      <c r="U89" s="85">
        <v>3</v>
      </c>
      <c r="V89" s="85">
        <v>0</v>
      </c>
      <c r="W89" s="85">
        <v>0</v>
      </c>
      <c r="X89" s="86">
        <v>0</v>
      </c>
    </row>
    <row r="90" spans="1:24" ht="14.6">
      <c r="A90" s="1318"/>
      <c r="B90" s="54" t="s">
        <v>117</v>
      </c>
      <c r="C90" s="136">
        <v>50</v>
      </c>
      <c r="D90" s="136">
        <v>5</v>
      </c>
      <c r="E90" s="136">
        <v>0</v>
      </c>
      <c r="F90" s="136">
        <v>0</v>
      </c>
      <c r="G90" s="136">
        <v>0</v>
      </c>
      <c r="H90" s="136">
        <v>0</v>
      </c>
      <c r="I90" s="136">
        <v>10</v>
      </c>
      <c r="J90" s="136">
        <v>11</v>
      </c>
      <c r="K90" s="136">
        <v>0</v>
      </c>
      <c r="L90" s="136">
        <v>10</v>
      </c>
      <c r="M90" s="136">
        <v>10</v>
      </c>
      <c r="N90" s="136">
        <v>0</v>
      </c>
      <c r="O90" s="139">
        <v>0</v>
      </c>
      <c r="P90" s="139">
        <v>0</v>
      </c>
      <c r="Q90" s="139">
        <v>1</v>
      </c>
      <c r="R90" s="139">
        <v>0</v>
      </c>
      <c r="S90" s="139">
        <v>0</v>
      </c>
      <c r="T90" s="139">
        <v>0</v>
      </c>
      <c r="U90" s="139">
        <v>6</v>
      </c>
      <c r="V90" s="139">
        <v>0</v>
      </c>
      <c r="W90" s="139">
        <v>0</v>
      </c>
      <c r="X90" s="142">
        <v>0</v>
      </c>
    </row>
    <row r="91" spans="1:24" ht="14.6">
      <c r="A91" s="1318"/>
      <c r="B91" s="54" t="s">
        <v>118</v>
      </c>
      <c r="C91" s="136">
        <v>50</v>
      </c>
      <c r="D91" s="136">
        <v>5</v>
      </c>
      <c r="E91" s="136">
        <v>0.5</v>
      </c>
      <c r="F91" s="136">
        <v>0</v>
      </c>
      <c r="G91" s="136">
        <v>0</v>
      </c>
      <c r="H91" s="136">
        <v>0</v>
      </c>
      <c r="I91" s="136">
        <v>10</v>
      </c>
      <c r="J91" s="136">
        <v>11</v>
      </c>
      <c r="K91" s="136">
        <v>0</v>
      </c>
      <c r="L91" s="136">
        <v>10</v>
      </c>
      <c r="M91" s="136">
        <v>5</v>
      </c>
      <c r="N91" s="136">
        <v>0</v>
      </c>
      <c r="O91" s="137">
        <v>0</v>
      </c>
      <c r="P91" s="137">
        <v>0</v>
      </c>
      <c r="Q91" s="137">
        <v>1</v>
      </c>
      <c r="R91" s="137">
        <v>0</v>
      </c>
      <c r="S91" s="137">
        <v>0</v>
      </c>
      <c r="T91" s="137">
        <v>0</v>
      </c>
      <c r="U91" s="137">
        <v>3</v>
      </c>
      <c r="V91" s="137">
        <v>0</v>
      </c>
      <c r="W91" s="137">
        <v>0</v>
      </c>
      <c r="X91" s="138">
        <v>0</v>
      </c>
    </row>
    <row r="92" spans="1:24" ht="14.6">
      <c r="A92" s="1318"/>
      <c r="B92" s="54" t="s">
        <v>119</v>
      </c>
      <c r="C92" s="136">
        <v>40</v>
      </c>
      <c r="D92" s="136">
        <v>5</v>
      </c>
      <c r="E92" s="136">
        <v>0</v>
      </c>
      <c r="F92" s="136">
        <v>0</v>
      </c>
      <c r="G92" s="136">
        <v>0</v>
      </c>
      <c r="H92" s="136">
        <v>0</v>
      </c>
      <c r="I92" s="136">
        <v>10</v>
      </c>
      <c r="J92" s="136">
        <v>10</v>
      </c>
      <c r="K92" s="136">
        <v>0</v>
      </c>
      <c r="L92" s="136">
        <v>9</v>
      </c>
      <c r="M92" s="136">
        <v>9</v>
      </c>
      <c r="N92" s="136">
        <v>0</v>
      </c>
      <c r="O92" s="140">
        <v>0</v>
      </c>
      <c r="P92" s="140">
        <v>0</v>
      </c>
      <c r="Q92" s="140">
        <v>1</v>
      </c>
      <c r="R92" s="140">
        <v>0</v>
      </c>
      <c r="S92" s="140">
        <v>0</v>
      </c>
      <c r="T92" s="140">
        <v>0</v>
      </c>
      <c r="U92" s="140">
        <v>4</v>
      </c>
      <c r="V92" s="140">
        <v>0</v>
      </c>
      <c r="W92" s="140">
        <v>0</v>
      </c>
      <c r="X92" s="141">
        <v>0</v>
      </c>
    </row>
    <row r="93" spans="1:24" ht="15" thickBot="1">
      <c r="A93" s="1319"/>
      <c r="B93" s="55" t="s">
        <v>120</v>
      </c>
      <c r="C93" s="90">
        <v>50</v>
      </c>
      <c r="D93" s="90">
        <v>5</v>
      </c>
      <c r="E93" s="90">
        <v>1</v>
      </c>
      <c r="F93" s="90">
        <v>0.5</v>
      </c>
      <c r="G93" s="90">
        <v>0</v>
      </c>
      <c r="H93" s="90">
        <v>0</v>
      </c>
      <c r="I93" s="90">
        <v>10</v>
      </c>
      <c r="J93" s="90">
        <v>12</v>
      </c>
      <c r="K93" s="90">
        <v>0</v>
      </c>
      <c r="L93" s="90">
        <v>11</v>
      </c>
      <c r="M93" s="90">
        <v>10</v>
      </c>
      <c r="N93" s="90">
        <v>0</v>
      </c>
      <c r="O93" s="91">
        <v>0</v>
      </c>
      <c r="P93" s="91">
        <v>0</v>
      </c>
      <c r="Q93" s="91">
        <v>2</v>
      </c>
      <c r="R93" s="91">
        <v>0</v>
      </c>
      <c r="S93" s="91">
        <v>0</v>
      </c>
      <c r="T93" s="91">
        <v>0</v>
      </c>
      <c r="U93" s="91">
        <v>3</v>
      </c>
      <c r="V93" s="91">
        <v>0</v>
      </c>
      <c r="W93" s="91">
        <v>0</v>
      </c>
      <c r="X93" s="92">
        <v>0</v>
      </c>
    </row>
    <row r="94" spans="1:24" ht="14.6">
      <c r="A94" s="1317" t="s">
        <v>121</v>
      </c>
      <c r="B94" s="53" t="s">
        <v>122</v>
      </c>
      <c r="C94" s="146">
        <v>20</v>
      </c>
      <c r="D94" s="146">
        <v>0</v>
      </c>
      <c r="E94" s="146">
        <v>0</v>
      </c>
      <c r="F94" s="146">
        <v>0</v>
      </c>
      <c r="G94" s="146">
        <v>0</v>
      </c>
      <c r="H94" s="146">
        <v>0</v>
      </c>
      <c r="I94" s="146">
        <v>0</v>
      </c>
      <c r="J94" s="146">
        <v>6</v>
      </c>
      <c r="K94" s="146">
        <v>0</v>
      </c>
      <c r="L94" s="146">
        <v>0</v>
      </c>
      <c r="M94" s="146">
        <v>0</v>
      </c>
      <c r="N94" s="146">
        <v>0</v>
      </c>
      <c r="O94" s="147">
        <v>0</v>
      </c>
      <c r="P94" s="147">
        <v>0</v>
      </c>
      <c r="Q94" s="147">
        <v>2</v>
      </c>
      <c r="R94" s="147">
        <v>0</v>
      </c>
      <c r="S94" s="147">
        <v>0</v>
      </c>
      <c r="T94" s="147">
        <v>0</v>
      </c>
      <c r="U94" s="147">
        <v>3</v>
      </c>
      <c r="V94" s="147">
        <v>0</v>
      </c>
      <c r="W94" s="147">
        <v>0</v>
      </c>
      <c r="X94" s="148">
        <v>0</v>
      </c>
    </row>
    <row r="95" spans="1:24" ht="14.6">
      <c r="A95" s="1318"/>
      <c r="B95" s="54" t="s">
        <v>123</v>
      </c>
      <c r="C95" s="136">
        <v>25</v>
      </c>
      <c r="D95" s="136">
        <v>0</v>
      </c>
      <c r="E95" s="136">
        <v>0</v>
      </c>
      <c r="F95" s="136">
        <v>0</v>
      </c>
      <c r="G95" s="136">
        <v>0</v>
      </c>
      <c r="H95" s="136">
        <v>0</v>
      </c>
      <c r="I95" s="136">
        <v>0</v>
      </c>
      <c r="J95" s="136">
        <v>9</v>
      </c>
      <c r="K95" s="136">
        <v>0</v>
      </c>
      <c r="L95" s="136">
        <v>0</v>
      </c>
      <c r="M95" s="136">
        <v>0</v>
      </c>
      <c r="N95" s="136">
        <v>0</v>
      </c>
      <c r="O95" s="137">
        <v>0</v>
      </c>
      <c r="P95" s="137">
        <v>0</v>
      </c>
      <c r="Q95" s="137">
        <v>2</v>
      </c>
      <c r="R95" s="137">
        <v>0</v>
      </c>
      <c r="S95" s="137">
        <v>0</v>
      </c>
      <c r="T95" s="137">
        <v>0</v>
      </c>
      <c r="U95" s="137">
        <v>5</v>
      </c>
      <c r="V95" s="137">
        <v>0</v>
      </c>
      <c r="W95" s="137">
        <v>0</v>
      </c>
      <c r="X95" s="138">
        <v>0</v>
      </c>
    </row>
    <row r="96" spans="1:24" ht="14.6">
      <c r="A96" s="1318"/>
      <c r="B96" s="54" t="s">
        <v>124</v>
      </c>
      <c r="C96" s="136">
        <v>20</v>
      </c>
      <c r="D96" s="136">
        <v>0</v>
      </c>
      <c r="E96" s="136">
        <v>0</v>
      </c>
      <c r="F96" s="136">
        <v>0</v>
      </c>
      <c r="G96" s="136">
        <v>0</v>
      </c>
      <c r="H96" s="136">
        <v>0</v>
      </c>
      <c r="I96" s="136">
        <v>0</v>
      </c>
      <c r="J96" s="136">
        <v>6</v>
      </c>
      <c r="K96" s="136">
        <v>0</v>
      </c>
      <c r="L96" s="136">
        <v>0</v>
      </c>
      <c r="M96" s="136">
        <v>0</v>
      </c>
      <c r="N96" s="136">
        <v>0</v>
      </c>
      <c r="O96" s="137">
        <v>0</v>
      </c>
      <c r="P96" s="137">
        <v>0</v>
      </c>
      <c r="Q96" s="137">
        <v>2</v>
      </c>
      <c r="R96" s="137">
        <v>0</v>
      </c>
      <c r="S96" s="137">
        <v>0</v>
      </c>
      <c r="T96" s="137">
        <v>0</v>
      </c>
      <c r="U96" s="137">
        <v>3</v>
      </c>
      <c r="V96" s="137">
        <v>0</v>
      </c>
      <c r="W96" s="137">
        <v>0</v>
      </c>
      <c r="X96" s="138">
        <v>0</v>
      </c>
    </row>
    <row r="97" spans="1:24" ht="14.6">
      <c r="A97" s="1318"/>
      <c r="B97" s="54" t="s">
        <v>125</v>
      </c>
      <c r="C97" s="136">
        <v>20</v>
      </c>
      <c r="D97" s="136">
        <v>0</v>
      </c>
      <c r="E97" s="136">
        <v>0</v>
      </c>
      <c r="F97" s="136">
        <v>0</v>
      </c>
      <c r="G97" s="136">
        <v>0</v>
      </c>
      <c r="H97" s="136">
        <v>0</v>
      </c>
      <c r="I97" s="136">
        <v>0</v>
      </c>
      <c r="J97" s="136">
        <v>6</v>
      </c>
      <c r="K97" s="136">
        <v>0</v>
      </c>
      <c r="L97" s="136">
        <v>0</v>
      </c>
      <c r="M97" s="136">
        <v>0</v>
      </c>
      <c r="N97" s="136">
        <v>0</v>
      </c>
      <c r="O97" s="137">
        <v>0</v>
      </c>
      <c r="P97" s="137">
        <v>0</v>
      </c>
      <c r="Q97" s="137">
        <v>1</v>
      </c>
      <c r="R97" s="137">
        <v>0</v>
      </c>
      <c r="S97" s="137">
        <v>0</v>
      </c>
      <c r="T97" s="137">
        <v>0</v>
      </c>
      <c r="U97" s="137">
        <v>3</v>
      </c>
      <c r="V97" s="137">
        <v>0</v>
      </c>
      <c r="W97" s="137">
        <v>0</v>
      </c>
      <c r="X97" s="138">
        <v>0</v>
      </c>
    </row>
    <row r="98" spans="1:24" ht="14.6">
      <c r="A98" s="1318"/>
      <c r="B98" s="54" t="s">
        <v>126</v>
      </c>
      <c r="C98" s="136">
        <v>20</v>
      </c>
      <c r="D98" s="136">
        <v>0</v>
      </c>
      <c r="E98" s="136">
        <v>0</v>
      </c>
      <c r="F98" s="136">
        <v>0</v>
      </c>
      <c r="G98" s="136">
        <v>0</v>
      </c>
      <c r="H98" s="136">
        <v>0</v>
      </c>
      <c r="I98" s="136">
        <v>5</v>
      </c>
      <c r="J98" s="136">
        <v>6</v>
      </c>
      <c r="K98" s="136">
        <v>0</v>
      </c>
      <c r="L98" s="136">
        <v>0</v>
      </c>
      <c r="M98" s="136">
        <v>0</v>
      </c>
      <c r="N98" s="136">
        <v>0</v>
      </c>
      <c r="O98" s="137">
        <v>0</v>
      </c>
      <c r="P98" s="137">
        <v>0</v>
      </c>
      <c r="Q98" s="137">
        <v>1</v>
      </c>
      <c r="R98" s="137">
        <v>0</v>
      </c>
      <c r="S98" s="137">
        <v>0</v>
      </c>
      <c r="T98" s="137">
        <v>0</v>
      </c>
      <c r="U98" s="137">
        <v>3</v>
      </c>
      <c r="V98" s="137">
        <v>0</v>
      </c>
      <c r="W98" s="137">
        <v>0</v>
      </c>
      <c r="X98" s="138">
        <v>0</v>
      </c>
    </row>
    <row r="99" spans="1:24" ht="15" thickBot="1">
      <c r="A99" s="1319"/>
      <c r="B99" s="55" t="s">
        <v>127</v>
      </c>
      <c r="C99" s="149">
        <v>20</v>
      </c>
      <c r="D99" s="149">
        <v>0</v>
      </c>
      <c r="E99" s="149">
        <v>0</v>
      </c>
      <c r="F99" s="149">
        <v>0</v>
      </c>
      <c r="G99" s="149">
        <v>0</v>
      </c>
      <c r="H99" s="149">
        <v>0</v>
      </c>
      <c r="I99" s="149">
        <v>5</v>
      </c>
      <c r="J99" s="149">
        <v>6</v>
      </c>
      <c r="K99" s="149">
        <v>0</v>
      </c>
      <c r="L99" s="149">
        <v>0</v>
      </c>
      <c r="M99" s="149">
        <v>0</v>
      </c>
      <c r="N99" s="149">
        <v>0</v>
      </c>
      <c r="O99" s="144">
        <v>0</v>
      </c>
      <c r="P99" s="144">
        <v>0</v>
      </c>
      <c r="Q99" s="144">
        <v>1</v>
      </c>
      <c r="R99" s="144">
        <v>0</v>
      </c>
      <c r="S99" s="144">
        <v>0</v>
      </c>
      <c r="T99" s="144">
        <v>0</v>
      </c>
      <c r="U99" s="144">
        <v>4</v>
      </c>
      <c r="V99" s="144">
        <v>0</v>
      </c>
      <c r="W99" s="144">
        <v>0</v>
      </c>
      <c r="X99" s="145">
        <v>0</v>
      </c>
    </row>
    <row r="100" spans="1:24" ht="14.6">
      <c r="A100" s="6"/>
      <c r="B100" s="22"/>
      <c r="C100" s="15"/>
      <c r="D100" s="15"/>
      <c r="E100" s="15"/>
      <c r="F100" s="15"/>
      <c r="G100" s="15"/>
      <c r="H100" s="15"/>
      <c r="I100" s="15"/>
      <c r="J100" s="15"/>
      <c r="K100" s="15"/>
      <c r="L100" s="15"/>
      <c r="M100" s="15"/>
      <c r="N100" s="15"/>
      <c r="O100" s="15"/>
      <c r="P100" s="15"/>
      <c r="Q100" s="15"/>
    </row>
    <row r="101" spans="1:24" ht="18" customHeight="1" thickBot="1">
      <c r="A101" s="1307" t="s">
        <v>556</v>
      </c>
      <c r="B101" s="1308"/>
      <c r="C101" s="1308"/>
      <c r="D101" s="1308"/>
      <c r="E101" s="1308"/>
      <c r="F101" s="1308"/>
      <c r="G101" s="1308"/>
      <c r="H101" s="1308"/>
      <c r="I101" s="1308"/>
      <c r="J101" s="1308"/>
      <c r="K101" s="1308"/>
      <c r="L101" s="1308"/>
      <c r="M101" s="1308"/>
      <c r="N101" s="1308"/>
      <c r="O101" s="1308"/>
      <c r="P101" s="1308"/>
      <c r="Q101" s="1308"/>
      <c r="R101" s="1308"/>
      <c r="S101" s="1308"/>
      <c r="T101" s="1308"/>
      <c r="U101" s="1308"/>
      <c r="V101" s="1308"/>
      <c r="W101" s="1308"/>
      <c r="X101" s="1308"/>
    </row>
    <row r="102" spans="1:24" ht="37.5" customHeight="1" thickBot="1">
      <c r="A102" s="77"/>
      <c r="B102" s="48" t="s">
        <v>3</v>
      </c>
      <c r="C102" s="1" t="s">
        <v>4</v>
      </c>
      <c r="D102" s="1" t="s">
        <v>5</v>
      </c>
      <c r="E102" s="1" t="s">
        <v>6</v>
      </c>
      <c r="F102" s="1" t="s">
        <v>7</v>
      </c>
      <c r="G102" s="1" t="s">
        <v>8</v>
      </c>
      <c r="H102" s="1" t="s">
        <v>9</v>
      </c>
      <c r="I102" s="1" t="s">
        <v>10</v>
      </c>
      <c r="J102" s="1" t="s">
        <v>11</v>
      </c>
      <c r="K102" s="1" t="s">
        <v>12</v>
      </c>
      <c r="L102" s="1" t="s">
        <v>13</v>
      </c>
      <c r="M102" s="1" t="s">
        <v>14</v>
      </c>
      <c r="N102" s="1" t="s">
        <v>15</v>
      </c>
      <c r="O102" s="2" t="s">
        <v>16</v>
      </c>
      <c r="P102" s="2" t="s">
        <v>17</v>
      </c>
      <c r="Q102" s="2" t="s">
        <v>18</v>
      </c>
      <c r="R102" s="2" t="s">
        <v>19</v>
      </c>
      <c r="S102" s="2" t="s">
        <v>20</v>
      </c>
      <c r="T102" s="2" t="s">
        <v>21</v>
      </c>
      <c r="U102" s="2" t="s">
        <v>22</v>
      </c>
      <c r="V102" s="2" t="s">
        <v>23</v>
      </c>
      <c r="W102" s="2" t="s">
        <v>377</v>
      </c>
      <c r="X102" s="3" t="s">
        <v>378</v>
      </c>
    </row>
    <row r="103" spans="1:24" ht="14.6">
      <c r="A103" s="1317" t="s">
        <v>396</v>
      </c>
      <c r="B103" s="57" t="s">
        <v>26</v>
      </c>
      <c r="C103" s="98">
        <v>71.040000000000006</v>
      </c>
      <c r="D103" s="99">
        <v>33.71</v>
      </c>
      <c r="E103" s="99">
        <v>3.75</v>
      </c>
      <c r="F103" s="99">
        <v>2.38</v>
      </c>
      <c r="G103" s="99">
        <v>0</v>
      </c>
      <c r="H103" s="99">
        <v>22.14</v>
      </c>
      <c r="I103" s="99">
        <v>48.32</v>
      </c>
      <c r="J103" s="99">
        <v>8.56</v>
      </c>
      <c r="K103" s="99">
        <v>0</v>
      </c>
      <c r="L103" s="99">
        <v>6.81</v>
      </c>
      <c r="M103" s="99">
        <v>1.36</v>
      </c>
      <c r="N103" s="99">
        <v>4</v>
      </c>
      <c r="O103" s="99">
        <v>0</v>
      </c>
      <c r="P103" s="99">
        <v>6</v>
      </c>
      <c r="Q103" s="100">
        <v>0</v>
      </c>
      <c r="R103" s="101"/>
      <c r="S103" s="101"/>
      <c r="T103" s="101"/>
      <c r="U103" s="101"/>
      <c r="V103" s="101"/>
      <c r="W103" s="101"/>
      <c r="X103" s="102"/>
    </row>
    <row r="104" spans="1:24" ht="14.6">
      <c r="A104" s="1318"/>
      <c r="B104" s="64" t="s">
        <v>505</v>
      </c>
      <c r="C104" s="103">
        <v>70.260000000000005</v>
      </c>
      <c r="D104" s="104">
        <v>34.299999999999997</v>
      </c>
      <c r="E104" s="104">
        <v>3.81</v>
      </c>
      <c r="F104" s="104">
        <v>2.42</v>
      </c>
      <c r="G104" s="104">
        <v>0</v>
      </c>
      <c r="H104" s="104">
        <v>22.51</v>
      </c>
      <c r="I104" s="104">
        <v>48.85</v>
      </c>
      <c r="J104" s="104">
        <v>8.14</v>
      </c>
      <c r="K104" s="104">
        <v>0</v>
      </c>
      <c r="L104" s="104">
        <v>6.27</v>
      </c>
      <c r="M104" s="104">
        <v>1.39</v>
      </c>
      <c r="N104" s="104">
        <v>4</v>
      </c>
      <c r="O104" s="104">
        <v>0</v>
      </c>
      <c r="P104" s="104">
        <v>6</v>
      </c>
      <c r="Q104" s="105">
        <v>0</v>
      </c>
      <c r="R104" s="106"/>
      <c r="S104" s="106"/>
      <c r="T104" s="106"/>
      <c r="U104" s="106"/>
      <c r="V104" s="106"/>
      <c r="W104" s="106"/>
      <c r="X104" s="107"/>
    </row>
    <row r="105" spans="1:24" ht="14.6">
      <c r="A105" s="1318"/>
      <c r="B105" s="64" t="s">
        <v>404</v>
      </c>
      <c r="C105" s="103">
        <v>70.790000000000006</v>
      </c>
      <c r="D105" s="104">
        <v>34.56</v>
      </c>
      <c r="E105" s="104">
        <v>3.84</v>
      </c>
      <c r="F105" s="104">
        <v>2.44</v>
      </c>
      <c r="G105" s="104">
        <v>0</v>
      </c>
      <c r="H105" s="104">
        <v>22.69</v>
      </c>
      <c r="I105" s="104">
        <v>49.2</v>
      </c>
      <c r="J105" s="104">
        <v>8.2799999999999994</v>
      </c>
      <c r="K105" s="104">
        <v>0</v>
      </c>
      <c r="L105" s="104">
        <v>6.48</v>
      </c>
      <c r="M105" s="104">
        <v>1.4</v>
      </c>
      <c r="N105" s="104">
        <v>4</v>
      </c>
      <c r="O105" s="104">
        <v>0</v>
      </c>
      <c r="P105" s="104">
        <v>6</v>
      </c>
      <c r="Q105" s="105">
        <v>0</v>
      </c>
      <c r="R105" s="106"/>
      <c r="S105" s="106"/>
      <c r="T105" s="106"/>
      <c r="U105" s="106"/>
      <c r="V105" s="106"/>
      <c r="W105" s="106"/>
      <c r="X105" s="107"/>
    </row>
    <row r="106" spans="1:24" ht="14.6">
      <c r="A106" s="1318"/>
      <c r="B106" s="64" t="s">
        <v>98</v>
      </c>
      <c r="C106" s="103">
        <v>72.55</v>
      </c>
      <c r="D106" s="104">
        <v>32.72</v>
      </c>
      <c r="E106" s="104">
        <v>3.64</v>
      </c>
      <c r="F106" s="104">
        <v>2.31</v>
      </c>
      <c r="G106" s="104">
        <v>0</v>
      </c>
      <c r="H106" s="104">
        <v>21.48</v>
      </c>
      <c r="I106" s="104">
        <v>46.6</v>
      </c>
      <c r="J106" s="104">
        <v>9.1999999999999993</v>
      </c>
      <c r="K106" s="104">
        <v>0</v>
      </c>
      <c r="L106" s="104">
        <v>7.45</v>
      </c>
      <c r="M106" s="104">
        <v>1.32</v>
      </c>
      <c r="N106" s="104">
        <v>4</v>
      </c>
      <c r="O106" s="104">
        <v>0</v>
      </c>
      <c r="P106" s="104">
        <v>6</v>
      </c>
      <c r="Q106" s="105">
        <v>0</v>
      </c>
      <c r="R106" s="106"/>
      <c r="S106" s="106"/>
      <c r="T106" s="106"/>
      <c r="U106" s="106"/>
      <c r="V106" s="106"/>
      <c r="W106" s="106"/>
      <c r="X106" s="107"/>
    </row>
    <row r="107" spans="1:24" ht="14.6">
      <c r="A107" s="1318"/>
      <c r="B107" s="64" t="s">
        <v>34</v>
      </c>
      <c r="C107" s="103">
        <v>74.42</v>
      </c>
      <c r="D107" s="104">
        <v>31.89</v>
      </c>
      <c r="E107" s="104">
        <v>3.54</v>
      </c>
      <c r="F107" s="104">
        <v>2.13</v>
      </c>
      <c r="G107" s="104">
        <v>0</v>
      </c>
      <c r="H107" s="104">
        <v>19.489999999999998</v>
      </c>
      <c r="I107" s="104">
        <v>40.75</v>
      </c>
      <c r="J107" s="104">
        <v>9.57</v>
      </c>
      <c r="K107" s="104">
        <v>0</v>
      </c>
      <c r="L107" s="104">
        <v>7.44</v>
      </c>
      <c r="M107" s="104">
        <v>1.42</v>
      </c>
      <c r="N107" s="104">
        <v>4</v>
      </c>
      <c r="O107" s="104">
        <v>0</v>
      </c>
      <c r="P107" s="104">
        <v>6</v>
      </c>
      <c r="Q107" s="105">
        <v>0.38</v>
      </c>
      <c r="R107" s="106"/>
      <c r="S107" s="106"/>
      <c r="T107" s="106"/>
      <c r="U107" s="106"/>
      <c r="V107" s="106"/>
      <c r="W107" s="106"/>
      <c r="X107" s="107"/>
    </row>
    <row r="108" spans="1:24" ht="14.6">
      <c r="A108" s="1318"/>
      <c r="B108" s="64" t="s">
        <v>136</v>
      </c>
      <c r="C108" s="103">
        <v>70.47</v>
      </c>
      <c r="D108" s="104">
        <v>34.659999999999997</v>
      </c>
      <c r="E108" s="104">
        <v>3.85</v>
      </c>
      <c r="F108" s="104">
        <v>2.4500000000000002</v>
      </c>
      <c r="G108" s="104">
        <v>0</v>
      </c>
      <c r="H108" s="104">
        <v>22.75</v>
      </c>
      <c r="I108" s="104">
        <v>51.38</v>
      </c>
      <c r="J108" s="104">
        <v>8.16</v>
      </c>
      <c r="K108" s="104">
        <v>0.01</v>
      </c>
      <c r="L108" s="104">
        <v>6.33</v>
      </c>
      <c r="M108" s="104">
        <v>1.42</v>
      </c>
      <c r="N108" s="104">
        <v>4</v>
      </c>
      <c r="O108" s="104">
        <v>0</v>
      </c>
      <c r="P108" s="104">
        <v>6</v>
      </c>
      <c r="Q108" s="105">
        <v>0.01</v>
      </c>
      <c r="R108" s="106"/>
      <c r="S108" s="106"/>
      <c r="T108" s="106"/>
      <c r="U108" s="106"/>
      <c r="V108" s="106"/>
      <c r="W108" s="106"/>
      <c r="X108" s="107"/>
    </row>
    <row r="109" spans="1:24" ht="14.6">
      <c r="A109" s="1318"/>
      <c r="B109" s="64" t="s">
        <v>528</v>
      </c>
      <c r="C109" s="103">
        <v>71.64</v>
      </c>
      <c r="D109" s="104">
        <v>33.799999999999997</v>
      </c>
      <c r="E109" s="104">
        <v>3.76</v>
      </c>
      <c r="F109" s="104">
        <v>2.39</v>
      </c>
      <c r="G109" s="104">
        <v>0</v>
      </c>
      <c r="H109" s="104">
        <v>22.19</v>
      </c>
      <c r="I109" s="104">
        <v>47.99</v>
      </c>
      <c r="J109" s="104">
        <v>8.69</v>
      </c>
      <c r="K109" s="104">
        <v>0</v>
      </c>
      <c r="L109" s="104">
        <v>6.89</v>
      </c>
      <c r="M109" s="104">
        <v>1.37</v>
      </c>
      <c r="N109" s="104">
        <v>4</v>
      </c>
      <c r="O109" s="104">
        <v>0</v>
      </c>
      <c r="P109" s="104">
        <v>6</v>
      </c>
      <c r="Q109" s="105">
        <v>0</v>
      </c>
      <c r="R109" s="106"/>
      <c r="S109" s="106"/>
      <c r="T109" s="106"/>
      <c r="U109" s="106"/>
      <c r="V109" s="106"/>
      <c r="W109" s="106"/>
      <c r="X109" s="107"/>
    </row>
    <row r="110" spans="1:24" ht="14.6">
      <c r="A110" s="1318"/>
      <c r="B110" s="64" t="s">
        <v>48</v>
      </c>
      <c r="C110" s="103">
        <v>70.8</v>
      </c>
      <c r="D110" s="104">
        <v>34.270000000000003</v>
      </c>
      <c r="E110" s="104">
        <v>3.81</v>
      </c>
      <c r="F110" s="104">
        <v>2.42</v>
      </c>
      <c r="G110" s="104">
        <v>0</v>
      </c>
      <c r="H110" s="104">
        <v>22.5</v>
      </c>
      <c r="I110" s="104">
        <v>48.57</v>
      </c>
      <c r="J110" s="104">
        <v>8.36</v>
      </c>
      <c r="K110" s="104">
        <v>0</v>
      </c>
      <c r="L110" s="104">
        <v>6.57</v>
      </c>
      <c r="M110" s="104">
        <v>1.38</v>
      </c>
      <c r="N110" s="104">
        <v>4</v>
      </c>
      <c r="O110" s="104">
        <v>0</v>
      </c>
      <c r="P110" s="104">
        <v>6</v>
      </c>
      <c r="Q110" s="105">
        <v>0</v>
      </c>
      <c r="R110" s="106"/>
      <c r="S110" s="106"/>
      <c r="T110" s="106"/>
      <c r="U110" s="106"/>
      <c r="V110" s="106"/>
      <c r="W110" s="106"/>
      <c r="X110" s="107"/>
    </row>
    <row r="111" spans="1:24" ht="14.6">
      <c r="A111" s="1318"/>
      <c r="B111" s="64" t="s">
        <v>137</v>
      </c>
      <c r="C111" s="103">
        <v>69.81</v>
      </c>
      <c r="D111" s="104">
        <v>34.590000000000003</v>
      </c>
      <c r="E111" s="104">
        <v>3.84</v>
      </c>
      <c r="F111" s="104">
        <v>2.44</v>
      </c>
      <c r="G111" s="104">
        <v>0</v>
      </c>
      <c r="H111" s="104">
        <v>22.66</v>
      </c>
      <c r="I111" s="104">
        <v>49.14</v>
      </c>
      <c r="J111" s="104">
        <v>8.0299999999999994</v>
      </c>
      <c r="K111" s="104">
        <v>0</v>
      </c>
      <c r="L111" s="104">
        <v>6.28</v>
      </c>
      <c r="M111" s="104">
        <v>1.39</v>
      </c>
      <c r="N111" s="104">
        <v>4</v>
      </c>
      <c r="O111" s="104">
        <v>0</v>
      </c>
      <c r="P111" s="104">
        <v>6</v>
      </c>
      <c r="Q111" s="105">
        <v>0</v>
      </c>
      <c r="R111" s="106"/>
      <c r="S111" s="106"/>
      <c r="T111" s="106"/>
      <c r="U111" s="106"/>
      <c r="V111" s="106"/>
      <c r="W111" s="106"/>
      <c r="X111" s="107"/>
    </row>
    <row r="112" spans="1:24" ht="14.6">
      <c r="A112" s="1318"/>
      <c r="B112" s="64" t="s">
        <v>416</v>
      </c>
      <c r="C112" s="103">
        <v>71.03</v>
      </c>
      <c r="D112" s="104">
        <v>34.19</v>
      </c>
      <c r="E112" s="104">
        <v>3.8</v>
      </c>
      <c r="F112" s="104">
        <v>2.42</v>
      </c>
      <c r="G112" s="104">
        <v>0</v>
      </c>
      <c r="H112" s="104">
        <v>22.45</v>
      </c>
      <c r="I112" s="104">
        <v>48.7</v>
      </c>
      <c r="J112" s="104">
        <v>8.39</v>
      </c>
      <c r="K112" s="104">
        <v>0</v>
      </c>
      <c r="L112" s="104">
        <v>6.61</v>
      </c>
      <c r="M112" s="104">
        <v>1.38</v>
      </c>
      <c r="N112" s="104">
        <v>4</v>
      </c>
      <c r="O112" s="104">
        <v>0</v>
      </c>
      <c r="P112" s="104">
        <v>6</v>
      </c>
      <c r="Q112" s="105">
        <v>0</v>
      </c>
      <c r="R112" s="106"/>
      <c r="S112" s="106"/>
      <c r="T112" s="106"/>
      <c r="U112" s="106"/>
      <c r="V112" s="106"/>
      <c r="W112" s="106"/>
      <c r="X112" s="107"/>
    </row>
    <row r="113" spans="1:24" ht="14.6">
      <c r="A113" s="1318"/>
      <c r="B113" s="64" t="s">
        <v>417</v>
      </c>
      <c r="C113" s="103">
        <v>71.41</v>
      </c>
      <c r="D113" s="104">
        <v>34.61</v>
      </c>
      <c r="E113" s="104">
        <v>3.85</v>
      </c>
      <c r="F113" s="104">
        <v>2.4500000000000002</v>
      </c>
      <c r="G113" s="104">
        <v>0</v>
      </c>
      <c r="H113" s="104">
        <v>22.72</v>
      </c>
      <c r="I113" s="104">
        <v>49.19</v>
      </c>
      <c r="J113" s="104">
        <v>8.36</v>
      </c>
      <c r="K113" s="104">
        <v>0</v>
      </c>
      <c r="L113" s="104">
        <v>6.5</v>
      </c>
      <c r="M113" s="104">
        <v>1.4</v>
      </c>
      <c r="N113" s="104">
        <v>4</v>
      </c>
      <c r="O113" s="104">
        <v>0</v>
      </c>
      <c r="P113" s="104">
        <v>6</v>
      </c>
      <c r="Q113" s="105">
        <v>0</v>
      </c>
      <c r="R113" s="106"/>
      <c r="S113" s="106"/>
      <c r="T113" s="106"/>
      <c r="U113" s="106"/>
      <c r="V113" s="106"/>
      <c r="W113" s="106"/>
      <c r="X113" s="107"/>
    </row>
    <row r="114" spans="1:24" ht="14.6">
      <c r="A114" s="1318"/>
      <c r="B114" s="64" t="s">
        <v>418</v>
      </c>
      <c r="C114" s="103">
        <v>71.69</v>
      </c>
      <c r="D114" s="104">
        <v>33.93</v>
      </c>
      <c r="E114" s="104">
        <v>3.77</v>
      </c>
      <c r="F114" s="104">
        <v>2.4</v>
      </c>
      <c r="G114" s="104">
        <v>0</v>
      </c>
      <c r="H114" s="104">
        <v>22.28</v>
      </c>
      <c r="I114" s="104">
        <v>48.85</v>
      </c>
      <c r="J114" s="104">
        <v>8.68</v>
      </c>
      <c r="K114" s="104">
        <v>0.01</v>
      </c>
      <c r="L114" s="104">
        <v>6.88</v>
      </c>
      <c r="M114" s="104">
        <v>1.37</v>
      </c>
      <c r="N114" s="104">
        <v>4</v>
      </c>
      <c r="O114" s="104">
        <v>0</v>
      </c>
      <c r="P114" s="104">
        <v>6</v>
      </c>
      <c r="Q114" s="105">
        <v>0</v>
      </c>
      <c r="R114" s="106"/>
      <c r="S114" s="106"/>
      <c r="T114" s="106"/>
      <c r="U114" s="106"/>
      <c r="V114" s="106"/>
      <c r="W114" s="106"/>
      <c r="X114" s="107"/>
    </row>
    <row r="115" spans="1:24" ht="14.6">
      <c r="A115" s="1318"/>
      <c r="B115" s="64" t="s">
        <v>360</v>
      </c>
      <c r="C115" s="103">
        <v>70.98</v>
      </c>
      <c r="D115" s="104">
        <v>34.5</v>
      </c>
      <c r="E115" s="104">
        <v>3.83</v>
      </c>
      <c r="F115" s="104">
        <v>2.44</v>
      </c>
      <c r="G115" s="104">
        <v>0</v>
      </c>
      <c r="H115" s="104">
        <v>22.65</v>
      </c>
      <c r="I115" s="104">
        <v>48.79</v>
      </c>
      <c r="J115" s="104">
        <v>8.33</v>
      </c>
      <c r="K115" s="104">
        <v>0</v>
      </c>
      <c r="L115" s="104">
        <v>6.5</v>
      </c>
      <c r="M115" s="104">
        <v>1.39</v>
      </c>
      <c r="N115" s="104">
        <v>4</v>
      </c>
      <c r="O115" s="104">
        <v>0</v>
      </c>
      <c r="P115" s="104">
        <v>6</v>
      </c>
      <c r="Q115" s="105">
        <v>0</v>
      </c>
      <c r="R115" s="106"/>
      <c r="S115" s="106"/>
      <c r="T115" s="106"/>
      <c r="U115" s="106"/>
      <c r="V115" s="106"/>
      <c r="W115" s="106"/>
      <c r="X115" s="107"/>
    </row>
    <row r="116" spans="1:24" ht="14.6">
      <c r="A116" s="1318"/>
      <c r="B116" s="64" t="s">
        <v>66</v>
      </c>
      <c r="C116" s="103">
        <v>71.260000000000005</v>
      </c>
      <c r="D116" s="104">
        <v>34.26</v>
      </c>
      <c r="E116" s="104">
        <v>3.81</v>
      </c>
      <c r="F116" s="104">
        <v>2.42</v>
      </c>
      <c r="G116" s="104">
        <v>0</v>
      </c>
      <c r="H116" s="104">
        <v>22.49</v>
      </c>
      <c r="I116" s="104">
        <v>48.61</v>
      </c>
      <c r="J116" s="104">
        <v>8.4700000000000006</v>
      </c>
      <c r="K116" s="104">
        <v>0</v>
      </c>
      <c r="L116" s="104">
        <v>6.72</v>
      </c>
      <c r="M116" s="104">
        <v>1.39</v>
      </c>
      <c r="N116" s="104">
        <v>4</v>
      </c>
      <c r="O116" s="104">
        <v>0</v>
      </c>
      <c r="P116" s="104">
        <v>6</v>
      </c>
      <c r="Q116" s="105">
        <v>0</v>
      </c>
      <c r="R116" s="106"/>
      <c r="S116" s="106"/>
      <c r="T116" s="106"/>
      <c r="U116" s="106"/>
      <c r="V116" s="106"/>
      <c r="W116" s="106"/>
      <c r="X116" s="107"/>
    </row>
    <row r="117" spans="1:24" ht="15" thickBot="1">
      <c r="A117" s="1319"/>
      <c r="B117" s="58" t="s">
        <v>75</v>
      </c>
      <c r="C117" s="108">
        <v>70.87</v>
      </c>
      <c r="D117" s="109">
        <v>35.08</v>
      </c>
      <c r="E117" s="109">
        <v>3.9</v>
      </c>
      <c r="F117" s="109">
        <v>2.48</v>
      </c>
      <c r="G117" s="109">
        <v>0</v>
      </c>
      <c r="H117" s="109">
        <v>23.03</v>
      </c>
      <c r="I117" s="109">
        <v>49.61</v>
      </c>
      <c r="J117" s="109">
        <v>8.15</v>
      </c>
      <c r="K117" s="109">
        <v>0</v>
      </c>
      <c r="L117" s="109">
        <v>6.38</v>
      </c>
      <c r="M117" s="109">
        <v>1.42</v>
      </c>
      <c r="N117" s="109">
        <v>4</v>
      </c>
      <c r="O117" s="109">
        <v>0</v>
      </c>
      <c r="P117" s="109">
        <v>6</v>
      </c>
      <c r="Q117" s="110">
        <v>0</v>
      </c>
      <c r="R117" s="111"/>
      <c r="S117" s="111"/>
      <c r="T117" s="111"/>
      <c r="U117" s="111"/>
      <c r="V117" s="111"/>
      <c r="W117" s="111"/>
      <c r="X117" s="112"/>
    </row>
    <row r="119" spans="1:24" ht="18" customHeight="1" thickBot="1">
      <c r="A119" s="1308" t="s">
        <v>543</v>
      </c>
      <c r="B119" s="1308"/>
      <c r="C119" s="1308"/>
      <c r="D119" s="1308"/>
      <c r="E119" s="1308"/>
      <c r="F119" s="1308"/>
      <c r="G119" s="1308"/>
      <c r="H119" s="1308"/>
      <c r="I119" s="1308"/>
      <c r="J119" s="1308"/>
      <c r="K119" s="1308"/>
      <c r="L119" s="1308"/>
      <c r="M119" s="1308"/>
      <c r="N119" s="1308"/>
      <c r="O119" s="1308"/>
      <c r="P119" s="1308"/>
      <c r="Q119" s="1308"/>
      <c r="R119" s="1308"/>
      <c r="S119" s="1308"/>
      <c r="T119" s="1308"/>
      <c r="U119" s="1308"/>
      <c r="V119" s="1308"/>
      <c r="W119" s="1308"/>
      <c r="X119" s="1308"/>
    </row>
    <row r="120" spans="1:24" ht="37.5" customHeight="1" thickBot="1">
      <c r="A120" s="77"/>
      <c r="B120" s="48" t="s">
        <v>3</v>
      </c>
      <c r="C120" s="1" t="s">
        <v>4</v>
      </c>
      <c r="D120" s="1" t="s">
        <v>5</v>
      </c>
      <c r="E120" s="1" t="s">
        <v>6</v>
      </c>
      <c r="F120" s="1" t="s">
        <v>7</v>
      </c>
      <c r="G120" s="1" t="s">
        <v>8</v>
      </c>
      <c r="H120" s="1" t="s">
        <v>9</v>
      </c>
      <c r="I120" s="1" t="s">
        <v>10</v>
      </c>
      <c r="J120" s="1" t="s">
        <v>11</v>
      </c>
      <c r="K120" s="1" t="s">
        <v>12</v>
      </c>
      <c r="L120" s="1" t="s">
        <v>13</v>
      </c>
      <c r="M120" s="1" t="s">
        <v>14</v>
      </c>
      <c r="N120" s="1" t="s">
        <v>15</v>
      </c>
      <c r="O120" s="2" t="s">
        <v>16</v>
      </c>
      <c r="P120" s="2" t="s">
        <v>17</v>
      </c>
      <c r="Q120" s="2" t="s">
        <v>18</v>
      </c>
      <c r="R120" s="2" t="s">
        <v>19</v>
      </c>
      <c r="S120" s="2" t="s">
        <v>20</v>
      </c>
      <c r="T120" s="2" t="s">
        <v>21</v>
      </c>
      <c r="U120" s="2" t="s">
        <v>22</v>
      </c>
      <c r="V120" s="2" t="s">
        <v>23</v>
      </c>
      <c r="W120" s="2" t="s">
        <v>377</v>
      </c>
      <c r="X120" s="3" t="s">
        <v>378</v>
      </c>
    </row>
    <row r="121" spans="1:24" ht="14.6">
      <c r="A121" s="1321" t="s">
        <v>544</v>
      </c>
      <c r="B121" s="57" t="s">
        <v>129</v>
      </c>
      <c r="C121" s="98">
        <v>72.73</v>
      </c>
      <c r="D121" s="99">
        <v>40.36</v>
      </c>
      <c r="E121" s="99">
        <v>4.4800000000000004</v>
      </c>
      <c r="F121" s="99">
        <v>4.45</v>
      </c>
      <c r="G121" s="99">
        <v>0.04</v>
      </c>
      <c r="H121" s="99">
        <v>7.0000000000000007E-2</v>
      </c>
      <c r="I121" s="99">
        <v>13.23</v>
      </c>
      <c r="J121" s="99">
        <v>7.68</v>
      </c>
      <c r="K121" s="99">
        <v>0.21</v>
      </c>
      <c r="L121" s="99">
        <v>6.27</v>
      </c>
      <c r="M121" s="99">
        <v>0.41</v>
      </c>
      <c r="N121" s="99">
        <v>0.87</v>
      </c>
      <c r="O121" s="99">
        <v>0</v>
      </c>
      <c r="P121" s="99">
        <v>1.38</v>
      </c>
      <c r="Q121" s="100">
        <v>0.17</v>
      </c>
      <c r="R121" s="101"/>
      <c r="S121" s="101"/>
      <c r="T121" s="101"/>
      <c r="U121" s="101"/>
      <c r="V121" s="101"/>
      <c r="W121" s="101"/>
      <c r="X121" s="102"/>
    </row>
    <row r="122" spans="1:24" ht="15" thickBot="1">
      <c r="A122" s="1322"/>
      <c r="B122" s="58" t="s">
        <v>130</v>
      </c>
      <c r="C122" s="108">
        <v>76.45</v>
      </c>
      <c r="D122" s="109">
        <v>45.96</v>
      </c>
      <c r="E122" s="109">
        <v>5.1100000000000003</v>
      </c>
      <c r="F122" s="109">
        <v>5.09</v>
      </c>
      <c r="G122" s="109">
        <v>0.01</v>
      </c>
      <c r="H122" s="109">
        <v>0.04</v>
      </c>
      <c r="I122" s="109">
        <v>11.42</v>
      </c>
      <c r="J122" s="109">
        <v>7.39</v>
      </c>
      <c r="K122" s="109">
        <v>0.02</v>
      </c>
      <c r="L122" s="109">
        <v>6.72</v>
      </c>
      <c r="M122" s="109">
        <v>0.22</v>
      </c>
      <c r="N122" s="109">
        <v>0.19</v>
      </c>
      <c r="O122" s="109">
        <v>0</v>
      </c>
      <c r="P122" s="109">
        <v>0.42</v>
      </c>
      <c r="Q122" s="110">
        <v>0.01</v>
      </c>
      <c r="R122" s="111"/>
      <c r="S122" s="111"/>
      <c r="T122" s="111"/>
      <c r="U122" s="111"/>
      <c r="V122" s="111"/>
      <c r="W122" s="111"/>
      <c r="X122" s="112"/>
    </row>
    <row r="123" spans="1:24" ht="14.6">
      <c r="A123" s="14"/>
      <c r="B123" s="22"/>
      <c r="C123" s="15"/>
      <c r="D123" s="15"/>
      <c r="E123" s="15"/>
      <c r="F123" s="15"/>
      <c r="G123" s="15"/>
      <c r="H123" s="15"/>
      <c r="I123" s="15"/>
      <c r="J123" s="15"/>
      <c r="K123" s="15"/>
      <c r="L123" s="15"/>
      <c r="M123" s="15"/>
      <c r="N123" s="15"/>
      <c r="O123" s="15"/>
      <c r="P123" s="15"/>
      <c r="Q123" s="15"/>
    </row>
    <row r="124" spans="1:24" ht="18" customHeight="1" thickBot="1">
      <c r="A124" s="1308" t="s">
        <v>545</v>
      </c>
      <c r="B124" s="1308"/>
      <c r="C124" s="1308"/>
      <c r="D124" s="1308"/>
      <c r="E124" s="1308"/>
      <c r="F124" s="1308"/>
      <c r="G124" s="1308"/>
      <c r="H124" s="1308"/>
      <c r="I124" s="1308"/>
      <c r="J124" s="1308"/>
      <c r="K124" s="1308"/>
      <c r="L124" s="1308"/>
      <c r="M124" s="1308"/>
      <c r="N124" s="1308"/>
      <c r="O124" s="1308"/>
      <c r="P124" s="1308"/>
      <c r="Q124" s="1308"/>
      <c r="R124" s="1308"/>
      <c r="S124" s="1308"/>
      <c r="T124" s="1308"/>
      <c r="U124" s="1308"/>
      <c r="V124" s="1308"/>
      <c r="W124" s="1308"/>
      <c r="X124" s="1308"/>
    </row>
    <row r="125" spans="1:24" ht="37.5" customHeight="1" thickBot="1">
      <c r="A125" s="77"/>
      <c r="B125" s="48" t="s">
        <v>3</v>
      </c>
      <c r="C125" s="1" t="s">
        <v>4</v>
      </c>
      <c r="D125" s="1" t="s">
        <v>5</v>
      </c>
      <c r="E125" s="1" t="s">
        <v>6</v>
      </c>
      <c r="F125" s="1" t="s">
        <v>7</v>
      </c>
      <c r="G125" s="1" t="s">
        <v>8</v>
      </c>
      <c r="H125" s="1" t="s">
        <v>9</v>
      </c>
      <c r="I125" s="1" t="s">
        <v>10</v>
      </c>
      <c r="J125" s="1" t="s">
        <v>11</v>
      </c>
      <c r="K125" s="1" t="s">
        <v>12</v>
      </c>
      <c r="L125" s="1" t="s">
        <v>13</v>
      </c>
      <c r="M125" s="1" t="s">
        <v>14</v>
      </c>
      <c r="N125" s="1" t="s">
        <v>15</v>
      </c>
      <c r="O125" s="2" t="s">
        <v>16</v>
      </c>
      <c r="P125" s="2" t="s">
        <v>17</v>
      </c>
      <c r="Q125" s="2" t="s">
        <v>18</v>
      </c>
      <c r="R125" s="2" t="s">
        <v>19</v>
      </c>
      <c r="S125" s="2" t="s">
        <v>20</v>
      </c>
      <c r="T125" s="2" t="s">
        <v>21</v>
      </c>
      <c r="U125" s="2" t="s">
        <v>22</v>
      </c>
      <c r="V125" s="2" t="s">
        <v>23</v>
      </c>
      <c r="W125" s="2" t="s">
        <v>377</v>
      </c>
      <c r="X125" s="3" t="s">
        <v>378</v>
      </c>
    </row>
    <row r="126" spans="1:24" ht="14.6">
      <c r="A126" s="1321" t="s">
        <v>546</v>
      </c>
      <c r="B126" s="57" t="s">
        <v>130</v>
      </c>
      <c r="C126" s="98">
        <v>76.45</v>
      </c>
      <c r="D126" s="99">
        <v>45.96</v>
      </c>
      <c r="E126" s="99">
        <v>5.1100000000000003</v>
      </c>
      <c r="F126" s="99">
        <v>5.09</v>
      </c>
      <c r="G126" s="99">
        <v>0.01</v>
      </c>
      <c r="H126" s="99">
        <v>0.04</v>
      </c>
      <c r="I126" s="99">
        <v>11.42</v>
      </c>
      <c r="J126" s="99">
        <v>7.39</v>
      </c>
      <c r="K126" s="99">
        <v>0.02</v>
      </c>
      <c r="L126" s="99">
        <v>6.72</v>
      </c>
      <c r="M126" s="99">
        <v>0.22</v>
      </c>
      <c r="N126" s="99">
        <v>0.19</v>
      </c>
      <c r="O126" s="99">
        <v>0</v>
      </c>
      <c r="P126" s="99">
        <v>0.42</v>
      </c>
      <c r="Q126" s="100">
        <v>0.01</v>
      </c>
      <c r="R126" s="101"/>
      <c r="S126" s="101"/>
      <c r="T126" s="101"/>
      <c r="U126" s="101"/>
      <c r="V126" s="101"/>
      <c r="W126" s="101"/>
      <c r="X126" s="102"/>
    </row>
    <row r="127" spans="1:24" ht="15" thickBot="1">
      <c r="A127" s="1322"/>
      <c r="B127" s="58" t="s">
        <v>129</v>
      </c>
      <c r="C127" s="108">
        <v>72.73</v>
      </c>
      <c r="D127" s="109">
        <v>40.36</v>
      </c>
      <c r="E127" s="109">
        <v>4.4800000000000004</v>
      </c>
      <c r="F127" s="109">
        <v>4.45</v>
      </c>
      <c r="G127" s="109">
        <v>0.04</v>
      </c>
      <c r="H127" s="109">
        <v>7.0000000000000007E-2</v>
      </c>
      <c r="I127" s="109">
        <v>13.23</v>
      </c>
      <c r="J127" s="109">
        <v>7.68</v>
      </c>
      <c r="K127" s="109">
        <v>0.21</v>
      </c>
      <c r="L127" s="109">
        <v>6.27</v>
      </c>
      <c r="M127" s="109">
        <v>0.41</v>
      </c>
      <c r="N127" s="109">
        <v>0.87</v>
      </c>
      <c r="O127" s="109">
        <v>0</v>
      </c>
      <c r="P127" s="109">
        <v>1.38</v>
      </c>
      <c r="Q127" s="110">
        <v>0.17</v>
      </c>
      <c r="R127" s="111"/>
      <c r="S127" s="111"/>
      <c r="T127" s="111"/>
      <c r="U127" s="111"/>
      <c r="V127" s="111"/>
      <c r="W127" s="111"/>
      <c r="X127" s="112"/>
    </row>
    <row r="129" spans="1:24" ht="18" customHeight="1" thickBot="1">
      <c r="A129" s="1308" t="s">
        <v>538</v>
      </c>
      <c r="B129" s="1308"/>
      <c r="C129" s="1308"/>
      <c r="D129" s="1308"/>
      <c r="E129" s="1308"/>
      <c r="F129" s="1308"/>
      <c r="G129" s="1308"/>
      <c r="H129" s="1308"/>
      <c r="I129" s="1308"/>
      <c r="J129" s="1308"/>
      <c r="K129" s="1308"/>
      <c r="L129" s="1308"/>
      <c r="M129" s="1308"/>
      <c r="N129" s="1308"/>
      <c r="O129" s="1308"/>
      <c r="P129" s="1308"/>
      <c r="Q129" s="1308"/>
      <c r="R129" s="1308"/>
      <c r="S129" s="1308"/>
      <c r="T129" s="1308"/>
      <c r="U129" s="1308"/>
      <c r="V129" s="1308"/>
      <c r="W129" s="1308"/>
      <c r="X129" s="1308"/>
    </row>
    <row r="130" spans="1:24" ht="37.5" customHeight="1" thickBot="1">
      <c r="A130" s="77"/>
      <c r="B130" s="48" t="s">
        <v>3</v>
      </c>
      <c r="C130" s="1" t="s">
        <v>4</v>
      </c>
      <c r="D130" s="1" t="s">
        <v>5</v>
      </c>
      <c r="E130" s="1" t="s">
        <v>6</v>
      </c>
      <c r="F130" s="1" t="s">
        <v>7</v>
      </c>
      <c r="G130" s="1" t="s">
        <v>8</v>
      </c>
      <c r="H130" s="1" t="s">
        <v>9</v>
      </c>
      <c r="I130" s="1" t="s">
        <v>10</v>
      </c>
      <c r="J130" s="1" t="s">
        <v>11</v>
      </c>
      <c r="K130" s="1" t="s">
        <v>12</v>
      </c>
      <c r="L130" s="1" t="s">
        <v>13</v>
      </c>
      <c r="M130" s="1" t="s">
        <v>14</v>
      </c>
      <c r="N130" s="1" t="s">
        <v>15</v>
      </c>
      <c r="O130" s="2" t="s">
        <v>16</v>
      </c>
      <c r="P130" s="2" t="s">
        <v>17</v>
      </c>
      <c r="Q130" s="2" t="s">
        <v>18</v>
      </c>
      <c r="R130" s="2" t="s">
        <v>19</v>
      </c>
      <c r="S130" s="2" t="s">
        <v>20</v>
      </c>
      <c r="T130" s="2" t="s">
        <v>21</v>
      </c>
      <c r="U130" s="2" t="s">
        <v>22</v>
      </c>
      <c r="V130" s="2" t="s">
        <v>23</v>
      </c>
      <c r="W130" s="2" t="s">
        <v>377</v>
      </c>
      <c r="X130" s="3" t="s">
        <v>378</v>
      </c>
    </row>
    <row r="131" spans="1:24" ht="14.6">
      <c r="A131" s="1317" t="s">
        <v>539</v>
      </c>
      <c r="B131" s="59" t="s">
        <v>144</v>
      </c>
      <c r="C131" s="98">
        <v>21.55</v>
      </c>
      <c r="D131" s="99">
        <v>11.06</v>
      </c>
      <c r="E131" s="99">
        <v>1.23</v>
      </c>
      <c r="F131" s="99">
        <v>0.73</v>
      </c>
      <c r="G131" s="99">
        <v>0</v>
      </c>
      <c r="H131" s="99">
        <v>0</v>
      </c>
      <c r="I131" s="99">
        <v>0.01</v>
      </c>
      <c r="J131" s="99">
        <v>3.17</v>
      </c>
      <c r="K131" s="99">
        <v>0.37</v>
      </c>
      <c r="L131" s="99">
        <v>2.56</v>
      </c>
      <c r="M131" s="99">
        <v>0.24</v>
      </c>
      <c r="N131" s="79">
        <v>0</v>
      </c>
      <c r="O131" s="79">
        <v>0</v>
      </c>
      <c r="P131" s="79">
        <v>2</v>
      </c>
      <c r="Q131" s="113">
        <v>15</v>
      </c>
      <c r="R131" s="101"/>
      <c r="S131" s="101"/>
      <c r="T131" s="101"/>
      <c r="U131" s="101"/>
      <c r="V131" s="101"/>
      <c r="W131" s="101"/>
      <c r="X131" s="102"/>
    </row>
    <row r="132" spans="1:24" ht="14.6">
      <c r="A132" s="1318"/>
      <c r="B132" s="56" t="s">
        <v>534</v>
      </c>
      <c r="C132" s="103">
        <v>19.12</v>
      </c>
      <c r="D132" s="104">
        <v>4</v>
      </c>
      <c r="E132" s="104">
        <v>0.44</v>
      </c>
      <c r="F132" s="104">
        <v>0.23</v>
      </c>
      <c r="G132" s="104">
        <v>0</v>
      </c>
      <c r="H132" s="104">
        <v>0</v>
      </c>
      <c r="I132" s="104">
        <v>28.74</v>
      </c>
      <c r="J132" s="104">
        <v>3.77</v>
      </c>
      <c r="K132" s="104">
        <v>0.24</v>
      </c>
      <c r="L132" s="104">
        <v>1.46</v>
      </c>
      <c r="M132" s="104">
        <v>0.28000000000000003</v>
      </c>
      <c r="N132" s="81">
        <v>0</v>
      </c>
      <c r="O132" s="81">
        <v>0</v>
      </c>
      <c r="P132" s="81">
        <v>15</v>
      </c>
      <c r="Q132" s="114">
        <v>0</v>
      </c>
      <c r="R132" s="106"/>
      <c r="S132" s="106"/>
      <c r="T132" s="106"/>
      <c r="U132" s="106"/>
      <c r="V132" s="106"/>
      <c r="W132" s="106"/>
      <c r="X132" s="107"/>
    </row>
    <row r="133" spans="1:24" ht="14.6">
      <c r="A133" s="1318"/>
      <c r="B133" s="56" t="s">
        <v>540</v>
      </c>
      <c r="C133" s="103">
        <v>22.94</v>
      </c>
      <c r="D133" s="104">
        <v>9.14</v>
      </c>
      <c r="E133" s="104">
        <v>1.02</v>
      </c>
      <c r="F133" s="104">
        <v>0.87</v>
      </c>
      <c r="G133" s="104">
        <v>0.01</v>
      </c>
      <c r="H133" s="104">
        <v>0</v>
      </c>
      <c r="I133" s="104">
        <v>4.72</v>
      </c>
      <c r="J133" s="104">
        <v>3.31</v>
      </c>
      <c r="K133" s="104">
        <v>0.17</v>
      </c>
      <c r="L133" s="104">
        <v>1.69</v>
      </c>
      <c r="M133" s="104">
        <v>0.14000000000000001</v>
      </c>
      <c r="N133" s="81">
        <v>15</v>
      </c>
      <c r="O133" s="81">
        <v>10</v>
      </c>
      <c r="P133" s="81">
        <v>0</v>
      </c>
      <c r="Q133" s="114">
        <v>10</v>
      </c>
      <c r="R133" s="106"/>
      <c r="S133" s="106"/>
      <c r="T133" s="106"/>
      <c r="U133" s="106"/>
      <c r="V133" s="106"/>
      <c r="W133" s="106"/>
      <c r="X133" s="107"/>
    </row>
    <row r="134" spans="1:24" ht="14.6">
      <c r="A134" s="1318"/>
      <c r="B134" s="56" t="s">
        <v>147</v>
      </c>
      <c r="C134" s="103">
        <v>27.69</v>
      </c>
      <c r="D134" s="104">
        <v>21.12</v>
      </c>
      <c r="E134" s="104">
        <v>2.35</v>
      </c>
      <c r="F134" s="104">
        <v>0.33</v>
      </c>
      <c r="G134" s="104">
        <v>0</v>
      </c>
      <c r="H134" s="104">
        <v>0</v>
      </c>
      <c r="I134" s="104">
        <v>6.8</v>
      </c>
      <c r="J134" s="104">
        <v>1.01</v>
      </c>
      <c r="K134" s="104">
        <v>0.44</v>
      </c>
      <c r="L134" s="104">
        <v>0.2</v>
      </c>
      <c r="M134" s="104">
        <v>1.1200000000000001</v>
      </c>
      <c r="N134" s="81">
        <v>2</v>
      </c>
      <c r="O134" s="81">
        <v>0</v>
      </c>
      <c r="P134" s="81">
        <v>2</v>
      </c>
      <c r="Q134" s="114">
        <v>0</v>
      </c>
      <c r="R134" s="106"/>
      <c r="S134" s="106"/>
      <c r="T134" s="106"/>
      <c r="U134" s="106"/>
      <c r="V134" s="106"/>
      <c r="W134" s="106"/>
      <c r="X134" s="107"/>
    </row>
    <row r="135" spans="1:24" ht="14.6">
      <c r="A135" s="1318"/>
      <c r="B135" s="56" t="s">
        <v>148</v>
      </c>
      <c r="C135" s="103">
        <v>19.25</v>
      </c>
      <c r="D135" s="104">
        <v>1.57</v>
      </c>
      <c r="E135" s="104">
        <v>0.17</v>
      </c>
      <c r="F135" s="104">
        <v>0.17</v>
      </c>
      <c r="G135" s="104">
        <v>0</v>
      </c>
      <c r="H135" s="104">
        <v>0</v>
      </c>
      <c r="I135" s="104">
        <v>29.75</v>
      </c>
      <c r="J135" s="104">
        <v>4.0199999999999996</v>
      </c>
      <c r="K135" s="104">
        <v>0</v>
      </c>
      <c r="L135" s="104">
        <v>1.57</v>
      </c>
      <c r="M135" s="104">
        <v>0.17</v>
      </c>
      <c r="N135" s="81">
        <v>0</v>
      </c>
      <c r="O135" s="81">
        <v>0</v>
      </c>
      <c r="P135" s="81">
        <v>2</v>
      </c>
      <c r="Q135" s="114">
        <v>0</v>
      </c>
      <c r="R135" s="106"/>
      <c r="S135" s="106"/>
      <c r="T135" s="106"/>
      <c r="U135" s="106"/>
      <c r="V135" s="106"/>
      <c r="W135" s="106"/>
      <c r="X135" s="107"/>
    </row>
    <row r="136" spans="1:24" ht="14.6">
      <c r="A136" s="1318"/>
      <c r="B136" s="56" t="s">
        <v>306</v>
      </c>
      <c r="C136" s="103">
        <v>15</v>
      </c>
      <c r="D136" s="104">
        <v>0</v>
      </c>
      <c r="E136" s="104">
        <v>0</v>
      </c>
      <c r="F136" s="104">
        <v>0</v>
      </c>
      <c r="G136" s="104">
        <v>0</v>
      </c>
      <c r="H136" s="104">
        <v>0</v>
      </c>
      <c r="I136" s="104">
        <v>0</v>
      </c>
      <c r="J136" s="104">
        <v>3</v>
      </c>
      <c r="K136" s="104">
        <v>0</v>
      </c>
      <c r="L136" s="104">
        <v>2</v>
      </c>
      <c r="M136" s="104">
        <v>0</v>
      </c>
      <c r="N136" s="81">
        <v>0</v>
      </c>
      <c r="O136" s="81">
        <v>0</v>
      </c>
      <c r="P136" s="81">
        <v>0</v>
      </c>
      <c r="Q136" s="114">
        <v>0</v>
      </c>
      <c r="R136" s="106"/>
      <c r="S136" s="106"/>
      <c r="T136" s="106"/>
      <c r="U136" s="106"/>
      <c r="V136" s="106"/>
      <c r="W136" s="106"/>
      <c r="X136" s="107"/>
    </row>
    <row r="137" spans="1:24" ht="14.6">
      <c r="A137" s="1318"/>
      <c r="B137" s="56" t="s">
        <v>149</v>
      </c>
      <c r="C137" s="103">
        <v>24.9</v>
      </c>
      <c r="D137" s="104">
        <v>13.82</v>
      </c>
      <c r="E137" s="104">
        <v>1.54</v>
      </c>
      <c r="F137" s="104">
        <v>0.81</v>
      </c>
      <c r="G137" s="104">
        <v>0.02</v>
      </c>
      <c r="H137" s="104">
        <v>0.88</v>
      </c>
      <c r="I137" s="104">
        <v>16.41</v>
      </c>
      <c r="J137" s="104">
        <v>2.94</v>
      </c>
      <c r="K137" s="104">
        <v>0.06</v>
      </c>
      <c r="L137" s="104">
        <v>2.83</v>
      </c>
      <c r="M137" s="104">
        <v>0.15</v>
      </c>
      <c r="N137" s="81">
        <v>0</v>
      </c>
      <c r="O137" s="81">
        <v>0</v>
      </c>
      <c r="P137" s="81">
        <v>0</v>
      </c>
      <c r="Q137" s="114">
        <v>0</v>
      </c>
      <c r="R137" s="106"/>
      <c r="S137" s="106"/>
      <c r="T137" s="106"/>
      <c r="U137" s="106"/>
      <c r="V137" s="106"/>
      <c r="W137" s="106"/>
      <c r="X137" s="107"/>
    </row>
    <row r="138" spans="1:24" ht="14.6">
      <c r="A138" s="1318"/>
      <c r="B138" s="56" t="s">
        <v>150</v>
      </c>
      <c r="C138" s="103">
        <v>15</v>
      </c>
      <c r="D138" s="104">
        <v>0.83333333333333337</v>
      </c>
      <c r="E138" s="104">
        <v>0</v>
      </c>
      <c r="F138" s="104">
        <v>0</v>
      </c>
      <c r="G138" s="104">
        <v>0</v>
      </c>
      <c r="H138" s="104">
        <v>0</v>
      </c>
      <c r="I138" s="104">
        <v>8.3333333333333339</v>
      </c>
      <c r="J138" s="104">
        <v>3.5</v>
      </c>
      <c r="K138" s="104">
        <v>0</v>
      </c>
      <c r="L138" s="104">
        <v>2.5</v>
      </c>
      <c r="M138" s="104">
        <v>0</v>
      </c>
      <c r="N138" s="81">
        <v>0</v>
      </c>
      <c r="O138" s="81">
        <v>0</v>
      </c>
      <c r="P138" s="81">
        <v>0</v>
      </c>
      <c r="Q138" s="114">
        <v>0</v>
      </c>
      <c r="R138" s="106"/>
      <c r="S138" s="106"/>
      <c r="T138" s="106"/>
      <c r="U138" s="106"/>
      <c r="V138" s="106"/>
      <c r="W138" s="106"/>
      <c r="X138" s="107"/>
    </row>
    <row r="139" spans="1:24" ht="14.6">
      <c r="A139" s="1318"/>
      <c r="B139" s="56" t="s">
        <v>151</v>
      </c>
      <c r="C139" s="103">
        <v>15</v>
      </c>
      <c r="D139" s="104">
        <v>5</v>
      </c>
      <c r="E139" s="104">
        <v>0.58333333333333337</v>
      </c>
      <c r="F139" s="104">
        <v>0.5</v>
      </c>
      <c r="G139" s="104">
        <v>0</v>
      </c>
      <c r="H139" s="104">
        <v>0</v>
      </c>
      <c r="I139" s="104">
        <v>7.5</v>
      </c>
      <c r="J139" s="104">
        <v>2.5</v>
      </c>
      <c r="K139" s="104">
        <v>0</v>
      </c>
      <c r="L139" s="104">
        <v>2.3333333333333335</v>
      </c>
      <c r="M139" s="104">
        <v>0.16666666666666666</v>
      </c>
      <c r="N139" s="81">
        <v>0</v>
      </c>
      <c r="O139" s="81">
        <v>0</v>
      </c>
      <c r="P139" s="115">
        <v>0.66666666666666663</v>
      </c>
      <c r="Q139" s="114">
        <v>0</v>
      </c>
      <c r="R139" s="106"/>
      <c r="S139" s="106"/>
      <c r="T139" s="106"/>
      <c r="U139" s="106"/>
      <c r="V139" s="106"/>
      <c r="W139" s="106"/>
      <c r="X139" s="107"/>
    </row>
    <row r="140" spans="1:24" ht="14.6">
      <c r="A140" s="1318"/>
      <c r="B140" s="56" t="s">
        <v>535</v>
      </c>
      <c r="C140" s="103">
        <v>20.399999999999999</v>
      </c>
      <c r="D140" s="104">
        <v>4.5</v>
      </c>
      <c r="E140" s="104">
        <v>0.5</v>
      </c>
      <c r="F140" s="104">
        <v>0.28999999999999998</v>
      </c>
      <c r="G140" s="104">
        <v>0</v>
      </c>
      <c r="H140" s="104">
        <v>0</v>
      </c>
      <c r="I140" s="104">
        <v>10.43</v>
      </c>
      <c r="J140" s="104">
        <v>4.08</v>
      </c>
      <c r="K140" s="104">
        <v>0</v>
      </c>
      <c r="L140" s="104">
        <v>3.37</v>
      </c>
      <c r="M140" s="104">
        <v>0</v>
      </c>
      <c r="N140" s="81">
        <v>0</v>
      </c>
      <c r="O140" s="81">
        <v>0</v>
      </c>
      <c r="P140" s="81">
        <v>0</v>
      </c>
      <c r="Q140" s="114">
        <v>0</v>
      </c>
      <c r="R140" s="106"/>
      <c r="S140" s="106"/>
      <c r="T140" s="106"/>
      <c r="U140" s="106"/>
      <c r="V140" s="106"/>
      <c r="W140" s="106"/>
      <c r="X140" s="107"/>
    </row>
    <row r="141" spans="1:24" ht="14.6">
      <c r="A141" s="1318"/>
      <c r="B141" s="56" t="s">
        <v>152</v>
      </c>
      <c r="C141" s="103">
        <v>25</v>
      </c>
      <c r="D141" s="104">
        <v>10</v>
      </c>
      <c r="E141" s="104">
        <v>1</v>
      </c>
      <c r="F141" s="104">
        <v>0.5</v>
      </c>
      <c r="G141" s="104">
        <v>0</v>
      </c>
      <c r="H141" s="104">
        <v>0</v>
      </c>
      <c r="I141" s="104">
        <v>0</v>
      </c>
      <c r="J141" s="104">
        <v>3.22</v>
      </c>
      <c r="K141" s="104">
        <v>0.13</v>
      </c>
      <c r="L141" s="104">
        <v>2.94</v>
      </c>
      <c r="M141" s="104">
        <v>0.25</v>
      </c>
      <c r="N141" s="81">
        <v>0</v>
      </c>
      <c r="O141" s="81">
        <v>0</v>
      </c>
      <c r="P141" s="81">
        <v>0</v>
      </c>
      <c r="Q141" s="114">
        <v>0</v>
      </c>
      <c r="R141" s="106"/>
      <c r="S141" s="106"/>
      <c r="T141" s="106"/>
      <c r="U141" s="106"/>
      <c r="V141" s="106"/>
      <c r="W141" s="106"/>
      <c r="X141" s="107"/>
    </row>
    <row r="142" spans="1:24" ht="14.6">
      <c r="A142" s="1318"/>
      <c r="B142" s="56" t="s">
        <v>422</v>
      </c>
      <c r="C142" s="103">
        <v>9.4499999999999993</v>
      </c>
      <c r="D142" s="104">
        <v>0</v>
      </c>
      <c r="E142" s="104">
        <v>0</v>
      </c>
      <c r="F142" s="104">
        <v>0</v>
      </c>
      <c r="G142" s="104">
        <v>0</v>
      </c>
      <c r="H142" s="104">
        <v>0</v>
      </c>
      <c r="I142" s="104">
        <v>0</v>
      </c>
      <c r="J142" s="104">
        <v>1.89</v>
      </c>
      <c r="K142" s="104">
        <v>0</v>
      </c>
      <c r="L142" s="104">
        <v>0.94</v>
      </c>
      <c r="M142" s="104">
        <v>0</v>
      </c>
      <c r="N142" s="81">
        <v>0</v>
      </c>
      <c r="O142" s="81">
        <v>0</v>
      </c>
      <c r="P142" s="81">
        <v>0</v>
      </c>
      <c r="Q142" s="114">
        <v>4</v>
      </c>
      <c r="R142" s="106"/>
      <c r="S142" s="106"/>
      <c r="T142" s="106"/>
      <c r="U142" s="106"/>
      <c r="V142" s="106"/>
      <c r="W142" s="106"/>
      <c r="X142" s="107"/>
    </row>
    <row r="143" spans="1:24" ht="14.6">
      <c r="A143" s="1318"/>
      <c r="B143" s="56" t="s">
        <v>536</v>
      </c>
      <c r="C143" s="103">
        <v>13.69</v>
      </c>
      <c r="D143" s="104">
        <v>5.28</v>
      </c>
      <c r="E143" s="104">
        <v>0.59</v>
      </c>
      <c r="F143" s="104">
        <v>0.2</v>
      </c>
      <c r="G143" s="104">
        <v>0.01</v>
      </c>
      <c r="H143" s="104">
        <v>0</v>
      </c>
      <c r="I143" s="104">
        <v>11.24</v>
      </c>
      <c r="J143" s="104">
        <v>2.0499999999999998</v>
      </c>
      <c r="K143" s="104">
        <v>0.1</v>
      </c>
      <c r="L143" s="104">
        <v>1.17</v>
      </c>
      <c r="M143" s="104">
        <v>0.1</v>
      </c>
      <c r="N143" s="81">
        <v>0</v>
      </c>
      <c r="O143" s="81">
        <v>0</v>
      </c>
      <c r="P143" s="81">
        <v>0</v>
      </c>
      <c r="Q143" s="114">
        <v>8</v>
      </c>
      <c r="R143" s="106"/>
      <c r="S143" s="106"/>
      <c r="T143" s="106"/>
      <c r="U143" s="106"/>
      <c r="V143" s="106"/>
      <c r="W143" s="106"/>
      <c r="X143" s="107"/>
    </row>
    <row r="144" spans="1:24" ht="14.6">
      <c r="A144" s="1318"/>
      <c r="B144" s="56" t="s">
        <v>154</v>
      </c>
      <c r="C144" s="103">
        <v>17.72</v>
      </c>
      <c r="D144" s="104">
        <v>0</v>
      </c>
      <c r="E144" s="104">
        <v>0</v>
      </c>
      <c r="F144" s="104">
        <v>0</v>
      </c>
      <c r="G144" s="104">
        <v>0</v>
      </c>
      <c r="H144" s="104">
        <v>0</v>
      </c>
      <c r="I144" s="104">
        <v>0.35</v>
      </c>
      <c r="J144" s="104">
        <v>4.42</v>
      </c>
      <c r="K144" s="104">
        <v>0</v>
      </c>
      <c r="L144" s="104">
        <v>4.33</v>
      </c>
      <c r="M144" s="104">
        <v>0</v>
      </c>
      <c r="N144" s="85">
        <v>0</v>
      </c>
      <c r="O144" s="85">
        <v>0</v>
      </c>
      <c r="P144" s="85">
        <v>2</v>
      </c>
      <c r="Q144" s="116">
        <v>6</v>
      </c>
      <c r="R144" s="106"/>
      <c r="S144" s="106"/>
      <c r="T144" s="106"/>
      <c r="U144" s="106"/>
      <c r="V144" s="106"/>
      <c r="W144" s="106"/>
      <c r="X144" s="107"/>
    </row>
    <row r="145" spans="1:24" ht="14.6">
      <c r="A145" s="1318"/>
      <c r="B145" s="56" t="s">
        <v>155</v>
      </c>
      <c r="C145" s="103">
        <v>20.47</v>
      </c>
      <c r="D145" s="104">
        <v>4.54</v>
      </c>
      <c r="E145" s="104">
        <v>0.5</v>
      </c>
      <c r="F145" s="104">
        <v>0.25</v>
      </c>
      <c r="G145" s="104">
        <v>0</v>
      </c>
      <c r="H145" s="104">
        <v>0.41</v>
      </c>
      <c r="I145" s="104">
        <v>25.32</v>
      </c>
      <c r="J145" s="104">
        <v>3.75</v>
      </c>
      <c r="K145" s="104">
        <v>7.0000000000000007E-2</v>
      </c>
      <c r="L145" s="104">
        <v>1.72</v>
      </c>
      <c r="M145" s="104">
        <v>0.24</v>
      </c>
      <c r="N145" s="81">
        <v>0</v>
      </c>
      <c r="O145" s="81">
        <v>0</v>
      </c>
      <c r="P145" s="81">
        <v>2</v>
      </c>
      <c r="Q145" s="114">
        <v>2</v>
      </c>
      <c r="R145" s="106"/>
      <c r="S145" s="106"/>
      <c r="T145" s="106"/>
      <c r="U145" s="106"/>
      <c r="V145" s="106"/>
      <c r="W145" s="106"/>
      <c r="X145" s="107"/>
    </row>
    <row r="146" spans="1:24" ht="14.6">
      <c r="A146" s="1318"/>
      <c r="B146" s="56" t="s">
        <v>156</v>
      </c>
      <c r="C146" s="103">
        <v>22.75</v>
      </c>
      <c r="D146" s="104">
        <v>7.87</v>
      </c>
      <c r="E146" s="104">
        <v>0.87</v>
      </c>
      <c r="F146" s="104">
        <v>0.26</v>
      </c>
      <c r="G146" s="104">
        <v>0</v>
      </c>
      <c r="H146" s="104">
        <v>0</v>
      </c>
      <c r="I146" s="104">
        <v>26.25</v>
      </c>
      <c r="J146" s="104">
        <v>3.32</v>
      </c>
      <c r="K146" s="104">
        <v>0.17</v>
      </c>
      <c r="L146" s="104">
        <v>1.92</v>
      </c>
      <c r="M146" s="104">
        <v>0.17</v>
      </c>
      <c r="N146" s="81">
        <v>0</v>
      </c>
      <c r="O146" s="81">
        <v>0</v>
      </c>
      <c r="P146" s="81">
        <v>2</v>
      </c>
      <c r="Q146" s="114">
        <v>6</v>
      </c>
      <c r="R146" s="106"/>
      <c r="S146" s="106"/>
      <c r="T146" s="106"/>
      <c r="U146" s="106"/>
      <c r="V146" s="106"/>
      <c r="W146" s="106"/>
      <c r="X146" s="107"/>
    </row>
    <row r="147" spans="1:24" ht="14.6">
      <c r="A147" s="1318"/>
      <c r="B147" s="56" t="s">
        <v>157</v>
      </c>
      <c r="C147" s="103">
        <v>23.81</v>
      </c>
      <c r="D147" s="104">
        <v>12.84</v>
      </c>
      <c r="E147" s="104">
        <v>1.43</v>
      </c>
      <c r="F147" s="104">
        <v>0.49</v>
      </c>
      <c r="G147" s="104">
        <v>0</v>
      </c>
      <c r="H147" s="104">
        <v>0.32</v>
      </c>
      <c r="I147" s="104">
        <v>18.28</v>
      </c>
      <c r="J147" s="104">
        <v>2.6</v>
      </c>
      <c r="K147" s="104">
        <v>0.18</v>
      </c>
      <c r="L147" s="104">
        <v>2.2400000000000002</v>
      </c>
      <c r="M147" s="104">
        <v>0.54</v>
      </c>
      <c r="N147" s="81">
        <v>0</v>
      </c>
      <c r="O147" s="81">
        <v>0</v>
      </c>
      <c r="P147" s="81">
        <v>2</v>
      </c>
      <c r="Q147" s="114">
        <v>0</v>
      </c>
      <c r="R147" s="106"/>
      <c r="S147" s="106"/>
      <c r="T147" s="106"/>
      <c r="U147" s="106"/>
      <c r="V147" s="106"/>
      <c r="W147" s="106"/>
      <c r="X147" s="107"/>
    </row>
    <row r="148" spans="1:24" ht="14.6">
      <c r="A148" s="1318"/>
      <c r="B148" s="56" t="s">
        <v>158</v>
      </c>
      <c r="C148" s="103">
        <v>30.48</v>
      </c>
      <c r="D148" s="104">
        <v>25.08</v>
      </c>
      <c r="E148" s="104">
        <v>2.79</v>
      </c>
      <c r="F148" s="104">
        <v>0.46</v>
      </c>
      <c r="G148" s="104">
        <v>0</v>
      </c>
      <c r="H148" s="104">
        <v>0</v>
      </c>
      <c r="I148" s="104">
        <v>20.65</v>
      </c>
      <c r="J148" s="104">
        <v>0.87</v>
      </c>
      <c r="K148" s="104">
        <v>0.3</v>
      </c>
      <c r="L148" s="104">
        <v>0.44</v>
      </c>
      <c r="M148" s="104">
        <v>0.92</v>
      </c>
      <c r="N148" s="81">
        <v>0</v>
      </c>
      <c r="O148" s="81">
        <v>0</v>
      </c>
      <c r="P148" s="81">
        <v>2</v>
      </c>
      <c r="Q148" s="114">
        <v>2</v>
      </c>
      <c r="R148" s="106"/>
      <c r="S148" s="106"/>
      <c r="T148" s="106"/>
      <c r="U148" s="106"/>
      <c r="V148" s="106"/>
      <c r="W148" s="106"/>
      <c r="X148" s="107"/>
    </row>
    <row r="149" spans="1:24" ht="14.6">
      <c r="A149" s="1318"/>
      <c r="B149" s="56" t="s">
        <v>537</v>
      </c>
      <c r="C149" s="103">
        <v>24</v>
      </c>
      <c r="D149" s="104">
        <v>10.25</v>
      </c>
      <c r="E149" s="104">
        <v>1.1399999999999999</v>
      </c>
      <c r="F149" s="104">
        <v>0.76</v>
      </c>
      <c r="G149" s="104">
        <v>0.01</v>
      </c>
      <c r="H149" s="104">
        <v>0</v>
      </c>
      <c r="I149" s="104">
        <v>9.25</v>
      </c>
      <c r="J149" s="104">
        <v>2.92</v>
      </c>
      <c r="K149" s="104">
        <v>0.13</v>
      </c>
      <c r="L149" s="104">
        <v>2.6</v>
      </c>
      <c r="M149" s="104">
        <v>0.52</v>
      </c>
      <c r="N149" s="81">
        <v>0</v>
      </c>
      <c r="O149" s="81">
        <v>0</v>
      </c>
      <c r="P149" s="81">
        <v>0</v>
      </c>
      <c r="Q149" s="114">
        <v>0</v>
      </c>
      <c r="R149" s="106"/>
      <c r="S149" s="106"/>
      <c r="T149" s="106"/>
      <c r="U149" s="106"/>
      <c r="V149" s="106"/>
      <c r="W149" s="106"/>
      <c r="X149" s="107"/>
    </row>
    <row r="150" spans="1:24" ht="14.6">
      <c r="A150" s="1318"/>
      <c r="B150" s="56" t="s">
        <v>159</v>
      </c>
      <c r="C150" s="103">
        <v>20</v>
      </c>
      <c r="D150" s="104">
        <v>9.57</v>
      </c>
      <c r="E150" s="104">
        <v>1.06</v>
      </c>
      <c r="F150" s="104">
        <v>0.41</v>
      </c>
      <c r="G150" s="104">
        <v>0.02</v>
      </c>
      <c r="H150" s="104">
        <v>0</v>
      </c>
      <c r="I150" s="104">
        <v>10</v>
      </c>
      <c r="J150" s="104">
        <v>3</v>
      </c>
      <c r="K150" s="104">
        <v>0.1</v>
      </c>
      <c r="L150" s="104">
        <v>2.41</v>
      </c>
      <c r="M150" s="104">
        <v>0.39</v>
      </c>
      <c r="N150" s="81">
        <v>0</v>
      </c>
      <c r="O150" s="81">
        <v>0</v>
      </c>
      <c r="P150" s="81">
        <v>0</v>
      </c>
      <c r="Q150" s="114">
        <v>0</v>
      </c>
      <c r="R150" s="106"/>
      <c r="S150" s="106"/>
      <c r="T150" s="106"/>
      <c r="U150" s="106"/>
      <c r="V150" s="106"/>
      <c r="W150" s="106"/>
      <c r="X150" s="107"/>
    </row>
    <row r="151" spans="1:24" ht="14.6">
      <c r="A151" s="1318"/>
      <c r="B151" s="56" t="s">
        <v>161</v>
      </c>
      <c r="C151" s="103">
        <v>22.44</v>
      </c>
      <c r="D151" s="104">
        <v>8.0399999999999991</v>
      </c>
      <c r="E151" s="104">
        <v>0.89</v>
      </c>
      <c r="F151" s="104">
        <v>0.76</v>
      </c>
      <c r="G151" s="104">
        <v>0.01</v>
      </c>
      <c r="H151" s="104">
        <v>0.02</v>
      </c>
      <c r="I151" s="104">
        <v>0.4</v>
      </c>
      <c r="J151" s="104">
        <v>3.73</v>
      </c>
      <c r="K151" s="104">
        <v>0.01</v>
      </c>
      <c r="L151" s="104">
        <v>2.27</v>
      </c>
      <c r="M151" s="104">
        <v>0</v>
      </c>
      <c r="N151" s="81">
        <v>0</v>
      </c>
      <c r="O151" s="81">
        <v>10</v>
      </c>
      <c r="P151" s="81">
        <v>0</v>
      </c>
      <c r="Q151" s="114">
        <v>0</v>
      </c>
      <c r="R151" s="106"/>
      <c r="S151" s="106"/>
      <c r="T151" s="106"/>
      <c r="U151" s="106"/>
      <c r="V151" s="106"/>
      <c r="W151" s="106"/>
      <c r="X151" s="107"/>
    </row>
    <row r="152" spans="1:24" ht="14.6">
      <c r="A152" s="1318"/>
      <c r="B152" s="56" t="s">
        <v>162</v>
      </c>
      <c r="C152" s="103">
        <v>6.31</v>
      </c>
      <c r="D152" s="104">
        <v>0.03</v>
      </c>
      <c r="E152" s="104">
        <v>0</v>
      </c>
      <c r="F152" s="104">
        <v>0</v>
      </c>
      <c r="G152" s="104">
        <v>0</v>
      </c>
      <c r="H152" s="104">
        <v>0</v>
      </c>
      <c r="I152" s="104">
        <v>0.87</v>
      </c>
      <c r="J152" s="104">
        <v>1.73</v>
      </c>
      <c r="K152" s="104">
        <v>0.05</v>
      </c>
      <c r="L152" s="104">
        <v>1.46</v>
      </c>
      <c r="M152" s="104">
        <v>0.01</v>
      </c>
      <c r="N152" s="81">
        <v>0</v>
      </c>
      <c r="O152" s="81">
        <v>0</v>
      </c>
      <c r="P152" s="81">
        <v>2</v>
      </c>
      <c r="Q152" s="114">
        <v>2</v>
      </c>
      <c r="R152" s="106"/>
      <c r="S152" s="106"/>
      <c r="T152" s="106"/>
      <c r="U152" s="106"/>
      <c r="V152" s="106"/>
      <c r="W152" s="106"/>
      <c r="X152" s="107"/>
    </row>
    <row r="153" spans="1:24" ht="15" thickBot="1">
      <c r="A153" s="1319"/>
      <c r="B153" s="60" t="s">
        <v>163</v>
      </c>
      <c r="C153" s="108">
        <v>22.93</v>
      </c>
      <c r="D153" s="109">
        <v>13.17</v>
      </c>
      <c r="E153" s="109">
        <v>1.46</v>
      </c>
      <c r="F153" s="109">
        <v>0.11</v>
      </c>
      <c r="G153" s="109">
        <v>0</v>
      </c>
      <c r="H153" s="109">
        <v>0</v>
      </c>
      <c r="I153" s="109">
        <v>0.32</v>
      </c>
      <c r="J153" s="109">
        <v>2.09</v>
      </c>
      <c r="K153" s="109">
        <v>0.25</v>
      </c>
      <c r="L153" s="109">
        <v>1.63</v>
      </c>
      <c r="M153" s="109">
        <v>0.35</v>
      </c>
      <c r="N153" s="83">
        <v>0</v>
      </c>
      <c r="O153" s="83">
        <v>0</v>
      </c>
      <c r="P153" s="83">
        <v>0</v>
      </c>
      <c r="Q153" s="117">
        <v>0</v>
      </c>
      <c r="R153" s="111"/>
      <c r="S153" s="111"/>
      <c r="T153" s="111"/>
      <c r="U153" s="111"/>
      <c r="V153" s="111"/>
      <c r="W153" s="111"/>
      <c r="X153" s="112"/>
    </row>
    <row r="155" spans="1:24" ht="12.75" customHeight="1">
      <c r="B155" s="1227" t="s">
        <v>168</v>
      </c>
      <c r="C155" s="1227"/>
      <c r="D155" s="1227"/>
      <c r="E155" s="1227"/>
      <c r="F155" s="1227"/>
      <c r="G155" s="1227"/>
      <c r="H155" s="1227"/>
      <c r="I155" s="1227"/>
      <c r="J155" s="1227"/>
      <c r="K155" s="1227"/>
      <c r="L155" s="1227"/>
      <c r="M155" s="1227"/>
      <c r="N155" s="1227"/>
      <c r="O155" s="1227"/>
      <c r="P155" s="1227"/>
      <c r="Q155" s="1227"/>
      <c r="R155" s="1227"/>
      <c r="S155" s="1227"/>
      <c r="T155" s="1227"/>
      <c r="U155" s="1227"/>
      <c r="V155" s="1227"/>
      <c r="W155" s="1227"/>
      <c r="X155" s="1227"/>
    </row>
    <row r="156" spans="1:24" ht="12.75" customHeight="1">
      <c r="B156" s="1227"/>
      <c r="C156" s="1227"/>
      <c r="D156" s="1227"/>
      <c r="E156" s="1227"/>
      <c r="F156" s="1227"/>
      <c r="G156" s="1227"/>
      <c r="H156" s="1227"/>
      <c r="I156" s="1227"/>
      <c r="J156" s="1227"/>
      <c r="K156" s="1227"/>
      <c r="L156" s="1227"/>
      <c r="M156" s="1227"/>
      <c r="N156" s="1227"/>
      <c r="O156" s="1227"/>
      <c r="P156" s="1227"/>
      <c r="Q156" s="1227"/>
      <c r="R156" s="1227"/>
      <c r="S156" s="1227"/>
      <c r="T156" s="1227"/>
      <c r="U156" s="1227"/>
      <c r="V156" s="1227"/>
      <c r="W156" s="1227"/>
      <c r="X156" s="1227"/>
    </row>
    <row r="157" spans="1:24" ht="17.25" customHeight="1">
      <c r="B157" s="1227"/>
      <c r="C157" s="1227"/>
      <c r="D157" s="1227"/>
      <c r="E157" s="1227"/>
      <c r="F157" s="1227"/>
      <c r="G157" s="1227"/>
      <c r="H157" s="1227"/>
      <c r="I157" s="1227"/>
      <c r="J157" s="1227"/>
      <c r="K157" s="1227"/>
      <c r="L157" s="1227"/>
      <c r="M157" s="1227"/>
      <c r="N157" s="1227"/>
      <c r="O157" s="1227"/>
      <c r="P157" s="1227"/>
      <c r="Q157" s="1227"/>
      <c r="R157" s="1227"/>
      <c r="S157" s="1227"/>
      <c r="T157" s="1227"/>
      <c r="U157" s="1227"/>
      <c r="V157" s="1227"/>
      <c r="W157" s="1227"/>
      <c r="X157" s="1227"/>
    </row>
    <row r="159" spans="1:24" ht="29.15">
      <c r="B159" s="68" t="s">
        <v>557</v>
      </c>
      <c r="C159" s="4">
        <f t="shared" ref="C159" si="0">(AVERAGE(C5:C99)+AVERAGE(C103:C117)+AVERAGE(C121:C122)+AVERAGE(C126:C127)+AVERAGE(C131:C153))</f>
        <v>280.39102059496565</v>
      </c>
      <c r="D159" s="4">
        <f t="shared" ref="D159:X159" si="1">(AVERAGE(D5:D99)+AVERAGE(D103:D117)+AVERAGE(D121:D122)+AVERAGE(D126:D127)+AVERAGE(D131:D153))</f>
        <v>129.90747368421052</v>
      </c>
      <c r="E159" s="4">
        <f t="shared" si="1"/>
        <v>14.400930587337911</v>
      </c>
      <c r="F159" s="4">
        <f t="shared" si="1"/>
        <v>12.350706331045002</v>
      </c>
      <c r="G159" s="4">
        <f t="shared" si="1"/>
        <v>5.3478260869565218E-2</v>
      </c>
      <c r="H159" s="4">
        <f t="shared" si="1"/>
        <v>22.449536231884057</v>
      </c>
      <c r="I159" s="4">
        <f t="shared" si="1"/>
        <v>89.566247139588114</v>
      </c>
      <c r="J159" s="4">
        <f t="shared" si="1"/>
        <v>36.143278413424873</v>
      </c>
      <c r="K159" s="4">
        <f t="shared" si="1"/>
        <v>0.35176811594202895</v>
      </c>
      <c r="L159" s="4">
        <f t="shared" si="1"/>
        <v>30.457783371472157</v>
      </c>
      <c r="M159" s="4">
        <f t="shared" si="1"/>
        <v>10.161693363844391</v>
      </c>
      <c r="N159" s="4">
        <f t="shared" si="1"/>
        <v>5.7991304347826089</v>
      </c>
      <c r="O159" s="4">
        <f t="shared" si="1"/>
        <v>0.86956521739130432</v>
      </c>
      <c r="P159" s="4">
        <f t="shared" si="1"/>
        <v>9.26376811594203</v>
      </c>
      <c r="Q159" s="4">
        <f t="shared" si="1"/>
        <v>4.3150420320366134</v>
      </c>
      <c r="R159" s="4" t="e">
        <f t="shared" si="1"/>
        <v>#DIV/0!</v>
      </c>
      <c r="S159" s="4" t="e">
        <f t="shared" si="1"/>
        <v>#DIV/0!</v>
      </c>
      <c r="T159" s="4" t="e">
        <f t="shared" si="1"/>
        <v>#DIV/0!</v>
      </c>
      <c r="U159" s="4" t="e">
        <f t="shared" si="1"/>
        <v>#DIV/0!</v>
      </c>
      <c r="V159" s="4" t="e">
        <f t="shared" si="1"/>
        <v>#DIV/0!</v>
      </c>
      <c r="W159" s="4" t="e">
        <f t="shared" si="1"/>
        <v>#DIV/0!</v>
      </c>
      <c r="X159" s="4" t="e">
        <f t="shared" si="1"/>
        <v>#DIV/0!</v>
      </c>
    </row>
    <row r="160" spans="1:24" ht="29.15">
      <c r="B160" s="68" t="s">
        <v>558</v>
      </c>
      <c r="C160" s="4" t="str">
        <f t="shared" ref="C160" si="2">(ROUND((MIN(C5:C99)+MIN(C103:C117)+MIN(C121:C122)+MIN(C126:C127)+MIN(C131:C153)),0)&amp;" - "&amp;ROUND((MAX(C5:C99)+MAX(C103:C117)+MAX(C121:C122)+MAX(C126:C127)+MAX(C131:C153)),0))</f>
        <v>242 - 318</v>
      </c>
      <c r="D160" s="4" t="str">
        <f t="shared" ref="D160:X160" si="3">(ROUND((MIN(D5:D99)+MIN(D103:D117)+MIN(D121:D122)+MIN(D126:D127)+MIN(D131:D153)),0)&amp;" - "&amp;ROUND((MAX(D5:D99)+MAX(D103:D117)+MAX(D121:D122)+MAX(D126:D127)+MAX(D131:D153)),0))</f>
        <v>113 - 162</v>
      </c>
      <c r="E160" s="4" t="str">
        <f t="shared" si="3"/>
        <v>13 - 18</v>
      </c>
      <c r="F160" s="4" t="str">
        <f t="shared" si="3"/>
        <v>11 - 14</v>
      </c>
      <c r="G160" s="4" t="str">
        <f t="shared" si="3"/>
        <v>0 - 0</v>
      </c>
      <c r="H160" s="4" t="str">
        <f t="shared" si="3"/>
        <v>20 - 24</v>
      </c>
      <c r="I160" s="4" t="str">
        <f t="shared" si="3"/>
        <v>64 - 133</v>
      </c>
      <c r="J160" s="4" t="str">
        <f t="shared" si="3"/>
        <v>30 - 44</v>
      </c>
      <c r="K160" s="4" t="str">
        <f t="shared" si="3"/>
        <v>0 - 1</v>
      </c>
      <c r="L160" s="4" t="str">
        <f t="shared" si="3"/>
        <v>19 - 39</v>
      </c>
      <c r="M160" s="4" t="str">
        <f t="shared" si="3"/>
        <v>2 - 17</v>
      </c>
      <c r="N160" s="4" t="str">
        <f t="shared" si="3"/>
        <v>4 - 21</v>
      </c>
      <c r="O160" s="4" t="str">
        <f t="shared" si="3"/>
        <v>0 - 10</v>
      </c>
      <c r="P160" s="4" t="str">
        <f t="shared" si="3"/>
        <v>7 - 24</v>
      </c>
      <c r="Q160" s="4" t="str">
        <f t="shared" si="3"/>
        <v>1 - 21</v>
      </c>
      <c r="R160" s="4" t="str">
        <f t="shared" si="3"/>
        <v>0 - 0</v>
      </c>
      <c r="S160" s="4" t="str">
        <f t="shared" si="3"/>
        <v>0 - 0</v>
      </c>
      <c r="T160" s="4" t="str">
        <f t="shared" si="3"/>
        <v>0 - 0</v>
      </c>
      <c r="U160" s="4" t="str">
        <f t="shared" si="3"/>
        <v>0 - 41</v>
      </c>
      <c r="V160" s="4" t="str">
        <f t="shared" si="3"/>
        <v>0 - 0</v>
      </c>
      <c r="W160" s="4" t="str">
        <f t="shared" si="3"/>
        <v>0 - 0</v>
      </c>
      <c r="X160" s="4" t="str">
        <f t="shared" si="3"/>
        <v>0 - 40</v>
      </c>
    </row>
  </sheetData>
  <mergeCells count="16">
    <mergeCell ref="A124:X124"/>
    <mergeCell ref="A129:X129"/>
    <mergeCell ref="B155:X157"/>
    <mergeCell ref="A1:X1"/>
    <mergeCell ref="A2:X2"/>
    <mergeCell ref="A3:X3"/>
    <mergeCell ref="A101:X101"/>
    <mergeCell ref="A119:X119"/>
    <mergeCell ref="A94:A99"/>
    <mergeCell ref="A5:A54"/>
    <mergeCell ref="A55:A66"/>
    <mergeCell ref="A67:A93"/>
    <mergeCell ref="A131:A153"/>
    <mergeCell ref="A103:A117"/>
    <mergeCell ref="A121:A122"/>
    <mergeCell ref="A126:A127"/>
  </mergeCells>
  <pageMargins left="0.7" right="0.7" top="0.75" bottom="0.75" header="0.3" footer="0.3"/>
  <pageSetup scale="45"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pageSetUpPr fitToPage="1"/>
  </sheetPr>
  <dimension ref="A1:X160"/>
  <sheetViews>
    <sheetView zoomScale="80" zoomScaleNormal="80" workbookViewId="0">
      <selection activeCell="E105" sqref="E105"/>
    </sheetView>
    <sheetView workbookViewId="1">
      <selection sqref="A1:X1"/>
    </sheetView>
    <sheetView workbookViewId="2">
      <selection sqref="A1:X1"/>
    </sheetView>
  </sheetViews>
  <sheetFormatPr defaultColWidth="9.15234375" defaultRowHeight="12.45"/>
  <cols>
    <col min="1" max="1" width="6.53515625" style="26" customWidth="1"/>
    <col min="2" max="2" width="42.84375" style="27" customWidth="1"/>
    <col min="3" max="4" width="10.53515625" style="26" customWidth="1"/>
    <col min="5" max="5" width="8.53515625" style="26" customWidth="1"/>
    <col min="6" max="6" width="11.53515625" style="26" customWidth="1"/>
    <col min="7" max="7" width="8.53515625" style="26" customWidth="1"/>
    <col min="8" max="8" width="13" style="26" customWidth="1"/>
    <col min="9" max="9" width="9" style="26" customWidth="1"/>
    <col min="10" max="10" width="16.84375" style="26" customWidth="1"/>
    <col min="11" max="11" width="9" style="26" customWidth="1"/>
    <col min="12" max="12" width="7.84375" style="26" customWidth="1"/>
    <col min="13" max="13" width="9" style="26" customWidth="1"/>
    <col min="14" max="16" width="11.53515625" style="26" customWidth="1"/>
    <col min="17" max="17" width="9" style="26" customWidth="1"/>
    <col min="18" max="16384" width="9.15234375" style="37"/>
  </cols>
  <sheetData>
    <row r="1" spans="1:24" ht="22.5" customHeight="1">
      <c r="A1" s="1313" t="s">
        <v>552</v>
      </c>
      <c r="B1" s="1225"/>
      <c r="C1" s="1225"/>
      <c r="D1" s="1225"/>
      <c r="E1" s="1225"/>
      <c r="F1" s="1225"/>
      <c r="G1" s="1225"/>
      <c r="H1" s="1225"/>
      <c r="I1" s="1225"/>
      <c r="J1" s="1225"/>
      <c r="K1" s="1225"/>
      <c r="L1" s="1225"/>
      <c r="M1" s="1225"/>
      <c r="N1" s="1225"/>
      <c r="O1" s="1225"/>
      <c r="P1" s="1225"/>
      <c r="Q1" s="1225"/>
      <c r="R1" s="1225"/>
      <c r="S1" s="1225"/>
      <c r="T1" s="1225"/>
      <c r="U1" s="1225"/>
      <c r="V1" s="1225"/>
      <c r="W1" s="1225"/>
      <c r="X1" s="1225"/>
    </row>
    <row r="2" spans="1:24" ht="18" customHeight="1">
      <c r="A2" s="1226" t="s">
        <v>559</v>
      </c>
      <c r="B2" s="1226"/>
      <c r="C2" s="1226"/>
      <c r="D2" s="1226"/>
      <c r="E2" s="1226"/>
      <c r="F2" s="1226"/>
      <c r="G2" s="1226"/>
      <c r="H2" s="1226"/>
      <c r="I2" s="1226"/>
      <c r="J2" s="1226"/>
      <c r="K2" s="1226"/>
      <c r="L2" s="1226"/>
      <c r="M2" s="1226"/>
      <c r="N2" s="1226"/>
      <c r="O2" s="1226"/>
      <c r="P2" s="1226"/>
      <c r="Q2" s="1226"/>
      <c r="R2" s="1226"/>
      <c r="S2" s="1226"/>
      <c r="T2" s="1226"/>
      <c r="U2" s="1226"/>
      <c r="V2" s="1226"/>
      <c r="W2" s="1226"/>
      <c r="X2" s="1226"/>
    </row>
    <row r="3" spans="1:24" ht="18" customHeight="1" thickBot="1">
      <c r="A3" s="1308" t="s">
        <v>554</v>
      </c>
      <c r="B3" s="1308"/>
      <c r="C3" s="1308"/>
      <c r="D3" s="1308"/>
      <c r="E3" s="1308"/>
      <c r="F3" s="1308"/>
      <c r="G3" s="1308"/>
      <c r="H3" s="1308"/>
      <c r="I3" s="1308"/>
      <c r="J3" s="1308"/>
      <c r="K3" s="1308"/>
      <c r="L3" s="1308"/>
      <c r="M3" s="1308"/>
      <c r="N3" s="1308"/>
      <c r="O3" s="1308"/>
      <c r="P3" s="1308"/>
      <c r="Q3" s="1308"/>
      <c r="R3" s="1308"/>
      <c r="S3" s="1308"/>
      <c r="T3" s="1308"/>
      <c r="U3" s="1308"/>
      <c r="V3" s="1308"/>
      <c r="W3" s="1308"/>
      <c r="X3" s="1308"/>
    </row>
    <row r="4" spans="1:24" ht="37.5" customHeight="1" thickBot="1">
      <c r="A4" s="77"/>
      <c r="B4" s="38" t="s">
        <v>3</v>
      </c>
      <c r="C4" s="44" t="s">
        <v>4</v>
      </c>
      <c r="D4" s="44" t="s">
        <v>5</v>
      </c>
      <c r="E4" s="44" t="s">
        <v>6</v>
      </c>
      <c r="F4" s="44" t="s">
        <v>7</v>
      </c>
      <c r="G4" s="44" t="s">
        <v>8</v>
      </c>
      <c r="H4" s="44" t="s">
        <v>9</v>
      </c>
      <c r="I4" s="44" t="s">
        <v>10</v>
      </c>
      <c r="J4" s="44" t="s">
        <v>11</v>
      </c>
      <c r="K4" s="44" t="s">
        <v>12</v>
      </c>
      <c r="L4" s="44" t="s">
        <v>13</v>
      </c>
      <c r="M4" s="44" t="s">
        <v>14</v>
      </c>
      <c r="N4" s="44" t="s">
        <v>15</v>
      </c>
      <c r="O4" s="45" t="s">
        <v>16</v>
      </c>
      <c r="P4" s="45" t="s">
        <v>17</v>
      </c>
      <c r="Q4" s="45" t="s">
        <v>18</v>
      </c>
      <c r="R4" s="45" t="s">
        <v>19</v>
      </c>
      <c r="S4" s="45" t="s">
        <v>20</v>
      </c>
      <c r="T4" s="45" t="s">
        <v>21</v>
      </c>
      <c r="U4" s="45" t="s">
        <v>22</v>
      </c>
      <c r="V4" s="45" t="s">
        <v>23</v>
      </c>
      <c r="W4" s="45" t="s">
        <v>377</v>
      </c>
      <c r="X4" s="46" t="s">
        <v>378</v>
      </c>
    </row>
    <row r="5" spans="1:24" ht="14.6">
      <c r="A5" s="1317" t="s">
        <v>24</v>
      </c>
      <c r="B5" s="53" t="s">
        <v>26</v>
      </c>
      <c r="C5" s="133">
        <f>'Gelati Custom Cake - Slice'!C5*12</f>
        <v>540</v>
      </c>
      <c r="D5" s="133">
        <f>'Gelati Custom Cake - Slice'!D5*12</f>
        <v>0</v>
      </c>
      <c r="E5" s="133">
        <f>'Gelati Custom Cake - Slice'!E5*12</f>
        <v>0</v>
      </c>
      <c r="F5" s="133">
        <f>'Gelati Custom Cake - Slice'!F5*12</f>
        <v>0</v>
      </c>
      <c r="G5" s="133">
        <f>'Gelati Custom Cake - Slice'!G5*12</f>
        <v>0</v>
      </c>
      <c r="H5" s="133">
        <f>'Gelati Custom Cake - Slice'!H5*12</f>
        <v>0</v>
      </c>
      <c r="I5" s="133">
        <f>'Gelati Custom Cake - Slice'!I5*12</f>
        <v>60</v>
      </c>
      <c r="J5" s="133">
        <f>'Gelati Custom Cake - Slice'!J5*12</f>
        <v>132</v>
      </c>
      <c r="K5" s="133">
        <f>'Gelati Custom Cake - Slice'!K5*12</f>
        <v>0</v>
      </c>
      <c r="L5" s="133">
        <f>'Gelati Custom Cake - Slice'!L5*12</f>
        <v>132</v>
      </c>
      <c r="M5" s="133">
        <f>'Gelati Custom Cake - Slice'!M5*12</f>
        <v>120</v>
      </c>
      <c r="N5" s="133">
        <f>'Gelati Custom Cake - Slice'!N5*12</f>
        <v>0</v>
      </c>
      <c r="O5" s="134">
        <f>'Gelati Custom Cake - Slice'!O5*12</f>
        <v>0</v>
      </c>
      <c r="P5" s="134">
        <f>'Gelati Custom Cake - Slice'!P5*12</f>
        <v>0</v>
      </c>
      <c r="Q5" s="134">
        <f>'Gelati Custom Cake - Slice'!Q5*12</f>
        <v>12</v>
      </c>
      <c r="R5" s="134">
        <f>'Gelati Custom Cake - Slice'!R5*12</f>
        <v>0</v>
      </c>
      <c r="S5" s="134">
        <f>'Gelati Custom Cake - Slice'!S5*12</f>
        <v>0</v>
      </c>
      <c r="T5" s="134">
        <f>'Gelati Custom Cake - Slice'!T5*12</f>
        <v>0</v>
      </c>
      <c r="U5" s="134">
        <f>'Gelati Custom Cake - Slice'!U5*12</f>
        <v>108</v>
      </c>
      <c r="V5" s="134">
        <f>'Gelati Custom Cake - Slice'!V5*12</f>
        <v>0</v>
      </c>
      <c r="W5" s="134">
        <f>'Gelati Custom Cake - Slice'!W5*12</f>
        <v>0</v>
      </c>
      <c r="X5" s="135">
        <f>'Gelati Custom Cake - Slice'!X5*12</f>
        <v>0</v>
      </c>
    </row>
    <row r="6" spans="1:24" ht="14.6">
      <c r="A6" s="1318"/>
      <c r="B6" s="54" t="s">
        <v>27</v>
      </c>
      <c r="C6" s="85">
        <f>'Gelati Custom Cake - Slice'!C6*12</f>
        <v>360</v>
      </c>
      <c r="D6" s="85">
        <f>'Gelati Custom Cake - Slice'!D6*12</f>
        <v>0</v>
      </c>
      <c r="E6" s="85">
        <f>'Gelati Custom Cake - Slice'!E6*12</f>
        <v>0</v>
      </c>
      <c r="F6" s="85">
        <f>'Gelati Custom Cake - Slice'!F6*12</f>
        <v>0</v>
      </c>
      <c r="G6" s="81">
        <f>'Gelati Custom Cake - Slice'!G6*12</f>
        <v>0</v>
      </c>
      <c r="H6" s="85">
        <f>'Gelati Custom Cake - Slice'!H6*12</f>
        <v>0</v>
      </c>
      <c r="I6" s="85">
        <f>'Gelati Custom Cake - Slice'!I6*12</f>
        <v>0</v>
      </c>
      <c r="J6" s="85">
        <f>'Gelati Custom Cake - Slice'!J6*12</f>
        <v>96</v>
      </c>
      <c r="K6" s="85">
        <f>'Gelati Custom Cake - Slice'!K6*12</f>
        <v>0</v>
      </c>
      <c r="L6" s="85">
        <f>'Gelati Custom Cake - Slice'!L6*12</f>
        <v>84</v>
      </c>
      <c r="M6" s="85">
        <f>'Gelati Custom Cake - Slice'!M6*12</f>
        <v>84</v>
      </c>
      <c r="N6" s="85">
        <f>'Gelati Custom Cake - Slice'!N6*12</f>
        <v>0</v>
      </c>
      <c r="O6" s="85">
        <f>'Gelati Custom Cake - Slice'!O6*12</f>
        <v>0</v>
      </c>
      <c r="P6" s="85">
        <f>'Gelati Custom Cake - Slice'!P6*12</f>
        <v>0</v>
      </c>
      <c r="Q6" s="85">
        <f>'Gelati Custom Cake - Slice'!Q6*12</f>
        <v>14.220959999999998</v>
      </c>
      <c r="R6" s="85">
        <f>'Gelati Custom Cake - Slice'!R6*12</f>
        <v>0</v>
      </c>
      <c r="S6" s="85">
        <f>'Gelati Custom Cake - Slice'!S6*12</f>
        <v>1.686E-2</v>
      </c>
      <c r="T6" s="85">
        <f>'Gelati Custom Cake - Slice'!T6*12</f>
        <v>0</v>
      </c>
      <c r="U6" s="85">
        <f>'Gelati Custom Cake - Slice'!U6*12</f>
        <v>0</v>
      </c>
      <c r="V6" s="85">
        <f>'Gelati Custom Cake - Slice'!V6*12</f>
        <v>0</v>
      </c>
      <c r="W6" s="85">
        <f>'Gelati Custom Cake - Slice'!W6*12</f>
        <v>0</v>
      </c>
      <c r="X6" s="86">
        <f>'Gelati Custom Cake - Slice'!X6*12</f>
        <v>0</v>
      </c>
    </row>
    <row r="7" spans="1:24" ht="14.6">
      <c r="A7" s="1318"/>
      <c r="B7" s="54" t="s">
        <v>28</v>
      </c>
      <c r="C7" s="136">
        <f>'Gelati Custom Cake - Slice'!C7*12</f>
        <v>420</v>
      </c>
      <c r="D7" s="136">
        <f>'Gelati Custom Cake - Slice'!D7*12</f>
        <v>0</v>
      </c>
      <c r="E7" s="136">
        <f>'Gelati Custom Cake - Slice'!E7*12</f>
        <v>0</v>
      </c>
      <c r="F7" s="136">
        <f>'Gelati Custom Cake - Slice'!F7*12</f>
        <v>0</v>
      </c>
      <c r="G7" s="136">
        <f>'Gelati Custom Cake - Slice'!G7*12</f>
        <v>0</v>
      </c>
      <c r="H7" s="136">
        <f>'Gelati Custom Cake - Slice'!H7*12</f>
        <v>0</v>
      </c>
      <c r="I7" s="136">
        <f>'Gelati Custom Cake - Slice'!I7*12</f>
        <v>0</v>
      </c>
      <c r="J7" s="136">
        <f>'Gelati Custom Cake - Slice'!J7*12</f>
        <v>108</v>
      </c>
      <c r="K7" s="136">
        <f>'Gelati Custom Cake - Slice'!K7*12</f>
        <v>0</v>
      </c>
      <c r="L7" s="136">
        <f>'Gelati Custom Cake - Slice'!L7*12</f>
        <v>108</v>
      </c>
      <c r="M7" s="136">
        <f>'Gelati Custom Cake - Slice'!M7*12</f>
        <v>108</v>
      </c>
      <c r="N7" s="136">
        <f>'Gelati Custom Cake - Slice'!N7*12</f>
        <v>0</v>
      </c>
      <c r="O7" s="137">
        <f>'Gelati Custom Cake - Slice'!O7*12</f>
        <v>0</v>
      </c>
      <c r="P7" s="137">
        <f>'Gelati Custom Cake - Slice'!P7*12</f>
        <v>0</v>
      </c>
      <c r="Q7" s="137">
        <f>'Gelati Custom Cake - Slice'!Q7*12</f>
        <v>12</v>
      </c>
      <c r="R7" s="137">
        <f>'Gelati Custom Cake - Slice'!R7*12</f>
        <v>0</v>
      </c>
      <c r="S7" s="137">
        <f>'Gelati Custom Cake - Slice'!S7*12</f>
        <v>0</v>
      </c>
      <c r="T7" s="137">
        <f>'Gelati Custom Cake - Slice'!T7*12</f>
        <v>0</v>
      </c>
      <c r="U7" s="137">
        <f>'Gelati Custom Cake - Slice'!U7*12</f>
        <v>24</v>
      </c>
      <c r="V7" s="137">
        <f>'Gelati Custom Cake - Slice'!V7*12</f>
        <v>0</v>
      </c>
      <c r="W7" s="137">
        <f>'Gelati Custom Cake - Slice'!W7*12</f>
        <v>0</v>
      </c>
      <c r="X7" s="138">
        <f>'Gelati Custom Cake - Slice'!X7*12</f>
        <v>0</v>
      </c>
    </row>
    <row r="8" spans="1:24" ht="14.6">
      <c r="A8" s="1318"/>
      <c r="B8" s="54" t="s">
        <v>29</v>
      </c>
      <c r="C8" s="136">
        <f>'Gelati Custom Cake - Slice'!C8*12</f>
        <v>480</v>
      </c>
      <c r="D8" s="136">
        <f>'Gelati Custom Cake - Slice'!D8*12</f>
        <v>0</v>
      </c>
      <c r="E8" s="136">
        <f>'Gelati Custom Cake - Slice'!E8*12</f>
        <v>0</v>
      </c>
      <c r="F8" s="136">
        <f>'Gelati Custom Cake - Slice'!F8*12</f>
        <v>0</v>
      </c>
      <c r="G8" s="136">
        <f>'Gelati Custom Cake - Slice'!G8*12</f>
        <v>0</v>
      </c>
      <c r="H8" s="136">
        <f>'Gelati Custom Cake - Slice'!H8*12</f>
        <v>0</v>
      </c>
      <c r="I8" s="136">
        <f>'Gelati Custom Cake - Slice'!I8*12</f>
        <v>60</v>
      </c>
      <c r="J8" s="136">
        <f>'Gelati Custom Cake - Slice'!J8*12</f>
        <v>120</v>
      </c>
      <c r="K8" s="136">
        <f>'Gelati Custom Cake - Slice'!K8*12</f>
        <v>0</v>
      </c>
      <c r="L8" s="136">
        <f>'Gelati Custom Cake - Slice'!L8*12</f>
        <v>120</v>
      </c>
      <c r="M8" s="136">
        <f>'Gelati Custom Cake - Slice'!M8*12</f>
        <v>120</v>
      </c>
      <c r="N8" s="136">
        <f>'Gelati Custom Cake - Slice'!N8*12</f>
        <v>0</v>
      </c>
      <c r="O8" s="137">
        <f>'Gelati Custom Cake - Slice'!O8*12</f>
        <v>0</v>
      </c>
      <c r="P8" s="137">
        <f>'Gelati Custom Cake - Slice'!P8*12</f>
        <v>0</v>
      </c>
      <c r="Q8" s="137">
        <f>'Gelati Custom Cake - Slice'!Q8*12</f>
        <v>12</v>
      </c>
      <c r="R8" s="137">
        <f>'Gelati Custom Cake - Slice'!R8*12</f>
        <v>0</v>
      </c>
      <c r="S8" s="137">
        <f>'Gelati Custom Cake - Slice'!S8*12</f>
        <v>0</v>
      </c>
      <c r="T8" s="137">
        <f>'Gelati Custom Cake - Slice'!T8*12</f>
        <v>0</v>
      </c>
      <c r="U8" s="137">
        <f>'Gelati Custom Cake - Slice'!U8*12</f>
        <v>0</v>
      </c>
      <c r="V8" s="137">
        <f>'Gelati Custom Cake - Slice'!V8*12</f>
        <v>0</v>
      </c>
      <c r="W8" s="137">
        <f>'Gelati Custom Cake - Slice'!W8*12</f>
        <v>0</v>
      </c>
      <c r="X8" s="138">
        <f>'Gelati Custom Cake - Slice'!X8*12</f>
        <v>0</v>
      </c>
    </row>
    <row r="9" spans="1:24" ht="14.6">
      <c r="A9" s="1318"/>
      <c r="B9" s="54" t="s">
        <v>30</v>
      </c>
      <c r="C9" s="136">
        <f>'Gelati Custom Cake - Slice'!C9*12</f>
        <v>720</v>
      </c>
      <c r="D9" s="136">
        <f>'Gelati Custom Cake - Slice'!D9*12</f>
        <v>0</v>
      </c>
      <c r="E9" s="136">
        <f>'Gelati Custom Cake - Slice'!E9*12</f>
        <v>0</v>
      </c>
      <c r="F9" s="136">
        <f>'Gelati Custom Cake - Slice'!F9*12</f>
        <v>0</v>
      </c>
      <c r="G9" s="136">
        <f>'Gelati Custom Cake - Slice'!G9*12</f>
        <v>0</v>
      </c>
      <c r="H9" s="136">
        <f>'Gelati Custom Cake - Slice'!H9*12</f>
        <v>0</v>
      </c>
      <c r="I9" s="136">
        <f>'Gelati Custom Cake - Slice'!I9*12</f>
        <v>60</v>
      </c>
      <c r="J9" s="136">
        <f>'Gelati Custom Cake - Slice'!J9*12</f>
        <v>180</v>
      </c>
      <c r="K9" s="136">
        <f>'Gelati Custom Cake - Slice'!K9*12</f>
        <v>0</v>
      </c>
      <c r="L9" s="136">
        <f>'Gelati Custom Cake - Slice'!L9*12</f>
        <v>168</v>
      </c>
      <c r="M9" s="136">
        <f>'Gelati Custom Cake - Slice'!M9*12</f>
        <v>168</v>
      </c>
      <c r="N9" s="136">
        <f>'Gelati Custom Cake - Slice'!N9*12</f>
        <v>0</v>
      </c>
      <c r="O9" s="137">
        <f>'Gelati Custom Cake - Slice'!O9*12</f>
        <v>0</v>
      </c>
      <c r="P9" s="137">
        <f>'Gelati Custom Cake - Slice'!P9*12</f>
        <v>0</v>
      </c>
      <c r="Q9" s="137">
        <f>'Gelati Custom Cake - Slice'!Q9*12</f>
        <v>12</v>
      </c>
      <c r="R9" s="137">
        <f>'Gelati Custom Cake - Slice'!R9*12</f>
        <v>0</v>
      </c>
      <c r="S9" s="137">
        <f>'Gelati Custom Cake - Slice'!S9*12</f>
        <v>0</v>
      </c>
      <c r="T9" s="137">
        <f>'Gelati Custom Cake - Slice'!T9*12</f>
        <v>0</v>
      </c>
      <c r="U9" s="137">
        <f>'Gelati Custom Cake - Slice'!U9*12</f>
        <v>0</v>
      </c>
      <c r="V9" s="137">
        <f>'Gelati Custom Cake - Slice'!V9*12</f>
        <v>0</v>
      </c>
      <c r="W9" s="137">
        <f>'Gelati Custom Cake - Slice'!W9*12</f>
        <v>0</v>
      </c>
      <c r="X9" s="138">
        <f>'Gelati Custom Cake - Slice'!X9*12</f>
        <v>0</v>
      </c>
    </row>
    <row r="10" spans="1:24" ht="14.6">
      <c r="A10" s="1318"/>
      <c r="B10" s="54" t="s">
        <v>31</v>
      </c>
      <c r="C10" s="136">
        <f>'Gelati Custom Cake - Slice'!C10*12</f>
        <v>360</v>
      </c>
      <c r="D10" s="136">
        <f>'Gelati Custom Cake - Slice'!D10*12</f>
        <v>0</v>
      </c>
      <c r="E10" s="136">
        <f>'Gelati Custom Cake - Slice'!E10*12</f>
        <v>0</v>
      </c>
      <c r="F10" s="136">
        <f>'Gelati Custom Cake - Slice'!F10*12</f>
        <v>0</v>
      </c>
      <c r="G10" s="136">
        <f>'Gelati Custom Cake - Slice'!G10*12</f>
        <v>0</v>
      </c>
      <c r="H10" s="136">
        <f>'Gelati Custom Cake - Slice'!H10*12</f>
        <v>0</v>
      </c>
      <c r="I10" s="136">
        <f>'Gelati Custom Cake - Slice'!I10*12</f>
        <v>60</v>
      </c>
      <c r="J10" s="136">
        <f>'Gelati Custom Cake - Slice'!J10*12</f>
        <v>96</v>
      </c>
      <c r="K10" s="136">
        <f>'Gelati Custom Cake - Slice'!K10*12</f>
        <v>0</v>
      </c>
      <c r="L10" s="136">
        <f>'Gelati Custom Cake - Slice'!L10*12</f>
        <v>96</v>
      </c>
      <c r="M10" s="136">
        <f>'Gelati Custom Cake - Slice'!M10*12</f>
        <v>84</v>
      </c>
      <c r="N10" s="136">
        <f>'Gelati Custom Cake - Slice'!N10*12</f>
        <v>0</v>
      </c>
      <c r="O10" s="137">
        <f>'Gelati Custom Cake - Slice'!O10*12</f>
        <v>0</v>
      </c>
      <c r="P10" s="137">
        <f>'Gelati Custom Cake - Slice'!P10*12</f>
        <v>0</v>
      </c>
      <c r="Q10" s="137">
        <f>'Gelati Custom Cake - Slice'!Q10*12</f>
        <v>24</v>
      </c>
      <c r="R10" s="137">
        <f>'Gelati Custom Cake - Slice'!R10*12</f>
        <v>0</v>
      </c>
      <c r="S10" s="137">
        <f>'Gelati Custom Cake - Slice'!S10*12</f>
        <v>0</v>
      </c>
      <c r="T10" s="137">
        <f>'Gelati Custom Cake - Slice'!T10*12</f>
        <v>0</v>
      </c>
      <c r="U10" s="137">
        <f>'Gelati Custom Cake - Slice'!U10*12</f>
        <v>0</v>
      </c>
      <c r="V10" s="137">
        <f>'Gelati Custom Cake - Slice'!V10*12</f>
        <v>0</v>
      </c>
      <c r="W10" s="137">
        <f>'Gelati Custom Cake - Slice'!W10*12</f>
        <v>0</v>
      </c>
      <c r="X10" s="138">
        <f>'Gelati Custom Cake - Slice'!X10*12</f>
        <v>0</v>
      </c>
    </row>
    <row r="11" spans="1:24" ht="14.6">
      <c r="A11" s="1318"/>
      <c r="B11" s="54" t="s">
        <v>32</v>
      </c>
      <c r="C11" s="136">
        <f>'Gelati Custom Cake - Slice'!C11*12</f>
        <v>420</v>
      </c>
      <c r="D11" s="136">
        <f>'Gelati Custom Cake - Slice'!D11*12</f>
        <v>0</v>
      </c>
      <c r="E11" s="136">
        <f>'Gelati Custom Cake - Slice'!E11*12</f>
        <v>0</v>
      </c>
      <c r="F11" s="136">
        <f>'Gelati Custom Cake - Slice'!F11*12</f>
        <v>0</v>
      </c>
      <c r="G11" s="136">
        <f>'Gelati Custom Cake - Slice'!G11*12</f>
        <v>0</v>
      </c>
      <c r="H11" s="136">
        <f>'Gelati Custom Cake - Slice'!H11*12</f>
        <v>0</v>
      </c>
      <c r="I11" s="136">
        <f>'Gelati Custom Cake - Slice'!I11*12</f>
        <v>60</v>
      </c>
      <c r="J11" s="136">
        <f>'Gelati Custom Cake - Slice'!J11*12</f>
        <v>108</v>
      </c>
      <c r="K11" s="136">
        <f>'Gelati Custom Cake - Slice'!K11*12</f>
        <v>0</v>
      </c>
      <c r="L11" s="136">
        <f>'Gelati Custom Cake - Slice'!L11*12</f>
        <v>108</v>
      </c>
      <c r="M11" s="136">
        <f>'Gelati Custom Cake - Slice'!M11*12</f>
        <v>96</v>
      </c>
      <c r="N11" s="136">
        <f>'Gelati Custom Cake - Slice'!N11*12</f>
        <v>0</v>
      </c>
      <c r="O11" s="137">
        <f>'Gelati Custom Cake - Slice'!O11*12</f>
        <v>0</v>
      </c>
      <c r="P11" s="137">
        <f>'Gelati Custom Cake - Slice'!P11*12</f>
        <v>0</v>
      </c>
      <c r="Q11" s="137">
        <f>'Gelati Custom Cake - Slice'!Q11*12</f>
        <v>12</v>
      </c>
      <c r="R11" s="137">
        <f>'Gelati Custom Cake - Slice'!R11*12</f>
        <v>0</v>
      </c>
      <c r="S11" s="137">
        <f>'Gelati Custom Cake - Slice'!S11*12</f>
        <v>0</v>
      </c>
      <c r="T11" s="137">
        <f>'Gelati Custom Cake - Slice'!T11*12</f>
        <v>0</v>
      </c>
      <c r="U11" s="137">
        <f>'Gelati Custom Cake - Slice'!U11*12</f>
        <v>36</v>
      </c>
      <c r="V11" s="137">
        <f>'Gelati Custom Cake - Slice'!V11*12</f>
        <v>0</v>
      </c>
      <c r="W11" s="137">
        <f>'Gelati Custom Cake - Slice'!W11*12</f>
        <v>0</v>
      </c>
      <c r="X11" s="138">
        <f>'Gelati Custom Cake - Slice'!X11*12</f>
        <v>24</v>
      </c>
    </row>
    <row r="12" spans="1:24" ht="14.6">
      <c r="A12" s="1318"/>
      <c r="B12" s="54" t="s">
        <v>33</v>
      </c>
      <c r="C12" s="136">
        <f>'Gelati Custom Cake - Slice'!C12*12</f>
        <v>480</v>
      </c>
      <c r="D12" s="136">
        <f>'Gelati Custom Cake - Slice'!D12*12</f>
        <v>0</v>
      </c>
      <c r="E12" s="136">
        <f>'Gelati Custom Cake - Slice'!E12*12</f>
        <v>0</v>
      </c>
      <c r="F12" s="136">
        <f>'Gelati Custom Cake - Slice'!F12*12</f>
        <v>0</v>
      </c>
      <c r="G12" s="136">
        <f>'Gelati Custom Cake - Slice'!G12*12</f>
        <v>0</v>
      </c>
      <c r="H12" s="136">
        <f>'Gelati Custom Cake - Slice'!H12*12</f>
        <v>0</v>
      </c>
      <c r="I12" s="136">
        <f>'Gelati Custom Cake - Slice'!I12*12</f>
        <v>60</v>
      </c>
      <c r="J12" s="136">
        <f>'Gelati Custom Cake - Slice'!J12*12</f>
        <v>120</v>
      </c>
      <c r="K12" s="136">
        <f>'Gelati Custom Cake - Slice'!K12*12</f>
        <v>0</v>
      </c>
      <c r="L12" s="136">
        <f>'Gelati Custom Cake - Slice'!L12*12</f>
        <v>120</v>
      </c>
      <c r="M12" s="136">
        <f>'Gelati Custom Cake - Slice'!M12*12</f>
        <v>120</v>
      </c>
      <c r="N12" s="136">
        <f>'Gelati Custom Cake - Slice'!N12*12</f>
        <v>0</v>
      </c>
      <c r="O12" s="137">
        <f>'Gelati Custom Cake - Slice'!O12*12</f>
        <v>0</v>
      </c>
      <c r="P12" s="137">
        <f>'Gelati Custom Cake - Slice'!P12*12</f>
        <v>0</v>
      </c>
      <c r="Q12" s="137">
        <f>'Gelati Custom Cake - Slice'!Q12*12</f>
        <v>12</v>
      </c>
      <c r="R12" s="137">
        <f>'Gelati Custom Cake - Slice'!R12*12</f>
        <v>0</v>
      </c>
      <c r="S12" s="137">
        <f>'Gelati Custom Cake - Slice'!S12*12</f>
        <v>0</v>
      </c>
      <c r="T12" s="137">
        <f>'Gelati Custom Cake - Slice'!T12*12</f>
        <v>0</v>
      </c>
      <c r="U12" s="137">
        <f>'Gelati Custom Cake - Slice'!U12*12</f>
        <v>12</v>
      </c>
      <c r="V12" s="137">
        <f>'Gelati Custom Cake - Slice'!V12*12</f>
        <v>0</v>
      </c>
      <c r="W12" s="137">
        <f>'Gelati Custom Cake - Slice'!W12*12</f>
        <v>0</v>
      </c>
      <c r="X12" s="138">
        <f>'Gelati Custom Cake - Slice'!X12*12</f>
        <v>0</v>
      </c>
    </row>
    <row r="13" spans="1:24" ht="14.6">
      <c r="A13" s="1318"/>
      <c r="B13" s="54" t="s">
        <v>34</v>
      </c>
      <c r="C13" s="136">
        <f>'Gelati Custom Cake - Slice'!C13*12</f>
        <v>540</v>
      </c>
      <c r="D13" s="136">
        <f>'Gelati Custom Cake - Slice'!D13*12</f>
        <v>0</v>
      </c>
      <c r="E13" s="136">
        <f>'Gelati Custom Cake - Slice'!E13*12</f>
        <v>0</v>
      </c>
      <c r="F13" s="136">
        <f>'Gelati Custom Cake - Slice'!F13*12</f>
        <v>0</v>
      </c>
      <c r="G13" s="136">
        <f>'Gelati Custom Cake - Slice'!G13*12</f>
        <v>0</v>
      </c>
      <c r="H13" s="136">
        <f>'Gelati Custom Cake - Slice'!H13*12</f>
        <v>0</v>
      </c>
      <c r="I13" s="136">
        <f>'Gelati Custom Cake - Slice'!I13*12</f>
        <v>120</v>
      </c>
      <c r="J13" s="136">
        <f>'Gelati Custom Cake - Slice'!J13*12</f>
        <v>144</v>
      </c>
      <c r="K13" s="136">
        <f>'Gelati Custom Cake - Slice'!K13*12</f>
        <v>0</v>
      </c>
      <c r="L13" s="136">
        <f>'Gelati Custom Cake - Slice'!L13*12</f>
        <v>132</v>
      </c>
      <c r="M13" s="136">
        <f>'Gelati Custom Cake - Slice'!M13*12</f>
        <v>132</v>
      </c>
      <c r="N13" s="136">
        <f>'Gelati Custom Cake - Slice'!N13*12</f>
        <v>0</v>
      </c>
      <c r="O13" s="137">
        <f>'Gelati Custom Cake - Slice'!O13*12</f>
        <v>0</v>
      </c>
      <c r="P13" s="137">
        <f>'Gelati Custom Cake - Slice'!P13*12</f>
        <v>0</v>
      </c>
      <c r="Q13" s="137">
        <f>'Gelati Custom Cake - Slice'!Q13*12</f>
        <v>24</v>
      </c>
      <c r="R13" s="137">
        <f>'Gelati Custom Cake - Slice'!R13*12</f>
        <v>0</v>
      </c>
      <c r="S13" s="137">
        <f>'Gelati Custom Cake - Slice'!S13*12</f>
        <v>0</v>
      </c>
      <c r="T13" s="137">
        <f>'Gelati Custom Cake - Slice'!T13*12</f>
        <v>0</v>
      </c>
      <c r="U13" s="137">
        <f>'Gelati Custom Cake - Slice'!U13*12</f>
        <v>144</v>
      </c>
      <c r="V13" s="137">
        <f>'Gelati Custom Cake - Slice'!V13*12</f>
        <v>0</v>
      </c>
      <c r="W13" s="137">
        <f>'Gelati Custom Cake - Slice'!W13*12</f>
        <v>0</v>
      </c>
      <c r="X13" s="138">
        <f>'Gelati Custom Cake - Slice'!X13*12</f>
        <v>0</v>
      </c>
    </row>
    <row r="14" spans="1:24" ht="14.6">
      <c r="A14" s="1318"/>
      <c r="B14" s="54" t="s">
        <v>35</v>
      </c>
      <c r="C14" s="87">
        <f>'Gelati Custom Cake - Slice'!C14*12</f>
        <v>600</v>
      </c>
      <c r="D14" s="87">
        <f>'Gelati Custom Cake - Slice'!D14*12</f>
        <v>60</v>
      </c>
      <c r="E14" s="87">
        <f>'Gelati Custom Cake - Slice'!E14*12</f>
        <v>0</v>
      </c>
      <c r="F14" s="87">
        <f>'Gelati Custom Cake - Slice'!F14*12</f>
        <v>0</v>
      </c>
      <c r="G14" s="87">
        <f>'Gelati Custom Cake - Slice'!G14*12</f>
        <v>0</v>
      </c>
      <c r="H14" s="87">
        <f>'Gelati Custom Cake - Slice'!H14*12</f>
        <v>0</v>
      </c>
      <c r="I14" s="87">
        <f>'Gelati Custom Cake - Slice'!I14*12</f>
        <v>120</v>
      </c>
      <c r="J14" s="87">
        <f>'Gelati Custom Cake - Slice'!J14*12</f>
        <v>144</v>
      </c>
      <c r="K14" s="87">
        <f>'Gelati Custom Cake - Slice'!K14*12</f>
        <v>0</v>
      </c>
      <c r="L14" s="87">
        <f>'Gelati Custom Cake - Slice'!L14*12</f>
        <v>144</v>
      </c>
      <c r="M14" s="87">
        <f>'Gelati Custom Cake - Slice'!M14*12</f>
        <v>132</v>
      </c>
      <c r="N14" s="87">
        <f>'Gelati Custom Cake - Slice'!N14*12</f>
        <v>0</v>
      </c>
      <c r="O14" s="85">
        <f>'Gelati Custom Cake - Slice'!O14*12</f>
        <v>0</v>
      </c>
      <c r="P14" s="85">
        <f>'Gelati Custom Cake - Slice'!P14*12</f>
        <v>0</v>
      </c>
      <c r="Q14" s="85">
        <f>'Gelati Custom Cake - Slice'!Q14*12</f>
        <v>36</v>
      </c>
      <c r="R14" s="85">
        <f>'Gelati Custom Cake - Slice'!R14*12</f>
        <v>0</v>
      </c>
      <c r="S14" s="85">
        <f>'Gelati Custom Cake - Slice'!S14*12</f>
        <v>0</v>
      </c>
      <c r="T14" s="85">
        <f>'Gelati Custom Cake - Slice'!T14*12</f>
        <v>0</v>
      </c>
      <c r="U14" s="85">
        <f>'Gelati Custom Cake - Slice'!U14*12</f>
        <v>144</v>
      </c>
      <c r="V14" s="85">
        <f>'Gelati Custom Cake - Slice'!V14*12</f>
        <v>0</v>
      </c>
      <c r="W14" s="85">
        <f>'Gelati Custom Cake - Slice'!W14*12</f>
        <v>0</v>
      </c>
      <c r="X14" s="86">
        <f>'Gelati Custom Cake - Slice'!X14*12</f>
        <v>0</v>
      </c>
    </row>
    <row r="15" spans="1:24" ht="14.6">
      <c r="A15" s="1318"/>
      <c r="B15" s="54" t="s">
        <v>36</v>
      </c>
      <c r="C15" s="136">
        <f>'Gelati Custom Cake - Slice'!C15*12</f>
        <v>480</v>
      </c>
      <c r="D15" s="136">
        <f>'Gelati Custom Cake - Slice'!D15*12</f>
        <v>0</v>
      </c>
      <c r="E15" s="136">
        <f>'Gelati Custom Cake - Slice'!E15*12</f>
        <v>0</v>
      </c>
      <c r="F15" s="136">
        <f>'Gelati Custom Cake - Slice'!F15*12</f>
        <v>0</v>
      </c>
      <c r="G15" s="136">
        <f>'Gelati Custom Cake - Slice'!G15*12</f>
        <v>0</v>
      </c>
      <c r="H15" s="136">
        <f>'Gelati Custom Cake - Slice'!H15*12</f>
        <v>0</v>
      </c>
      <c r="I15" s="136">
        <f>'Gelati Custom Cake - Slice'!I15*12</f>
        <v>0</v>
      </c>
      <c r="J15" s="136">
        <f>'Gelati Custom Cake - Slice'!J15*12</f>
        <v>120</v>
      </c>
      <c r="K15" s="136">
        <f>'Gelati Custom Cake - Slice'!K15*12</f>
        <v>0</v>
      </c>
      <c r="L15" s="136">
        <f>'Gelati Custom Cake - Slice'!L15*12</f>
        <v>120</v>
      </c>
      <c r="M15" s="136">
        <f>'Gelati Custom Cake - Slice'!M15*12</f>
        <v>48</v>
      </c>
      <c r="N15" s="136">
        <f>'Gelati Custom Cake - Slice'!N15*12</f>
        <v>0</v>
      </c>
      <c r="O15" s="137">
        <f>'Gelati Custom Cake - Slice'!O15*12</f>
        <v>0</v>
      </c>
      <c r="P15" s="137">
        <f>'Gelati Custom Cake - Slice'!P15*12</f>
        <v>0</v>
      </c>
      <c r="Q15" s="137">
        <f>'Gelati Custom Cake - Slice'!Q15*12</f>
        <v>12</v>
      </c>
      <c r="R15" s="137">
        <f>'Gelati Custom Cake - Slice'!R15*12</f>
        <v>0</v>
      </c>
      <c r="S15" s="137">
        <f>'Gelati Custom Cake - Slice'!S15*12</f>
        <v>0</v>
      </c>
      <c r="T15" s="137">
        <f>'Gelati Custom Cake - Slice'!T15*12</f>
        <v>0</v>
      </c>
      <c r="U15" s="137">
        <f>'Gelati Custom Cake - Slice'!U15*12</f>
        <v>0</v>
      </c>
      <c r="V15" s="137">
        <f>'Gelati Custom Cake - Slice'!V15*12</f>
        <v>0</v>
      </c>
      <c r="W15" s="137">
        <f>'Gelati Custom Cake - Slice'!W15*12</f>
        <v>0</v>
      </c>
      <c r="X15" s="138">
        <f>'Gelati Custom Cake - Slice'!X15*12</f>
        <v>0</v>
      </c>
    </row>
    <row r="16" spans="1:24" ht="14.6">
      <c r="A16" s="1318"/>
      <c r="B16" s="54" t="s">
        <v>37</v>
      </c>
      <c r="C16" s="87">
        <f>'Gelati Custom Cake - Slice'!C16*12</f>
        <v>480</v>
      </c>
      <c r="D16" s="87">
        <f>'Gelati Custom Cake - Slice'!D16*12</f>
        <v>0</v>
      </c>
      <c r="E16" s="87">
        <f>'Gelati Custom Cake - Slice'!E16*12</f>
        <v>0</v>
      </c>
      <c r="F16" s="87">
        <f>'Gelati Custom Cake - Slice'!F16*12</f>
        <v>0</v>
      </c>
      <c r="G16" s="87">
        <f>'Gelati Custom Cake - Slice'!G16*12</f>
        <v>0</v>
      </c>
      <c r="H16" s="87">
        <f>'Gelati Custom Cake - Slice'!H16*12</f>
        <v>0</v>
      </c>
      <c r="I16" s="87">
        <f>'Gelati Custom Cake - Slice'!I16*12</f>
        <v>0</v>
      </c>
      <c r="J16" s="87">
        <f>'Gelati Custom Cake - Slice'!J16*12</f>
        <v>132</v>
      </c>
      <c r="K16" s="87">
        <f>'Gelati Custom Cake - Slice'!K16*12</f>
        <v>0</v>
      </c>
      <c r="L16" s="87">
        <f>'Gelati Custom Cake - Slice'!L16*12</f>
        <v>132</v>
      </c>
      <c r="M16" s="87">
        <f>'Gelati Custom Cake - Slice'!M16*12</f>
        <v>48</v>
      </c>
      <c r="N16" s="87">
        <f>'Gelati Custom Cake - Slice'!N16*12</f>
        <v>0</v>
      </c>
      <c r="O16" s="85">
        <f>'Gelati Custom Cake - Slice'!O16*12</f>
        <v>0</v>
      </c>
      <c r="P16" s="85">
        <f>'Gelati Custom Cake - Slice'!P16*12</f>
        <v>0</v>
      </c>
      <c r="Q16" s="85">
        <f>'Gelati Custom Cake - Slice'!Q16*12</f>
        <v>12</v>
      </c>
      <c r="R16" s="85">
        <f>'Gelati Custom Cake - Slice'!R16*12</f>
        <v>0</v>
      </c>
      <c r="S16" s="85">
        <f>'Gelati Custom Cake - Slice'!S16*12</f>
        <v>0</v>
      </c>
      <c r="T16" s="85">
        <f>'Gelati Custom Cake - Slice'!T16*12</f>
        <v>0</v>
      </c>
      <c r="U16" s="85">
        <f>'Gelati Custom Cake - Slice'!U16*12</f>
        <v>0</v>
      </c>
      <c r="V16" s="85">
        <f>'Gelati Custom Cake - Slice'!V16*12</f>
        <v>0</v>
      </c>
      <c r="W16" s="85">
        <f>'Gelati Custom Cake - Slice'!W16*12</f>
        <v>0</v>
      </c>
      <c r="X16" s="86">
        <f>'Gelati Custom Cake - Slice'!X16*12</f>
        <v>0</v>
      </c>
    </row>
    <row r="17" spans="1:24" ht="14.6">
      <c r="A17" s="1318"/>
      <c r="B17" s="54" t="s">
        <v>38</v>
      </c>
      <c r="C17" s="136">
        <f>'Gelati Custom Cake - Slice'!C17*12</f>
        <v>420</v>
      </c>
      <c r="D17" s="136">
        <f>'Gelati Custom Cake - Slice'!D17*12</f>
        <v>0</v>
      </c>
      <c r="E17" s="136">
        <f>'Gelati Custom Cake - Slice'!E17*12</f>
        <v>0</v>
      </c>
      <c r="F17" s="136">
        <f>'Gelati Custom Cake - Slice'!F17*12</f>
        <v>0</v>
      </c>
      <c r="G17" s="136">
        <f>'Gelati Custom Cake - Slice'!G17*12</f>
        <v>0</v>
      </c>
      <c r="H17" s="136">
        <f>'Gelati Custom Cake - Slice'!H17*12</f>
        <v>0</v>
      </c>
      <c r="I17" s="136">
        <f>'Gelati Custom Cake - Slice'!I17*12</f>
        <v>60</v>
      </c>
      <c r="J17" s="136">
        <f>'Gelati Custom Cake - Slice'!J17*12</f>
        <v>108</v>
      </c>
      <c r="K17" s="136">
        <f>'Gelati Custom Cake - Slice'!K17*12</f>
        <v>0</v>
      </c>
      <c r="L17" s="136">
        <f>'Gelati Custom Cake - Slice'!L17*12</f>
        <v>108</v>
      </c>
      <c r="M17" s="136">
        <f>'Gelati Custom Cake - Slice'!M17*12</f>
        <v>96</v>
      </c>
      <c r="N17" s="136">
        <f>'Gelati Custom Cake - Slice'!N17*12</f>
        <v>0</v>
      </c>
      <c r="O17" s="137">
        <f>'Gelati Custom Cake - Slice'!O17*12</f>
        <v>0</v>
      </c>
      <c r="P17" s="137">
        <f>'Gelati Custom Cake - Slice'!P17*12</f>
        <v>0</v>
      </c>
      <c r="Q17" s="137">
        <f>'Gelati Custom Cake - Slice'!Q17*12</f>
        <v>24</v>
      </c>
      <c r="R17" s="137">
        <f>'Gelati Custom Cake - Slice'!R17*12</f>
        <v>0</v>
      </c>
      <c r="S17" s="137">
        <f>'Gelati Custom Cake - Slice'!S17*12</f>
        <v>0</v>
      </c>
      <c r="T17" s="137">
        <f>'Gelati Custom Cake - Slice'!T17*12</f>
        <v>0</v>
      </c>
      <c r="U17" s="137">
        <f>'Gelati Custom Cake - Slice'!U17*12</f>
        <v>84</v>
      </c>
      <c r="V17" s="137">
        <f>'Gelati Custom Cake - Slice'!V17*12</f>
        <v>0</v>
      </c>
      <c r="W17" s="137">
        <f>'Gelati Custom Cake - Slice'!W17*12</f>
        <v>0</v>
      </c>
      <c r="X17" s="138">
        <f>'Gelati Custom Cake - Slice'!X17*12</f>
        <v>24</v>
      </c>
    </row>
    <row r="18" spans="1:24" ht="14.6">
      <c r="A18" s="1318"/>
      <c r="B18" s="54" t="s">
        <v>39</v>
      </c>
      <c r="C18" s="136">
        <f>'Gelati Custom Cake - Slice'!C18*12</f>
        <v>480</v>
      </c>
      <c r="D18" s="136">
        <f>'Gelati Custom Cake - Slice'!D18*12</f>
        <v>0</v>
      </c>
      <c r="E18" s="136">
        <f>'Gelati Custom Cake - Slice'!E18*12</f>
        <v>0</v>
      </c>
      <c r="F18" s="136">
        <f>'Gelati Custom Cake - Slice'!F18*12</f>
        <v>0</v>
      </c>
      <c r="G18" s="136">
        <f>'Gelati Custom Cake - Slice'!G18*12</f>
        <v>0</v>
      </c>
      <c r="H18" s="136">
        <f>'Gelati Custom Cake - Slice'!H18*12</f>
        <v>0</v>
      </c>
      <c r="I18" s="136">
        <f>'Gelati Custom Cake - Slice'!I18*12</f>
        <v>60</v>
      </c>
      <c r="J18" s="136">
        <f>'Gelati Custom Cake - Slice'!J18*12</f>
        <v>120</v>
      </c>
      <c r="K18" s="136">
        <f>'Gelati Custom Cake - Slice'!K18*12</f>
        <v>0</v>
      </c>
      <c r="L18" s="136">
        <f>'Gelati Custom Cake - Slice'!L18*12</f>
        <v>108</v>
      </c>
      <c r="M18" s="136">
        <f>'Gelati Custom Cake - Slice'!M18*12</f>
        <v>108</v>
      </c>
      <c r="N18" s="136">
        <f>'Gelati Custom Cake - Slice'!N18*12</f>
        <v>0</v>
      </c>
      <c r="O18" s="137">
        <f>'Gelati Custom Cake - Slice'!O18*12</f>
        <v>0</v>
      </c>
      <c r="P18" s="137">
        <f>'Gelati Custom Cake - Slice'!P18*12</f>
        <v>0</v>
      </c>
      <c r="Q18" s="137">
        <f>'Gelati Custom Cake - Slice'!Q18*12</f>
        <v>12</v>
      </c>
      <c r="R18" s="137">
        <f>'Gelati Custom Cake - Slice'!R18*12</f>
        <v>0</v>
      </c>
      <c r="S18" s="137">
        <f>'Gelati Custom Cake - Slice'!S18*12</f>
        <v>0</v>
      </c>
      <c r="T18" s="137">
        <f>'Gelati Custom Cake - Slice'!T18*12</f>
        <v>0</v>
      </c>
      <c r="U18" s="137">
        <f>'Gelati Custom Cake - Slice'!U18*12</f>
        <v>0</v>
      </c>
      <c r="V18" s="137">
        <f>'Gelati Custom Cake - Slice'!V18*12</f>
        <v>0</v>
      </c>
      <c r="W18" s="137">
        <f>'Gelati Custom Cake - Slice'!W18*12</f>
        <v>0</v>
      </c>
      <c r="X18" s="138">
        <f>'Gelati Custom Cake - Slice'!X18*12</f>
        <v>48</v>
      </c>
    </row>
    <row r="19" spans="1:24" ht="14.6">
      <c r="A19" s="1318"/>
      <c r="B19" s="54" t="s">
        <v>40</v>
      </c>
      <c r="C19" s="136">
        <f>'Gelati Custom Cake - Slice'!C19*12</f>
        <v>480</v>
      </c>
      <c r="D19" s="136">
        <f>'Gelati Custom Cake - Slice'!D19*12</f>
        <v>0</v>
      </c>
      <c r="E19" s="136">
        <f>'Gelati Custom Cake - Slice'!E19*12</f>
        <v>0</v>
      </c>
      <c r="F19" s="136">
        <f>'Gelati Custom Cake - Slice'!F19*12</f>
        <v>0</v>
      </c>
      <c r="G19" s="136">
        <f>'Gelati Custom Cake - Slice'!G19*12</f>
        <v>0</v>
      </c>
      <c r="H19" s="136">
        <f>'Gelati Custom Cake - Slice'!H19*12</f>
        <v>0</v>
      </c>
      <c r="I19" s="136">
        <f>'Gelati Custom Cake - Slice'!I19*12</f>
        <v>60</v>
      </c>
      <c r="J19" s="136">
        <f>'Gelati Custom Cake - Slice'!J19*12</f>
        <v>120</v>
      </c>
      <c r="K19" s="136">
        <f>'Gelati Custom Cake - Slice'!K19*12</f>
        <v>0</v>
      </c>
      <c r="L19" s="136">
        <f>'Gelati Custom Cake - Slice'!L19*12</f>
        <v>120</v>
      </c>
      <c r="M19" s="136">
        <f>'Gelati Custom Cake - Slice'!M19*12</f>
        <v>108</v>
      </c>
      <c r="N19" s="136">
        <f>'Gelati Custom Cake - Slice'!N19*12</f>
        <v>0</v>
      </c>
      <c r="O19" s="137">
        <f>'Gelati Custom Cake - Slice'!O19*12</f>
        <v>0</v>
      </c>
      <c r="P19" s="137">
        <f>'Gelati Custom Cake - Slice'!P19*12</f>
        <v>0</v>
      </c>
      <c r="Q19" s="137">
        <f>'Gelati Custom Cake - Slice'!Q19*12</f>
        <v>24</v>
      </c>
      <c r="R19" s="137">
        <f>'Gelati Custom Cake - Slice'!R19*12</f>
        <v>0</v>
      </c>
      <c r="S19" s="137">
        <f>'Gelati Custom Cake - Slice'!S19*12</f>
        <v>0</v>
      </c>
      <c r="T19" s="137">
        <f>'Gelati Custom Cake - Slice'!T19*12</f>
        <v>0</v>
      </c>
      <c r="U19" s="137">
        <f>'Gelati Custom Cake - Slice'!U19*12</f>
        <v>72</v>
      </c>
      <c r="V19" s="137">
        <f>'Gelati Custom Cake - Slice'!V19*12</f>
        <v>0</v>
      </c>
      <c r="W19" s="137">
        <f>'Gelati Custom Cake - Slice'!W19*12</f>
        <v>0</v>
      </c>
      <c r="X19" s="138">
        <f>'Gelati Custom Cake - Slice'!X19*12</f>
        <v>0</v>
      </c>
    </row>
    <row r="20" spans="1:24" ht="14.6">
      <c r="A20" s="1318"/>
      <c r="B20" s="54" t="s">
        <v>41</v>
      </c>
      <c r="C20" s="81">
        <f>'Gelati Custom Cake - Slice'!C20*12</f>
        <v>480</v>
      </c>
      <c r="D20" s="81">
        <f>'Gelati Custom Cake - Slice'!D20*12</f>
        <v>0</v>
      </c>
      <c r="E20" s="81">
        <f>'Gelati Custom Cake - Slice'!E20*12</f>
        <v>0</v>
      </c>
      <c r="F20" s="81">
        <f>'Gelati Custom Cake - Slice'!F20*12</f>
        <v>0</v>
      </c>
      <c r="G20" s="81">
        <f>'Gelati Custom Cake - Slice'!G20*12</f>
        <v>0</v>
      </c>
      <c r="H20" s="81">
        <f>'Gelati Custom Cake - Slice'!H20*12</f>
        <v>0</v>
      </c>
      <c r="I20" s="81">
        <f>'Gelati Custom Cake - Slice'!I20*12</f>
        <v>0</v>
      </c>
      <c r="J20" s="81">
        <f>'Gelati Custom Cake - Slice'!J20*12</f>
        <v>132</v>
      </c>
      <c r="K20" s="81">
        <f>'Gelati Custom Cake - Slice'!K20*12</f>
        <v>0</v>
      </c>
      <c r="L20" s="81">
        <f>'Gelati Custom Cake - Slice'!L20*12</f>
        <v>120</v>
      </c>
      <c r="M20" s="81">
        <f>'Gelati Custom Cake - Slice'!M20*12</f>
        <v>36</v>
      </c>
      <c r="N20" s="81">
        <f>'Gelati Custom Cake - Slice'!N20*12</f>
        <v>0</v>
      </c>
      <c r="O20" s="85">
        <f>'Gelati Custom Cake - Slice'!O20*12</f>
        <v>0</v>
      </c>
      <c r="P20" s="85">
        <f>'Gelati Custom Cake - Slice'!P20*12</f>
        <v>0</v>
      </c>
      <c r="Q20" s="85">
        <f>'Gelati Custom Cake - Slice'!Q20*12</f>
        <v>12</v>
      </c>
      <c r="R20" s="85">
        <f>'Gelati Custom Cake - Slice'!R20*12</f>
        <v>0</v>
      </c>
      <c r="S20" s="85">
        <f>'Gelati Custom Cake - Slice'!S20*12</f>
        <v>0</v>
      </c>
      <c r="T20" s="85">
        <f>'Gelati Custom Cake - Slice'!T20*12</f>
        <v>0</v>
      </c>
      <c r="U20" s="85">
        <f>'Gelati Custom Cake - Slice'!U20*12</f>
        <v>0</v>
      </c>
      <c r="V20" s="85">
        <f>'Gelati Custom Cake - Slice'!V20*12</f>
        <v>0</v>
      </c>
      <c r="W20" s="85">
        <f>'Gelati Custom Cake - Slice'!W20*12</f>
        <v>0</v>
      </c>
      <c r="X20" s="86">
        <f>'Gelati Custom Cake - Slice'!X20*12</f>
        <v>24</v>
      </c>
    </row>
    <row r="21" spans="1:24" ht="14.6">
      <c r="A21" s="1318"/>
      <c r="B21" s="54" t="s">
        <v>42</v>
      </c>
      <c r="C21" s="136">
        <f>'Gelati Custom Cake - Slice'!C21*12</f>
        <v>480</v>
      </c>
      <c r="D21" s="136">
        <f>'Gelati Custom Cake - Slice'!D21*12</f>
        <v>0</v>
      </c>
      <c r="E21" s="136">
        <f>'Gelati Custom Cake - Slice'!E21*12</f>
        <v>0</v>
      </c>
      <c r="F21" s="136">
        <f>'Gelati Custom Cake - Slice'!F21*12</f>
        <v>0</v>
      </c>
      <c r="G21" s="136">
        <f>'Gelati Custom Cake - Slice'!G21*12</f>
        <v>0</v>
      </c>
      <c r="H21" s="136">
        <f>'Gelati Custom Cake - Slice'!H21*12</f>
        <v>0</v>
      </c>
      <c r="I21" s="136">
        <f>'Gelati Custom Cake - Slice'!I21*12</f>
        <v>60</v>
      </c>
      <c r="J21" s="136">
        <f>'Gelati Custom Cake - Slice'!J21*12</f>
        <v>132</v>
      </c>
      <c r="K21" s="136">
        <f>'Gelati Custom Cake - Slice'!K21*12</f>
        <v>0</v>
      </c>
      <c r="L21" s="136">
        <f>'Gelati Custom Cake - Slice'!L21*12</f>
        <v>120</v>
      </c>
      <c r="M21" s="136">
        <f>'Gelati Custom Cake - Slice'!M21*12</f>
        <v>120</v>
      </c>
      <c r="N21" s="136">
        <f>'Gelati Custom Cake - Slice'!N21*12</f>
        <v>0</v>
      </c>
      <c r="O21" s="137">
        <f>'Gelati Custom Cake - Slice'!O21*12</f>
        <v>0</v>
      </c>
      <c r="P21" s="137">
        <f>'Gelati Custom Cake - Slice'!P21*12</f>
        <v>0</v>
      </c>
      <c r="Q21" s="137">
        <f>'Gelati Custom Cake - Slice'!Q21*12</f>
        <v>12</v>
      </c>
      <c r="R21" s="137">
        <f>'Gelati Custom Cake - Slice'!R21*12</f>
        <v>0</v>
      </c>
      <c r="S21" s="137">
        <f>'Gelati Custom Cake - Slice'!S21*12</f>
        <v>0</v>
      </c>
      <c r="T21" s="137">
        <f>'Gelati Custom Cake - Slice'!T21*12</f>
        <v>0</v>
      </c>
      <c r="U21" s="137">
        <f>'Gelati Custom Cake - Slice'!U21*12</f>
        <v>72</v>
      </c>
      <c r="V21" s="137">
        <f>'Gelati Custom Cake - Slice'!V21*12</f>
        <v>0</v>
      </c>
      <c r="W21" s="137">
        <f>'Gelati Custom Cake - Slice'!W21*12</f>
        <v>0</v>
      </c>
      <c r="X21" s="138">
        <f>'Gelati Custom Cake - Slice'!X21*12</f>
        <v>0</v>
      </c>
    </row>
    <row r="22" spans="1:24" ht="14.6">
      <c r="A22" s="1318"/>
      <c r="B22" s="54" t="s">
        <v>43</v>
      </c>
      <c r="C22" s="136">
        <f>'Gelati Custom Cake - Slice'!C22*12</f>
        <v>420</v>
      </c>
      <c r="D22" s="136">
        <f>'Gelati Custom Cake - Slice'!D22*12</f>
        <v>0</v>
      </c>
      <c r="E22" s="136">
        <f>'Gelati Custom Cake - Slice'!E22*12</f>
        <v>0</v>
      </c>
      <c r="F22" s="136">
        <f>'Gelati Custom Cake - Slice'!F22*12</f>
        <v>0</v>
      </c>
      <c r="G22" s="136">
        <f>'Gelati Custom Cake - Slice'!G22*12</f>
        <v>0</v>
      </c>
      <c r="H22" s="136">
        <f>'Gelati Custom Cake - Slice'!H22*12</f>
        <v>0</v>
      </c>
      <c r="I22" s="136">
        <f>'Gelati Custom Cake - Slice'!I22*12</f>
        <v>60</v>
      </c>
      <c r="J22" s="136">
        <f>'Gelati Custom Cake - Slice'!J22*12</f>
        <v>108</v>
      </c>
      <c r="K22" s="136">
        <f>'Gelati Custom Cake - Slice'!K22*12</f>
        <v>0</v>
      </c>
      <c r="L22" s="136">
        <f>'Gelati Custom Cake - Slice'!L22*12</f>
        <v>108</v>
      </c>
      <c r="M22" s="136">
        <f>'Gelati Custom Cake - Slice'!M22*12</f>
        <v>108</v>
      </c>
      <c r="N22" s="136">
        <f>'Gelati Custom Cake - Slice'!N22*12</f>
        <v>0</v>
      </c>
      <c r="O22" s="137">
        <f>'Gelati Custom Cake - Slice'!O22*12</f>
        <v>0</v>
      </c>
      <c r="P22" s="137">
        <f>'Gelati Custom Cake - Slice'!P22*12</f>
        <v>0</v>
      </c>
      <c r="Q22" s="137">
        <f>'Gelati Custom Cake - Slice'!Q22*12</f>
        <v>12</v>
      </c>
      <c r="R22" s="137">
        <f>'Gelati Custom Cake - Slice'!R22*12</f>
        <v>0</v>
      </c>
      <c r="S22" s="137">
        <f>'Gelati Custom Cake - Slice'!S22*12</f>
        <v>0</v>
      </c>
      <c r="T22" s="137">
        <f>'Gelati Custom Cake - Slice'!T22*12</f>
        <v>0</v>
      </c>
      <c r="U22" s="137">
        <f>'Gelati Custom Cake - Slice'!U22*12</f>
        <v>0</v>
      </c>
      <c r="V22" s="137">
        <f>'Gelati Custom Cake - Slice'!V22*12</f>
        <v>0</v>
      </c>
      <c r="W22" s="137">
        <f>'Gelati Custom Cake - Slice'!W22*12</f>
        <v>0</v>
      </c>
      <c r="X22" s="138">
        <f>'Gelati Custom Cake - Slice'!X22*12</f>
        <v>0</v>
      </c>
    </row>
    <row r="23" spans="1:24" ht="14.6">
      <c r="A23" s="1318"/>
      <c r="B23" s="54" t="s">
        <v>44</v>
      </c>
      <c r="C23" s="136">
        <f>'Gelati Custom Cake - Slice'!C23*12</f>
        <v>300</v>
      </c>
      <c r="D23" s="136">
        <f>'Gelati Custom Cake - Slice'!D23*12</f>
        <v>0</v>
      </c>
      <c r="E23" s="136">
        <f>'Gelati Custom Cake - Slice'!E23*12</f>
        <v>0</v>
      </c>
      <c r="F23" s="136">
        <f>'Gelati Custom Cake - Slice'!F23*12</f>
        <v>0</v>
      </c>
      <c r="G23" s="136">
        <f>'Gelati Custom Cake - Slice'!G23*12</f>
        <v>0</v>
      </c>
      <c r="H23" s="136">
        <f>'Gelati Custom Cake - Slice'!H23*12</f>
        <v>0</v>
      </c>
      <c r="I23" s="136">
        <f>'Gelati Custom Cake - Slice'!I23*12</f>
        <v>60</v>
      </c>
      <c r="J23" s="136">
        <f>'Gelati Custom Cake - Slice'!J23*12</f>
        <v>84</v>
      </c>
      <c r="K23" s="136">
        <f>'Gelati Custom Cake - Slice'!K23*12</f>
        <v>0</v>
      </c>
      <c r="L23" s="136">
        <f>'Gelati Custom Cake - Slice'!L23*12</f>
        <v>72</v>
      </c>
      <c r="M23" s="136">
        <f>'Gelati Custom Cake - Slice'!M23*12</f>
        <v>72</v>
      </c>
      <c r="N23" s="136">
        <f>'Gelati Custom Cake - Slice'!N23*12</f>
        <v>0</v>
      </c>
      <c r="O23" s="137">
        <f>'Gelati Custom Cake - Slice'!O23*12</f>
        <v>0</v>
      </c>
      <c r="P23" s="137">
        <f>'Gelati Custom Cake - Slice'!P23*12</f>
        <v>0</v>
      </c>
      <c r="Q23" s="137">
        <f>'Gelati Custom Cake - Slice'!Q23*12</f>
        <v>12</v>
      </c>
      <c r="R23" s="137">
        <f>'Gelati Custom Cake - Slice'!R23*12</f>
        <v>0</v>
      </c>
      <c r="S23" s="137">
        <f>'Gelati Custom Cake - Slice'!S23*12</f>
        <v>0</v>
      </c>
      <c r="T23" s="137">
        <f>'Gelati Custom Cake - Slice'!T23*12</f>
        <v>0</v>
      </c>
      <c r="U23" s="137">
        <f>'Gelati Custom Cake - Slice'!U23*12</f>
        <v>0</v>
      </c>
      <c r="V23" s="137">
        <f>'Gelati Custom Cake - Slice'!V23*12</f>
        <v>0</v>
      </c>
      <c r="W23" s="137">
        <f>'Gelati Custom Cake - Slice'!W23*12</f>
        <v>0</v>
      </c>
      <c r="X23" s="138">
        <f>'Gelati Custom Cake - Slice'!X23*12</f>
        <v>0</v>
      </c>
    </row>
    <row r="24" spans="1:24" ht="14.6">
      <c r="A24" s="1318"/>
      <c r="B24" s="54" t="s">
        <v>45</v>
      </c>
      <c r="C24" s="137">
        <f>'Gelati Custom Cake - Slice'!C24*12</f>
        <v>420</v>
      </c>
      <c r="D24" s="137">
        <f>'Gelati Custom Cake - Slice'!D24*12</f>
        <v>0</v>
      </c>
      <c r="E24" s="137">
        <f>'Gelati Custom Cake - Slice'!E24*12</f>
        <v>0</v>
      </c>
      <c r="F24" s="137">
        <f>'Gelati Custom Cake - Slice'!F24*12</f>
        <v>0</v>
      </c>
      <c r="G24" s="139">
        <f>'Gelati Custom Cake - Slice'!G24*12</f>
        <v>0</v>
      </c>
      <c r="H24" s="137">
        <f>'Gelati Custom Cake - Slice'!H24*12</f>
        <v>0</v>
      </c>
      <c r="I24" s="137">
        <f>'Gelati Custom Cake - Slice'!I24*12</f>
        <v>60</v>
      </c>
      <c r="J24" s="137">
        <f>'Gelati Custom Cake - Slice'!J24*12</f>
        <v>108</v>
      </c>
      <c r="K24" s="137">
        <f>'Gelati Custom Cake - Slice'!K24*12</f>
        <v>0</v>
      </c>
      <c r="L24" s="137">
        <f>'Gelati Custom Cake - Slice'!L24*12</f>
        <v>108</v>
      </c>
      <c r="M24" s="137">
        <f>'Gelati Custom Cake - Slice'!M24*12</f>
        <v>108</v>
      </c>
      <c r="N24" s="137">
        <f>'Gelati Custom Cake - Slice'!N24*12</f>
        <v>0</v>
      </c>
      <c r="O24" s="137">
        <f>'Gelati Custom Cake - Slice'!O24*12</f>
        <v>0</v>
      </c>
      <c r="P24" s="137">
        <f>'Gelati Custom Cake - Slice'!P24*12</f>
        <v>0</v>
      </c>
      <c r="Q24" s="137">
        <f>'Gelati Custom Cake - Slice'!Q24*12</f>
        <v>12</v>
      </c>
      <c r="R24" s="137">
        <f>'Gelati Custom Cake - Slice'!R24*12</f>
        <v>0</v>
      </c>
      <c r="S24" s="137">
        <f>'Gelati Custom Cake - Slice'!S24*12</f>
        <v>0</v>
      </c>
      <c r="T24" s="137">
        <f>'Gelati Custom Cake - Slice'!T24*12</f>
        <v>0</v>
      </c>
      <c r="U24" s="137">
        <f>'Gelati Custom Cake - Slice'!U24*12</f>
        <v>0</v>
      </c>
      <c r="V24" s="137">
        <f>'Gelati Custom Cake - Slice'!V24*12</f>
        <v>0</v>
      </c>
      <c r="W24" s="137">
        <f>'Gelati Custom Cake - Slice'!W24*12</f>
        <v>0</v>
      </c>
      <c r="X24" s="138">
        <f>'Gelati Custom Cake - Slice'!X24*12</f>
        <v>0</v>
      </c>
    </row>
    <row r="25" spans="1:24" ht="14.6">
      <c r="A25" s="1318"/>
      <c r="B25" s="54" t="s">
        <v>46</v>
      </c>
      <c r="C25" s="136">
        <f>'Gelati Custom Cake - Slice'!C25*12</f>
        <v>480</v>
      </c>
      <c r="D25" s="136">
        <f>'Gelati Custom Cake - Slice'!D25*12</f>
        <v>0</v>
      </c>
      <c r="E25" s="136">
        <f>'Gelati Custom Cake - Slice'!E25*12</f>
        <v>0</v>
      </c>
      <c r="F25" s="136">
        <f>'Gelati Custom Cake - Slice'!F25*12</f>
        <v>0</v>
      </c>
      <c r="G25" s="136">
        <f>'Gelati Custom Cake - Slice'!G25*12</f>
        <v>0</v>
      </c>
      <c r="H25" s="136">
        <f>'Gelati Custom Cake - Slice'!H25*12</f>
        <v>0</v>
      </c>
      <c r="I25" s="136">
        <f>'Gelati Custom Cake - Slice'!I25*12</f>
        <v>120</v>
      </c>
      <c r="J25" s="136">
        <f>'Gelati Custom Cake - Slice'!J25*12</f>
        <v>120</v>
      </c>
      <c r="K25" s="136">
        <f>'Gelati Custom Cake - Slice'!K25*12</f>
        <v>0</v>
      </c>
      <c r="L25" s="136">
        <f>'Gelati Custom Cake - Slice'!L25*12</f>
        <v>108</v>
      </c>
      <c r="M25" s="136">
        <f>'Gelati Custom Cake - Slice'!M25*12</f>
        <v>108</v>
      </c>
      <c r="N25" s="136">
        <f>'Gelati Custom Cake - Slice'!N25*12</f>
        <v>0</v>
      </c>
      <c r="O25" s="137">
        <f>'Gelati Custom Cake - Slice'!O25*12</f>
        <v>0</v>
      </c>
      <c r="P25" s="137">
        <f>'Gelati Custom Cake - Slice'!P25*12</f>
        <v>0</v>
      </c>
      <c r="Q25" s="137">
        <f>'Gelati Custom Cake - Slice'!Q25*12</f>
        <v>12</v>
      </c>
      <c r="R25" s="137">
        <f>'Gelati Custom Cake - Slice'!R25*12</f>
        <v>0</v>
      </c>
      <c r="S25" s="137">
        <f>'Gelati Custom Cake - Slice'!S25*12</f>
        <v>0</v>
      </c>
      <c r="T25" s="137">
        <f>'Gelati Custom Cake - Slice'!T25*12</f>
        <v>0</v>
      </c>
      <c r="U25" s="137">
        <f>'Gelati Custom Cake - Slice'!U25*12</f>
        <v>0</v>
      </c>
      <c r="V25" s="137">
        <f>'Gelati Custom Cake - Slice'!V25*12</f>
        <v>0</v>
      </c>
      <c r="W25" s="137">
        <f>'Gelati Custom Cake - Slice'!W25*12</f>
        <v>0</v>
      </c>
      <c r="X25" s="138">
        <f>'Gelati Custom Cake - Slice'!X25*12</f>
        <v>0</v>
      </c>
    </row>
    <row r="26" spans="1:24" ht="14.6">
      <c r="A26" s="1318"/>
      <c r="B26" s="54" t="s">
        <v>47</v>
      </c>
      <c r="C26" s="136">
        <f>'Gelati Custom Cake - Slice'!C26*12</f>
        <v>420</v>
      </c>
      <c r="D26" s="136">
        <f>'Gelati Custom Cake - Slice'!D26*12</f>
        <v>0</v>
      </c>
      <c r="E26" s="136">
        <f>'Gelati Custom Cake - Slice'!E26*12</f>
        <v>0</v>
      </c>
      <c r="F26" s="136">
        <f>'Gelati Custom Cake - Slice'!F26*12</f>
        <v>0</v>
      </c>
      <c r="G26" s="136">
        <f>'Gelati Custom Cake - Slice'!G26*12</f>
        <v>0</v>
      </c>
      <c r="H26" s="136">
        <f>'Gelati Custom Cake - Slice'!H26*12</f>
        <v>0</v>
      </c>
      <c r="I26" s="136">
        <f>'Gelati Custom Cake - Slice'!I26*12</f>
        <v>60</v>
      </c>
      <c r="J26" s="136">
        <f>'Gelati Custom Cake - Slice'!J26*12</f>
        <v>108</v>
      </c>
      <c r="K26" s="136">
        <f>'Gelati Custom Cake - Slice'!K26*12</f>
        <v>0</v>
      </c>
      <c r="L26" s="136">
        <f>'Gelati Custom Cake - Slice'!L26*12</f>
        <v>108</v>
      </c>
      <c r="M26" s="136">
        <f>'Gelati Custom Cake - Slice'!M26*12</f>
        <v>108</v>
      </c>
      <c r="N26" s="136">
        <f>'Gelati Custom Cake - Slice'!N26*12</f>
        <v>0</v>
      </c>
      <c r="O26" s="137">
        <f>'Gelati Custom Cake - Slice'!O26*12</f>
        <v>0</v>
      </c>
      <c r="P26" s="137">
        <f>'Gelati Custom Cake - Slice'!P26*12</f>
        <v>0</v>
      </c>
      <c r="Q26" s="137">
        <f>'Gelati Custom Cake - Slice'!Q26*12</f>
        <v>12</v>
      </c>
      <c r="R26" s="137">
        <f>'Gelati Custom Cake - Slice'!R26*12</f>
        <v>0</v>
      </c>
      <c r="S26" s="137">
        <f>'Gelati Custom Cake - Slice'!S26*12</f>
        <v>0</v>
      </c>
      <c r="T26" s="137">
        <f>'Gelati Custom Cake - Slice'!T26*12</f>
        <v>0</v>
      </c>
      <c r="U26" s="137">
        <f>'Gelati Custom Cake - Slice'!U26*12</f>
        <v>12</v>
      </c>
      <c r="V26" s="137">
        <f>'Gelati Custom Cake - Slice'!V26*12</f>
        <v>0</v>
      </c>
      <c r="W26" s="137">
        <f>'Gelati Custom Cake - Slice'!W26*12</f>
        <v>0</v>
      </c>
      <c r="X26" s="138">
        <f>'Gelati Custom Cake - Slice'!X26*12</f>
        <v>0</v>
      </c>
    </row>
    <row r="27" spans="1:24" ht="14.6">
      <c r="A27" s="1318"/>
      <c r="B27" s="54" t="s">
        <v>48</v>
      </c>
      <c r="C27" s="136">
        <f>'Gelati Custom Cake - Slice'!C27*12</f>
        <v>360</v>
      </c>
      <c r="D27" s="136">
        <f>'Gelati Custom Cake - Slice'!D27*12</f>
        <v>0</v>
      </c>
      <c r="E27" s="136">
        <f>'Gelati Custom Cake - Slice'!E27*12</f>
        <v>0</v>
      </c>
      <c r="F27" s="136">
        <f>'Gelati Custom Cake - Slice'!F27*12</f>
        <v>0</v>
      </c>
      <c r="G27" s="136">
        <f>'Gelati Custom Cake - Slice'!G27*12</f>
        <v>0</v>
      </c>
      <c r="H27" s="136">
        <f>'Gelati Custom Cake - Slice'!H27*12</f>
        <v>0</v>
      </c>
      <c r="I27" s="136">
        <f>'Gelati Custom Cake - Slice'!I27*12</f>
        <v>0</v>
      </c>
      <c r="J27" s="136">
        <f>'Gelati Custom Cake - Slice'!J27*12</f>
        <v>96</v>
      </c>
      <c r="K27" s="136">
        <f>'Gelati Custom Cake - Slice'!K27*12</f>
        <v>0</v>
      </c>
      <c r="L27" s="136">
        <f>'Gelati Custom Cake - Slice'!L27*12</f>
        <v>96</v>
      </c>
      <c r="M27" s="136">
        <f>'Gelati Custom Cake - Slice'!M27*12</f>
        <v>96</v>
      </c>
      <c r="N27" s="136">
        <f>'Gelati Custom Cake - Slice'!N27*12</f>
        <v>0</v>
      </c>
      <c r="O27" s="137">
        <f>'Gelati Custom Cake - Slice'!O27*12</f>
        <v>0</v>
      </c>
      <c r="P27" s="137">
        <f>'Gelati Custom Cake - Slice'!P27*12</f>
        <v>0</v>
      </c>
      <c r="Q27" s="137">
        <f>'Gelati Custom Cake - Slice'!Q27*12</f>
        <v>24</v>
      </c>
      <c r="R27" s="137">
        <f>'Gelati Custom Cake - Slice'!R27*12</f>
        <v>0</v>
      </c>
      <c r="S27" s="137">
        <f>'Gelati Custom Cake - Slice'!S27*12</f>
        <v>0</v>
      </c>
      <c r="T27" s="137">
        <f>'Gelati Custom Cake - Slice'!T27*12</f>
        <v>0</v>
      </c>
      <c r="U27" s="137">
        <f>'Gelati Custom Cake - Slice'!U27*12</f>
        <v>12</v>
      </c>
      <c r="V27" s="137">
        <f>'Gelati Custom Cake - Slice'!V27*12</f>
        <v>0</v>
      </c>
      <c r="W27" s="137">
        <f>'Gelati Custom Cake - Slice'!W27*12</f>
        <v>0</v>
      </c>
      <c r="X27" s="138">
        <f>'Gelati Custom Cake - Slice'!X27*12</f>
        <v>0</v>
      </c>
    </row>
    <row r="28" spans="1:24" ht="14.6">
      <c r="A28" s="1318"/>
      <c r="B28" s="54" t="s">
        <v>49</v>
      </c>
      <c r="C28" s="136">
        <f>'Gelati Custom Cake - Slice'!C28*12</f>
        <v>360</v>
      </c>
      <c r="D28" s="136">
        <f>'Gelati Custom Cake - Slice'!D28*12</f>
        <v>0</v>
      </c>
      <c r="E28" s="136">
        <f>'Gelati Custom Cake - Slice'!E28*12</f>
        <v>0</v>
      </c>
      <c r="F28" s="136">
        <f>'Gelati Custom Cake - Slice'!F28*12</f>
        <v>0</v>
      </c>
      <c r="G28" s="136">
        <f>'Gelati Custom Cake - Slice'!G28*12</f>
        <v>0</v>
      </c>
      <c r="H28" s="136">
        <f>'Gelati Custom Cake - Slice'!H28*12</f>
        <v>0</v>
      </c>
      <c r="I28" s="136">
        <f>'Gelati Custom Cake - Slice'!I28*12</f>
        <v>60</v>
      </c>
      <c r="J28" s="136">
        <f>'Gelati Custom Cake - Slice'!J28*12</f>
        <v>84</v>
      </c>
      <c r="K28" s="136">
        <f>'Gelati Custom Cake - Slice'!K28*12</f>
        <v>0</v>
      </c>
      <c r="L28" s="136">
        <f>'Gelati Custom Cake - Slice'!L28*12</f>
        <v>84</v>
      </c>
      <c r="M28" s="136">
        <f>'Gelati Custom Cake - Slice'!M28*12</f>
        <v>84</v>
      </c>
      <c r="N28" s="136">
        <f>'Gelati Custom Cake - Slice'!N28*12</f>
        <v>0</v>
      </c>
      <c r="O28" s="137">
        <f>'Gelati Custom Cake - Slice'!O28*12</f>
        <v>0</v>
      </c>
      <c r="P28" s="137">
        <f>'Gelati Custom Cake - Slice'!P28*12</f>
        <v>0</v>
      </c>
      <c r="Q28" s="137">
        <f>'Gelati Custom Cake - Slice'!Q28*12</f>
        <v>12</v>
      </c>
      <c r="R28" s="137">
        <f>'Gelati Custom Cake - Slice'!R28*12</f>
        <v>0</v>
      </c>
      <c r="S28" s="137">
        <f>'Gelati Custom Cake - Slice'!S28*12</f>
        <v>0</v>
      </c>
      <c r="T28" s="137">
        <f>'Gelati Custom Cake - Slice'!T28*12</f>
        <v>0</v>
      </c>
      <c r="U28" s="137">
        <f>'Gelati Custom Cake - Slice'!U28*12</f>
        <v>0</v>
      </c>
      <c r="V28" s="137">
        <f>'Gelati Custom Cake - Slice'!V28*12</f>
        <v>0</v>
      </c>
      <c r="W28" s="137">
        <f>'Gelati Custom Cake - Slice'!W28*12</f>
        <v>0</v>
      </c>
      <c r="X28" s="138">
        <f>'Gelati Custom Cake - Slice'!X28*12</f>
        <v>0</v>
      </c>
    </row>
    <row r="29" spans="1:24" ht="14.6">
      <c r="A29" s="1318"/>
      <c r="B29" s="54" t="s">
        <v>50</v>
      </c>
      <c r="C29" s="136">
        <f>'Gelati Custom Cake - Slice'!C29*12</f>
        <v>480</v>
      </c>
      <c r="D29" s="136">
        <f>'Gelati Custom Cake - Slice'!D29*12</f>
        <v>0</v>
      </c>
      <c r="E29" s="136">
        <f>'Gelati Custom Cake - Slice'!E29*12</f>
        <v>0</v>
      </c>
      <c r="F29" s="136">
        <f>'Gelati Custom Cake - Slice'!F29*12</f>
        <v>0</v>
      </c>
      <c r="G29" s="136">
        <f>'Gelati Custom Cake - Slice'!G29*12</f>
        <v>0</v>
      </c>
      <c r="H29" s="136">
        <f>'Gelati Custom Cake - Slice'!H29*12</f>
        <v>0</v>
      </c>
      <c r="I29" s="136">
        <f>'Gelati Custom Cake - Slice'!I29*12</f>
        <v>60</v>
      </c>
      <c r="J29" s="136">
        <f>'Gelati Custom Cake - Slice'!J29*12</f>
        <v>120</v>
      </c>
      <c r="K29" s="136">
        <f>'Gelati Custom Cake - Slice'!K29*12</f>
        <v>0</v>
      </c>
      <c r="L29" s="136">
        <f>'Gelati Custom Cake - Slice'!L29*12</f>
        <v>120</v>
      </c>
      <c r="M29" s="136">
        <f>'Gelati Custom Cake - Slice'!M29*12</f>
        <v>120</v>
      </c>
      <c r="N29" s="136">
        <f>'Gelati Custom Cake - Slice'!N29*12</f>
        <v>0</v>
      </c>
      <c r="O29" s="137">
        <f>'Gelati Custom Cake - Slice'!O29*12</f>
        <v>0</v>
      </c>
      <c r="P29" s="137">
        <f>'Gelati Custom Cake - Slice'!P29*12</f>
        <v>0</v>
      </c>
      <c r="Q29" s="137">
        <f>'Gelati Custom Cake - Slice'!Q29*12</f>
        <v>12</v>
      </c>
      <c r="R29" s="137">
        <f>'Gelati Custom Cake - Slice'!R29*12</f>
        <v>0</v>
      </c>
      <c r="S29" s="137">
        <f>'Gelati Custom Cake - Slice'!S29*12</f>
        <v>0</v>
      </c>
      <c r="T29" s="137">
        <f>'Gelati Custom Cake - Slice'!T29*12</f>
        <v>0</v>
      </c>
      <c r="U29" s="137">
        <f>'Gelati Custom Cake - Slice'!U29*12</f>
        <v>36</v>
      </c>
      <c r="V29" s="137">
        <f>'Gelati Custom Cake - Slice'!V29*12</f>
        <v>0</v>
      </c>
      <c r="W29" s="137">
        <f>'Gelati Custom Cake - Slice'!W29*12</f>
        <v>0</v>
      </c>
      <c r="X29" s="138">
        <f>'Gelati Custom Cake - Slice'!X29*12</f>
        <v>0</v>
      </c>
    </row>
    <row r="30" spans="1:24" ht="14.6">
      <c r="A30" s="1318"/>
      <c r="B30" s="54" t="s">
        <v>51</v>
      </c>
      <c r="C30" s="136">
        <f>'Gelati Custom Cake - Slice'!C30*12</f>
        <v>480</v>
      </c>
      <c r="D30" s="136">
        <f>'Gelati Custom Cake - Slice'!D30*12</f>
        <v>0</v>
      </c>
      <c r="E30" s="136">
        <f>'Gelati Custom Cake - Slice'!E30*12</f>
        <v>0</v>
      </c>
      <c r="F30" s="136">
        <f>'Gelati Custom Cake - Slice'!F30*12</f>
        <v>0</v>
      </c>
      <c r="G30" s="136">
        <f>'Gelati Custom Cake - Slice'!G30*12</f>
        <v>0</v>
      </c>
      <c r="H30" s="136">
        <f>'Gelati Custom Cake - Slice'!H30*12</f>
        <v>0</v>
      </c>
      <c r="I30" s="136">
        <f>'Gelati Custom Cake - Slice'!I30*12</f>
        <v>60</v>
      </c>
      <c r="J30" s="136">
        <f>'Gelati Custom Cake - Slice'!J30*12</f>
        <v>120</v>
      </c>
      <c r="K30" s="136">
        <f>'Gelati Custom Cake - Slice'!K30*12</f>
        <v>0</v>
      </c>
      <c r="L30" s="136">
        <f>'Gelati Custom Cake - Slice'!L30*12</f>
        <v>108</v>
      </c>
      <c r="M30" s="136">
        <f>'Gelati Custom Cake - Slice'!M30*12</f>
        <v>84</v>
      </c>
      <c r="N30" s="136">
        <f>'Gelati Custom Cake - Slice'!N30*12</f>
        <v>0</v>
      </c>
      <c r="O30" s="140">
        <f>'Gelati Custom Cake - Slice'!O30*12</f>
        <v>0</v>
      </c>
      <c r="P30" s="140">
        <f>'Gelati Custom Cake - Slice'!P30*12</f>
        <v>0</v>
      </c>
      <c r="Q30" s="140">
        <f>'Gelati Custom Cake - Slice'!Q30*12</f>
        <v>12</v>
      </c>
      <c r="R30" s="140">
        <f>'Gelati Custom Cake - Slice'!R30*12</f>
        <v>0</v>
      </c>
      <c r="S30" s="140">
        <f>'Gelati Custom Cake - Slice'!S30*12</f>
        <v>0</v>
      </c>
      <c r="T30" s="140">
        <f>'Gelati Custom Cake - Slice'!T30*12</f>
        <v>0</v>
      </c>
      <c r="U30" s="140">
        <f>'Gelati Custom Cake - Slice'!U30*12</f>
        <v>24</v>
      </c>
      <c r="V30" s="140">
        <f>'Gelati Custom Cake - Slice'!V30*12</f>
        <v>0</v>
      </c>
      <c r="W30" s="140">
        <f>'Gelati Custom Cake - Slice'!W30*12</f>
        <v>0</v>
      </c>
      <c r="X30" s="141">
        <f>'Gelati Custom Cake - Slice'!X30*12</f>
        <v>0</v>
      </c>
    </row>
    <row r="31" spans="1:24" ht="14.6">
      <c r="A31" s="1318"/>
      <c r="B31" s="54" t="s">
        <v>53</v>
      </c>
      <c r="C31" s="136">
        <f>'Gelati Custom Cake - Slice'!C31*12</f>
        <v>480</v>
      </c>
      <c r="D31" s="136">
        <f>'Gelati Custom Cake - Slice'!D31*12</f>
        <v>0</v>
      </c>
      <c r="E31" s="136">
        <f>'Gelati Custom Cake - Slice'!E31*12</f>
        <v>0</v>
      </c>
      <c r="F31" s="136">
        <f>'Gelati Custom Cake - Slice'!F31*12</f>
        <v>0</v>
      </c>
      <c r="G31" s="136">
        <f>'Gelati Custom Cake - Slice'!G31*12</f>
        <v>0</v>
      </c>
      <c r="H31" s="136">
        <f>'Gelati Custom Cake - Slice'!H31*12</f>
        <v>0</v>
      </c>
      <c r="I31" s="136">
        <f>'Gelati Custom Cake - Slice'!I31*12</f>
        <v>60</v>
      </c>
      <c r="J31" s="136">
        <f>'Gelati Custom Cake - Slice'!J31*12</f>
        <v>120</v>
      </c>
      <c r="K31" s="136">
        <f>'Gelati Custom Cake - Slice'!K31*12</f>
        <v>0</v>
      </c>
      <c r="L31" s="136">
        <f>'Gelati Custom Cake - Slice'!L31*12</f>
        <v>120</v>
      </c>
      <c r="M31" s="136">
        <f>'Gelati Custom Cake - Slice'!M31*12</f>
        <v>120</v>
      </c>
      <c r="N31" s="136">
        <f>'Gelati Custom Cake - Slice'!N31*12</f>
        <v>0</v>
      </c>
      <c r="O31" s="139">
        <f>'Gelati Custom Cake - Slice'!O31*12</f>
        <v>0</v>
      </c>
      <c r="P31" s="139">
        <f>'Gelati Custom Cake - Slice'!P31*12</f>
        <v>0</v>
      </c>
      <c r="Q31" s="139">
        <f>'Gelati Custom Cake - Slice'!Q31*12</f>
        <v>12</v>
      </c>
      <c r="R31" s="139">
        <f>'Gelati Custom Cake - Slice'!R31*12</f>
        <v>0</v>
      </c>
      <c r="S31" s="139">
        <f>'Gelati Custom Cake - Slice'!S31*12</f>
        <v>0</v>
      </c>
      <c r="T31" s="139">
        <f>'Gelati Custom Cake - Slice'!T31*12</f>
        <v>0</v>
      </c>
      <c r="U31" s="139">
        <f>'Gelati Custom Cake - Slice'!U31*12</f>
        <v>24</v>
      </c>
      <c r="V31" s="139">
        <f>'Gelati Custom Cake - Slice'!V31*12</f>
        <v>0</v>
      </c>
      <c r="W31" s="139">
        <f>'Gelati Custom Cake - Slice'!W31*12</f>
        <v>0</v>
      </c>
      <c r="X31" s="142">
        <f>'Gelati Custom Cake - Slice'!X31*12</f>
        <v>0</v>
      </c>
    </row>
    <row r="32" spans="1:24" ht="14.6">
      <c r="A32" s="1318"/>
      <c r="B32" s="54" t="s">
        <v>54</v>
      </c>
      <c r="C32" s="136">
        <f>'Gelati Custom Cake - Slice'!C32*12</f>
        <v>480</v>
      </c>
      <c r="D32" s="136">
        <f>'Gelati Custom Cake - Slice'!D32*12</f>
        <v>0</v>
      </c>
      <c r="E32" s="136">
        <f>'Gelati Custom Cake - Slice'!E32*12</f>
        <v>0</v>
      </c>
      <c r="F32" s="136">
        <f>'Gelati Custom Cake - Slice'!F32*12</f>
        <v>0</v>
      </c>
      <c r="G32" s="136">
        <f>'Gelati Custom Cake - Slice'!G32*12</f>
        <v>0</v>
      </c>
      <c r="H32" s="136">
        <f>'Gelati Custom Cake - Slice'!H32*12</f>
        <v>0</v>
      </c>
      <c r="I32" s="136">
        <f>'Gelati Custom Cake - Slice'!I32*12</f>
        <v>60</v>
      </c>
      <c r="J32" s="136">
        <f>'Gelati Custom Cake - Slice'!J32*12</f>
        <v>120</v>
      </c>
      <c r="K32" s="136">
        <f>'Gelati Custom Cake - Slice'!K32*12</f>
        <v>0</v>
      </c>
      <c r="L32" s="136">
        <f>'Gelati Custom Cake - Slice'!L32*12</f>
        <v>120</v>
      </c>
      <c r="M32" s="136">
        <f>'Gelati Custom Cake - Slice'!M32*12</f>
        <v>120</v>
      </c>
      <c r="N32" s="136">
        <f>'Gelati Custom Cake - Slice'!N32*12</f>
        <v>0</v>
      </c>
      <c r="O32" s="137">
        <f>'Gelati Custom Cake - Slice'!O32*12</f>
        <v>0</v>
      </c>
      <c r="P32" s="137">
        <f>'Gelati Custom Cake - Slice'!P32*12</f>
        <v>0</v>
      </c>
      <c r="Q32" s="137">
        <f>'Gelati Custom Cake - Slice'!Q32*12</f>
        <v>12</v>
      </c>
      <c r="R32" s="137">
        <f>'Gelati Custom Cake - Slice'!R32*12</f>
        <v>0</v>
      </c>
      <c r="S32" s="137">
        <f>'Gelati Custom Cake - Slice'!S32*12</f>
        <v>0</v>
      </c>
      <c r="T32" s="137">
        <f>'Gelati Custom Cake - Slice'!T32*12</f>
        <v>0</v>
      </c>
      <c r="U32" s="137">
        <f>'Gelati Custom Cake - Slice'!U32*12</f>
        <v>24</v>
      </c>
      <c r="V32" s="137">
        <f>'Gelati Custom Cake - Slice'!V32*12</f>
        <v>0</v>
      </c>
      <c r="W32" s="137">
        <f>'Gelati Custom Cake - Slice'!W32*12</f>
        <v>0</v>
      </c>
      <c r="X32" s="138">
        <f>'Gelati Custom Cake - Slice'!X32*12</f>
        <v>0</v>
      </c>
    </row>
    <row r="33" spans="1:24" ht="14.6">
      <c r="A33" s="1318"/>
      <c r="B33" s="54" t="s">
        <v>55</v>
      </c>
      <c r="C33" s="136">
        <f>'Gelati Custom Cake - Slice'!C33*12</f>
        <v>420</v>
      </c>
      <c r="D33" s="136">
        <f>'Gelati Custom Cake - Slice'!D33*12</f>
        <v>0</v>
      </c>
      <c r="E33" s="136">
        <f>'Gelati Custom Cake - Slice'!E33*12</f>
        <v>0</v>
      </c>
      <c r="F33" s="136">
        <f>'Gelati Custom Cake - Slice'!F33*12</f>
        <v>0</v>
      </c>
      <c r="G33" s="136">
        <f>'Gelati Custom Cake - Slice'!G33*12</f>
        <v>0</v>
      </c>
      <c r="H33" s="136">
        <f>'Gelati Custom Cake - Slice'!H33*12</f>
        <v>0</v>
      </c>
      <c r="I33" s="136">
        <f>'Gelati Custom Cake - Slice'!I33*12</f>
        <v>60</v>
      </c>
      <c r="J33" s="136">
        <f>'Gelati Custom Cake - Slice'!J33*12</f>
        <v>108</v>
      </c>
      <c r="K33" s="136">
        <f>'Gelati Custom Cake - Slice'!K33*12</f>
        <v>0</v>
      </c>
      <c r="L33" s="136">
        <f>'Gelati Custom Cake - Slice'!L33*12</f>
        <v>96</v>
      </c>
      <c r="M33" s="136">
        <f>'Gelati Custom Cake - Slice'!M33*12</f>
        <v>96</v>
      </c>
      <c r="N33" s="136">
        <f>'Gelati Custom Cake - Slice'!N33*12</f>
        <v>0</v>
      </c>
      <c r="O33" s="137">
        <f>'Gelati Custom Cake - Slice'!O33*12</f>
        <v>0</v>
      </c>
      <c r="P33" s="137">
        <f>'Gelati Custom Cake - Slice'!P33*12</f>
        <v>0</v>
      </c>
      <c r="Q33" s="137">
        <f>'Gelati Custom Cake - Slice'!Q33*12</f>
        <v>24</v>
      </c>
      <c r="R33" s="137">
        <f>'Gelati Custom Cake - Slice'!R33*12</f>
        <v>0</v>
      </c>
      <c r="S33" s="137">
        <f>'Gelati Custom Cake - Slice'!S33*12</f>
        <v>0</v>
      </c>
      <c r="T33" s="137">
        <f>'Gelati Custom Cake - Slice'!T33*12</f>
        <v>0</v>
      </c>
      <c r="U33" s="137">
        <f>'Gelati Custom Cake - Slice'!U33*12</f>
        <v>24</v>
      </c>
      <c r="V33" s="137">
        <f>'Gelati Custom Cake - Slice'!V33*12</f>
        <v>0</v>
      </c>
      <c r="W33" s="137">
        <f>'Gelati Custom Cake - Slice'!W33*12</f>
        <v>0</v>
      </c>
      <c r="X33" s="138">
        <f>'Gelati Custom Cake - Slice'!X33*12</f>
        <v>24</v>
      </c>
    </row>
    <row r="34" spans="1:24" ht="14.6">
      <c r="A34" s="1318"/>
      <c r="B34" s="54" t="s">
        <v>57</v>
      </c>
      <c r="C34" s="136">
        <f>'Gelati Custom Cake - Slice'!C34*12</f>
        <v>600</v>
      </c>
      <c r="D34" s="136">
        <f>'Gelati Custom Cake - Slice'!D34*12</f>
        <v>0</v>
      </c>
      <c r="E34" s="136">
        <f>'Gelati Custom Cake - Slice'!E34*12</f>
        <v>0</v>
      </c>
      <c r="F34" s="136">
        <f>'Gelati Custom Cake - Slice'!F34*12</f>
        <v>0</v>
      </c>
      <c r="G34" s="136">
        <f>'Gelati Custom Cake - Slice'!G34*12</f>
        <v>0</v>
      </c>
      <c r="H34" s="136">
        <f>'Gelati Custom Cake - Slice'!H34*12</f>
        <v>0</v>
      </c>
      <c r="I34" s="136">
        <f>'Gelati Custom Cake - Slice'!I34*12</f>
        <v>60</v>
      </c>
      <c r="J34" s="136">
        <f>'Gelati Custom Cake - Slice'!J34*12</f>
        <v>168</v>
      </c>
      <c r="K34" s="136">
        <f>'Gelati Custom Cake - Slice'!K34*12</f>
        <v>0</v>
      </c>
      <c r="L34" s="136">
        <f>'Gelati Custom Cake - Slice'!L34*12</f>
        <v>156</v>
      </c>
      <c r="M34" s="136">
        <f>'Gelati Custom Cake - Slice'!M34*12</f>
        <v>156</v>
      </c>
      <c r="N34" s="136">
        <f>'Gelati Custom Cake - Slice'!N34*12</f>
        <v>0</v>
      </c>
      <c r="O34" s="137">
        <f>'Gelati Custom Cake - Slice'!O34*12</f>
        <v>0</v>
      </c>
      <c r="P34" s="137">
        <f>'Gelati Custom Cake - Slice'!P34*12</f>
        <v>0</v>
      </c>
      <c r="Q34" s="137">
        <f>'Gelati Custom Cake - Slice'!Q34*12</f>
        <v>12</v>
      </c>
      <c r="R34" s="137">
        <f>'Gelati Custom Cake - Slice'!R34*12</f>
        <v>0</v>
      </c>
      <c r="S34" s="137">
        <f>'Gelati Custom Cake - Slice'!S34*12</f>
        <v>0</v>
      </c>
      <c r="T34" s="137">
        <f>'Gelati Custom Cake - Slice'!T34*12</f>
        <v>0</v>
      </c>
      <c r="U34" s="137">
        <f>'Gelati Custom Cake - Slice'!U34*12</f>
        <v>96</v>
      </c>
      <c r="V34" s="137">
        <f>'Gelati Custom Cake - Slice'!V34*12</f>
        <v>0</v>
      </c>
      <c r="W34" s="137">
        <f>'Gelati Custom Cake - Slice'!W34*12</f>
        <v>0</v>
      </c>
      <c r="X34" s="138">
        <f>'Gelati Custom Cake - Slice'!X34*12</f>
        <v>0</v>
      </c>
    </row>
    <row r="35" spans="1:24" ht="14.6">
      <c r="A35" s="1318"/>
      <c r="B35" s="54" t="s">
        <v>58</v>
      </c>
      <c r="C35" s="136">
        <f>'Gelati Custom Cake - Slice'!C35*12</f>
        <v>480</v>
      </c>
      <c r="D35" s="136">
        <f>'Gelati Custom Cake - Slice'!D35*12</f>
        <v>0</v>
      </c>
      <c r="E35" s="136">
        <f>'Gelati Custom Cake - Slice'!E35*12</f>
        <v>0</v>
      </c>
      <c r="F35" s="136">
        <f>'Gelati Custom Cake - Slice'!F35*12</f>
        <v>0</v>
      </c>
      <c r="G35" s="136">
        <f>'Gelati Custom Cake - Slice'!G35*12</f>
        <v>0</v>
      </c>
      <c r="H35" s="136">
        <f>'Gelati Custom Cake - Slice'!H35*12</f>
        <v>0</v>
      </c>
      <c r="I35" s="136">
        <f>'Gelati Custom Cake - Slice'!I35*12</f>
        <v>60</v>
      </c>
      <c r="J35" s="136">
        <f>'Gelati Custom Cake - Slice'!J35*12</f>
        <v>120</v>
      </c>
      <c r="K35" s="136">
        <f>'Gelati Custom Cake - Slice'!K35*12</f>
        <v>0</v>
      </c>
      <c r="L35" s="136">
        <f>'Gelati Custom Cake - Slice'!L35*12</f>
        <v>120</v>
      </c>
      <c r="M35" s="136">
        <f>'Gelati Custom Cake - Slice'!M35*12</f>
        <v>120</v>
      </c>
      <c r="N35" s="136">
        <f>'Gelati Custom Cake - Slice'!N35*12</f>
        <v>0</v>
      </c>
      <c r="O35" s="137">
        <f>'Gelati Custom Cake - Slice'!O35*12</f>
        <v>0</v>
      </c>
      <c r="P35" s="137">
        <f>'Gelati Custom Cake - Slice'!P35*12</f>
        <v>0</v>
      </c>
      <c r="Q35" s="137">
        <f>'Gelati Custom Cake - Slice'!Q35*12</f>
        <v>24</v>
      </c>
      <c r="R35" s="137">
        <f>'Gelati Custom Cake - Slice'!R35*12</f>
        <v>0</v>
      </c>
      <c r="S35" s="137">
        <f>'Gelati Custom Cake - Slice'!S35*12</f>
        <v>0</v>
      </c>
      <c r="T35" s="137">
        <f>'Gelati Custom Cake - Slice'!T35*12</f>
        <v>0</v>
      </c>
      <c r="U35" s="137">
        <f>'Gelati Custom Cake - Slice'!U35*12</f>
        <v>0</v>
      </c>
      <c r="V35" s="137">
        <f>'Gelati Custom Cake - Slice'!V35*12</f>
        <v>0</v>
      </c>
      <c r="W35" s="137">
        <f>'Gelati Custom Cake - Slice'!W35*12</f>
        <v>0</v>
      </c>
      <c r="X35" s="138">
        <f>'Gelati Custom Cake - Slice'!X35*12</f>
        <v>0</v>
      </c>
    </row>
    <row r="36" spans="1:24" ht="14.6">
      <c r="A36" s="1318"/>
      <c r="B36" s="54" t="s">
        <v>59</v>
      </c>
      <c r="C36" s="136">
        <f>'Gelati Custom Cake - Slice'!C36*12</f>
        <v>420</v>
      </c>
      <c r="D36" s="136">
        <f>'Gelati Custom Cake - Slice'!D36*12</f>
        <v>0</v>
      </c>
      <c r="E36" s="136">
        <f>'Gelati Custom Cake - Slice'!E36*12</f>
        <v>0</v>
      </c>
      <c r="F36" s="136">
        <f>'Gelati Custom Cake - Slice'!F36*12</f>
        <v>0</v>
      </c>
      <c r="G36" s="136">
        <f>'Gelati Custom Cake - Slice'!G36*12</f>
        <v>0</v>
      </c>
      <c r="H36" s="136">
        <f>'Gelati Custom Cake - Slice'!H36*12</f>
        <v>0</v>
      </c>
      <c r="I36" s="136">
        <f>'Gelati Custom Cake - Slice'!I36*12</f>
        <v>60</v>
      </c>
      <c r="J36" s="136">
        <f>'Gelati Custom Cake - Slice'!J36*12</f>
        <v>108</v>
      </c>
      <c r="K36" s="136">
        <f>'Gelati Custom Cake - Slice'!K36*12</f>
        <v>0</v>
      </c>
      <c r="L36" s="136">
        <f>'Gelati Custom Cake - Slice'!L36*12</f>
        <v>108</v>
      </c>
      <c r="M36" s="136">
        <f>'Gelati Custom Cake - Slice'!M36*12</f>
        <v>108</v>
      </c>
      <c r="N36" s="136">
        <f>'Gelati Custom Cake - Slice'!N36*12</f>
        <v>0</v>
      </c>
      <c r="O36" s="137">
        <f>'Gelati Custom Cake - Slice'!O36*12</f>
        <v>0</v>
      </c>
      <c r="P36" s="137">
        <f>'Gelati Custom Cake - Slice'!P36*12</f>
        <v>0</v>
      </c>
      <c r="Q36" s="137">
        <f>'Gelati Custom Cake - Slice'!Q36*12</f>
        <v>12</v>
      </c>
      <c r="R36" s="137">
        <f>'Gelati Custom Cake - Slice'!R36*12</f>
        <v>0</v>
      </c>
      <c r="S36" s="137">
        <f>'Gelati Custom Cake - Slice'!S36*12</f>
        <v>0</v>
      </c>
      <c r="T36" s="137">
        <f>'Gelati Custom Cake - Slice'!T36*12</f>
        <v>0</v>
      </c>
      <c r="U36" s="137">
        <f>'Gelati Custom Cake - Slice'!U36*12</f>
        <v>24</v>
      </c>
      <c r="V36" s="137">
        <f>'Gelati Custom Cake - Slice'!V36*12</f>
        <v>0</v>
      </c>
      <c r="W36" s="137">
        <f>'Gelati Custom Cake - Slice'!W36*12</f>
        <v>0</v>
      </c>
      <c r="X36" s="138">
        <f>'Gelati Custom Cake - Slice'!X36*12</f>
        <v>0</v>
      </c>
    </row>
    <row r="37" spans="1:24" ht="14.6">
      <c r="A37" s="1318"/>
      <c r="B37" s="54" t="s">
        <v>60</v>
      </c>
      <c r="C37" s="136">
        <f>'Gelati Custom Cake - Slice'!C37*12</f>
        <v>480</v>
      </c>
      <c r="D37" s="136">
        <f>'Gelati Custom Cake - Slice'!D37*12</f>
        <v>0</v>
      </c>
      <c r="E37" s="136">
        <f>'Gelati Custom Cake - Slice'!E37*12</f>
        <v>0</v>
      </c>
      <c r="F37" s="136">
        <f>'Gelati Custom Cake - Slice'!F37*12</f>
        <v>0</v>
      </c>
      <c r="G37" s="136">
        <f>'Gelati Custom Cake - Slice'!G37*12</f>
        <v>0</v>
      </c>
      <c r="H37" s="136">
        <f>'Gelati Custom Cake - Slice'!H37*12</f>
        <v>0</v>
      </c>
      <c r="I37" s="136">
        <f>'Gelati Custom Cake - Slice'!I37*12</f>
        <v>60</v>
      </c>
      <c r="J37" s="136">
        <f>'Gelati Custom Cake - Slice'!J37*12</f>
        <v>120</v>
      </c>
      <c r="K37" s="136">
        <f>'Gelati Custom Cake - Slice'!K37*12</f>
        <v>0</v>
      </c>
      <c r="L37" s="136">
        <f>'Gelati Custom Cake - Slice'!L37*12</f>
        <v>108</v>
      </c>
      <c r="M37" s="136">
        <f>'Gelati Custom Cake - Slice'!M37*12</f>
        <v>108</v>
      </c>
      <c r="N37" s="136">
        <f>'Gelati Custom Cake - Slice'!N37*12</f>
        <v>0</v>
      </c>
      <c r="O37" s="137">
        <f>'Gelati Custom Cake - Slice'!O37*12</f>
        <v>0</v>
      </c>
      <c r="P37" s="137">
        <f>'Gelati Custom Cake - Slice'!P37*12</f>
        <v>0</v>
      </c>
      <c r="Q37" s="137">
        <f>'Gelati Custom Cake - Slice'!Q37*12</f>
        <v>24</v>
      </c>
      <c r="R37" s="137">
        <f>'Gelati Custom Cake - Slice'!R37*12</f>
        <v>0</v>
      </c>
      <c r="S37" s="137">
        <f>'Gelati Custom Cake - Slice'!S37*12</f>
        <v>0</v>
      </c>
      <c r="T37" s="137">
        <f>'Gelati Custom Cake - Slice'!T37*12</f>
        <v>0</v>
      </c>
      <c r="U37" s="137">
        <f>'Gelati Custom Cake - Slice'!U37*12</f>
        <v>48</v>
      </c>
      <c r="V37" s="137">
        <f>'Gelati Custom Cake - Slice'!V37*12</f>
        <v>0</v>
      </c>
      <c r="W37" s="137">
        <f>'Gelati Custom Cake - Slice'!W37*12</f>
        <v>0</v>
      </c>
      <c r="X37" s="138">
        <f>'Gelati Custom Cake - Slice'!X37*12</f>
        <v>0</v>
      </c>
    </row>
    <row r="38" spans="1:24" ht="14.6">
      <c r="A38" s="1318"/>
      <c r="B38" s="54" t="s">
        <v>61</v>
      </c>
      <c r="C38" s="136">
        <f>'Gelati Custom Cake - Slice'!C38*12</f>
        <v>600</v>
      </c>
      <c r="D38" s="136">
        <f>'Gelati Custom Cake - Slice'!D38*12</f>
        <v>0</v>
      </c>
      <c r="E38" s="136">
        <f>'Gelati Custom Cake - Slice'!E38*12</f>
        <v>0</v>
      </c>
      <c r="F38" s="136">
        <f>'Gelati Custom Cake - Slice'!F38*12</f>
        <v>0</v>
      </c>
      <c r="G38" s="136">
        <f>'Gelati Custom Cake - Slice'!G38*12</f>
        <v>0</v>
      </c>
      <c r="H38" s="136">
        <f>'Gelati Custom Cake - Slice'!H38*12</f>
        <v>0</v>
      </c>
      <c r="I38" s="136">
        <f>'Gelati Custom Cake - Slice'!I38*12</f>
        <v>60</v>
      </c>
      <c r="J38" s="136">
        <f>'Gelati Custom Cake - Slice'!J38*12</f>
        <v>144</v>
      </c>
      <c r="K38" s="136">
        <f>'Gelati Custom Cake - Slice'!K38*12</f>
        <v>0</v>
      </c>
      <c r="L38" s="136">
        <f>'Gelati Custom Cake - Slice'!L38*12</f>
        <v>144</v>
      </c>
      <c r="M38" s="136">
        <f>'Gelati Custom Cake - Slice'!M38*12</f>
        <v>132</v>
      </c>
      <c r="N38" s="136">
        <f>'Gelati Custom Cake - Slice'!N38*12</f>
        <v>0</v>
      </c>
      <c r="O38" s="137">
        <f>'Gelati Custom Cake - Slice'!O38*12</f>
        <v>0</v>
      </c>
      <c r="P38" s="137">
        <f>'Gelati Custom Cake - Slice'!P38*12</f>
        <v>0</v>
      </c>
      <c r="Q38" s="137">
        <f>'Gelati Custom Cake - Slice'!Q38*12</f>
        <v>24</v>
      </c>
      <c r="R38" s="137">
        <f>'Gelati Custom Cake - Slice'!R38*12</f>
        <v>0</v>
      </c>
      <c r="S38" s="137">
        <f>'Gelati Custom Cake - Slice'!S38*12</f>
        <v>0</v>
      </c>
      <c r="T38" s="137">
        <f>'Gelati Custom Cake - Slice'!T38*12</f>
        <v>0</v>
      </c>
      <c r="U38" s="137">
        <f>'Gelati Custom Cake - Slice'!U38*12</f>
        <v>12</v>
      </c>
      <c r="V38" s="137">
        <f>'Gelati Custom Cake - Slice'!V38*12</f>
        <v>0</v>
      </c>
      <c r="W38" s="137">
        <f>'Gelati Custom Cake - Slice'!W38*12</f>
        <v>0</v>
      </c>
      <c r="X38" s="138">
        <f>'Gelati Custom Cake - Slice'!X38*12</f>
        <v>0</v>
      </c>
    </row>
    <row r="39" spans="1:24" ht="14.6">
      <c r="A39" s="1318"/>
      <c r="B39" s="54" t="s">
        <v>62</v>
      </c>
      <c r="C39" s="136">
        <f>'Gelati Custom Cake - Slice'!C39*12</f>
        <v>720</v>
      </c>
      <c r="D39" s="136">
        <f>'Gelati Custom Cake - Slice'!D39*12</f>
        <v>120</v>
      </c>
      <c r="E39" s="136">
        <f>'Gelati Custom Cake - Slice'!E39*12</f>
        <v>12</v>
      </c>
      <c r="F39" s="136">
        <f>'Gelati Custom Cake - Slice'!F39*12</f>
        <v>0</v>
      </c>
      <c r="G39" s="136">
        <f>'Gelati Custom Cake - Slice'!G39*12</f>
        <v>0</v>
      </c>
      <c r="H39" s="136">
        <f>'Gelati Custom Cake - Slice'!H39*12</f>
        <v>0</v>
      </c>
      <c r="I39" s="136">
        <f>'Gelati Custom Cake - Slice'!I39*12</f>
        <v>180</v>
      </c>
      <c r="J39" s="136">
        <f>'Gelati Custom Cake - Slice'!J39*12</f>
        <v>144</v>
      </c>
      <c r="K39" s="136">
        <f>'Gelati Custom Cake - Slice'!K39*12</f>
        <v>0</v>
      </c>
      <c r="L39" s="136">
        <f>'Gelati Custom Cake - Slice'!L39*12</f>
        <v>132</v>
      </c>
      <c r="M39" s="136">
        <f>'Gelati Custom Cake - Slice'!M39*12</f>
        <v>132</v>
      </c>
      <c r="N39" s="136">
        <f>'Gelati Custom Cake - Slice'!N39*12</f>
        <v>0</v>
      </c>
      <c r="O39" s="137">
        <f>'Gelati Custom Cake - Slice'!O39*12</f>
        <v>0</v>
      </c>
      <c r="P39" s="137">
        <f>'Gelati Custom Cake - Slice'!P39*12</f>
        <v>0</v>
      </c>
      <c r="Q39" s="137">
        <f>'Gelati Custom Cake - Slice'!Q39*12</f>
        <v>36</v>
      </c>
      <c r="R39" s="137">
        <f>'Gelati Custom Cake - Slice'!R39*12</f>
        <v>0</v>
      </c>
      <c r="S39" s="137">
        <f>'Gelati Custom Cake - Slice'!S39*12</f>
        <v>0</v>
      </c>
      <c r="T39" s="137">
        <f>'Gelati Custom Cake - Slice'!T39*12</f>
        <v>0</v>
      </c>
      <c r="U39" s="137">
        <f>'Gelati Custom Cake - Slice'!U39*12</f>
        <v>144</v>
      </c>
      <c r="V39" s="137">
        <f>'Gelati Custom Cake - Slice'!V39*12</f>
        <v>0</v>
      </c>
      <c r="W39" s="137">
        <f>'Gelati Custom Cake - Slice'!W39*12</f>
        <v>0</v>
      </c>
      <c r="X39" s="138">
        <f>'Gelati Custom Cake - Slice'!X39*12</f>
        <v>0</v>
      </c>
    </row>
    <row r="40" spans="1:24" ht="14.6">
      <c r="A40" s="1318"/>
      <c r="B40" s="54" t="s">
        <v>63</v>
      </c>
      <c r="C40" s="136">
        <f>'Gelati Custom Cake - Slice'!C40*12</f>
        <v>600</v>
      </c>
      <c r="D40" s="136">
        <f>'Gelati Custom Cake - Slice'!D40*12</f>
        <v>120</v>
      </c>
      <c r="E40" s="136">
        <f>'Gelati Custom Cake - Slice'!E40*12</f>
        <v>18</v>
      </c>
      <c r="F40" s="136">
        <f>'Gelati Custom Cake - Slice'!F40*12</f>
        <v>0</v>
      </c>
      <c r="G40" s="136">
        <f>'Gelati Custom Cake - Slice'!G40*12</f>
        <v>0</v>
      </c>
      <c r="H40" s="136">
        <f>'Gelati Custom Cake - Slice'!H40*12</f>
        <v>0</v>
      </c>
      <c r="I40" s="136">
        <f>'Gelati Custom Cake - Slice'!I40*12</f>
        <v>180</v>
      </c>
      <c r="J40" s="136">
        <f>'Gelati Custom Cake - Slice'!J40*12</f>
        <v>120</v>
      </c>
      <c r="K40" s="136">
        <f>'Gelati Custom Cake - Slice'!K40*12</f>
        <v>0</v>
      </c>
      <c r="L40" s="136">
        <f>'Gelati Custom Cake - Slice'!L40*12</f>
        <v>120</v>
      </c>
      <c r="M40" s="136">
        <f>'Gelati Custom Cake - Slice'!M40*12</f>
        <v>120</v>
      </c>
      <c r="N40" s="136">
        <f>'Gelati Custom Cake - Slice'!N40*12</f>
        <v>0</v>
      </c>
      <c r="O40" s="137">
        <f>'Gelati Custom Cake - Slice'!O40*12</f>
        <v>0</v>
      </c>
      <c r="P40" s="137">
        <f>'Gelati Custom Cake - Slice'!P40*12</f>
        <v>0</v>
      </c>
      <c r="Q40" s="137">
        <f>'Gelati Custom Cake - Slice'!Q40*12</f>
        <v>36</v>
      </c>
      <c r="R40" s="137">
        <f>'Gelati Custom Cake - Slice'!R40*12</f>
        <v>0</v>
      </c>
      <c r="S40" s="137">
        <f>'Gelati Custom Cake - Slice'!S40*12</f>
        <v>0</v>
      </c>
      <c r="T40" s="137">
        <f>'Gelati Custom Cake - Slice'!T40*12</f>
        <v>0</v>
      </c>
      <c r="U40" s="137">
        <f>'Gelati Custom Cake - Slice'!U40*12</f>
        <v>12</v>
      </c>
      <c r="V40" s="137">
        <f>'Gelati Custom Cake - Slice'!V40*12</f>
        <v>0</v>
      </c>
      <c r="W40" s="137">
        <f>'Gelati Custom Cake - Slice'!W40*12</f>
        <v>0</v>
      </c>
      <c r="X40" s="138">
        <f>'Gelati Custom Cake - Slice'!X40*12</f>
        <v>0</v>
      </c>
    </row>
    <row r="41" spans="1:24" ht="14.6">
      <c r="A41" s="1318"/>
      <c r="B41" s="54" t="s">
        <v>64</v>
      </c>
      <c r="C41" s="136">
        <f>'Gelati Custom Cake - Slice'!C41*12</f>
        <v>480</v>
      </c>
      <c r="D41" s="136">
        <f>'Gelati Custom Cake - Slice'!D41*12</f>
        <v>0</v>
      </c>
      <c r="E41" s="136">
        <f>'Gelati Custom Cake - Slice'!E41*12</f>
        <v>0</v>
      </c>
      <c r="F41" s="136">
        <f>'Gelati Custom Cake - Slice'!F41*12</f>
        <v>0</v>
      </c>
      <c r="G41" s="136">
        <f>'Gelati Custom Cake - Slice'!G41*12</f>
        <v>0</v>
      </c>
      <c r="H41" s="136">
        <f>'Gelati Custom Cake - Slice'!H41*12</f>
        <v>0</v>
      </c>
      <c r="I41" s="136">
        <f>'Gelati Custom Cake - Slice'!I41*12</f>
        <v>60</v>
      </c>
      <c r="J41" s="136">
        <f>'Gelati Custom Cake - Slice'!J41*12</f>
        <v>120</v>
      </c>
      <c r="K41" s="136">
        <f>'Gelati Custom Cake - Slice'!K41*12</f>
        <v>0</v>
      </c>
      <c r="L41" s="136">
        <f>'Gelati Custom Cake - Slice'!L41*12</f>
        <v>108</v>
      </c>
      <c r="M41" s="136">
        <f>'Gelati Custom Cake - Slice'!M41*12</f>
        <v>108</v>
      </c>
      <c r="N41" s="136">
        <f>'Gelati Custom Cake - Slice'!N41*12</f>
        <v>0</v>
      </c>
      <c r="O41" s="137">
        <f>'Gelati Custom Cake - Slice'!O41*12</f>
        <v>0</v>
      </c>
      <c r="P41" s="137">
        <f>'Gelati Custom Cake - Slice'!P41*12</f>
        <v>0</v>
      </c>
      <c r="Q41" s="137">
        <f>'Gelati Custom Cake - Slice'!Q41*12</f>
        <v>12</v>
      </c>
      <c r="R41" s="137">
        <f>'Gelati Custom Cake - Slice'!R41*12</f>
        <v>0</v>
      </c>
      <c r="S41" s="137">
        <f>'Gelati Custom Cake - Slice'!S41*12</f>
        <v>0</v>
      </c>
      <c r="T41" s="137">
        <f>'Gelati Custom Cake - Slice'!T41*12</f>
        <v>0</v>
      </c>
      <c r="U41" s="137">
        <f>'Gelati Custom Cake - Slice'!U41*12</f>
        <v>36</v>
      </c>
      <c r="V41" s="137">
        <f>'Gelati Custom Cake - Slice'!V41*12</f>
        <v>0</v>
      </c>
      <c r="W41" s="137">
        <f>'Gelati Custom Cake - Slice'!W41*12</f>
        <v>0</v>
      </c>
      <c r="X41" s="138">
        <f>'Gelati Custom Cake - Slice'!X41*12</f>
        <v>0</v>
      </c>
    </row>
    <row r="42" spans="1:24" ht="14.6">
      <c r="A42" s="1318"/>
      <c r="B42" s="54" t="s">
        <v>65</v>
      </c>
      <c r="C42" s="136">
        <f>'Gelati Custom Cake - Slice'!C42*12</f>
        <v>420</v>
      </c>
      <c r="D42" s="136">
        <f>'Gelati Custom Cake - Slice'!D42*12</f>
        <v>0</v>
      </c>
      <c r="E42" s="136">
        <f>'Gelati Custom Cake - Slice'!E42*12</f>
        <v>0</v>
      </c>
      <c r="F42" s="136">
        <f>'Gelati Custom Cake - Slice'!F42*12</f>
        <v>0</v>
      </c>
      <c r="G42" s="136">
        <f>'Gelati Custom Cake - Slice'!G42*12</f>
        <v>0</v>
      </c>
      <c r="H42" s="136">
        <f>'Gelati Custom Cake - Slice'!H42*12</f>
        <v>0</v>
      </c>
      <c r="I42" s="136">
        <f>'Gelati Custom Cake - Slice'!I42*12</f>
        <v>60</v>
      </c>
      <c r="J42" s="136">
        <f>'Gelati Custom Cake - Slice'!J42*12</f>
        <v>120</v>
      </c>
      <c r="K42" s="136">
        <f>'Gelati Custom Cake - Slice'!K42*12</f>
        <v>0</v>
      </c>
      <c r="L42" s="136">
        <f>'Gelati Custom Cake - Slice'!L42*12</f>
        <v>120</v>
      </c>
      <c r="M42" s="136">
        <f>'Gelati Custom Cake - Slice'!M42*12</f>
        <v>120</v>
      </c>
      <c r="N42" s="136">
        <f>'Gelati Custom Cake - Slice'!N42*12</f>
        <v>0</v>
      </c>
      <c r="O42" s="137">
        <f>'Gelati Custom Cake - Slice'!O42*12</f>
        <v>0</v>
      </c>
      <c r="P42" s="137">
        <f>'Gelati Custom Cake - Slice'!P42*12</f>
        <v>0</v>
      </c>
      <c r="Q42" s="137">
        <f>'Gelati Custom Cake - Slice'!Q42*12</f>
        <v>12</v>
      </c>
      <c r="R42" s="137">
        <f>'Gelati Custom Cake - Slice'!R42*12</f>
        <v>0</v>
      </c>
      <c r="S42" s="137">
        <f>'Gelati Custom Cake - Slice'!S42*12</f>
        <v>0</v>
      </c>
      <c r="T42" s="137">
        <f>'Gelati Custom Cake - Slice'!T42*12</f>
        <v>0</v>
      </c>
      <c r="U42" s="137">
        <f>'Gelati Custom Cake - Slice'!U42*12</f>
        <v>0</v>
      </c>
      <c r="V42" s="137">
        <f>'Gelati Custom Cake - Slice'!V42*12</f>
        <v>0</v>
      </c>
      <c r="W42" s="137">
        <f>'Gelati Custom Cake - Slice'!W42*12</f>
        <v>0</v>
      </c>
      <c r="X42" s="138">
        <f>'Gelati Custom Cake - Slice'!X42*12</f>
        <v>0</v>
      </c>
    </row>
    <row r="43" spans="1:24" ht="14.6">
      <c r="A43" s="1318"/>
      <c r="B43" s="54" t="s">
        <v>67</v>
      </c>
      <c r="C43" s="136">
        <f>'Gelati Custom Cake - Slice'!C43*12</f>
        <v>480</v>
      </c>
      <c r="D43" s="136">
        <f>'Gelati Custom Cake - Slice'!D43*12</f>
        <v>0</v>
      </c>
      <c r="E43" s="136">
        <f>'Gelati Custom Cake - Slice'!E43*12</f>
        <v>0</v>
      </c>
      <c r="F43" s="136">
        <f>'Gelati Custom Cake - Slice'!F43*12</f>
        <v>0</v>
      </c>
      <c r="G43" s="136">
        <f>'Gelati Custom Cake - Slice'!G43*12</f>
        <v>0</v>
      </c>
      <c r="H43" s="136">
        <f>'Gelati Custom Cake - Slice'!H43*12</f>
        <v>0</v>
      </c>
      <c r="I43" s="136">
        <f>'Gelati Custom Cake - Slice'!I43*12</f>
        <v>60</v>
      </c>
      <c r="J43" s="136">
        <f>'Gelati Custom Cake - Slice'!J43*12</f>
        <v>120</v>
      </c>
      <c r="K43" s="136">
        <f>'Gelati Custom Cake - Slice'!K43*12</f>
        <v>0</v>
      </c>
      <c r="L43" s="136">
        <f>'Gelati Custom Cake - Slice'!L43*12</f>
        <v>120</v>
      </c>
      <c r="M43" s="136">
        <f>'Gelati Custom Cake - Slice'!M43*12</f>
        <v>120</v>
      </c>
      <c r="N43" s="136">
        <f>'Gelati Custom Cake - Slice'!N43*12</f>
        <v>0</v>
      </c>
      <c r="O43" s="137">
        <f>'Gelati Custom Cake - Slice'!O43*12</f>
        <v>0</v>
      </c>
      <c r="P43" s="137">
        <f>'Gelati Custom Cake - Slice'!P43*12</f>
        <v>0</v>
      </c>
      <c r="Q43" s="137">
        <f>'Gelati Custom Cake - Slice'!Q43*12</f>
        <v>12</v>
      </c>
      <c r="R43" s="137">
        <f>'Gelati Custom Cake - Slice'!R43*12</f>
        <v>0</v>
      </c>
      <c r="S43" s="137">
        <f>'Gelati Custom Cake - Slice'!S43*12</f>
        <v>0</v>
      </c>
      <c r="T43" s="137">
        <f>'Gelati Custom Cake - Slice'!T43*12</f>
        <v>0</v>
      </c>
      <c r="U43" s="137">
        <f>'Gelati Custom Cake - Slice'!U43*12</f>
        <v>0</v>
      </c>
      <c r="V43" s="137">
        <f>'Gelati Custom Cake - Slice'!V43*12</f>
        <v>0</v>
      </c>
      <c r="W43" s="137">
        <f>'Gelati Custom Cake - Slice'!W43*12</f>
        <v>0</v>
      </c>
      <c r="X43" s="138">
        <f>'Gelati Custom Cake - Slice'!X43*12</f>
        <v>0</v>
      </c>
    </row>
    <row r="44" spans="1:24" ht="14.6">
      <c r="A44" s="1318"/>
      <c r="B44" s="54" t="s">
        <v>66</v>
      </c>
      <c r="C44" s="136">
        <f>'Gelati Custom Cake - Slice'!C44*12</f>
        <v>480</v>
      </c>
      <c r="D44" s="136">
        <f>'Gelati Custom Cake - Slice'!D44*12</f>
        <v>0</v>
      </c>
      <c r="E44" s="136">
        <f>'Gelati Custom Cake - Slice'!E44*12</f>
        <v>0</v>
      </c>
      <c r="F44" s="136">
        <f>'Gelati Custom Cake - Slice'!F44*12</f>
        <v>0</v>
      </c>
      <c r="G44" s="136">
        <f>'Gelati Custom Cake - Slice'!G44*12</f>
        <v>0</v>
      </c>
      <c r="H44" s="136">
        <f>'Gelati Custom Cake - Slice'!H44*12</f>
        <v>0</v>
      </c>
      <c r="I44" s="136">
        <f>'Gelati Custom Cake - Slice'!I44*12</f>
        <v>60</v>
      </c>
      <c r="J44" s="136">
        <f>'Gelati Custom Cake - Slice'!J44*12</f>
        <v>120</v>
      </c>
      <c r="K44" s="136">
        <f>'Gelati Custom Cake - Slice'!K44*12</f>
        <v>0</v>
      </c>
      <c r="L44" s="136">
        <f>'Gelati Custom Cake - Slice'!L44*12</f>
        <v>108</v>
      </c>
      <c r="M44" s="136">
        <f>'Gelati Custom Cake - Slice'!M44*12</f>
        <v>108</v>
      </c>
      <c r="N44" s="136">
        <f>'Gelati Custom Cake - Slice'!N44*12</f>
        <v>0</v>
      </c>
      <c r="O44" s="137">
        <f>'Gelati Custom Cake - Slice'!O44*12</f>
        <v>0</v>
      </c>
      <c r="P44" s="137">
        <f>'Gelati Custom Cake - Slice'!P44*12</f>
        <v>0</v>
      </c>
      <c r="Q44" s="137">
        <f>'Gelati Custom Cake - Slice'!Q44*12</f>
        <v>12</v>
      </c>
      <c r="R44" s="137">
        <f>'Gelati Custom Cake - Slice'!R44*12</f>
        <v>0</v>
      </c>
      <c r="S44" s="137">
        <f>'Gelati Custom Cake - Slice'!S44*12</f>
        <v>0</v>
      </c>
      <c r="T44" s="137">
        <f>'Gelati Custom Cake - Slice'!T44*12</f>
        <v>0</v>
      </c>
      <c r="U44" s="137">
        <f>'Gelati Custom Cake - Slice'!U44*12</f>
        <v>12</v>
      </c>
      <c r="V44" s="137">
        <f>'Gelati Custom Cake - Slice'!V44*12</f>
        <v>0</v>
      </c>
      <c r="W44" s="137">
        <f>'Gelati Custom Cake - Slice'!W44*12</f>
        <v>0</v>
      </c>
      <c r="X44" s="138">
        <f>'Gelati Custom Cake - Slice'!X44*12</f>
        <v>0</v>
      </c>
    </row>
    <row r="45" spans="1:24" ht="14.6">
      <c r="A45" s="1318"/>
      <c r="B45" s="54" t="s">
        <v>68</v>
      </c>
      <c r="C45" s="136">
        <f>'Gelati Custom Cake - Slice'!C45*12</f>
        <v>420</v>
      </c>
      <c r="D45" s="136">
        <f>'Gelati Custom Cake - Slice'!D45*12</f>
        <v>0</v>
      </c>
      <c r="E45" s="136">
        <f>'Gelati Custom Cake - Slice'!E45*12</f>
        <v>0</v>
      </c>
      <c r="F45" s="136">
        <f>'Gelati Custom Cake - Slice'!F45*12</f>
        <v>0</v>
      </c>
      <c r="G45" s="136">
        <f>'Gelati Custom Cake - Slice'!G45*12</f>
        <v>0</v>
      </c>
      <c r="H45" s="136">
        <f>'Gelati Custom Cake - Slice'!H45*12</f>
        <v>0</v>
      </c>
      <c r="I45" s="136">
        <f>'Gelati Custom Cake - Slice'!I45*12</f>
        <v>60</v>
      </c>
      <c r="J45" s="136">
        <f>'Gelati Custom Cake - Slice'!J45*12</f>
        <v>108</v>
      </c>
      <c r="K45" s="136">
        <f>'Gelati Custom Cake - Slice'!K45*12</f>
        <v>0</v>
      </c>
      <c r="L45" s="136">
        <f>'Gelati Custom Cake - Slice'!L45*12</f>
        <v>108</v>
      </c>
      <c r="M45" s="136">
        <f>'Gelati Custom Cake - Slice'!M45*12</f>
        <v>108</v>
      </c>
      <c r="N45" s="136">
        <f>'Gelati Custom Cake - Slice'!N45*12</f>
        <v>0</v>
      </c>
      <c r="O45" s="140">
        <f>'Gelati Custom Cake - Slice'!O45*12</f>
        <v>0</v>
      </c>
      <c r="P45" s="140">
        <f>'Gelati Custom Cake - Slice'!P45*12</f>
        <v>0</v>
      </c>
      <c r="Q45" s="140">
        <f>'Gelati Custom Cake - Slice'!Q45*12</f>
        <v>24</v>
      </c>
      <c r="R45" s="140">
        <f>'Gelati Custom Cake - Slice'!R45*12</f>
        <v>0</v>
      </c>
      <c r="S45" s="140">
        <f>'Gelati Custom Cake - Slice'!S45*12</f>
        <v>0</v>
      </c>
      <c r="T45" s="140">
        <f>'Gelati Custom Cake - Slice'!T45*12</f>
        <v>0</v>
      </c>
      <c r="U45" s="140">
        <f>'Gelati Custom Cake - Slice'!U45*12</f>
        <v>48</v>
      </c>
      <c r="V45" s="140">
        <f>'Gelati Custom Cake - Slice'!V45*12</f>
        <v>0</v>
      </c>
      <c r="W45" s="140">
        <f>'Gelati Custom Cake - Slice'!W45*12</f>
        <v>0</v>
      </c>
      <c r="X45" s="141">
        <f>'Gelati Custom Cake - Slice'!X45*12</f>
        <v>24</v>
      </c>
    </row>
    <row r="46" spans="1:24" ht="14.6">
      <c r="A46" s="1318"/>
      <c r="B46" s="54" t="s">
        <v>69</v>
      </c>
      <c r="C46" s="136">
        <f>'Gelati Custom Cake - Slice'!C46*12</f>
        <v>480</v>
      </c>
      <c r="D46" s="136">
        <f>'Gelati Custom Cake - Slice'!D46*12</f>
        <v>0</v>
      </c>
      <c r="E46" s="136">
        <f>'Gelati Custom Cake - Slice'!E46*12</f>
        <v>0</v>
      </c>
      <c r="F46" s="136">
        <f>'Gelati Custom Cake - Slice'!F46*12</f>
        <v>0</v>
      </c>
      <c r="G46" s="136">
        <f>'Gelati Custom Cake - Slice'!G46*12</f>
        <v>0</v>
      </c>
      <c r="H46" s="136">
        <f>'Gelati Custom Cake - Slice'!H46*12</f>
        <v>0</v>
      </c>
      <c r="I46" s="136">
        <f>'Gelati Custom Cake - Slice'!I46*12</f>
        <v>60</v>
      </c>
      <c r="J46" s="136">
        <f>'Gelati Custom Cake - Slice'!J46*12</f>
        <v>120</v>
      </c>
      <c r="K46" s="136">
        <f>'Gelati Custom Cake - Slice'!K46*12</f>
        <v>0</v>
      </c>
      <c r="L46" s="136">
        <f>'Gelati Custom Cake - Slice'!L46*12</f>
        <v>120</v>
      </c>
      <c r="M46" s="136">
        <f>'Gelati Custom Cake - Slice'!M46*12</f>
        <v>108</v>
      </c>
      <c r="N46" s="136">
        <f>'Gelati Custom Cake - Slice'!N46*12</f>
        <v>0</v>
      </c>
      <c r="O46" s="137">
        <f>'Gelati Custom Cake - Slice'!O46*12</f>
        <v>0</v>
      </c>
      <c r="P46" s="137">
        <f>'Gelati Custom Cake - Slice'!P46*12</f>
        <v>0</v>
      </c>
      <c r="Q46" s="137">
        <f>'Gelati Custom Cake - Slice'!Q46*12</f>
        <v>24</v>
      </c>
      <c r="R46" s="137">
        <f>'Gelati Custom Cake - Slice'!R46*12</f>
        <v>0</v>
      </c>
      <c r="S46" s="137">
        <f>'Gelati Custom Cake - Slice'!S46*12</f>
        <v>0</v>
      </c>
      <c r="T46" s="137">
        <f>'Gelati Custom Cake - Slice'!T46*12</f>
        <v>0</v>
      </c>
      <c r="U46" s="137">
        <f>'Gelati Custom Cake - Slice'!U46*12</f>
        <v>36</v>
      </c>
      <c r="V46" s="137">
        <f>'Gelati Custom Cake - Slice'!V46*12</f>
        <v>0</v>
      </c>
      <c r="W46" s="137">
        <f>'Gelati Custom Cake - Slice'!W46*12</f>
        <v>0</v>
      </c>
      <c r="X46" s="138">
        <f>'Gelati Custom Cake - Slice'!X46*12</f>
        <v>24</v>
      </c>
    </row>
    <row r="47" spans="1:24" ht="14.6">
      <c r="A47" s="1318"/>
      <c r="B47" s="54" t="s">
        <v>70</v>
      </c>
      <c r="C47" s="136">
        <f>'Gelati Custom Cake - Slice'!C47*12</f>
        <v>360</v>
      </c>
      <c r="D47" s="136">
        <f>'Gelati Custom Cake - Slice'!D47*12</f>
        <v>0</v>
      </c>
      <c r="E47" s="136">
        <f>'Gelati Custom Cake - Slice'!E47*12</f>
        <v>0</v>
      </c>
      <c r="F47" s="136">
        <f>'Gelati Custom Cake - Slice'!F47*12</f>
        <v>0</v>
      </c>
      <c r="G47" s="136">
        <f>'Gelati Custom Cake - Slice'!G47*12</f>
        <v>0</v>
      </c>
      <c r="H47" s="136">
        <f>'Gelati Custom Cake - Slice'!H47*12</f>
        <v>0</v>
      </c>
      <c r="I47" s="136">
        <f>'Gelati Custom Cake - Slice'!I47*12</f>
        <v>60</v>
      </c>
      <c r="J47" s="136">
        <f>'Gelati Custom Cake - Slice'!J47*12</f>
        <v>84</v>
      </c>
      <c r="K47" s="136">
        <f>'Gelati Custom Cake - Slice'!K47*12</f>
        <v>0</v>
      </c>
      <c r="L47" s="136">
        <f>'Gelati Custom Cake - Slice'!L47*12</f>
        <v>84</v>
      </c>
      <c r="M47" s="136">
        <f>'Gelati Custom Cake - Slice'!M47*12</f>
        <v>84</v>
      </c>
      <c r="N47" s="136">
        <f>'Gelati Custom Cake - Slice'!N47*12</f>
        <v>0</v>
      </c>
      <c r="O47" s="136">
        <f>'Gelati Custom Cake - Slice'!O47*12</f>
        <v>0</v>
      </c>
      <c r="P47" s="136">
        <f>'Gelati Custom Cake - Slice'!P47*12</f>
        <v>0</v>
      </c>
      <c r="Q47" s="136">
        <f>'Gelati Custom Cake - Slice'!Q47*12</f>
        <v>12</v>
      </c>
      <c r="R47" s="136">
        <f>'Gelati Custom Cake - Slice'!R47*12</f>
        <v>0</v>
      </c>
      <c r="S47" s="136">
        <f>'Gelati Custom Cake - Slice'!S47*12</f>
        <v>0</v>
      </c>
      <c r="T47" s="136">
        <f>'Gelati Custom Cake - Slice'!T47*12</f>
        <v>0</v>
      </c>
      <c r="U47" s="136">
        <f>'Gelati Custom Cake - Slice'!U47*12</f>
        <v>0</v>
      </c>
      <c r="V47" s="136">
        <f>'Gelati Custom Cake - Slice'!V47*12</f>
        <v>0</v>
      </c>
      <c r="W47" s="136">
        <f>'Gelati Custom Cake - Slice'!W47*12</f>
        <v>0</v>
      </c>
      <c r="X47" s="143">
        <f>'Gelati Custom Cake - Slice'!X47*12</f>
        <v>0</v>
      </c>
    </row>
    <row r="48" spans="1:24" ht="14.6">
      <c r="A48" s="1318"/>
      <c r="B48" s="54" t="s">
        <v>71</v>
      </c>
      <c r="C48" s="136">
        <f>'Gelati Custom Cake - Slice'!C48*12</f>
        <v>480</v>
      </c>
      <c r="D48" s="136">
        <f>'Gelati Custom Cake - Slice'!D48*12</f>
        <v>0</v>
      </c>
      <c r="E48" s="136">
        <f>'Gelati Custom Cake - Slice'!E48*12</f>
        <v>0</v>
      </c>
      <c r="F48" s="136">
        <f>'Gelati Custom Cake - Slice'!F48*12</f>
        <v>0</v>
      </c>
      <c r="G48" s="136">
        <f>'Gelati Custom Cake - Slice'!G48*12</f>
        <v>0</v>
      </c>
      <c r="H48" s="136">
        <f>'Gelati Custom Cake - Slice'!H48*12</f>
        <v>0</v>
      </c>
      <c r="I48" s="136">
        <f>'Gelati Custom Cake - Slice'!I48*12</f>
        <v>60</v>
      </c>
      <c r="J48" s="136">
        <f>'Gelati Custom Cake - Slice'!J48*12</f>
        <v>120</v>
      </c>
      <c r="K48" s="136">
        <f>'Gelati Custom Cake - Slice'!K48*12</f>
        <v>0</v>
      </c>
      <c r="L48" s="136">
        <f>'Gelati Custom Cake - Slice'!L48*12</f>
        <v>108</v>
      </c>
      <c r="M48" s="136">
        <f>'Gelati Custom Cake - Slice'!M48*12</f>
        <v>108</v>
      </c>
      <c r="N48" s="136">
        <f>'Gelati Custom Cake - Slice'!N48*12</f>
        <v>0</v>
      </c>
      <c r="O48" s="137">
        <f>'Gelati Custom Cake - Slice'!O48*12</f>
        <v>0</v>
      </c>
      <c r="P48" s="137">
        <f>'Gelati Custom Cake - Slice'!P48*12</f>
        <v>0</v>
      </c>
      <c r="Q48" s="137">
        <f>'Gelati Custom Cake - Slice'!Q48*12</f>
        <v>12</v>
      </c>
      <c r="R48" s="137">
        <f>'Gelati Custom Cake - Slice'!R48*12</f>
        <v>0</v>
      </c>
      <c r="S48" s="137">
        <f>'Gelati Custom Cake - Slice'!S48*12</f>
        <v>0</v>
      </c>
      <c r="T48" s="137">
        <f>'Gelati Custom Cake - Slice'!T48*12</f>
        <v>0</v>
      </c>
      <c r="U48" s="137">
        <f>'Gelati Custom Cake - Slice'!U48*12</f>
        <v>36</v>
      </c>
      <c r="V48" s="137">
        <f>'Gelati Custom Cake - Slice'!V48*12</f>
        <v>0</v>
      </c>
      <c r="W48" s="137">
        <f>'Gelati Custom Cake - Slice'!W48*12</f>
        <v>0</v>
      </c>
      <c r="X48" s="138">
        <f>'Gelati Custom Cake - Slice'!X48*12</f>
        <v>0</v>
      </c>
    </row>
    <row r="49" spans="1:24" ht="14.6">
      <c r="A49" s="1318"/>
      <c r="B49" s="54" t="s">
        <v>72</v>
      </c>
      <c r="C49" s="136">
        <f>'Gelati Custom Cake - Slice'!C49*12</f>
        <v>540</v>
      </c>
      <c r="D49" s="136">
        <f>'Gelati Custom Cake - Slice'!D49*12</f>
        <v>0</v>
      </c>
      <c r="E49" s="136">
        <f>'Gelati Custom Cake - Slice'!E49*12</f>
        <v>0</v>
      </c>
      <c r="F49" s="136">
        <f>'Gelati Custom Cake - Slice'!F49*12</f>
        <v>0</v>
      </c>
      <c r="G49" s="136">
        <f>'Gelati Custom Cake - Slice'!G49*12</f>
        <v>0</v>
      </c>
      <c r="H49" s="136">
        <f>'Gelati Custom Cake - Slice'!H49*12</f>
        <v>0</v>
      </c>
      <c r="I49" s="136">
        <f>'Gelati Custom Cake - Slice'!I49*12</f>
        <v>120</v>
      </c>
      <c r="J49" s="136">
        <f>'Gelati Custom Cake - Slice'!J49*12</f>
        <v>144</v>
      </c>
      <c r="K49" s="136">
        <f>'Gelati Custom Cake - Slice'!K49*12</f>
        <v>0</v>
      </c>
      <c r="L49" s="136">
        <f>'Gelati Custom Cake - Slice'!L49*12</f>
        <v>132</v>
      </c>
      <c r="M49" s="136">
        <f>'Gelati Custom Cake - Slice'!M49*12</f>
        <v>132</v>
      </c>
      <c r="N49" s="136">
        <f>'Gelati Custom Cake - Slice'!N49*12</f>
        <v>0</v>
      </c>
      <c r="O49" s="137">
        <f>'Gelati Custom Cake - Slice'!O49*12</f>
        <v>0</v>
      </c>
      <c r="P49" s="137">
        <f>'Gelati Custom Cake - Slice'!P49*12</f>
        <v>0</v>
      </c>
      <c r="Q49" s="137">
        <f>'Gelati Custom Cake - Slice'!Q49*12</f>
        <v>12</v>
      </c>
      <c r="R49" s="137">
        <f>'Gelati Custom Cake - Slice'!R49*12</f>
        <v>0</v>
      </c>
      <c r="S49" s="137">
        <f>'Gelati Custom Cake - Slice'!S49*12</f>
        <v>0</v>
      </c>
      <c r="T49" s="137">
        <f>'Gelati Custom Cake - Slice'!T49*12</f>
        <v>0</v>
      </c>
      <c r="U49" s="137">
        <f>'Gelati Custom Cake - Slice'!U49*12</f>
        <v>0</v>
      </c>
      <c r="V49" s="137">
        <f>'Gelati Custom Cake - Slice'!V49*12</f>
        <v>0</v>
      </c>
      <c r="W49" s="137">
        <f>'Gelati Custom Cake - Slice'!W49*12</f>
        <v>0</v>
      </c>
      <c r="X49" s="138">
        <f>'Gelati Custom Cake - Slice'!X49*12</f>
        <v>0</v>
      </c>
    </row>
    <row r="50" spans="1:24" ht="14.6">
      <c r="A50" s="1318"/>
      <c r="B50" s="54" t="s">
        <v>74</v>
      </c>
      <c r="C50" s="136">
        <f>'Gelati Custom Cake - Slice'!C50*12</f>
        <v>420</v>
      </c>
      <c r="D50" s="136">
        <f>'Gelati Custom Cake - Slice'!D50*12</f>
        <v>0</v>
      </c>
      <c r="E50" s="136">
        <f>'Gelati Custom Cake - Slice'!E50*12</f>
        <v>0</v>
      </c>
      <c r="F50" s="136">
        <f>'Gelati Custom Cake - Slice'!F50*12</f>
        <v>0</v>
      </c>
      <c r="G50" s="136">
        <f>'Gelati Custom Cake - Slice'!G50*12</f>
        <v>0</v>
      </c>
      <c r="H50" s="136">
        <f>'Gelati Custom Cake - Slice'!H50*12</f>
        <v>0</v>
      </c>
      <c r="I50" s="136">
        <f>'Gelati Custom Cake - Slice'!I50*12</f>
        <v>60</v>
      </c>
      <c r="J50" s="136">
        <f>'Gelati Custom Cake - Slice'!J50*12</f>
        <v>120</v>
      </c>
      <c r="K50" s="136">
        <f>'Gelati Custom Cake - Slice'!K50*12</f>
        <v>0</v>
      </c>
      <c r="L50" s="136">
        <f>'Gelati Custom Cake - Slice'!L50*12</f>
        <v>108</v>
      </c>
      <c r="M50" s="136">
        <f>'Gelati Custom Cake - Slice'!M50*12</f>
        <v>108</v>
      </c>
      <c r="N50" s="136">
        <f>'Gelati Custom Cake - Slice'!N50*12</f>
        <v>0</v>
      </c>
      <c r="O50" s="137">
        <f>'Gelati Custom Cake - Slice'!O50*12</f>
        <v>0</v>
      </c>
      <c r="P50" s="137">
        <f>'Gelati Custom Cake - Slice'!P50*12</f>
        <v>0</v>
      </c>
      <c r="Q50" s="137">
        <f>'Gelati Custom Cake - Slice'!Q50*12</f>
        <v>12</v>
      </c>
      <c r="R50" s="137">
        <f>'Gelati Custom Cake - Slice'!R50*12</f>
        <v>0</v>
      </c>
      <c r="S50" s="137">
        <f>'Gelati Custom Cake - Slice'!S50*12</f>
        <v>0</v>
      </c>
      <c r="T50" s="137">
        <f>'Gelati Custom Cake - Slice'!T50*12</f>
        <v>0</v>
      </c>
      <c r="U50" s="137">
        <f>'Gelati Custom Cake - Slice'!U50*12</f>
        <v>0</v>
      </c>
      <c r="V50" s="137">
        <f>'Gelati Custom Cake - Slice'!V50*12</f>
        <v>0</v>
      </c>
      <c r="W50" s="137">
        <f>'Gelati Custom Cake - Slice'!W50*12</f>
        <v>0</v>
      </c>
      <c r="X50" s="138">
        <f>'Gelati Custom Cake - Slice'!X50*12</f>
        <v>0</v>
      </c>
    </row>
    <row r="51" spans="1:24" ht="14.6">
      <c r="A51" s="1318"/>
      <c r="B51" s="54" t="s">
        <v>75</v>
      </c>
      <c r="C51" s="136">
        <f>'Gelati Custom Cake - Slice'!C51*12</f>
        <v>420</v>
      </c>
      <c r="D51" s="136">
        <f>'Gelati Custom Cake - Slice'!D51*12</f>
        <v>0</v>
      </c>
      <c r="E51" s="136">
        <f>'Gelati Custom Cake - Slice'!E51*12</f>
        <v>0</v>
      </c>
      <c r="F51" s="136">
        <f>'Gelati Custom Cake - Slice'!F51*12</f>
        <v>0</v>
      </c>
      <c r="G51" s="136">
        <f>'Gelati Custom Cake - Slice'!G51*12</f>
        <v>0</v>
      </c>
      <c r="H51" s="136">
        <f>'Gelati Custom Cake - Slice'!H51*12</f>
        <v>0</v>
      </c>
      <c r="I51" s="136">
        <f>'Gelati Custom Cake - Slice'!I51*12</f>
        <v>60</v>
      </c>
      <c r="J51" s="136">
        <f>'Gelati Custom Cake - Slice'!J51*12</f>
        <v>108</v>
      </c>
      <c r="K51" s="136">
        <f>'Gelati Custom Cake - Slice'!K51*12</f>
        <v>0</v>
      </c>
      <c r="L51" s="136">
        <f>'Gelati Custom Cake - Slice'!L51*12</f>
        <v>108</v>
      </c>
      <c r="M51" s="136">
        <f>'Gelati Custom Cake - Slice'!M51*12</f>
        <v>108</v>
      </c>
      <c r="N51" s="136">
        <f>'Gelati Custom Cake - Slice'!N51*12</f>
        <v>0</v>
      </c>
      <c r="O51" s="137">
        <f>'Gelati Custom Cake - Slice'!O51*12</f>
        <v>0</v>
      </c>
      <c r="P51" s="137">
        <f>'Gelati Custom Cake - Slice'!P51*12</f>
        <v>0</v>
      </c>
      <c r="Q51" s="137">
        <f>'Gelati Custom Cake - Slice'!Q51*12</f>
        <v>12</v>
      </c>
      <c r="R51" s="137">
        <f>'Gelati Custom Cake - Slice'!R51*12</f>
        <v>0</v>
      </c>
      <c r="S51" s="137">
        <f>'Gelati Custom Cake - Slice'!S51*12</f>
        <v>0</v>
      </c>
      <c r="T51" s="137">
        <f>'Gelati Custom Cake - Slice'!T51*12</f>
        <v>0</v>
      </c>
      <c r="U51" s="137">
        <f>'Gelati Custom Cake - Slice'!U51*12</f>
        <v>36</v>
      </c>
      <c r="V51" s="137">
        <f>'Gelati Custom Cake - Slice'!V51*12</f>
        <v>0</v>
      </c>
      <c r="W51" s="137">
        <f>'Gelati Custom Cake - Slice'!W51*12</f>
        <v>0</v>
      </c>
      <c r="X51" s="138">
        <f>'Gelati Custom Cake - Slice'!X51*12</f>
        <v>0</v>
      </c>
    </row>
    <row r="52" spans="1:24" ht="14.6">
      <c r="A52" s="1318"/>
      <c r="B52" s="54" t="s">
        <v>76</v>
      </c>
      <c r="C52" s="136">
        <f>'Gelati Custom Cake - Slice'!C52*12</f>
        <v>480</v>
      </c>
      <c r="D52" s="136">
        <f>'Gelati Custom Cake - Slice'!D52*12</f>
        <v>0</v>
      </c>
      <c r="E52" s="136">
        <f>'Gelati Custom Cake - Slice'!E52*12</f>
        <v>0</v>
      </c>
      <c r="F52" s="136">
        <f>'Gelati Custom Cake - Slice'!F52*12</f>
        <v>0</v>
      </c>
      <c r="G52" s="136">
        <f>'Gelati Custom Cake - Slice'!G52*12</f>
        <v>0</v>
      </c>
      <c r="H52" s="136">
        <f>'Gelati Custom Cake - Slice'!H52*12</f>
        <v>0</v>
      </c>
      <c r="I52" s="136">
        <f>'Gelati Custom Cake - Slice'!I52*12</f>
        <v>60</v>
      </c>
      <c r="J52" s="136">
        <f>'Gelati Custom Cake - Slice'!J52*12</f>
        <v>132</v>
      </c>
      <c r="K52" s="136">
        <f>'Gelati Custom Cake - Slice'!K52*12</f>
        <v>0</v>
      </c>
      <c r="L52" s="136">
        <f>'Gelati Custom Cake - Slice'!L52*12</f>
        <v>120</v>
      </c>
      <c r="M52" s="136">
        <f>'Gelati Custom Cake - Slice'!M52*12</f>
        <v>120</v>
      </c>
      <c r="N52" s="136">
        <f>'Gelati Custom Cake - Slice'!N52*12</f>
        <v>0</v>
      </c>
      <c r="O52" s="139">
        <f>'Gelati Custom Cake - Slice'!O52*12</f>
        <v>0</v>
      </c>
      <c r="P52" s="139">
        <f>'Gelati Custom Cake - Slice'!P52*12</f>
        <v>0</v>
      </c>
      <c r="Q52" s="139">
        <f>'Gelati Custom Cake - Slice'!Q52*12</f>
        <v>12</v>
      </c>
      <c r="R52" s="139">
        <f>'Gelati Custom Cake - Slice'!R52*12</f>
        <v>0</v>
      </c>
      <c r="S52" s="139">
        <f>'Gelati Custom Cake - Slice'!S52*12</f>
        <v>0</v>
      </c>
      <c r="T52" s="139">
        <f>'Gelati Custom Cake - Slice'!T52*12</f>
        <v>0</v>
      </c>
      <c r="U52" s="139">
        <f>'Gelati Custom Cake - Slice'!U52*12</f>
        <v>12</v>
      </c>
      <c r="V52" s="139">
        <f>'Gelati Custom Cake - Slice'!V52*12</f>
        <v>0</v>
      </c>
      <c r="W52" s="139">
        <f>'Gelati Custom Cake - Slice'!W52*12</f>
        <v>0</v>
      </c>
      <c r="X52" s="142">
        <f>'Gelati Custom Cake - Slice'!X52*12</f>
        <v>0</v>
      </c>
    </row>
    <row r="53" spans="1:24" ht="14.6">
      <c r="A53" s="1318"/>
      <c r="B53" s="54" t="s">
        <v>77</v>
      </c>
      <c r="C53" s="136">
        <f>'Gelati Custom Cake - Slice'!C53*12</f>
        <v>480</v>
      </c>
      <c r="D53" s="136">
        <f>'Gelati Custom Cake - Slice'!D53*12</f>
        <v>0</v>
      </c>
      <c r="E53" s="136">
        <f>'Gelati Custom Cake - Slice'!E53*12</f>
        <v>0</v>
      </c>
      <c r="F53" s="136">
        <f>'Gelati Custom Cake - Slice'!F53*12</f>
        <v>0</v>
      </c>
      <c r="G53" s="136">
        <f>'Gelati Custom Cake - Slice'!G53*12</f>
        <v>0</v>
      </c>
      <c r="H53" s="136">
        <f>'Gelati Custom Cake - Slice'!H53*12</f>
        <v>0</v>
      </c>
      <c r="I53" s="136">
        <f>'Gelati Custom Cake - Slice'!I53*12</f>
        <v>60</v>
      </c>
      <c r="J53" s="136">
        <f>'Gelati Custom Cake - Slice'!J53*12</f>
        <v>120</v>
      </c>
      <c r="K53" s="136">
        <f>'Gelati Custom Cake - Slice'!K53*12</f>
        <v>0</v>
      </c>
      <c r="L53" s="136">
        <f>'Gelati Custom Cake - Slice'!L53*12</f>
        <v>120</v>
      </c>
      <c r="M53" s="136">
        <f>'Gelati Custom Cake - Slice'!M53*12</f>
        <v>120</v>
      </c>
      <c r="N53" s="136">
        <f>'Gelati Custom Cake - Slice'!N53*12</f>
        <v>0</v>
      </c>
      <c r="O53" s="137">
        <f>'Gelati Custom Cake - Slice'!O53*12</f>
        <v>0</v>
      </c>
      <c r="P53" s="137">
        <f>'Gelati Custom Cake - Slice'!P53*12</f>
        <v>0</v>
      </c>
      <c r="Q53" s="137">
        <f>'Gelati Custom Cake - Slice'!Q53*12</f>
        <v>24</v>
      </c>
      <c r="R53" s="137">
        <f>'Gelati Custom Cake - Slice'!R53*12</f>
        <v>0</v>
      </c>
      <c r="S53" s="137">
        <f>'Gelati Custom Cake - Slice'!S53*12</f>
        <v>0</v>
      </c>
      <c r="T53" s="137">
        <f>'Gelati Custom Cake - Slice'!T53*12</f>
        <v>0</v>
      </c>
      <c r="U53" s="137">
        <f>'Gelati Custom Cake - Slice'!U53*12</f>
        <v>24</v>
      </c>
      <c r="V53" s="137">
        <f>'Gelati Custom Cake - Slice'!V53*12</f>
        <v>0</v>
      </c>
      <c r="W53" s="137">
        <f>'Gelati Custom Cake - Slice'!W53*12</f>
        <v>0</v>
      </c>
      <c r="X53" s="138">
        <f>'Gelati Custom Cake - Slice'!X53*12</f>
        <v>0</v>
      </c>
    </row>
    <row r="54" spans="1:24" ht="15" thickBot="1">
      <c r="A54" s="1319"/>
      <c r="B54" s="55" t="s">
        <v>78</v>
      </c>
      <c r="C54" s="144">
        <f>'Gelati Custom Cake - Slice'!C54*12</f>
        <v>480</v>
      </c>
      <c r="D54" s="144">
        <f>'Gelati Custom Cake - Slice'!D54*12</f>
        <v>0</v>
      </c>
      <c r="E54" s="144">
        <f>'Gelati Custom Cake - Slice'!E54*12</f>
        <v>0</v>
      </c>
      <c r="F54" s="144">
        <f>'Gelati Custom Cake - Slice'!F54*12</f>
        <v>0</v>
      </c>
      <c r="G54" s="144">
        <f>'Gelati Custom Cake - Slice'!G54*12</f>
        <v>0</v>
      </c>
      <c r="H54" s="144">
        <f>'Gelati Custom Cake - Slice'!H54*12</f>
        <v>0</v>
      </c>
      <c r="I54" s="144">
        <f>'Gelati Custom Cake - Slice'!I54*12</f>
        <v>0</v>
      </c>
      <c r="J54" s="144">
        <f>'Gelati Custom Cake - Slice'!J54*12</f>
        <v>108</v>
      </c>
      <c r="K54" s="144">
        <f>'Gelati Custom Cake - Slice'!K54*12</f>
        <v>0</v>
      </c>
      <c r="L54" s="144">
        <f>'Gelati Custom Cake - Slice'!L54*12</f>
        <v>108</v>
      </c>
      <c r="M54" s="144">
        <f>'Gelati Custom Cake - Slice'!M54*12</f>
        <v>108</v>
      </c>
      <c r="N54" s="144">
        <f>'Gelati Custom Cake - Slice'!N54*12</f>
        <v>0</v>
      </c>
      <c r="O54" s="144">
        <f>'Gelati Custom Cake - Slice'!O54*12</f>
        <v>0</v>
      </c>
      <c r="P54" s="144">
        <f>'Gelati Custom Cake - Slice'!P54*12</f>
        <v>0</v>
      </c>
      <c r="Q54" s="144">
        <f>'Gelati Custom Cake - Slice'!Q54*12</f>
        <v>24</v>
      </c>
      <c r="R54" s="144">
        <f>'Gelati Custom Cake - Slice'!R54*12</f>
        <v>0</v>
      </c>
      <c r="S54" s="144">
        <f>'Gelati Custom Cake - Slice'!S54*12</f>
        <v>0</v>
      </c>
      <c r="T54" s="144">
        <f>'Gelati Custom Cake - Slice'!T54*12</f>
        <v>0</v>
      </c>
      <c r="U54" s="144">
        <f>'Gelati Custom Cake - Slice'!U54*12</f>
        <v>36</v>
      </c>
      <c r="V54" s="144">
        <f>'Gelati Custom Cake - Slice'!V54*12</f>
        <v>0</v>
      </c>
      <c r="W54" s="144">
        <f>'Gelati Custom Cake - Slice'!W54*12</f>
        <v>0</v>
      </c>
      <c r="X54" s="145">
        <f>'Gelati Custom Cake - Slice'!X54*12</f>
        <v>0</v>
      </c>
    </row>
    <row r="55" spans="1:24" ht="14.6">
      <c r="A55" s="1317" t="s">
        <v>79</v>
      </c>
      <c r="B55" s="53" t="s">
        <v>80</v>
      </c>
      <c r="C55" s="133">
        <f>'Gelati Custom Cake - Slice'!C55*12</f>
        <v>480</v>
      </c>
      <c r="D55" s="133">
        <f>'Gelati Custom Cake - Slice'!D55*12</f>
        <v>0</v>
      </c>
      <c r="E55" s="133">
        <f>'Gelati Custom Cake - Slice'!E55*12</f>
        <v>0</v>
      </c>
      <c r="F55" s="133">
        <f>'Gelati Custom Cake - Slice'!F55*12</f>
        <v>0</v>
      </c>
      <c r="G55" s="133">
        <f>'Gelati Custom Cake - Slice'!G55*12</f>
        <v>0</v>
      </c>
      <c r="H55" s="133">
        <f>'Gelati Custom Cake - Slice'!H55*12</f>
        <v>0</v>
      </c>
      <c r="I55" s="133">
        <f>'Gelati Custom Cake - Slice'!I55*12</f>
        <v>0</v>
      </c>
      <c r="J55" s="133">
        <f>'Gelati Custom Cake - Slice'!J55*12</f>
        <v>96</v>
      </c>
      <c r="K55" s="133">
        <f>'Gelati Custom Cake - Slice'!K55*12</f>
        <v>0</v>
      </c>
      <c r="L55" s="133">
        <f>'Gelati Custom Cake - Slice'!L55*12</f>
        <v>96</v>
      </c>
      <c r="M55" s="133">
        <f>'Gelati Custom Cake - Slice'!M55*12</f>
        <v>84</v>
      </c>
      <c r="N55" s="133">
        <f>'Gelati Custom Cake - Slice'!N55*12</f>
        <v>0</v>
      </c>
      <c r="O55" s="134">
        <f>'Gelati Custom Cake - Slice'!O55*12</f>
        <v>0</v>
      </c>
      <c r="P55" s="134">
        <f>'Gelati Custom Cake - Slice'!P55*12</f>
        <v>0</v>
      </c>
      <c r="Q55" s="134">
        <f>'Gelati Custom Cake - Slice'!Q55*12</f>
        <v>36</v>
      </c>
      <c r="R55" s="134">
        <f>'Gelati Custom Cake - Slice'!R55*12</f>
        <v>0</v>
      </c>
      <c r="S55" s="134">
        <f>'Gelati Custom Cake - Slice'!S55*12</f>
        <v>0</v>
      </c>
      <c r="T55" s="134">
        <f>'Gelati Custom Cake - Slice'!T55*12</f>
        <v>0</v>
      </c>
      <c r="U55" s="134">
        <f>'Gelati Custom Cake - Slice'!U55*12</f>
        <v>360</v>
      </c>
      <c r="V55" s="134">
        <f>'Gelati Custom Cake - Slice'!V55*12</f>
        <v>0</v>
      </c>
      <c r="W55" s="134">
        <f>'Gelati Custom Cake - Slice'!W55*12</f>
        <v>0</v>
      </c>
      <c r="X55" s="135">
        <f>'Gelati Custom Cake - Slice'!X55*12</f>
        <v>0</v>
      </c>
    </row>
    <row r="56" spans="1:24" ht="14.6">
      <c r="A56" s="1318"/>
      <c r="B56" s="54" t="s">
        <v>81</v>
      </c>
      <c r="C56" s="136">
        <f>'Gelati Custom Cake - Slice'!C56*12</f>
        <v>360</v>
      </c>
      <c r="D56" s="136">
        <f>'Gelati Custom Cake - Slice'!D56*12</f>
        <v>0</v>
      </c>
      <c r="E56" s="136">
        <f>'Gelati Custom Cake - Slice'!E56*12</f>
        <v>0</v>
      </c>
      <c r="F56" s="136">
        <f>'Gelati Custom Cake - Slice'!F56*12</f>
        <v>0</v>
      </c>
      <c r="G56" s="136">
        <f>'Gelati Custom Cake - Slice'!G56*12</f>
        <v>0</v>
      </c>
      <c r="H56" s="136">
        <f>'Gelati Custom Cake - Slice'!H56*12</f>
        <v>0</v>
      </c>
      <c r="I56" s="136">
        <f>'Gelati Custom Cake - Slice'!I56*12</f>
        <v>0</v>
      </c>
      <c r="J56" s="136">
        <f>'Gelati Custom Cake - Slice'!J56*12</f>
        <v>84</v>
      </c>
      <c r="K56" s="136">
        <f>'Gelati Custom Cake - Slice'!K56*12</f>
        <v>0</v>
      </c>
      <c r="L56" s="136">
        <f>'Gelati Custom Cake - Slice'!L56*12</f>
        <v>84</v>
      </c>
      <c r="M56" s="136">
        <f>'Gelati Custom Cake - Slice'!M56*12</f>
        <v>72</v>
      </c>
      <c r="N56" s="136">
        <f>'Gelati Custom Cake - Slice'!N56*12</f>
        <v>0</v>
      </c>
      <c r="O56" s="136">
        <f>'Gelati Custom Cake - Slice'!O56*12</f>
        <v>0</v>
      </c>
      <c r="P56" s="136">
        <f>'Gelati Custom Cake - Slice'!P56*12</f>
        <v>0</v>
      </c>
      <c r="Q56" s="136">
        <f>'Gelati Custom Cake - Slice'!Q56*12</f>
        <v>24</v>
      </c>
      <c r="R56" s="136">
        <f>'Gelati Custom Cake - Slice'!R56*12</f>
        <v>0</v>
      </c>
      <c r="S56" s="136">
        <f>'Gelati Custom Cake - Slice'!S56*12</f>
        <v>0</v>
      </c>
      <c r="T56" s="136">
        <f>'Gelati Custom Cake - Slice'!T56*12</f>
        <v>0</v>
      </c>
      <c r="U56" s="136">
        <f>'Gelati Custom Cake - Slice'!U56*12</f>
        <v>12</v>
      </c>
      <c r="V56" s="136">
        <f>'Gelati Custom Cake - Slice'!V56*12</f>
        <v>0</v>
      </c>
      <c r="W56" s="136">
        <f>'Gelati Custom Cake - Slice'!W56*12</f>
        <v>0</v>
      </c>
      <c r="X56" s="143">
        <f>'Gelati Custom Cake - Slice'!X56*12</f>
        <v>0</v>
      </c>
    </row>
    <row r="57" spans="1:24" ht="14.6">
      <c r="A57" s="1318"/>
      <c r="B57" s="54" t="s">
        <v>82</v>
      </c>
      <c r="C57" s="136">
        <f>'Gelati Custom Cake - Slice'!C57*12</f>
        <v>360</v>
      </c>
      <c r="D57" s="136">
        <f>'Gelati Custom Cake - Slice'!D57*12</f>
        <v>0</v>
      </c>
      <c r="E57" s="136">
        <f>'Gelati Custom Cake - Slice'!E57*12</f>
        <v>0</v>
      </c>
      <c r="F57" s="136">
        <f>'Gelati Custom Cake - Slice'!F57*12</f>
        <v>0</v>
      </c>
      <c r="G57" s="136">
        <f>'Gelati Custom Cake - Slice'!G57*12</f>
        <v>0</v>
      </c>
      <c r="H57" s="136">
        <f>'Gelati Custom Cake - Slice'!H57*12</f>
        <v>0</v>
      </c>
      <c r="I57" s="136">
        <f>'Gelati Custom Cake - Slice'!I57*12</f>
        <v>0</v>
      </c>
      <c r="J57" s="136">
        <f>'Gelati Custom Cake - Slice'!J57*12</f>
        <v>96</v>
      </c>
      <c r="K57" s="136">
        <f>'Gelati Custom Cake - Slice'!K57*12</f>
        <v>0</v>
      </c>
      <c r="L57" s="136">
        <f>'Gelati Custom Cake - Slice'!L57*12</f>
        <v>96</v>
      </c>
      <c r="M57" s="136">
        <f>'Gelati Custom Cake - Slice'!M57*12</f>
        <v>96</v>
      </c>
      <c r="N57" s="136">
        <f>'Gelati Custom Cake - Slice'!N57*12</f>
        <v>0</v>
      </c>
      <c r="O57" s="136">
        <f>'Gelati Custom Cake - Slice'!O57*12</f>
        <v>0</v>
      </c>
      <c r="P57" s="136">
        <f>'Gelati Custom Cake - Slice'!P57*12</f>
        <v>0</v>
      </c>
      <c r="Q57" s="136">
        <f>'Gelati Custom Cake - Slice'!Q57*12</f>
        <v>24</v>
      </c>
      <c r="R57" s="136">
        <f>'Gelati Custom Cake - Slice'!R57*12</f>
        <v>0</v>
      </c>
      <c r="S57" s="136">
        <f>'Gelati Custom Cake - Slice'!S57*12</f>
        <v>0</v>
      </c>
      <c r="T57" s="136">
        <f>'Gelati Custom Cake - Slice'!T57*12</f>
        <v>0</v>
      </c>
      <c r="U57" s="136">
        <f>'Gelati Custom Cake - Slice'!U57*12</f>
        <v>12</v>
      </c>
      <c r="V57" s="136">
        <f>'Gelati Custom Cake - Slice'!V57*12</f>
        <v>0</v>
      </c>
      <c r="W57" s="136">
        <f>'Gelati Custom Cake - Slice'!W57*12</f>
        <v>0</v>
      </c>
      <c r="X57" s="143">
        <f>'Gelati Custom Cake - Slice'!X57*12</f>
        <v>0</v>
      </c>
    </row>
    <row r="58" spans="1:24" ht="14.6">
      <c r="A58" s="1318"/>
      <c r="B58" s="54" t="s">
        <v>83</v>
      </c>
      <c r="C58" s="137">
        <f>'Gelati Custom Cake - Slice'!C58*12</f>
        <v>360</v>
      </c>
      <c r="D58" s="137">
        <f>'Gelati Custom Cake - Slice'!D58*12</f>
        <v>0</v>
      </c>
      <c r="E58" s="137">
        <f>'Gelati Custom Cake - Slice'!E58*12</f>
        <v>0</v>
      </c>
      <c r="F58" s="137">
        <f>'Gelati Custom Cake - Slice'!F58*12</f>
        <v>0</v>
      </c>
      <c r="G58" s="137">
        <f>'Gelati Custom Cake - Slice'!G58*12</f>
        <v>0</v>
      </c>
      <c r="H58" s="137">
        <f>'Gelati Custom Cake - Slice'!H58*12</f>
        <v>0</v>
      </c>
      <c r="I58" s="137">
        <f>'Gelati Custom Cake - Slice'!I58*12</f>
        <v>0</v>
      </c>
      <c r="J58" s="137">
        <f>'Gelati Custom Cake - Slice'!J58*12</f>
        <v>96</v>
      </c>
      <c r="K58" s="137">
        <f>'Gelati Custom Cake - Slice'!K58*12</f>
        <v>0</v>
      </c>
      <c r="L58" s="137">
        <f>'Gelati Custom Cake - Slice'!L58*12</f>
        <v>96</v>
      </c>
      <c r="M58" s="137">
        <f>'Gelati Custom Cake - Slice'!M58*12</f>
        <v>96</v>
      </c>
      <c r="N58" s="137">
        <f>'Gelati Custom Cake - Slice'!N58*12</f>
        <v>0</v>
      </c>
      <c r="O58" s="137">
        <f>'Gelati Custom Cake - Slice'!O58*12</f>
        <v>0</v>
      </c>
      <c r="P58" s="137">
        <f>'Gelati Custom Cake - Slice'!P58*12</f>
        <v>0</v>
      </c>
      <c r="Q58" s="137">
        <f>'Gelati Custom Cake - Slice'!Q58*12</f>
        <v>24</v>
      </c>
      <c r="R58" s="137">
        <f>'Gelati Custom Cake - Slice'!R58*12</f>
        <v>0</v>
      </c>
      <c r="S58" s="137">
        <f>'Gelati Custom Cake - Slice'!S58*12</f>
        <v>0</v>
      </c>
      <c r="T58" s="137">
        <f>'Gelati Custom Cake - Slice'!T58*12</f>
        <v>0</v>
      </c>
      <c r="U58" s="137">
        <f>'Gelati Custom Cake - Slice'!U58*12</f>
        <v>36</v>
      </c>
      <c r="V58" s="137">
        <f>'Gelati Custom Cake - Slice'!V58*12</f>
        <v>0</v>
      </c>
      <c r="W58" s="137">
        <f>'Gelati Custom Cake - Slice'!W58*12</f>
        <v>0</v>
      </c>
      <c r="X58" s="138">
        <f>'Gelati Custom Cake - Slice'!X58*12</f>
        <v>72</v>
      </c>
    </row>
    <row r="59" spans="1:24" ht="14.6">
      <c r="A59" s="1318"/>
      <c r="B59" s="54" t="s">
        <v>84</v>
      </c>
      <c r="C59" s="136">
        <f>'Gelati Custom Cake - Slice'!C59*12</f>
        <v>480</v>
      </c>
      <c r="D59" s="136">
        <f>'Gelati Custom Cake - Slice'!D59*12</f>
        <v>0</v>
      </c>
      <c r="E59" s="136">
        <f>'Gelati Custom Cake - Slice'!E59*12</f>
        <v>0</v>
      </c>
      <c r="F59" s="136">
        <f>'Gelati Custom Cake - Slice'!F59*12</f>
        <v>0</v>
      </c>
      <c r="G59" s="136">
        <f>'Gelati Custom Cake - Slice'!G59*12</f>
        <v>0</v>
      </c>
      <c r="H59" s="136">
        <f>'Gelati Custom Cake - Slice'!H59*12</f>
        <v>0</v>
      </c>
      <c r="I59" s="136">
        <f>'Gelati Custom Cake - Slice'!I59*12</f>
        <v>0</v>
      </c>
      <c r="J59" s="136">
        <f>'Gelati Custom Cake - Slice'!J59*12</f>
        <v>96</v>
      </c>
      <c r="K59" s="136">
        <f>'Gelati Custom Cake - Slice'!K59*12</f>
        <v>0</v>
      </c>
      <c r="L59" s="136">
        <f>'Gelati Custom Cake - Slice'!L59*12</f>
        <v>84</v>
      </c>
      <c r="M59" s="136">
        <f>'Gelati Custom Cake - Slice'!M59*12</f>
        <v>84</v>
      </c>
      <c r="N59" s="136">
        <f>'Gelati Custom Cake - Slice'!N59*12</f>
        <v>0</v>
      </c>
      <c r="O59" s="136">
        <f>'Gelati Custom Cake - Slice'!O59*12</f>
        <v>0</v>
      </c>
      <c r="P59" s="136">
        <f>'Gelati Custom Cake - Slice'!P59*12</f>
        <v>0</v>
      </c>
      <c r="Q59" s="136">
        <f>'Gelati Custom Cake - Slice'!Q59*12</f>
        <v>48</v>
      </c>
      <c r="R59" s="136">
        <f>'Gelati Custom Cake - Slice'!R59*12</f>
        <v>0</v>
      </c>
      <c r="S59" s="136">
        <f>'Gelati Custom Cake - Slice'!S59*12</f>
        <v>0</v>
      </c>
      <c r="T59" s="136">
        <f>'Gelati Custom Cake - Slice'!T59*12</f>
        <v>0</v>
      </c>
      <c r="U59" s="136">
        <f>'Gelati Custom Cake - Slice'!U59*12</f>
        <v>276</v>
      </c>
      <c r="V59" s="136">
        <f>'Gelati Custom Cake - Slice'!V59*12</f>
        <v>0</v>
      </c>
      <c r="W59" s="136">
        <f>'Gelati Custom Cake - Slice'!W59*12</f>
        <v>0</v>
      </c>
      <c r="X59" s="143">
        <f>'Gelati Custom Cake - Slice'!X59*12</f>
        <v>24</v>
      </c>
    </row>
    <row r="60" spans="1:24" ht="14.6">
      <c r="A60" s="1318"/>
      <c r="B60" s="54" t="s">
        <v>85</v>
      </c>
      <c r="C60" s="136">
        <f>'Gelati Custom Cake - Slice'!C60*12</f>
        <v>420</v>
      </c>
      <c r="D60" s="136">
        <f>'Gelati Custom Cake - Slice'!D60*12</f>
        <v>0</v>
      </c>
      <c r="E60" s="136">
        <f>'Gelati Custom Cake - Slice'!E60*12</f>
        <v>0</v>
      </c>
      <c r="F60" s="136">
        <f>'Gelati Custom Cake - Slice'!F60*12</f>
        <v>0</v>
      </c>
      <c r="G60" s="136">
        <f>'Gelati Custom Cake - Slice'!G60*12</f>
        <v>0</v>
      </c>
      <c r="H60" s="136">
        <f>'Gelati Custom Cake - Slice'!H60*12</f>
        <v>0</v>
      </c>
      <c r="I60" s="136">
        <f>'Gelati Custom Cake - Slice'!I60*12</f>
        <v>0</v>
      </c>
      <c r="J60" s="136">
        <f>'Gelati Custom Cake - Slice'!J60*12</f>
        <v>96</v>
      </c>
      <c r="K60" s="136">
        <f>'Gelati Custom Cake - Slice'!K60*12</f>
        <v>0</v>
      </c>
      <c r="L60" s="136">
        <f>'Gelati Custom Cake - Slice'!L60*12</f>
        <v>96</v>
      </c>
      <c r="M60" s="136">
        <f>'Gelati Custom Cake - Slice'!M60*12</f>
        <v>84</v>
      </c>
      <c r="N60" s="136">
        <f>'Gelati Custom Cake - Slice'!N60*12</f>
        <v>0</v>
      </c>
      <c r="O60" s="137">
        <f>'Gelati Custom Cake - Slice'!O60*12</f>
        <v>0</v>
      </c>
      <c r="P60" s="137">
        <f>'Gelati Custom Cake - Slice'!P60*12</f>
        <v>0</v>
      </c>
      <c r="Q60" s="137">
        <f>'Gelati Custom Cake - Slice'!Q60*12</f>
        <v>36</v>
      </c>
      <c r="R60" s="137">
        <f>'Gelati Custom Cake - Slice'!R60*12</f>
        <v>0</v>
      </c>
      <c r="S60" s="137">
        <f>'Gelati Custom Cake - Slice'!S60*12</f>
        <v>0</v>
      </c>
      <c r="T60" s="137">
        <f>'Gelati Custom Cake - Slice'!T60*12</f>
        <v>0</v>
      </c>
      <c r="U60" s="137">
        <f>'Gelati Custom Cake - Slice'!U60*12</f>
        <v>168</v>
      </c>
      <c r="V60" s="137">
        <f>'Gelati Custom Cake - Slice'!V60*12</f>
        <v>0</v>
      </c>
      <c r="W60" s="137">
        <f>'Gelati Custom Cake - Slice'!W60*12</f>
        <v>0</v>
      </c>
      <c r="X60" s="138">
        <f>'Gelati Custom Cake - Slice'!X60*12</f>
        <v>480</v>
      </c>
    </row>
    <row r="61" spans="1:24" ht="14.6">
      <c r="A61" s="1318"/>
      <c r="B61" s="54" t="s">
        <v>379</v>
      </c>
      <c r="C61" s="136">
        <f>'Gelati Custom Cake - Slice'!C61*12</f>
        <v>420</v>
      </c>
      <c r="D61" s="136">
        <f>'Gelati Custom Cake - Slice'!D61*12</f>
        <v>0</v>
      </c>
      <c r="E61" s="136">
        <f>'Gelati Custom Cake - Slice'!E61*12</f>
        <v>0</v>
      </c>
      <c r="F61" s="136">
        <f>'Gelati Custom Cake - Slice'!F61*12</f>
        <v>0</v>
      </c>
      <c r="G61" s="136">
        <f>'Gelati Custom Cake - Slice'!G61*12</f>
        <v>0</v>
      </c>
      <c r="H61" s="136">
        <f>'Gelati Custom Cake - Slice'!H61*12</f>
        <v>0</v>
      </c>
      <c r="I61" s="136">
        <f>'Gelati Custom Cake - Slice'!I61*12</f>
        <v>0</v>
      </c>
      <c r="J61" s="136">
        <f>'Gelati Custom Cake - Slice'!J61*12</f>
        <v>96</v>
      </c>
      <c r="K61" s="136">
        <f>'Gelati Custom Cake - Slice'!K61*12</f>
        <v>0</v>
      </c>
      <c r="L61" s="136">
        <f>'Gelati Custom Cake - Slice'!L61*12</f>
        <v>96</v>
      </c>
      <c r="M61" s="136">
        <f>'Gelati Custom Cake - Slice'!M61*12</f>
        <v>84</v>
      </c>
      <c r="N61" s="136">
        <f>'Gelati Custom Cake - Slice'!N61*12</f>
        <v>0</v>
      </c>
      <c r="O61" s="137">
        <f>'Gelati Custom Cake - Slice'!O61*12</f>
        <v>0</v>
      </c>
      <c r="P61" s="137">
        <f>'Gelati Custom Cake - Slice'!P61*12</f>
        <v>0</v>
      </c>
      <c r="Q61" s="137">
        <f>'Gelati Custom Cake - Slice'!Q61*12</f>
        <v>24</v>
      </c>
      <c r="R61" s="137">
        <f>'Gelati Custom Cake - Slice'!R61*12</f>
        <v>0</v>
      </c>
      <c r="S61" s="137">
        <f>'Gelati Custom Cake - Slice'!S61*12</f>
        <v>0</v>
      </c>
      <c r="T61" s="137">
        <f>'Gelati Custom Cake - Slice'!T61*12</f>
        <v>0</v>
      </c>
      <c r="U61" s="137">
        <f>'Gelati Custom Cake - Slice'!U61*12</f>
        <v>132</v>
      </c>
      <c r="V61" s="137">
        <f>'Gelati Custom Cake - Slice'!V61*12</f>
        <v>0</v>
      </c>
      <c r="W61" s="137">
        <f>'Gelati Custom Cake - Slice'!W61*12</f>
        <v>0</v>
      </c>
      <c r="X61" s="138">
        <f>'Gelati Custom Cake - Slice'!X61*12</f>
        <v>360</v>
      </c>
    </row>
    <row r="62" spans="1:24" ht="14.6">
      <c r="A62" s="1318"/>
      <c r="B62" s="54" t="s">
        <v>88</v>
      </c>
      <c r="C62" s="136">
        <f>'Gelati Custom Cake - Slice'!C62*12</f>
        <v>420</v>
      </c>
      <c r="D62" s="136">
        <f>'Gelati Custom Cake - Slice'!D62*12</f>
        <v>0</v>
      </c>
      <c r="E62" s="136">
        <f>'Gelati Custom Cake - Slice'!E62*12</f>
        <v>0</v>
      </c>
      <c r="F62" s="136">
        <f>'Gelati Custom Cake - Slice'!F62*12</f>
        <v>0</v>
      </c>
      <c r="G62" s="136">
        <f>'Gelati Custom Cake - Slice'!G62*12</f>
        <v>0</v>
      </c>
      <c r="H62" s="136">
        <f>'Gelati Custom Cake - Slice'!H62*12</f>
        <v>0</v>
      </c>
      <c r="I62" s="136">
        <f>'Gelati Custom Cake - Slice'!I62*12</f>
        <v>0</v>
      </c>
      <c r="J62" s="136">
        <f>'Gelati Custom Cake - Slice'!J62*12</f>
        <v>108</v>
      </c>
      <c r="K62" s="136">
        <f>'Gelati Custom Cake - Slice'!K62*12</f>
        <v>0</v>
      </c>
      <c r="L62" s="136">
        <f>'Gelati Custom Cake - Slice'!L62*12</f>
        <v>96</v>
      </c>
      <c r="M62" s="136">
        <f>'Gelati Custom Cake - Slice'!M62*12</f>
        <v>96</v>
      </c>
      <c r="N62" s="136">
        <f>'Gelati Custom Cake - Slice'!N62*12</f>
        <v>0</v>
      </c>
      <c r="O62" s="136">
        <f>'Gelati Custom Cake - Slice'!O62*12</f>
        <v>0</v>
      </c>
      <c r="P62" s="136">
        <f>'Gelati Custom Cake - Slice'!P62*12</f>
        <v>0</v>
      </c>
      <c r="Q62" s="136">
        <f>'Gelati Custom Cake - Slice'!Q62*12</f>
        <v>24</v>
      </c>
      <c r="R62" s="136">
        <f>'Gelati Custom Cake - Slice'!R62*12</f>
        <v>0</v>
      </c>
      <c r="S62" s="136">
        <f>'Gelati Custom Cake - Slice'!S62*12</f>
        <v>0</v>
      </c>
      <c r="T62" s="136">
        <f>'Gelati Custom Cake - Slice'!T62*12</f>
        <v>0</v>
      </c>
      <c r="U62" s="136">
        <f>'Gelati Custom Cake - Slice'!U62*12</f>
        <v>96</v>
      </c>
      <c r="V62" s="136">
        <f>'Gelati Custom Cake - Slice'!V62*12</f>
        <v>0</v>
      </c>
      <c r="W62" s="136">
        <f>'Gelati Custom Cake - Slice'!W62*12</f>
        <v>0</v>
      </c>
      <c r="X62" s="143">
        <f>'Gelati Custom Cake - Slice'!X62*12</f>
        <v>240</v>
      </c>
    </row>
    <row r="63" spans="1:24" ht="14.6">
      <c r="A63" s="1318"/>
      <c r="B63" s="54" t="s">
        <v>87</v>
      </c>
      <c r="C63" s="136">
        <f>'Gelati Custom Cake - Slice'!C63*12</f>
        <v>360</v>
      </c>
      <c r="D63" s="136">
        <f>'Gelati Custom Cake - Slice'!D63*12</f>
        <v>0</v>
      </c>
      <c r="E63" s="136">
        <f>'Gelati Custom Cake - Slice'!E63*12</f>
        <v>0</v>
      </c>
      <c r="F63" s="136">
        <f>'Gelati Custom Cake - Slice'!F63*12</f>
        <v>0</v>
      </c>
      <c r="G63" s="136">
        <f>'Gelati Custom Cake - Slice'!G63*12</f>
        <v>0</v>
      </c>
      <c r="H63" s="136">
        <f>'Gelati Custom Cake - Slice'!H63*12</f>
        <v>0</v>
      </c>
      <c r="I63" s="136">
        <f>'Gelati Custom Cake - Slice'!I63*12</f>
        <v>0</v>
      </c>
      <c r="J63" s="136">
        <f>'Gelati Custom Cake - Slice'!J63*12</f>
        <v>96</v>
      </c>
      <c r="K63" s="136">
        <f>'Gelati Custom Cake - Slice'!K63*12</f>
        <v>0</v>
      </c>
      <c r="L63" s="136">
        <f>'Gelati Custom Cake - Slice'!L63*12</f>
        <v>84</v>
      </c>
      <c r="M63" s="136">
        <f>'Gelati Custom Cake - Slice'!M63*12</f>
        <v>84</v>
      </c>
      <c r="N63" s="136">
        <f>'Gelati Custom Cake - Slice'!N63*12</f>
        <v>0</v>
      </c>
      <c r="O63" s="137">
        <f>'Gelati Custom Cake - Slice'!O63*12</f>
        <v>0</v>
      </c>
      <c r="P63" s="137">
        <f>'Gelati Custom Cake - Slice'!P63*12</f>
        <v>0</v>
      </c>
      <c r="Q63" s="137">
        <f>'Gelati Custom Cake - Slice'!Q63*12</f>
        <v>24</v>
      </c>
      <c r="R63" s="137">
        <f>'Gelati Custom Cake - Slice'!R63*12</f>
        <v>0</v>
      </c>
      <c r="S63" s="137">
        <f>'Gelati Custom Cake - Slice'!S63*12</f>
        <v>0</v>
      </c>
      <c r="T63" s="137">
        <f>'Gelati Custom Cake - Slice'!T63*12</f>
        <v>0</v>
      </c>
      <c r="U63" s="137">
        <f>'Gelati Custom Cake - Slice'!U63*12</f>
        <v>24</v>
      </c>
      <c r="V63" s="137">
        <f>'Gelati Custom Cake - Slice'!V63*12</f>
        <v>0</v>
      </c>
      <c r="W63" s="137">
        <f>'Gelati Custom Cake - Slice'!W63*12</f>
        <v>0</v>
      </c>
      <c r="X63" s="138">
        <f>'Gelati Custom Cake - Slice'!X63*12</f>
        <v>72</v>
      </c>
    </row>
    <row r="64" spans="1:24" ht="14.6">
      <c r="A64" s="1318"/>
      <c r="B64" s="54" t="s">
        <v>89</v>
      </c>
      <c r="C64" s="137">
        <f>'Gelati Custom Cake - Slice'!C64*12</f>
        <v>540</v>
      </c>
      <c r="D64" s="137">
        <f>'Gelati Custom Cake - Slice'!D64*12</f>
        <v>0</v>
      </c>
      <c r="E64" s="137">
        <f>'Gelati Custom Cake - Slice'!E64*12</f>
        <v>0</v>
      </c>
      <c r="F64" s="137">
        <f>'Gelati Custom Cake - Slice'!F64*12</f>
        <v>0</v>
      </c>
      <c r="G64" s="137">
        <f>'Gelati Custom Cake - Slice'!G64*12</f>
        <v>0</v>
      </c>
      <c r="H64" s="137">
        <f>'Gelati Custom Cake - Slice'!H64*12</f>
        <v>0</v>
      </c>
      <c r="I64" s="137">
        <f>'Gelati Custom Cake - Slice'!I64*12</f>
        <v>0</v>
      </c>
      <c r="J64" s="137">
        <f>'Gelati Custom Cake - Slice'!J64*12</f>
        <v>84</v>
      </c>
      <c r="K64" s="137">
        <f>'Gelati Custom Cake - Slice'!K64*12</f>
        <v>0</v>
      </c>
      <c r="L64" s="137">
        <f>'Gelati Custom Cake - Slice'!L64*12</f>
        <v>72</v>
      </c>
      <c r="M64" s="137">
        <f>'Gelati Custom Cake - Slice'!M64*12</f>
        <v>72</v>
      </c>
      <c r="N64" s="137">
        <f>'Gelati Custom Cake - Slice'!N64*12</f>
        <v>0</v>
      </c>
      <c r="O64" s="137">
        <f>'Gelati Custom Cake - Slice'!O64*12</f>
        <v>0</v>
      </c>
      <c r="P64" s="137">
        <f>'Gelati Custom Cake - Slice'!P64*12</f>
        <v>0</v>
      </c>
      <c r="Q64" s="137">
        <f>'Gelati Custom Cake - Slice'!Q64*12</f>
        <v>60</v>
      </c>
      <c r="R64" s="137">
        <f>'Gelati Custom Cake - Slice'!R64*12</f>
        <v>0</v>
      </c>
      <c r="S64" s="137">
        <f>'Gelati Custom Cake - Slice'!S64*12</f>
        <v>0</v>
      </c>
      <c r="T64" s="137">
        <f>'Gelati Custom Cake - Slice'!T64*12</f>
        <v>0</v>
      </c>
      <c r="U64" s="137">
        <f>'Gelati Custom Cake - Slice'!U64*12</f>
        <v>492</v>
      </c>
      <c r="V64" s="137">
        <f>'Gelati Custom Cake - Slice'!V64*12</f>
        <v>0</v>
      </c>
      <c r="W64" s="137">
        <f>'Gelati Custom Cake - Slice'!W64*12</f>
        <v>0</v>
      </c>
      <c r="X64" s="138">
        <f>'Gelati Custom Cake - Slice'!X64*12</f>
        <v>0</v>
      </c>
    </row>
    <row r="65" spans="1:24" ht="14.6">
      <c r="A65" s="1318"/>
      <c r="B65" s="54" t="s">
        <v>90</v>
      </c>
      <c r="C65" s="137">
        <f>'Gelati Custom Cake - Slice'!C65*12</f>
        <v>480</v>
      </c>
      <c r="D65" s="137">
        <f>'Gelati Custom Cake - Slice'!D65*12</f>
        <v>0</v>
      </c>
      <c r="E65" s="137">
        <f>'Gelati Custom Cake - Slice'!E65*12</f>
        <v>0</v>
      </c>
      <c r="F65" s="137">
        <f>'Gelati Custom Cake - Slice'!F65*12</f>
        <v>0</v>
      </c>
      <c r="G65" s="137">
        <f>'Gelati Custom Cake - Slice'!G65*12</f>
        <v>0</v>
      </c>
      <c r="H65" s="137">
        <f>'Gelati Custom Cake - Slice'!H65*12</f>
        <v>0</v>
      </c>
      <c r="I65" s="137">
        <f>'Gelati Custom Cake - Slice'!I65*12</f>
        <v>0</v>
      </c>
      <c r="J65" s="137">
        <f>'Gelati Custom Cake - Slice'!J65*12</f>
        <v>84</v>
      </c>
      <c r="K65" s="137">
        <f>'Gelati Custom Cake - Slice'!K65*12</f>
        <v>0</v>
      </c>
      <c r="L65" s="137">
        <f>'Gelati Custom Cake - Slice'!L65*12</f>
        <v>84</v>
      </c>
      <c r="M65" s="137">
        <f>'Gelati Custom Cake - Slice'!M65*12</f>
        <v>84</v>
      </c>
      <c r="N65" s="137">
        <f>'Gelati Custom Cake - Slice'!N65*12</f>
        <v>0</v>
      </c>
      <c r="O65" s="137">
        <f>'Gelati Custom Cake - Slice'!O65*12</f>
        <v>0</v>
      </c>
      <c r="P65" s="137">
        <f>'Gelati Custom Cake - Slice'!P65*12</f>
        <v>0</v>
      </c>
      <c r="Q65" s="137">
        <f>'Gelati Custom Cake - Slice'!Q65*12</f>
        <v>48</v>
      </c>
      <c r="R65" s="137">
        <f>'Gelati Custom Cake - Slice'!R65*12</f>
        <v>0</v>
      </c>
      <c r="S65" s="137">
        <f>'Gelati Custom Cake - Slice'!S65*12</f>
        <v>0</v>
      </c>
      <c r="T65" s="137">
        <f>'Gelati Custom Cake - Slice'!T65*12</f>
        <v>0</v>
      </c>
      <c r="U65" s="137">
        <f>'Gelati Custom Cake - Slice'!U65*12</f>
        <v>324</v>
      </c>
      <c r="V65" s="137">
        <f>'Gelati Custom Cake - Slice'!V65*12</f>
        <v>0</v>
      </c>
      <c r="W65" s="137">
        <f>'Gelati Custom Cake - Slice'!W65*12</f>
        <v>0</v>
      </c>
      <c r="X65" s="138">
        <f>'Gelati Custom Cake - Slice'!X65*12</f>
        <v>24</v>
      </c>
    </row>
    <row r="66" spans="1:24" ht="15" thickBot="1">
      <c r="A66" s="1319"/>
      <c r="B66" s="55" t="s">
        <v>91</v>
      </c>
      <c r="C66" s="144">
        <f>'Gelati Custom Cake - Slice'!C66*12</f>
        <v>420</v>
      </c>
      <c r="D66" s="144">
        <f>'Gelati Custom Cake - Slice'!D66*12</f>
        <v>0</v>
      </c>
      <c r="E66" s="144">
        <f>'Gelati Custom Cake - Slice'!E66*12</f>
        <v>0</v>
      </c>
      <c r="F66" s="144">
        <f>'Gelati Custom Cake - Slice'!F66*12</f>
        <v>0</v>
      </c>
      <c r="G66" s="144">
        <f>'Gelati Custom Cake - Slice'!G66*12</f>
        <v>0</v>
      </c>
      <c r="H66" s="144">
        <f>'Gelati Custom Cake - Slice'!H66*12</f>
        <v>0</v>
      </c>
      <c r="I66" s="144">
        <f>'Gelati Custom Cake - Slice'!I66*12</f>
        <v>0</v>
      </c>
      <c r="J66" s="144">
        <f>'Gelati Custom Cake - Slice'!J66*12</f>
        <v>84</v>
      </c>
      <c r="K66" s="144">
        <f>'Gelati Custom Cake - Slice'!K66*12</f>
        <v>0</v>
      </c>
      <c r="L66" s="144">
        <f>'Gelati Custom Cake - Slice'!L66*12</f>
        <v>72</v>
      </c>
      <c r="M66" s="144">
        <f>'Gelati Custom Cake - Slice'!M66*12</f>
        <v>72</v>
      </c>
      <c r="N66" s="144">
        <f>'Gelati Custom Cake - Slice'!N66*12</f>
        <v>0</v>
      </c>
      <c r="O66" s="144">
        <f>'Gelati Custom Cake - Slice'!O66*12</f>
        <v>0</v>
      </c>
      <c r="P66" s="144">
        <f>'Gelati Custom Cake - Slice'!P66*12</f>
        <v>0</v>
      </c>
      <c r="Q66" s="144">
        <f>'Gelati Custom Cake - Slice'!Q66*12</f>
        <v>48</v>
      </c>
      <c r="R66" s="144">
        <f>'Gelati Custom Cake - Slice'!R66*12</f>
        <v>0</v>
      </c>
      <c r="S66" s="144">
        <f>'Gelati Custom Cake - Slice'!S66*12</f>
        <v>0</v>
      </c>
      <c r="T66" s="144">
        <f>'Gelati Custom Cake - Slice'!T66*12</f>
        <v>0</v>
      </c>
      <c r="U66" s="144">
        <f>'Gelati Custom Cake - Slice'!U66*12</f>
        <v>300</v>
      </c>
      <c r="V66" s="144">
        <f>'Gelati Custom Cake - Slice'!V66*12</f>
        <v>0</v>
      </c>
      <c r="W66" s="144">
        <f>'Gelati Custom Cake - Slice'!W66*12</f>
        <v>0</v>
      </c>
      <c r="X66" s="145">
        <f>'Gelati Custom Cake - Slice'!X66*12</f>
        <v>72</v>
      </c>
    </row>
    <row r="67" spans="1:24" ht="14.6">
      <c r="A67" s="1317" t="s">
        <v>92</v>
      </c>
      <c r="B67" s="53" t="s">
        <v>94</v>
      </c>
      <c r="C67" s="133">
        <f>'Gelati Custom Cake - Slice'!C67*12</f>
        <v>600</v>
      </c>
      <c r="D67" s="133">
        <f>'Gelati Custom Cake - Slice'!D67*12</f>
        <v>60</v>
      </c>
      <c r="E67" s="133">
        <f>'Gelati Custom Cake - Slice'!E67*12</f>
        <v>6</v>
      </c>
      <c r="F67" s="133">
        <f>'Gelati Custom Cake - Slice'!F67*12</f>
        <v>0</v>
      </c>
      <c r="G67" s="133">
        <f>'Gelati Custom Cake - Slice'!G67*12</f>
        <v>0</v>
      </c>
      <c r="H67" s="133">
        <f>'Gelati Custom Cake - Slice'!H67*12</f>
        <v>0</v>
      </c>
      <c r="I67" s="133">
        <f>'Gelati Custom Cake - Slice'!I67*12</f>
        <v>300</v>
      </c>
      <c r="J67" s="133">
        <f>'Gelati Custom Cake - Slice'!J67*12</f>
        <v>132</v>
      </c>
      <c r="K67" s="133">
        <f>'Gelati Custom Cake - Slice'!K67*12</f>
        <v>0</v>
      </c>
      <c r="L67" s="133">
        <f>'Gelati Custom Cake - Slice'!L67*12</f>
        <v>120</v>
      </c>
      <c r="M67" s="133">
        <f>'Gelati Custom Cake - Slice'!M67*12</f>
        <v>96</v>
      </c>
      <c r="N67" s="133">
        <f>'Gelati Custom Cake - Slice'!N67*12</f>
        <v>0</v>
      </c>
      <c r="O67" s="134">
        <f>'Gelati Custom Cake - Slice'!O67*12</f>
        <v>0</v>
      </c>
      <c r="P67" s="134">
        <f>'Gelati Custom Cake - Slice'!P67*12</f>
        <v>0</v>
      </c>
      <c r="Q67" s="134">
        <f>'Gelati Custom Cake - Slice'!Q67*12</f>
        <v>60</v>
      </c>
      <c r="R67" s="134">
        <f>'Gelati Custom Cake - Slice'!R67*12</f>
        <v>0</v>
      </c>
      <c r="S67" s="134">
        <f>'Gelati Custom Cake - Slice'!S67*12</f>
        <v>0</v>
      </c>
      <c r="T67" s="134">
        <f>'Gelati Custom Cake - Slice'!T67*12</f>
        <v>0</v>
      </c>
      <c r="U67" s="134">
        <f>'Gelati Custom Cake - Slice'!U67*12</f>
        <v>12</v>
      </c>
      <c r="V67" s="134">
        <f>'Gelati Custom Cake - Slice'!V67*12</f>
        <v>0</v>
      </c>
      <c r="W67" s="134">
        <f>'Gelati Custom Cake - Slice'!W67*12</f>
        <v>0</v>
      </c>
      <c r="X67" s="135">
        <f>'Gelati Custom Cake - Slice'!X67*12</f>
        <v>0</v>
      </c>
    </row>
    <row r="68" spans="1:24" ht="14.6">
      <c r="A68" s="1318"/>
      <c r="B68" s="54" t="s">
        <v>93</v>
      </c>
      <c r="C68" s="87">
        <f>'Gelati Custom Cake - Slice'!C68*12</f>
        <v>600</v>
      </c>
      <c r="D68" s="87">
        <f>'Gelati Custom Cake - Slice'!D68*12</f>
        <v>60</v>
      </c>
      <c r="E68" s="87">
        <f>'Gelati Custom Cake - Slice'!E68*12</f>
        <v>6</v>
      </c>
      <c r="F68" s="87">
        <f>'Gelati Custom Cake - Slice'!F68*12</f>
        <v>6</v>
      </c>
      <c r="G68" s="87">
        <f>'Gelati Custom Cake - Slice'!G68*12</f>
        <v>0</v>
      </c>
      <c r="H68" s="87">
        <f>'Gelati Custom Cake - Slice'!H68*12</f>
        <v>0</v>
      </c>
      <c r="I68" s="87">
        <f>'Gelati Custom Cake - Slice'!I68*12</f>
        <v>60</v>
      </c>
      <c r="J68" s="87">
        <f>'Gelati Custom Cake - Slice'!J68*12</f>
        <v>132</v>
      </c>
      <c r="K68" s="87">
        <f>'Gelati Custom Cake - Slice'!K68*12</f>
        <v>0</v>
      </c>
      <c r="L68" s="87">
        <f>'Gelati Custom Cake - Slice'!L68*12</f>
        <v>120</v>
      </c>
      <c r="M68" s="87">
        <f>'Gelati Custom Cake - Slice'!M68*12</f>
        <v>48</v>
      </c>
      <c r="N68" s="87">
        <f>'Gelati Custom Cake - Slice'!N68*12</f>
        <v>0</v>
      </c>
      <c r="O68" s="88">
        <f>'Gelati Custom Cake - Slice'!O68*12</f>
        <v>0</v>
      </c>
      <c r="P68" s="88">
        <f>'Gelati Custom Cake - Slice'!P68*12</f>
        <v>0</v>
      </c>
      <c r="Q68" s="88">
        <f>'Gelati Custom Cake - Slice'!Q68*12</f>
        <v>24</v>
      </c>
      <c r="R68" s="88">
        <f>'Gelati Custom Cake - Slice'!R68*12</f>
        <v>0</v>
      </c>
      <c r="S68" s="88">
        <f>'Gelati Custom Cake - Slice'!S68*12</f>
        <v>0</v>
      </c>
      <c r="T68" s="88">
        <f>'Gelati Custom Cake - Slice'!T68*12</f>
        <v>0</v>
      </c>
      <c r="U68" s="88">
        <f>'Gelati Custom Cake - Slice'!U68*12</f>
        <v>12</v>
      </c>
      <c r="V68" s="88">
        <f>'Gelati Custom Cake - Slice'!V68*12</f>
        <v>0</v>
      </c>
      <c r="W68" s="88">
        <f>'Gelati Custom Cake - Slice'!W68*12</f>
        <v>0</v>
      </c>
      <c r="X68" s="89">
        <f>'Gelati Custom Cake - Slice'!X68*12</f>
        <v>0</v>
      </c>
    </row>
    <row r="69" spans="1:24" ht="14.6">
      <c r="A69" s="1318"/>
      <c r="B69" s="54" t="s">
        <v>95</v>
      </c>
      <c r="C69" s="136">
        <f>'Gelati Custom Cake - Slice'!C69*12</f>
        <v>540</v>
      </c>
      <c r="D69" s="136">
        <f>'Gelati Custom Cake - Slice'!D69*12</f>
        <v>60</v>
      </c>
      <c r="E69" s="136">
        <f>'Gelati Custom Cake - Slice'!E69*12</f>
        <v>6</v>
      </c>
      <c r="F69" s="136">
        <f>'Gelati Custom Cake - Slice'!F69*12</f>
        <v>0</v>
      </c>
      <c r="G69" s="136">
        <f>'Gelati Custom Cake - Slice'!G69*12</f>
        <v>0</v>
      </c>
      <c r="H69" s="136">
        <f>'Gelati Custom Cake - Slice'!H69*12</f>
        <v>0</v>
      </c>
      <c r="I69" s="136">
        <f>'Gelati Custom Cake - Slice'!I69*12</f>
        <v>120</v>
      </c>
      <c r="J69" s="136">
        <f>'Gelati Custom Cake - Slice'!J69*12</f>
        <v>132</v>
      </c>
      <c r="K69" s="136">
        <f>'Gelati Custom Cake - Slice'!K69*12</f>
        <v>0</v>
      </c>
      <c r="L69" s="136">
        <f>'Gelati Custom Cake - Slice'!L69*12</f>
        <v>120</v>
      </c>
      <c r="M69" s="136">
        <f>'Gelati Custom Cake - Slice'!M69*12</f>
        <v>48</v>
      </c>
      <c r="N69" s="136">
        <f>'Gelati Custom Cake - Slice'!N69*12</f>
        <v>0</v>
      </c>
      <c r="O69" s="137">
        <f>'Gelati Custom Cake - Slice'!O69*12</f>
        <v>0</v>
      </c>
      <c r="P69" s="137">
        <f>'Gelati Custom Cake - Slice'!P69*12</f>
        <v>0</v>
      </c>
      <c r="Q69" s="137">
        <f>'Gelati Custom Cake - Slice'!Q69*12</f>
        <v>24</v>
      </c>
      <c r="R69" s="137">
        <f>'Gelati Custom Cake - Slice'!R69*12</f>
        <v>0</v>
      </c>
      <c r="S69" s="137">
        <f>'Gelati Custom Cake - Slice'!S69*12</f>
        <v>0</v>
      </c>
      <c r="T69" s="137">
        <f>'Gelati Custom Cake - Slice'!T69*12</f>
        <v>0</v>
      </c>
      <c r="U69" s="137">
        <f>'Gelati Custom Cake - Slice'!U69*12</f>
        <v>12</v>
      </c>
      <c r="V69" s="137">
        <f>'Gelati Custom Cake - Slice'!V69*12</f>
        <v>0</v>
      </c>
      <c r="W69" s="137">
        <f>'Gelati Custom Cake - Slice'!W69*12</f>
        <v>0</v>
      </c>
      <c r="X69" s="138">
        <f>'Gelati Custom Cake - Slice'!X69*12</f>
        <v>0</v>
      </c>
    </row>
    <row r="70" spans="1:24" ht="14.6">
      <c r="A70" s="1318"/>
      <c r="B70" s="54" t="s">
        <v>97</v>
      </c>
      <c r="C70" s="136">
        <f>'Gelati Custom Cake - Slice'!C70*12</f>
        <v>600</v>
      </c>
      <c r="D70" s="136">
        <f>'Gelati Custom Cake - Slice'!D70*12</f>
        <v>60</v>
      </c>
      <c r="E70" s="136">
        <f>'Gelati Custom Cake - Slice'!E70*12</f>
        <v>6</v>
      </c>
      <c r="F70" s="136">
        <f>'Gelati Custom Cake - Slice'!F70*12</f>
        <v>0</v>
      </c>
      <c r="G70" s="136">
        <f>'Gelati Custom Cake - Slice'!G70*12</f>
        <v>0</v>
      </c>
      <c r="H70" s="136">
        <f>'Gelati Custom Cake - Slice'!H70*12</f>
        <v>0</v>
      </c>
      <c r="I70" s="136">
        <f>'Gelati Custom Cake - Slice'!I70*12</f>
        <v>240</v>
      </c>
      <c r="J70" s="136">
        <f>'Gelati Custom Cake - Slice'!J70*12</f>
        <v>144</v>
      </c>
      <c r="K70" s="136">
        <f>'Gelati Custom Cake - Slice'!K70*12</f>
        <v>0</v>
      </c>
      <c r="L70" s="136">
        <f>'Gelati Custom Cake - Slice'!L70*12</f>
        <v>132</v>
      </c>
      <c r="M70" s="136">
        <f>'Gelati Custom Cake - Slice'!M70*12</f>
        <v>96</v>
      </c>
      <c r="N70" s="136">
        <f>'Gelati Custom Cake - Slice'!N70*12</f>
        <v>0</v>
      </c>
      <c r="O70" s="140">
        <f>'Gelati Custom Cake - Slice'!O70*12</f>
        <v>0</v>
      </c>
      <c r="P70" s="140">
        <f>'Gelati Custom Cake - Slice'!P70*12</f>
        <v>0</v>
      </c>
      <c r="Q70" s="140">
        <f>'Gelati Custom Cake - Slice'!Q70*12</f>
        <v>24</v>
      </c>
      <c r="R70" s="140">
        <f>'Gelati Custom Cake - Slice'!R70*12</f>
        <v>0</v>
      </c>
      <c r="S70" s="140">
        <f>'Gelati Custom Cake - Slice'!S70*12</f>
        <v>0</v>
      </c>
      <c r="T70" s="140">
        <f>'Gelati Custom Cake - Slice'!T70*12</f>
        <v>0</v>
      </c>
      <c r="U70" s="140">
        <f>'Gelati Custom Cake - Slice'!U70*12</f>
        <v>48</v>
      </c>
      <c r="V70" s="140">
        <f>'Gelati Custom Cake - Slice'!V70*12</f>
        <v>0</v>
      </c>
      <c r="W70" s="140">
        <f>'Gelati Custom Cake - Slice'!W70*12</f>
        <v>0</v>
      </c>
      <c r="X70" s="141">
        <f>'Gelati Custom Cake - Slice'!X70*12</f>
        <v>0</v>
      </c>
    </row>
    <row r="71" spans="1:24" ht="14.6">
      <c r="A71" s="1318"/>
      <c r="B71" s="54" t="s">
        <v>98</v>
      </c>
      <c r="C71" s="136">
        <f>'Gelati Custom Cake - Slice'!C71*12</f>
        <v>540</v>
      </c>
      <c r="D71" s="136">
        <f>'Gelati Custom Cake - Slice'!D71*12</f>
        <v>60</v>
      </c>
      <c r="E71" s="136">
        <f>'Gelati Custom Cake - Slice'!E71*12</f>
        <v>6</v>
      </c>
      <c r="F71" s="136">
        <f>'Gelati Custom Cake - Slice'!F71*12</f>
        <v>0</v>
      </c>
      <c r="G71" s="136">
        <f>'Gelati Custom Cake - Slice'!G71*12</f>
        <v>0</v>
      </c>
      <c r="H71" s="136">
        <f>'Gelati Custom Cake - Slice'!H71*12</f>
        <v>0</v>
      </c>
      <c r="I71" s="136">
        <f>'Gelati Custom Cake - Slice'!I71*12</f>
        <v>120</v>
      </c>
      <c r="J71" s="136">
        <f>'Gelati Custom Cake - Slice'!J71*12</f>
        <v>120</v>
      </c>
      <c r="K71" s="136">
        <f>'Gelati Custom Cake - Slice'!K71*12</f>
        <v>0</v>
      </c>
      <c r="L71" s="136">
        <f>'Gelati Custom Cake - Slice'!L71*12</f>
        <v>120</v>
      </c>
      <c r="M71" s="136">
        <f>'Gelati Custom Cake - Slice'!M71*12</f>
        <v>48</v>
      </c>
      <c r="N71" s="136">
        <f>'Gelati Custom Cake - Slice'!N71*12</f>
        <v>0</v>
      </c>
      <c r="O71" s="137">
        <f>'Gelati Custom Cake - Slice'!O71*12</f>
        <v>0</v>
      </c>
      <c r="P71" s="137">
        <f>'Gelati Custom Cake - Slice'!P71*12</f>
        <v>0</v>
      </c>
      <c r="Q71" s="137">
        <f>'Gelati Custom Cake - Slice'!Q71*12</f>
        <v>12</v>
      </c>
      <c r="R71" s="137">
        <f>'Gelati Custom Cake - Slice'!R71*12</f>
        <v>0</v>
      </c>
      <c r="S71" s="137">
        <f>'Gelati Custom Cake - Slice'!S71*12</f>
        <v>0</v>
      </c>
      <c r="T71" s="137">
        <f>'Gelati Custom Cake - Slice'!T71*12</f>
        <v>0</v>
      </c>
      <c r="U71" s="137">
        <f>'Gelati Custom Cake - Slice'!U71*12</f>
        <v>12</v>
      </c>
      <c r="V71" s="137">
        <f>'Gelati Custom Cake - Slice'!V71*12</f>
        <v>0</v>
      </c>
      <c r="W71" s="137">
        <f>'Gelati Custom Cake - Slice'!W71*12</f>
        <v>0</v>
      </c>
      <c r="X71" s="138">
        <f>'Gelati Custom Cake - Slice'!X71*12</f>
        <v>0</v>
      </c>
    </row>
    <row r="72" spans="1:24" ht="14.6">
      <c r="A72" s="1318"/>
      <c r="B72" s="54" t="s">
        <v>99</v>
      </c>
      <c r="C72" s="87">
        <f>'Gelati Custom Cake - Slice'!C72*12</f>
        <v>600</v>
      </c>
      <c r="D72" s="87">
        <f>'Gelati Custom Cake - Slice'!D72*12</f>
        <v>120</v>
      </c>
      <c r="E72" s="87">
        <f>'Gelati Custom Cake - Slice'!E72*12</f>
        <v>12</v>
      </c>
      <c r="F72" s="87">
        <f>'Gelati Custom Cake - Slice'!F72*12</f>
        <v>6</v>
      </c>
      <c r="G72" s="87">
        <f>'Gelati Custom Cake - Slice'!G72*12</f>
        <v>0</v>
      </c>
      <c r="H72" s="87">
        <f>'Gelati Custom Cake - Slice'!H72*12</f>
        <v>0</v>
      </c>
      <c r="I72" s="87">
        <f>'Gelati Custom Cake - Slice'!I72*12</f>
        <v>120</v>
      </c>
      <c r="J72" s="87">
        <f>'Gelati Custom Cake - Slice'!J72*12</f>
        <v>132</v>
      </c>
      <c r="K72" s="87">
        <f>'Gelati Custom Cake - Slice'!K72*12</f>
        <v>0</v>
      </c>
      <c r="L72" s="87">
        <f>'Gelati Custom Cake - Slice'!L72*12</f>
        <v>120</v>
      </c>
      <c r="M72" s="87">
        <f>'Gelati Custom Cake - Slice'!M72*12</f>
        <v>48</v>
      </c>
      <c r="N72" s="87">
        <f>'Gelati Custom Cake - Slice'!N72*12</f>
        <v>0</v>
      </c>
      <c r="O72" s="85">
        <f>'Gelati Custom Cake - Slice'!O72*12</f>
        <v>0</v>
      </c>
      <c r="P72" s="85">
        <f>'Gelati Custom Cake - Slice'!P72*12</f>
        <v>0</v>
      </c>
      <c r="Q72" s="85">
        <f>'Gelati Custom Cake - Slice'!Q72*12</f>
        <v>24</v>
      </c>
      <c r="R72" s="85">
        <f>'Gelati Custom Cake - Slice'!R72*12</f>
        <v>0</v>
      </c>
      <c r="S72" s="85">
        <f>'Gelati Custom Cake - Slice'!S72*12</f>
        <v>0</v>
      </c>
      <c r="T72" s="85">
        <f>'Gelati Custom Cake - Slice'!T72*12</f>
        <v>0</v>
      </c>
      <c r="U72" s="85">
        <f>'Gelati Custom Cake - Slice'!U72*12</f>
        <v>12</v>
      </c>
      <c r="V72" s="85">
        <f>'Gelati Custom Cake - Slice'!V72*12</f>
        <v>0</v>
      </c>
      <c r="W72" s="85">
        <f>'Gelati Custom Cake - Slice'!W72*12</f>
        <v>0</v>
      </c>
      <c r="X72" s="86">
        <f>'Gelati Custom Cake - Slice'!X72*12</f>
        <v>0</v>
      </c>
    </row>
    <row r="73" spans="1:24" ht="14.6">
      <c r="A73" s="1318"/>
      <c r="B73" s="54" t="s">
        <v>101</v>
      </c>
      <c r="C73" s="87">
        <f>'Gelati Custom Cake - Slice'!C73*12</f>
        <v>600</v>
      </c>
      <c r="D73" s="87">
        <f>'Gelati Custom Cake - Slice'!D73*12</f>
        <v>120</v>
      </c>
      <c r="E73" s="87">
        <f>'Gelati Custom Cake - Slice'!E73*12</f>
        <v>12</v>
      </c>
      <c r="F73" s="87">
        <f>'Gelati Custom Cake - Slice'!F73*12</f>
        <v>6</v>
      </c>
      <c r="G73" s="87">
        <f>'Gelati Custom Cake - Slice'!G73*12</f>
        <v>0</v>
      </c>
      <c r="H73" s="87">
        <f>'Gelati Custom Cake - Slice'!H73*12</f>
        <v>0</v>
      </c>
      <c r="I73" s="87">
        <f>'Gelati Custom Cake - Slice'!I73*12</f>
        <v>120</v>
      </c>
      <c r="J73" s="87">
        <f>'Gelati Custom Cake - Slice'!J73*12</f>
        <v>132</v>
      </c>
      <c r="K73" s="87">
        <f>'Gelati Custom Cake - Slice'!K73*12</f>
        <v>0</v>
      </c>
      <c r="L73" s="87">
        <f>'Gelati Custom Cake - Slice'!L73*12</f>
        <v>120</v>
      </c>
      <c r="M73" s="87">
        <f>'Gelati Custom Cake - Slice'!M73*12</f>
        <v>108</v>
      </c>
      <c r="N73" s="87">
        <f>'Gelati Custom Cake - Slice'!N73*12</f>
        <v>0</v>
      </c>
      <c r="O73" s="85">
        <f>'Gelati Custom Cake - Slice'!O73*12</f>
        <v>0</v>
      </c>
      <c r="P73" s="85">
        <f>'Gelati Custom Cake - Slice'!P73*12</f>
        <v>0</v>
      </c>
      <c r="Q73" s="85">
        <f>'Gelati Custom Cake - Slice'!Q73*12</f>
        <v>36</v>
      </c>
      <c r="R73" s="85">
        <f>'Gelati Custom Cake - Slice'!R73*12</f>
        <v>0</v>
      </c>
      <c r="S73" s="85">
        <f>'Gelati Custom Cake - Slice'!S73*12</f>
        <v>0</v>
      </c>
      <c r="T73" s="85">
        <f>'Gelati Custom Cake - Slice'!T73*12</f>
        <v>0</v>
      </c>
      <c r="U73" s="85">
        <f>'Gelati Custom Cake - Slice'!U73*12</f>
        <v>12</v>
      </c>
      <c r="V73" s="85">
        <f>'Gelati Custom Cake - Slice'!V73*12</f>
        <v>0</v>
      </c>
      <c r="W73" s="85">
        <f>'Gelati Custom Cake - Slice'!W73*12</f>
        <v>0</v>
      </c>
      <c r="X73" s="86">
        <f>'Gelati Custom Cake - Slice'!X73*12</f>
        <v>0</v>
      </c>
    </row>
    <row r="74" spans="1:24" ht="14.6">
      <c r="A74" s="1318"/>
      <c r="B74" s="54" t="s">
        <v>102</v>
      </c>
      <c r="C74" s="136">
        <f>'Gelati Custom Cake - Slice'!C74*12</f>
        <v>540</v>
      </c>
      <c r="D74" s="136">
        <f>'Gelati Custom Cake - Slice'!D74*12</f>
        <v>60</v>
      </c>
      <c r="E74" s="136">
        <f>'Gelati Custom Cake - Slice'!E74*12</f>
        <v>6</v>
      </c>
      <c r="F74" s="136">
        <f>'Gelati Custom Cake - Slice'!F74*12</f>
        <v>6</v>
      </c>
      <c r="G74" s="136">
        <f>'Gelati Custom Cake - Slice'!G74*12</f>
        <v>0</v>
      </c>
      <c r="H74" s="136">
        <f>'Gelati Custom Cake - Slice'!H74*12</f>
        <v>0</v>
      </c>
      <c r="I74" s="136">
        <f>'Gelati Custom Cake - Slice'!I74*12</f>
        <v>120</v>
      </c>
      <c r="J74" s="136">
        <f>'Gelati Custom Cake - Slice'!J74*12</f>
        <v>120</v>
      </c>
      <c r="K74" s="136">
        <f>'Gelati Custom Cake - Slice'!K74*12</f>
        <v>0</v>
      </c>
      <c r="L74" s="136">
        <f>'Gelati Custom Cake - Slice'!L74*12</f>
        <v>108</v>
      </c>
      <c r="M74" s="136">
        <f>'Gelati Custom Cake - Slice'!M74*12</f>
        <v>108</v>
      </c>
      <c r="N74" s="136">
        <f>'Gelati Custom Cake - Slice'!N74*12</f>
        <v>0</v>
      </c>
      <c r="O74" s="137">
        <f>'Gelati Custom Cake - Slice'!O74*12</f>
        <v>0</v>
      </c>
      <c r="P74" s="137">
        <f>'Gelati Custom Cake - Slice'!P74*12</f>
        <v>0</v>
      </c>
      <c r="Q74" s="137">
        <f>'Gelati Custom Cake - Slice'!Q74*12</f>
        <v>12</v>
      </c>
      <c r="R74" s="137">
        <f>'Gelati Custom Cake - Slice'!R74*12</f>
        <v>0</v>
      </c>
      <c r="S74" s="137">
        <f>'Gelati Custom Cake - Slice'!S74*12</f>
        <v>0</v>
      </c>
      <c r="T74" s="137">
        <f>'Gelati Custom Cake - Slice'!T74*12</f>
        <v>0</v>
      </c>
      <c r="U74" s="137">
        <f>'Gelati Custom Cake - Slice'!U74*12</f>
        <v>12</v>
      </c>
      <c r="V74" s="137">
        <f>'Gelati Custom Cake - Slice'!V74*12</f>
        <v>0</v>
      </c>
      <c r="W74" s="137">
        <f>'Gelati Custom Cake - Slice'!W74*12</f>
        <v>0</v>
      </c>
      <c r="X74" s="138">
        <f>'Gelati Custom Cake - Slice'!X74*12</f>
        <v>0</v>
      </c>
    </row>
    <row r="75" spans="1:24" ht="14.6">
      <c r="A75" s="1318"/>
      <c r="B75" s="54" t="s">
        <v>104</v>
      </c>
      <c r="C75" s="87">
        <f>'Gelati Custom Cake - Slice'!C75*12</f>
        <v>600</v>
      </c>
      <c r="D75" s="87">
        <f>'Gelati Custom Cake - Slice'!D75*12</f>
        <v>60</v>
      </c>
      <c r="E75" s="87">
        <f>'Gelati Custom Cake - Slice'!E75*12</f>
        <v>12</v>
      </c>
      <c r="F75" s="87">
        <f>'Gelati Custom Cake - Slice'!F75*12</f>
        <v>6</v>
      </c>
      <c r="G75" s="87">
        <f>'Gelati Custom Cake - Slice'!G75*12</f>
        <v>0</v>
      </c>
      <c r="H75" s="87">
        <f>'Gelati Custom Cake - Slice'!H75*12</f>
        <v>0</v>
      </c>
      <c r="I75" s="87">
        <f>'Gelati Custom Cake - Slice'!I75*12</f>
        <v>180</v>
      </c>
      <c r="J75" s="87">
        <f>'Gelati Custom Cake - Slice'!J75*12</f>
        <v>132</v>
      </c>
      <c r="K75" s="87">
        <f>'Gelati Custom Cake - Slice'!K75*12</f>
        <v>0</v>
      </c>
      <c r="L75" s="87">
        <f>'Gelati Custom Cake - Slice'!L75*12</f>
        <v>108</v>
      </c>
      <c r="M75" s="87">
        <f>'Gelati Custom Cake - Slice'!M75*12</f>
        <v>108</v>
      </c>
      <c r="N75" s="87">
        <f>'Gelati Custom Cake - Slice'!N75*12</f>
        <v>0</v>
      </c>
      <c r="O75" s="88">
        <f>'Gelati Custom Cake - Slice'!O75*12</f>
        <v>0</v>
      </c>
      <c r="P75" s="88">
        <f>'Gelati Custom Cake - Slice'!P75*12</f>
        <v>0</v>
      </c>
      <c r="Q75" s="88">
        <f>'Gelati Custom Cake - Slice'!Q75*12</f>
        <v>24</v>
      </c>
      <c r="R75" s="88">
        <f>'Gelati Custom Cake - Slice'!R75*12</f>
        <v>0</v>
      </c>
      <c r="S75" s="88">
        <f>'Gelati Custom Cake - Slice'!S75*12</f>
        <v>0</v>
      </c>
      <c r="T75" s="88">
        <f>'Gelati Custom Cake - Slice'!T75*12</f>
        <v>0</v>
      </c>
      <c r="U75" s="88">
        <f>'Gelati Custom Cake - Slice'!U75*12</f>
        <v>60</v>
      </c>
      <c r="V75" s="88">
        <f>'Gelati Custom Cake - Slice'!V75*12</f>
        <v>0</v>
      </c>
      <c r="W75" s="88">
        <f>'Gelati Custom Cake - Slice'!W75*12</f>
        <v>0</v>
      </c>
      <c r="X75" s="89">
        <f>'Gelati Custom Cake - Slice'!X75*12</f>
        <v>0</v>
      </c>
    </row>
    <row r="76" spans="1:24" ht="14.6">
      <c r="A76" s="1318"/>
      <c r="B76" s="54" t="s">
        <v>103</v>
      </c>
      <c r="C76" s="136">
        <f>'Gelati Custom Cake - Slice'!C76*12</f>
        <v>720</v>
      </c>
      <c r="D76" s="136">
        <f>'Gelati Custom Cake - Slice'!D76*12</f>
        <v>60</v>
      </c>
      <c r="E76" s="136">
        <f>'Gelati Custom Cake - Slice'!E76*12</f>
        <v>6</v>
      </c>
      <c r="F76" s="136">
        <f>'Gelati Custom Cake - Slice'!F76*12</f>
        <v>0</v>
      </c>
      <c r="G76" s="136">
        <f>'Gelati Custom Cake - Slice'!G76*12</f>
        <v>0</v>
      </c>
      <c r="H76" s="136">
        <f>'Gelati Custom Cake - Slice'!H76*12</f>
        <v>0</v>
      </c>
      <c r="I76" s="136">
        <f>'Gelati Custom Cake - Slice'!I76*12</f>
        <v>180</v>
      </c>
      <c r="J76" s="136">
        <f>'Gelati Custom Cake - Slice'!J76*12</f>
        <v>156</v>
      </c>
      <c r="K76" s="136">
        <f>'Gelati Custom Cake - Slice'!K76*12</f>
        <v>0</v>
      </c>
      <c r="L76" s="136">
        <f>'Gelati Custom Cake - Slice'!L76*12</f>
        <v>144</v>
      </c>
      <c r="M76" s="136">
        <f>'Gelati Custom Cake - Slice'!M76*12</f>
        <v>144</v>
      </c>
      <c r="N76" s="136">
        <f>'Gelati Custom Cake - Slice'!N76*12</f>
        <v>0</v>
      </c>
      <c r="O76" s="137">
        <f>'Gelati Custom Cake - Slice'!O76*12</f>
        <v>0</v>
      </c>
      <c r="P76" s="137">
        <f>'Gelati Custom Cake - Slice'!P76*12</f>
        <v>0</v>
      </c>
      <c r="Q76" s="137">
        <f>'Gelati Custom Cake - Slice'!Q76*12</f>
        <v>12</v>
      </c>
      <c r="R76" s="137">
        <f>'Gelati Custom Cake - Slice'!R76*12</f>
        <v>0</v>
      </c>
      <c r="S76" s="137">
        <f>'Gelati Custom Cake - Slice'!S76*12</f>
        <v>0</v>
      </c>
      <c r="T76" s="137">
        <f>'Gelati Custom Cake - Slice'!T76*12</f>
        <v>0</v>
      </c>
      <c r="U76" s="137">
        <f>'Gelati Custom Cake - Slice'!U76*12</f>
        <v>36</v>
      </c>
      <c r="V76" s="137">
        <f>'Gelati Custom Cake - Slice'!V76*12</f>
        <v>0</v>
      </c>
      <c r="W76" s="137">
        <f>'Gelati Custom Cake - Slice'!W76*12</f>
        <v>0</v>
      </c>
      <c r="X76" s="138">
        <f>'Gelati Custom Cake - Slice'!X76*12</f>
        <v>0</v>
      </c>
    </row>
    <row r="77" spans="1:24" ht="14.6">
      <c r="A77" s="1318"/>
      <c r="B77" s="54" t="s">
        <v>105</v>
      </c>
      <c r="C77" s="87">
        <f>'Gelati Custom Cake - Slice'!C77*12</f>
        <v>600</v>
      </c>
      <c r="D77" s="87">
        <f>'Gelati Custom Cake - Slice'!D77*12</f>
        <v>60</v>
      </c>
      <c r="E77" s="87">
        <f>'Gelati Custom Cake - Slice'!E77*12</f>
        <v>12</v>
      </c>
      <c r="F77" s="87">
        <f>'Gelati Custom Cake - Slice'!F77*12</f>
        <v>6</v>
      </c>
      <c r="G77" s="87">
        <f>'Gelati Custom Cake - Slice'!G77*12</f>
        <v>0</v>
      </c>
      <c r="H77" s="87">
        <f>'Gelati Custom Cake - Slice'!H77*12</f>
        <v>0</v>
      </c>
      <c r="I77" s="87">
        <f>'Gelati Custom Cake - Slice'!I77*12</f>
        <v>180</v>
      </c>
      <c r="J77" s="87">
        <f>'Gelati Custom Cake - Slice'!J77*12</f>
        <v>144</v>
      </c>
      <c r="K77" s="87">
        <f>'Gelati Custom Cake - Slice'!K77*12</f>
        <v>0</v>
      </c>
      <c r="L77" s="87">
        <f>'Gelati Custom Cake - Slice'!L77*12</f>
        <v>132</v>
      </c>
      <c r="M77" s="87">
        <f>'Gelati Custom Cake - Slice'!M77*12</f>
        <v>120</v>
      </c>
      <c r="N77" s="87">
        <f>'Gelati Custom Cake - Slice'!N77*12</f>
        <v>0</v>
      </c>
      <c r="O77" s="85">
        <f>'Gelati Custom Cake - Slice'!O77*12</f>
        <v>0</v>
      </c>
      <c r="P77" s="85">
        <f>'Gelati Custom Cake - Slice'!P77*12</f>
        <v>0</v>
      </c>
      <c r="Q77" s="85">
        <f>'Gelati Custom Cake - Slice'!Q77*12</f>
        <v>36</v>
      </c>
      <c r="R77" s="85">
        <f>'Gelati Custom Cake - Slice'!R77*12</f>
        <v>0</v>
      </c>
      <c r="S77" s="85">
        <f>'Gelati Custom Cake - Slice'!S77*12</f>
        <v>0</v>
      </c>
      <c r="T77" s="85">
        <f>'Gelati Custom Cake - Slice'!T77*12</f>
        <v>0</v>
      </c>
      <c r="U77" s="85">
        <f>'Gelati Custom Cake - Slice'!U77*12</f>
        <v>408</v>
      </c>
      <c r="V77" s="85">
        <f>'Gelati Custom Cake - Slice'!V77*12</f>
        <v>0</v>
      </c>
      <c r="W77" s="85">
        <f>'Gelati Custom Cake - Slice'!W77*12</f>
        <v>0</v>
      </c>
      <c r="X77" s="86">
        <f>'Gelati Custom Cake - Slice'!X77*12</f>
        <v>0</v>
      </c>
    </row>
    <row r="78" spans="1:24" ht="14.6">
      <c r="A78" s="1318"/>
      <c r="B78" s="54" t="s">
        <v>106</v>
      </c>
      <c r="C78" s="136">
        <f>'Gelati Custom Cake - Slice'!C78*12</f>
        <v>480</v>
      </c>
      <c r="D78" s="136">
        <f>'Gelati Custom Cake - Slice'!D78*12</f>
        <v>60</v>
      </c>
      <c r="E78" s="136">
        <f>'Gelati Custom Cake - Slice'!E78*12</f>
        <v>0</v>
      </c>
      <c r="F78" s="136">
        <f>'Gelati Custom Cake - Slice'!F78*12</f>
        <v>0</v>
      </c>
      <c r="G78" s="136">
        <f>'Gelati Custom Cake - Slice'!G78*12</f>
        <v>0</v>
      </c>
      <c r="H78" s="136">
        <f>'Gelati Custom Cake - Slice'!H78*12</f>
        <v>0</v>
      </c>
      <c r="I78" s="136">
        <f>'Gelati Custom Cake - Slice'!I78*12</f>
        <v>120</v>
      </c>
      <c r="J78" s="136">
        <f>'Gelati Custom Cake - Slice'!J78*12</f>
        <v>108</v>
      </c>
      <c r="K78" s="136">
        <f>'Gelati Custom Cake - Slice'!K78*12</f>
        <v>0</v>
      </c>
      <c r="L78" s="136">
        <f>'Gelati Custom Cake - Slice'!L78*12</f>
        <v>108</v>
      </c>
      <c r="M78" s="136">
        <f>'Gelati Custom Cake - Slice'!M78*12</f>
        <v>108</v>
      </c>
      <c r="N78" s="136">
        <f>'Gelati Custom Cake - Slice'!N78*12</f>
        <v>0</v>
      </c>
      <c r="O78" s="139">
        <f>'Gelati Custom Cake - Slice'!O78*12</f>
        <v>0</v>
      </c>
      <c r="P78" s="139">
        <f>'Gelati Custom Cake - Slice'!P78*12</f>
        <v>0</v>
      </c>
      <c r="Q78" s="139">
        <f>'Gelati Custom Cake - Slice'!Q78*12</f>
        <v>12</v>
      </c>
      <c r="R78" s="139">
        <f>'Gelati Custom Cake - Slice'!R78*12</f>
        <v>0</v>
      </c>
      <c r="S78" s="139">
        <f>'Gelati Custom Cake - Slice'!S78*12</f>
        <v>0</v>
      </c>
      <c r="T78" s="139">
        <f>'Gelati Custom Cake - Slice'!T78*12</f>
        <v>0</v>
      </c>
      <c r="U78" s="139">
        <f>'Gelati Custom Cake - Slice'!U78*12</f>
        <v>24</v>
      </c>
      <c r="V78" s="139">
        <f>'Gelati Custom Cake - Slice'!V78*12</f>
        <v>0</v>
      </c>
      <c r="W78" s="139">
        <f>'Gelati Custom Cake - Slice'!W78*12</f>
        <v>0</v>
      </c>
      <c r="X78" s="142">
        <f>'Gelati Custom Cake - Slice'!X78*12</f>
        <v>0</v>
      </c>
    </row>
    <row r="79" spans="1:24" ht="14.6">
      <c r="A79" s="1318"/>
      <c r="B79" s="54" t="s">
        <v>107</v>
      </c>
      <c r="C79" s="136">
        <f>'Gelati Custom Cake - Slice'!C79*12</f>
        <v>480</v>
      </c>
      <c r="D79" s="136">
        <f>'Gelati Custom Cake - Slice'!D79*12</f>
        <v>60</v>
      </c>
      <c r="E79" s="136">
        <f>'Gelati Custom Cake - Slice'!E79*12</f>
        <v>0</v>
      </c>
      <c r="F79" s="136">
        <f>'Gelati Custom Cake - Slice'!F79*12</f>
        <v>0</v>
      </c>
      <c r="G79" s="136">
        <f>'Gelati Custom Cake - Slice'!G79*12</f>
        <v>0</v>
      </c>
      <c r="H79" s="136">
        <f>'Gelati Custom Cake - Slice'!H79*12</f>
        <v>0</v>
      </c>
      <c r="I79" s="136">
        <f>'Gelati Custom Cake - Slice'!I79*12</f>
        <v>300</v>
      </c>
      <c r="J79" s="136">
        <f>'Gelati Custom Cake - Slice'!J79*12</f>
        <v>120</v>
      </c>
      <c r="K79" s="136">
        <f>'Gelati Custom Cake - Slice'!K79*12</f>
        <v>0</v>
      </c>
      <c r="L79" s="136">
        <f>'Gelati Custom Cake - Slice'!L79*12</f>
        <v>108</v>
      </c>
      <c r="M79" s="136">
        <f>'Gelati Custom Cake - Slice'!M79*12</f>
        <v>108</v>
      </c>
      <c r="N79" s="136">
        <f>'Gelati Custom Cake - Slice'!N79*12</f>
        <v>0</v>
      </c>
      <c r="O79" s="137">
        <f>'Gelati Custom Cake - Slice'!O79*12</f>
        <v>0</v>
      </c>
      <c r="P79" s="137">
        <f>'Gelati Custom Cake - Slice'!P79*12</f>
        <v>0</v>
      </c>
      <c r="Q79" s="137">
        <f>'Gelati Custom Cake - Slice'!Q79*12</f>
        <v>24</v>
      </c>
      <c r="R79" s="137">
        <f>'Gelati Custom Cake - Slice'!R79*12</f>
        <v>0</v>
      </c>
      <c r="S79" s="137">
        <f>'Gelati Custom Cake - Slice'!S79*12</f>
        <v>0</v>
      </c>
      <c r="T79" s="137">
        <f>'Gelati Custom Cake - Slice'!T79*12</f>
        <v>0</v>
      </c>
      <c r="U79" s="137">
        <f>'Gelati Custom Cake - Slice'!U79*12</f>
        <v>216</v>
      </c>
      <c r="V79" s="137">
        <f>'Gelati Custom Cake - Slice'!V79*12</f>
        <v>0</v>
      </c>
      <c r="W79" s="137">
        <f>'Gelati Custom Cake - Slice'!W79*12</f>
        <v>0</v>
      </c>
      <c r="X79" s="138">
        <f>'Gelati Custom Cake - Slice'!X79*12</f>
        <v>0</v>
      </c>
    </row>
    <row r="80" spans="1:24" ht="14.6">
      <c r="A80" s="1318"/>
      <c r="B80" s="54" t="s">
        <v>108</v>
      </c>
      <c r="C80" s="87">
        <f>'Gelati Custom Cake - Slice'!C80*12</f>
        <v>600</v>
      </c>
      <c r="D80" s="87">
        <f>'Gelati Custom Cake - Slice'!D80*12</f>
        <v>60</v>
      </c>
      <c r="E80" s="87">
        <f>'Gelati Custom Cake - Slice'!E80*12</f>
        <v>12</v>
      </c>
      <c r="F80" s="87">
        <f>'Gelati Custom Cake - Slice'!F80*12</f>
        <v>6</v>
      </c>
      <c r="G80" s="87">
        <f>'Gelati Custom Cake - Slice'!G80*12</f>
        <v>0</v>
      </c>
      <c r="H80" s="87">
        <f>'Gelati Custom Cake - Slice'!H80*12</f>
        <v>0</v>
      </c>
      <c r="I80" s="87">
        <f>'Gelati Custom Cake - Slice'!I80*12</f>
        <v>120</v>
      </c>
      <c r="J80" s="87">
        <f>'Gelati Custom Cake - Slice'!J80*12</f>
        <v>132</v>
      </c>
      <c r="K80" s="87">
        <f>'Gelati Custom Cake - Slice'!K80*12</f>
        <v>0</v>
      </c>
      <c r="L80" s="87">
        <f>'Gelati Custom Cake - Slice'!L80*12</f>
        <v>120</v>
      </c>
      <c r="M80" s="87">
        <f>'Gelati Custom Cake - Slice'!M80*12</f>
        <v>108</v>
      </c>
      <c r="N80" s="87">
        <f>'Gelati Custom Cake - Slice'!N80*12</f>
        <v>0</v>
      </c>
      <c r="O80" s="85">
        <f>'Gelati Custom Cake - Slice'!O80*12</f>
        <v>0</v>
      </c>
      <c r="P80" s="85">
        <f>'Gelati Custom Cake - Slice'!P80*12</f>
        <v>0</v>
      </c>
      <c r="Q80" s="85">
        <f>'Gelati Custom Cake - Slice'!Q80*12</f>
        <v>24</v>
      </c>
      <c r="R80" s="85">
        <f>'Gelati Custom Cake - Slice'!R80*12</f>
        <v>0</v>
      </c>
      <c r="S80" s="85">
        <f>'Gelati Custom Cake - Slice'!S80*12</f>
        <v>0</v>
      </c>
      <c r="T80" s="85">
        <f>'Gelati Custom Cake - Slice'!T80*12</f>
        <v>0</v>
      </c>
      <c r="U80" s="85">
        <f>'Gelati Custom Cake - Slice'!U80*12</f>
        <v>24</v>
      </c>
      <c r="V80" s="85">
        <f>'Gelati Custom Cake - Slice'!V80*12</f>
        <v>0</v>
      </c>
      <c r="W80" s="85">
        <f>'Gelati Custom Cake - Slice'!W80*12</f>
        <v>0</v>
      </c>
      <c r="X80" s="86">
        <f>'Gelati Custom Cake - Slice'!X80*12</f>
        <v>0</v>
      </c>
    </row>
    <row r="81" spans="1:24" ht="14.6">
      <c r="A81" s="1318"/>
      <c r="B81" s="54" t="s">
        <v>109</v>
      </c>
      <c r="C81" s="136">
        <f>'Gelati Custom Cake - Slice'!C81*12</f>
        <v>540</v>
      </c>
      <c r="D81" s="136">
        <f>'Gelati Custom Cake - Slice'!D81*12</f>
        <v>60</v>
      </c>
      <c r="E81" s="136">
        <f>'Gelati Custom Cake - Slice'!E81*12</f>
        <v>6</v>
      </c>
      <c r="F81" s="136">
        <f>'Gelati Custom Cake - Slice'!F81*12</f>
        <v>0</v>
      </c>
      <c r="G81" s="136">
        <f>'Gelati Custom Cake - Slice'!G81*12</f>
        <v>0</v>
      </c>
      <c r="H81" s="136">
        <f>'Gelati Custom Cake - Slice'!H81*12</f>
        <v>0</v>
      </c>
      <c r="I81" s="136">
        <f>'Gelati Custom Cake - Slice'!I81*12</f>
        <v>180</v>
      </c>
      <c r="J81" s="136">
        <f>'Gelati Custom Cake - Slice'!J81*12</f>
        <v>132</v>
      </c>
      <c r="K81" s="136">
        <f>'Gelati Custom Cake - Slice'!K81*12</f>
        <v>0</v>
      </c>
      <c r="L81" s="136">
        <f>'Gelati Custom Cake - Slice'!L81*12</f>
        <v>120</v>
      </c>
      <c r="M81" s="136">
        <f>'Gelati Custom Cake - Slice'!M81*12</f>
        <v>84</v>
      </c>
      <c r="N81" s="136">
        <f>'Gelati Custom Cake - Slice'!N81*12</f>
        <v>0</v>
      </c>
      <c r="O81" s="137">
        <f>'Gelati Custom Cake - Slice'!O81*12</f>
        <v>0</v>
      </c>
      <c r="P81" s="137">
        <f>'Gelati Custom Cake - Slice'!P81*12</f>
        <v>0</v>
      </c>
      <c r="Q81" s="137">
        <f>'Gelati Custom Cake - Slice'!Q81*12</f>
        <v>12</v>
      </c>
      <c r="R81" s="137">
        <f>'Gelati Custom Cake - Slice'!R81*12</f>
        <v>0</v>
      </c>
      <c r="S81" s="137">
        <f>'Gelati Custom Cake - Slice'!S81*12</f>
        <v>0</v>
      </c>
      <c r="T81" s="137">
        <f>'Gelati Custom Cake - Slice'!T81*12</f>
        <v>0</v>
      </c>
      <c r="U81" s="137">
        <f>'Gelati Custom Cake - Slice'!U81*12</f>
        <v>12</v>
      </c>
      <c r="V81" s="137">
        <f>'Gelati Custom Cake - Slice'!V81*12</f>
        <v>0</v>
      </c>
      <c r="W81" s="137">
        <f>'Gelati Custom Cake - Slice'!W81*12</f>
        <v>0</v>
      </c>
      <c r="X81" s="138">
        <f>'Gelati Custom Cake - Slice'!X81*12</f>
        <v>0</v>
      </c>
    </row>
    <row r="82" spans="1:24" ht="14.6">
      <c r="A82" s="1318"/>
      <c r="B82" s="54" t="s">
        <v>110</v>
      </c>
      <c r="C82" s="136">
        <f>'Gelati Custom Cake - Slice'!C82*12</f>
        <v>540</v>
      </c>
      <c r="D82" s="136">
        <f>'Gelati Custom Cake - Slice'!D82*12</f>
        <v>60</v>
      </c>
      <c r="E82" s="136">
        <f>'Gelati Custom Cake - Slice'!E82*12</f>
        <v>0</v>
      </c>
      <c r="F82" s="136">
        <f>'Gelati Custom Cake - Slice'!F82*12</f>
        <v>0</v>
      </c>
      <c r="G82" s="136">
        <f>'Gelati Custom Cake - Slice'!G82*12</f>
        <v>0</v>
      </c>
      <c r="H82" s="136">
        <f>'Gelati Custom Cake - Slice'!H82*12</f>
        <v>0</v>
      </c>
      <c r="I82" s="136">
        <f>'Gelati Custom Cake - Slice'!I82*12</f>
        <v>240</v>
      </c>
      <c r="J82" s="136">
        <f>'Gelati Custom Cake - Slice'!J82*12</f>
        <v>120</v>
      </c>
      <c r="K82" s="136">
        <f>'Gelati Custom Cake - Slice'!K82*12</f>
        <v>0</v>
      </c>
      <c r="L82" s="136">
        <f>'Gelati Custom Cake - Slice'!L82*12</f>
        <v>108</v>
      </c>
      <c r="M82" s="136">
        <f>'Gelati Custom Cake - Slice'!M82*12</f>
        <v>108</v>
      </c>
      <c r="N82" s="136">
        <f>'Gelati Custom Cake - Slice'!N82*12</f>
        <v>0</v>
      </c>
      <c r="O82" s="139">
        <f>'Gelati Custom Cake - Slice'!O82*12</f>
        <v>0</v>
      </c>
      <c r="P82" s="139">
        <f>'Gelati Custom Cake - Slice'!P82*12</f>
        <v>0</v>
      </c>
      <c r="Q82" s="139">
        <f>'Gelati Custom Cake - Slice'!Q82*12</f>
        <v>24</v>
      </c>
      <c r="R82" s="139">
        <f>'Gelati Custom Cake - Slice'!R82*12</f>
        <v>0</v>
      </c>
      <c r="S82" s="139">
        <f>'Gelati Custom Cake - Slice'!S82*12</f>
        <v>0</v>
      </c>
      <c r="T82" s="139">
        <f>'Gelati Custom Cake - Slice'!T82*12</f>
        <v>0</v>
      </c>
      <c r="U82" s="139">
        <f>'Gelati Custom Cake - Slice'!U82*12</f>
        <v>180</v>
      </c>
      <c r="V82" s="139">
        <f>'Gelati Custom Cake - Slice'!V82*12</f>
        <v>0</v>
      </c>
      <c r="W82" s="139">
        <f>'Gelati Custom Cake - Slice'!W82*12</f>
        <v>0</v>
      </c>
      <c r="X82" s="142">
        <f>'Gelati Custom Cake - Slice'!X82*12</f>
        <v>0</v>
      </c>
    </row>
    <row r="83" spans="1:24" ht="14.6">
      <c r="A83" s="1318"/>
      <c r="B83" s="54" t="s">
        <v>555</v>
      </c>
      <c r="C83" s="87">
        <f>'Gelati Custom Cake - Slice'!C83*12</f>
        <v>600</v>
      </c>
      <c r="D83" s="87">
        <f>'Gelati Custom Cake - Slice'!D83*12</f>
        <v>60</v>
      </c>
      <c r="E83" s="87">
        <f>'Gelati Custom Cake - Slice'!E83*12</f>
        <v>12</v>
      </c>
      <c r="F83" s="87">
        <f>'Gelati Custom Cake - Slice'!F83*12</f>
        <v>6</v>
      </c>
      <c r="G83" s="87">
        <f>'Gelati Custom Cake - Slice'!G83*12</f>
        <v>0</v>
      </c>
      <c r="H83" s="87">
        <f>'Gelati Custom Cake - Slice'!H83*12</f>
        <v>0</v>
      </c>
      <c r="I83" s="87">
        <f>'Gelati Custom Cake - Slice'!I83*12</f>
        <v>120</v>
      </c>
      <c r="J83" s="87">
        <f>'Gelati Custom Cake - Slice'!J83*12</f>
        <v>132</v>
      </c>
      <c r="K83" s="87">
        <f>'Gelati Custom Cake - Slice'!K83*12</f>
        <v>0</v>
      </c>
      <c r="L83" s="87">
        <f>'Gelati Custom Cake - Slice'!L83*12</f>
        <v>120</v>
      </c>
      <c r="M83" s="87">
        <f>'Gelati Custom Cake - Slice'!M83*12</f>
        <v>120</v>
      </c>
      <c r="N83" s="87">
        <f>'Gelati Custom Cake - Slice'!N83*12</f>
        <v>0</v>
      </c>
      <c r="O83" s="85">
        <f>'Gelati Custom Cake - Slice'!O83*12</f>
        <v>0</v>
      </c>
      <c r="P83" s="85">
        <f>'Gelati Custom Cake - Slice'!P83*12</f>
        <v>0</v>
      </c>
      <c r="Q83" s="85">
        <f>'Gelati Custom Cake - Slice'!Q83*12</f>
        <v>24</v>
      </c>
      <c r="R83" s="85">
        <f>'Gelati Custom Cake - Slice'!R83*12</f>
        <v>0</v>
      </c>
      <c r="S83" s="85">
        <f>'Gelati Custom Cake - Slice'!S83*12</f>
        <v>0</v>
      </c>
      <c r="T83" s="85">
        <f>'Gelati Custom Cake - Slice'!T83*12</f>
        <v>0</v>
      </c>
      <c r="U83" s="85">
        <f>'Gelati Custom Cake - Slice'!U83*12</f>
        <v>36</v>
      </c>
      <c r="V83" s="85">
        <f>'Gelati Custom Cake - Slice'!V83*12</f>
        <v>0</v>
      </c>
      <c r="W83" s="85">
        <f>'Gelati Custom Cake - Slice'!W83*12</f>
        <v>0</v>
      </c>
      <c r="X83" s="86">
        <f>'Gelati Custom Cake - Slice'!X83*12</f>
        <v>0</v>
      </c>
    </row>
    <row r="84" spans="1:24" ht="14.6">
      <c r="A84" s="1318"/>
      <c r="B84" s="54" t="s">
        <v>111</v>
      </c>
      <c r="C84" s="136">
        <f>'Gelati Custom Cake - Slice'!C84*12</f>
        <v>480</v>
      </c>
      <c r="D84" s="136">
        <f>'Gelati Custom Cake - Slice'!D84*12</f>
        <v>60</v>
      </c>
      <c r="E84" s="136">
        <f>'Gelati Custom Cake - Slice'!E84*12</f>
        <v>0</v>
      </c>
      <c r="F84" s="136">
        <f>'Gelati Custom Cake - Slice'!F84*12</f>
        <v>0</v>
      </c>
      <c r="G84" s="136">
        <f>'Gelati Custom Cake - Slice'!G84*12</f>
        <v>0</v>
      </c>
      <c r="H84" s="136">
        <f>'Gelati Custom Cake - Slice'!H84*12</f>
        <v>0</v>
      </c>
      <c r="I84" s="136">
        <f>'Gelati Custom Cake - Slice'!I84*12</f>
        <v>60</v>
      </c>
      <c r="J84" s="136">
        <f>'Gelati Custom Cake - Slice'!J84*12</f>
        <v>108</v>
      </c>
      <c r="K84" s="136">
        <f>'Gelati Custom Cake - Slice'!K84*12</f>
        <v>0</v>
      </c>
      <c r="L84" s="136">
        <f>'Gelati Custom Cake - Slice'!L84*12</f>
        <v>108</v>
      </c>
      <c r="M84" s="136">
        <f>'Gelati Custom Cake - Slice'!M84*12</f>
        <v>48</v>
      </c>
      <c r="N84" s="136">
        <f>'Gelati Custom Cake - Slice'!N84*12</f>
        <v>0</v>
      </c>
      <c r="O84" s="137">
        <f>'Gelati Custom Cake - Slice'!O84*12</f>
        <v>0</v>
      </c>
      <c r="P84" s="137">
        <f>'Gelati Custom Cake - Slice'!P84*12</f>
        <v>0</v>
      </c>
      <c r="Q84" s="137">
        <f>'Gelati Custom Cake - Slice'!Q84*12</f>
        <v>24</v>
      </c>
      <c r="R84" s="137">
        <f>'Gelati Custom Cake - Slice'!R84*12</f>
        <v>0</v>
      </c>
      <c r="S84" s="137">
        <f>'Gelati Custom Cake - Slice'!S84*12</f>
        <v>0</v>
      </c>
      <c r="T84" s="137">
        <f>'Gelati Custom Cake - Slice'!T84*12</f>
        <v>0</v>
      </c>
      <c r="U84" s="137">
        <f>'Gelati Custom Cake - Slice'!U84*12</f>
        <v>24</v>
      </c>
      <c r="V84" s="137">
        <f>'Gelati Custom Cake - Slice'!V84*12</f>
        <v>0</v>
      </c>
      <c r="W84" s="137">
        <f>'Gelati Custom Cake - Slice'!W84*12</f>
        <v>0</v>
      </c>
      <c r="X84" s="138">
        <f>'Gelati Custom Cake - Slice'!X84*12</f>
        <v>0</v>
      </c>
    </row>
    <row r="85" spans="1:24" ht="14.6">
      <c r="A85" s="1318"/>
      <c r="B85" s="54" t="s">
        <v>112</v>
      </c>
      <c r="C85" s="136">
        <f>'Gelati Custom Cake - Slice'!C85*12</f>
        <v>480</v>
      </c>
      <c r="D85" s="136">
        <f>'Gelati Custom Cake - Slice'!D85*12</f>
        <v>60</v>
      </c>
      <c r="E85" s="136">
        <f>'Gelati Custom Cake - Slice'!E85*12</f>
        <v>0</v>
      </c>
      <c r="F85" s="136">
        <f>'Gelati Custom Cake - Slice'!F85*12</f>
        <v>0</v>
      </c>
      <c r="G85" s="136">
        <f>'Gelati Custom Cake - Slice'!G85*12</f>
        <v>0</v>
      </c>
      <c r="H85" s="136">
        <f>'Gelati Custom Cake - Slice'!H85*12</f>
        <v>0</v>
      </c>
      <c r="I85" s="136">
        <f>'Gelati Custom Cake - Slice'!I85*12</f>
        <v>120</v>
      </c>
      <c r="J85" s="136">
        <f>'Gelati Custom Cake - Slice'!J85*12</f>
        <v>96</v>
      </c>
      <c r="K85" s="136">
        <f>'Gelati Custom Cake - Slice'!K85*12</f>
        <v>0</v>
      </c>
      <c r="L85" s="136">
        <f>'Gelati Custom Cake - Slice'!L85*12</f>
        <v>96</v>
      </c>
      <c r="M85" s="136">
        <f>'Gelati Custom Cake - Slice'!M85*12</f>
        <v>96</v>
      </c>
      <c r="N85" s="136">
        <f>'Gelati Custom Cake - Slice'!N85*12</f>
        <v>0</v>
      </c>
      <c r="O85" s="140">
        <f>'Gelati Custom Cake - Slice'!O85*12</f>
        <v>0</v>
      </c>
      <c r="P85" s="140">
        <f>'Gelati Custom Cake - Slice'!P85*12</f>
        <v>0</v>
      </c>
      <c r="Q85" s="140">
        <f>'Gelati Custom Cake - Slice'!Q85*12</f>
        <v>24</v>
      </c>
      <c r="R85" s="140">
        <f>'Gelati Custom Cake - Slice'!R85*12</f>
        <v>0</v>
      </c>
      <c r="S85" s="140">
        <f>'Gelati Custom Cake - Slice'!S85*12</f>
        <v>0</v>
      </c>
      <c r="T85" s="140">
        <f>'Gelati Custom Cake - Slice'!T85*12</f>
        <v>0</v>
      </c>
      <c r="U85" s="140">
        <f>'Gelati Custom Cake - Slice'!U85*12</f>
        <v>48</v>
      </c>
      <c r="V85" s="140">
        <f>'Gelati Custom Cake - Slice'!V85*12</f>
        <v>0</v>
      </c>
      <c r="W85" s="140">
        <f>'Gelati Custom Cake - Slice'!W85*12</f>
        <v>0</v>
      </c>
      <c r="X85" s="141">
        <f>'Gelati Custom Cake - Slice'!X85*12</f>
        <v>0</v>
      </c>
    </row>
    <row r="86" spans="1:24" ht="14.6">
      <c r="A86" s="1318"/>
      <c r="B86" s="54" t="s">
        <v>113</v>
      </c>
      <c r="C86" s="136">
        <f>'Gelati Custom Cake - Slice'!C86*12</f>
        <v>480</v>
      </c>
      <c r="D86" s="136">
        <f>'Gelati Custom Cake - Slice'!D86*12</f>
        <v>60</v>
      </c>
      <c r="E86" s="136">
        <f>'Gelati Custom Cake - Slice'!E86*12</f>
        <v>6</v>
      </c>
      <c r="F86" s="136">
        <f>'Gelati Custom Cake - Slice'!F86*12</f>
        <v>0</v>
      </c>
      <c r="G86" s="136">
        <f>'Gelati Custom Cake - Slice'!G86*12</f>
        <v>0</v>
      </c>
      <c r="H86" s="136">
        <f>'Gelati Custom Cake - Slice'!H86*12</f>
        <v>0</v>
      </c>
      <c r="I86" s="136">
        <f>'Gelati Custom Cake - Slice'!I86*12</f>
        <v>180</v>
      </c>
      <c r="J86" s="136">
        <f>'Gelati Custom Cake - Slice'!J86*12</f>
        <v>108</v>
      </c>
      <c r="K86" s="136">
        <f>'Gelati Custom Cake - Slice'!K86*12</f>
        <v>0</v>
      </c>
      <c r="L86" s="136">
        <f>'Gelati Custom Cake - Slice'!L86*12</f>
        <v>96</v>
      </c>
      <c r="M86" s="136">
        <f>'Gelati Custom Cake - Slice'!M86*12</f>
        <v>96</v>
      </c>
      <c r="N86" s="136">
        <f>'Gelati Custom Cake - Slice'!N86*12</f>
        <v>0</v>
      </c>
      <c r="O86" s="137">
        <f>'Gelati Custom Cake - Slice'!O86*12</f>
        <v>0</v>
      </c>
      <c r="P86" s="137">
        <f>'Gelati Custom Cake - Slice'!P86*12</f>
        <v>0</v>
      </c>
      <c r="Q86" s="137">
        <f>'Gelati Custom Cake - Slice'!Q86*12</f>
        <v>24</v>
      </c>
      <c r="R86" s="137">
        <f>'Gelati Custom Cake - Slice'!R86*12</f>
        <v>0</v>
      </c>
      <c r="S86" s="137">
        <f>'Gelati Custom Cake - Slice'!S86*12</f>
        <v>0</v>
      </c>
      <c r="T86" s="137">
        <f>'Gelati Custom Cake - Slice'!T86*12</f>
        <v>0</v>
      </c>
      <c r="U86" s="137">
        <f>'Gelati Custom Cake - Slice'!U86*12</f>
        <v>144</v>
      </c>
      <c r="V86" s="137">
        <f>'Gelati Custom Cake - Slice'!V86*12</f>
        <v>0</v>
      </c>
      <c r="W86" s="137">
        <f>'Gelati Custom Cake - Slice'!W86*12</f>
        <v>0</v>
      </c>
      <c r="X86" s="138">
        <f>'Gelati Custom Cake - Slice'!X86*12</f>
        <v>0</v>
      </c>
    </row>
    <row r="87" spans="1:24" ht="14.6">
      <c r="A87" s="1318"/>
      <c r="B87" s="54" t="s">
        <v>114</v>
      </c>
      <c r="C87" s="136">
        <f>'Gelati Custom Cake - Slice'!C87*12</f>
        <v>720</v>
      </c>
      <c r="D87" s="136">
        <f>'Gelati Custom Cake - Slice'!D87*12</f>
        <v>120</v>
      </c>
      <c r="E87" s="136">
        <f>'Gelati Custom Cake - Slice'!E87*12</f>
        <v>18</v>
      </c>
      <c r="F87" s="136">
        <f>'Gelati Custom Cake - Slice'!F87*12</f>
        <v>6</v>
      </c>
      <c r="G87" s="136">
        <f>'Gelati Custom Cake - Slice'!G87*12</f>
        <v>0</v>
      </c>
      <c r="H87" s="136">
        <f>'Gelati Custom Cake - Slice'!H87*12</f>
        <v>0</v>
      </c>
      <c r="I87" s="136">
        <f>'Gelati Custom Cake - Slice'!I87*12</f>
        <v>180</v>
      </c>
      <c r="J87" s="136">
        <f>'Gelati Custom Cake - Slice'!J87*12</f>
        <v>144</v>
      </c>
      <c r="K87" s="136">
        <f>'Gelati Custom Cake - Slice'!K87*12</f>
        <v>0</v>
      </c>
      <c r="L87" s="136">
        <f>'Gelati Custom Cake - Slice'!L87*12</f>
        <v>132</v>
      </c>
      <c r="M87" s="136">
        <f>'Gelati Custom Cake - Slice'!M87*12</f>
        <v>132</v>
      </c>
      <c r="N87" s="136">
        <f>'Gelati Custom Cake - Slice'!N87*12</f>
        <v>0</v>
      </c>
      <c r="O87" s="140">
        <f>'Gelati Custom Cake - Slice'!O87*12</f>
        <v>0</v>
      </c>
      <c r="P87" s="140">
        <f>'Gelati Custom Cake - Slice'!P87*12</f>
        <v>0</v>
      </c>
      <c r="Q87" s="140">
        <f>'Gelati Custom Cake - Slice'!Q87*12</f>
        <v>24</v>
      </c>
      <c r="R87" s="140">
        <f>'Gelati Custom Cake - Slice'!R87*12</f>
        <v>0</v>
      </c>
      <c r="S87" s="140">
        <f>'Gelati Custom Cake - Slice'!S87*12</f>
        <v>0</v>
      </c>
      <c r="T87" s="140">
        <f>'Gelati Custom Cake - Slice'!T87*12</f>
        <v>0</v>
      </c>
      <c r="U87" s="140">
        <f>'Gelati Custom Cake - Slice'!U87*12</f>
        <v>36</v>
      </c>
      <c r="V87" s="140">
        <f>'Gelati Custom Cake - Slice'!V87*12</f>
        <v>0</v>
      </c>
      <c r="W87" s="140">
        <f>'Gelati Custom Cake - Slice'!W87*12</f>
        <v>0</v>
      </c>
      <c r="X87" s="141">
        <f>'Gelati Custom Cake - Slice'!X87*12</f>
        <v>0</v>
      </c>
    </row>
    <row r="88" spans="1:24" ht="14.6">
      <c r="A88" s="1318"/>
      <c r="B88" s="54" t="s">
        <v>115</v>
      </c>
      <c r="C88" s="136">
        <f>'Gelati Custom Cake - Slice'!C88*12</f>
        <v>480</v>
      </c>
      <c r="D88" s="136">
        <f>'Gelati Custom Cake - Slice'!D88*12</f>
        <v>0</v>
      </c>
      <c r="E88" s="136">
        <f>'Gelati Custom Cake - Slice'!E88*12</f>
        <v>0</v>
      </c>
      <c r="F88" s="136">
        <f>'Gelati Custom Cake - Slice'!F88*12</f>
        <v>0</v>
      </c>
      <c r="G88" s="136">
        <f>'Gelati Custom Cake - Slice'!G88*12</f>
        <v>0</v>
      </c>
      <c r="H88" s="136">
        <f>'Gelati Custom Cake - Slice'!H88*12</f>
        <v>0</v>
      </c>
      <c r="I88" s="136">
        <f>'Gelati Custom Cake - Slice'!I88*12</f>
        <v>120</v>
      </c>
      <c r="J88" s="136">
        <f>'Gelati Custom Cake - Slice'!J88*12</f>
        <v>120</v>
      </c>
      <c r="K88" s="136">
        <f>'Gelati Custom Cake - Slice'!K88*12</f>
        <v>0</v>
      </c>
      <c r="L88" s="136">
        <f>'Gelati Custom Cake - Slice'!L88*12</f>
        <v>108</v>
      </c>
      <c r="M88" s="136">
        <f>'Gelati Custom Cake - Slice'!M88*12</f>
        <v>84</v>
      </c>
      <c r="N88" s="136">
        <f>'Gelati Custom Cake - Slice'!N88*12</f>
        <v>0</v>
      </c>
      <c r="O88" s="137">
        <f>'Gelati Custom Cake - Slice'!O88*12</f>
        <v>0</v>
      </c>
      <c r="P88" s="137">
        <f>'Gelati Custom Cake - Slice'!P88*12</f>
        <v>0</v>
      </c>
      <c r="Q88" s="137">
        <f>'Gelati Custom Cake - Slice'!Q88*12</f>
        <v>12</v>
      </c>
      <c r="R88" s="137">
        <f>'Gelati Custom Cake - Slice'!R88*12</f>
        <v>0</v>
      </c>
      <c r="S88" s="137">
        <f>'Gelati Custom Cake - Slice'!S88*12</f>
        <v>0</v>
      </c>
      <c r="T88" s="137">
        <f>'Gelati Custom Cake - Slice'!T88*12</f>
        <v>0</v>
      </c>
      <c r="U88" s="137">
        <f>'Gelati Custom Cake - Slice'!U88*12</f>
        <v>24</v>
      </c>
      <c r="V88" s="137">
        <f>'Gelati Custom Cake - Slice'!V88*12</f>
        <v>0</v>
      </c>
      <c r="W88" s="137">
        <f>'Gelati Custom Cake - Slice'!W88*12</f>
        <v>0</v>
      </c>
      <c r="X88" s="138">
        <f>'Gelati Custom Cake - Slice'!X88*12</f>
        <v>0</v>
      </c>
    </row>
    <row r="89" spans="1:24" ht="14.6">
      <c r="A89" s="1318"/>
      <c r="B89" s="54" t="s">
        <v>116</v>
      </c>
      <c r="C89" s="87">
        <f>'Gelati Custom Cake - Slice'!C89*12</f>
        <v>600</v>
      </c>
      <c r="D89" s="87">
        <f>'Gelati Custom Cake - Slice'!D89*12</f>
        <v>60</v>
      </c>
      <c r="E89" s="87">
        <f>'Gelati Custom Cake - Slice'!E89*12</f>
        <v>6</v>
      </c>
      <c r="F89" s="87">
        <f>'Gelati Custom Cake - Slice'!F89*12</f>
        <v>6</v>
      </c>
      <c r="G89" s="87">
        <f>'Gelati Custom Cake - Slice'!G89*12</f>
        <v>0</v>
      </c>
      <c r="H89" s="87">
        <f>'Gelati Custom Cake - Slice'!H89*12</f>
        <v>0</v>
      </c>
      <c r="I89" s="87">
        <f>'Gelati Custom Cake - Slice'!I89*12</f>
        <v>120</v>
      </c>
      <c r="J89" s="87">
        <f>'Gelati Custom Cake - Slice'!J89*12</f>
        <v>144</v>
      </c>
      <c r="K89" s="87">
        <f>'Gelati Custom Cake - Slice'!K89*12</f>
        <v>0</v>
      </c>
      <c r="L89" s="87">
        <f>'Gelati Custom Cake - Slice'!L89*12</f>
        <v>144</v>
      </c>
      <c r="M89" s="87">
        <f>'Gelati Custom Cake - Slice'!M89*12</f>
        <v>132</v>
      </c>
      <c r="N89" s="87">
        <f>'Gelati Custom Cake - Slice'!N89*12</f>
        <v>0</v>
      </c>
      <c r="O89" s="85">
        <f>'Gelati Custom Cake - Slice'!O89*12</f>
        <v>0</v>
      </c>
      <c r="P89" s="85">
        <f>'Gelati Custom Cake - Slice'!P89*12</f>
        <v>0</v>
      </c>
      <c r="Q89" s="85">
        <f>'Gelati Custom Cake - Slice'!Q89*12</f>
        <v>24</v>
      </c>
      <c r="R89" s="85">
        <f>'Gelati Custom Cake - Slice'!R89*12</f>
        <v>0</v>
      </c>
      <c r="S89" s="85">
        <f>'Gelati Custom Cake - Slice'!S89*12</f>
        <v>0</v>
      </c>
      <c r="T89" s="85">
        <f>'Gelati Custom Cake - Slice'!T89*12</f>
        <v>0</v>
      </c>
      <c r="U89" s="85">
        <f>'Gelati Custom Cake - Slice'!U89*12</f>
        <v>36</v>
      </c>
      <c r="V89" s="85">
        <f>'Gelati Custom Cake - Slice'!V89*12</f>
        <v>0</v>
      </c>
      <c r="W89" s="85">
        <f>'Gelati Custom Cake - Slice'!W89*12</f>
        <v>0</v>
      </c>
      <c r="X89" s="86">
        <f>'Gelati Custom Cake - Slice'!X89*12</f>
        <v>0</v>
      </c>
    </row>
    <row r="90" spans="1:24" ht="14.6">
      <c r="A90" s="1318"/>
      <c r="B90" s="54" t="s">
        <v>117</v>
      </c>
      <c r="C90" s="136">
        <f>'Gelati Custom Cake - Slice'!C90*12</f>
        <v>600</v>
      </c>
      <c r="D90" s="136">
        <f>'Gelati Custom Cake - Slice'!D90*12</f>
        <v>60</v>
      </c>
      <c r="E90" s="136">
        <f>'Gelati Custom Cake - Slice'!E90*12</f>
        <v>0</v>
      </c>
      <c r="F90" s="136">
        <f>'Gelati Custom Cake - Slice'!F90*12</f>
        <v>0</v>
      </c>
      <c r="G90" s="136">
        <f>'Gelati Custom Cake - Slice'!G90*12</f>
        <v>0</v>
      </c>
      <c r="H90" s="136">
        <f>'Gelati Custom Cake - Slice'!H90*12</f>
        <v>0</v>
      </c>
      <c r="I90" s="136">
        <f>'Gelati Custom Cake - Slice'!I90*12</f>
        <v>120</v>
      </c>
      <c r="J90" s="136">
        <f>'Gelati Custom Cake - Slice'!J90*12</f>
        <v>132</v>
      </c>
      <c r="K90" s="136">
        <f>'Gelati Custom Cake - Slice'!K90*12</f>
        <v>0</v>
      </c>
      <c r="L90" s="136">
        <f>'Gelati Custom Cake - Slice'!L90*12</f>
        <v>120</v>
      </c>
      <c r="M90" s="136">
        <f>'Gelati Custom Cake - Slice'!M90*12</f>
        <v>120</v>
      </c>
      <c r="N90" s="136">
        <f>'Gelati Custom Cake - Slice'!N90*12</f>
        <v>0</v>
      </c>
      <c r="O90" s="139">
        <f>'Gelati Custom Cake - Slice'!O90*12</f>
        <v>0</v>
      </c>
      <c r="P90" s="139">
        <f>'Gelati Custom Cake - Slice'!P90*12</f>
        <v>0</v>
      </c>
      <c r="Q90" s="139">
        <f>'Gelati Custom Cake - Slice'!Q90*12</f>
        <v>12</v>
      </c>
      <c r="R90" s="139">
        <f>'Gelati Custom Cake - Slice'!R90*12</f>
        <v>0</v>
      </c>
      <c r="S90" s="139">
        <f>'Gelati Custom Cake - Slice'!S90*12</f>
        <v>0</v>
      </c>
      <c r="T90" s="139">
        <f>'Gelati Custom Cake - Slice'!T90*12</f>
        <v>0</v>
      </c>
      <c r="U90" s="139">
        <f>'Gelati Custom Cake - Slice'!U90*12</f>
        <v>72</v>
      </c>
      <c r="V90" s="139">
        <f>'Gelati Custom Cake - Slice'!V90*12</f>
        <v>0</v>
      </c>
      <c r="W90" s="139">
        <f>'Gelati Custom Cake - Slice'!W90*12</f>
        <v>0</v>
      </c>
      <c r="X90" s="142">
        <f>'Gelati Custom Cake - Slice'!X90*12</f>
        <v>0</v>
      </c>
    </row>
    <row r="91" spans="1:24" ht="14.6">
      <c r="A91" s="1318"/>
      <c r="B91" s="54" t="s">
        <v>118</v>
      </c>
      <c r="C91" s="136">
        <f>'Gelati Custom Cake - Slice'!C91*12</f>
        <v>600</v>
      </c>
      <c r="D91" s="136">
        <f>'Gelati Custom Cake - Slice'!D91*12</f>
        <v>60</v>
      </c>
      <c r="E91" s="136">
        <f>'Gelati Custom Cake - Slice'!E91*12</f>
        <v>6</v>
      </c>
      <c r="F91" s="136">
        <f>'Gelati Custom Cake - Slice'!F91*12</f>
        <v>0</v>
      </c>
      <c r="G91" s="136">
        <f>'Gelati Custom Cake - Slice'!G91*12</f>
        <v>0</v>
      </c>
      <c r="H91" s="136">
        <f>'Gelati Custom Cake - Slice'!H91*12</f>
        <v>0</v>
      </c>
      <c r="I91" s="136">
        <f>'Gelati Custom Cake - Slice'!I91*12</f>
        <v>120</v>
      </c>
      <c r="J91" s="136">
        <f>'Gelati Custom Cake - Slice'!J91*12</f>
        <v>132</v>
      </c>
      <c r="K91" s="136">
        <f>'Gelati Custom Cake - Slice'!K91*12</f>
        <v>0</v>
      </c>
      <c r="L91" s="136">
        <f>'Gelati Custom Cake - Slice'!L91*12</f>
        <v>120</v>
      </c>
      <c r="M91" s="136">
        <f>'Gelati Custom Cake - Slice'!M91*12</f>
        <v>60</v>
      </c>
      <c r="N91" s="136">
        <f>'Gelati Custom Cake - Slice'!N91*12</f>
        <v>0</v>
      </c>
      <c r="O91" s="137">
        <f>'Gelati Custom Cake - Slice'!O91*12</f>
        <v>0</v>
      </c>
      <c r="P91" s="137">
        <f>'Gelati Custom Cake - Slice'!P91*12</f>
        <v>0</v>
      </c>
      <c r="Q91" s="137">
        <f>'Gelati Custom Cake - Slice'!Q91*12</f>
        <v>12</v>
      </c>
      <c r="R91" s="137">
        <f>'Gelati Custom Cake - Slice'!R91*12</f>
        <v>0</v>
      </c>
      <c r="S91" s="137">
        <f>'Gelati Custom Cake - Slice'!S91*12</f>
        <v>0</v>
      </c>
      <c r="T91" s="137">
        <f>'Gelati Custom Cake - Slice'!T91*12</f>
        <v>0</v>
      </c>
      <c r="U91" s="137">
        <f>'Gelati Custom Cake - Slice'!U91*12</f>
        <v>36</v>
      </c>
      <c r="V91" s="137">
        <f>'Gelati Custom Cake - Slice'!V91*12</f>
        <v>0</v>
      </c>
      <c r="W91" s="137">
        <f>'Gelati Custom Cake - Slice'!W91*12</f>
        <v>0</v>
      </c>
      <c r="X91" s="138">
        <f>'Gelati Custom Cake - Slice'!X91*12</f>
        <v>0</v>
      </c>
    </row>
    <row r="92" spans="1:24" ht="14.6">
      <c r="A92" s="1318"/>
      <c r="B92" s="54" t="s">
        <v>119</v>
      </c>
      <c r="C92" s="136">
        <f>'Gelati Custom Cake - Slice'!C92*12</f>
        <v>480</v>
      </c>
      <c r="D92" s="136">
        <f>'Gelati Custom Cake - Slice'!D92*12</f>
        <v>60</v>
      </c>
      <c r="E92" s="136">
        <f>'Gelati Custom Cake - Slice'!E92*12</f>
        <v>0</v>
      </c>
      <c r="F92" s="136">
        <f>'Gelati Custom Cake - Slice'!F92*12</f>
        <v>0</v>
      </c>
      <c r="G92" s="136">
        <f>'Gelati Custom Cake - Slice'!G92*12</f>
        <v>0</v>
      </c>
      <c r="H92" s="136">
        <f>'Gelati Custom Cake - Slice'!H92*12</f>
        <v>0</v>
      </c>
      <c r="I92" s="136">
        <f>'Gelati Custom Cake - Slice'!I92*12</f>
        <v>120</v>
      </c>
      <c r="J92" s="136">
        <f>'Gelati Custom Cake - Slice'!J92*12</f>
        <v>120</v>
      </c>
      <c r="K92" s="136">
        <f>'Gelati Custom Cake - Slice'!K92*12</f>
        <v>0</v>
      </c>
      <c r="L92" s="136">
        <f>'Gelati Custom Cake - Slice'!L92*12</f>
        <v>108</v>
      </c>
      <c r="M92" s="136">
        <f>'Gelati Custom Cake - Slice'!M92*12</f>
        <v>108</v>
      </c>
      <c r="N92" s="136">
        <f>'Gelati Custom Cake - Slice'!N92*12</f>
        <v>0</v>
      </c>
      <c r="O92" s="140">
        <f>'Gelati Custom Cake - Slice'!O92*12</f>
        <v>0</v>
      </c>
      <c r="P92" s="140">
        <f>'Gelati Custom Cake - Slice'!P92*12</f>
        <v>0</v>
      </c>
      <c r="Q92" s="140">
        <f>'Gelati Custom Cake - Slice'!Q92*12</f>
        <v>12</v>
      </c>
      <c r="R92" s="140">
        <f>'Gelati Custom Cake - Slice'!R92*12</f>
        <v>0</v>
      </c>
      <c r="S92" s="140">
        <f>'Gelati Custom Cake - Slice'!S92*12</f>
        <v>0</v>
      </c>
      <c r="T92" s="140">
        <f>'Gelati Custom Cake - Slice'!T92*12</f>
        <v>0</v>
      </c>
      <c r="U92" s="140">
        <f>'Gelati Custom Cake - Slice'!U92*12</f>
        <v>48</v>
      </c>
      <c r="V92" s="140">
        <f>'Gelati Custom Cake - Slice'!V92*12</f>
        <v>0</v>
      </c>
      <c r="W92" s="140">
        <f>'Gelati Custom Cake - Slice'!W92*12</f>
        <v>0</v>
      </c>
      <c r="X92" s="141">
        <f>'Gelati Custom Cake - Slice'!X92*12</f>
        <v>0</v>
      </c>
    </row>
    <row r="93" spans="1:24" ht="15" thickBot="1">
      <c r="A93" s="1319"/>
      <c r="B93" s="55" t="s">
        <v>120</v>
      </c>
      <c r="C93" s="90">
        <f>'Gelati Custom Cake - Slice'!C93*12</f>
        <v>600</v>
      </c>
      <c r="D93" s="90">
        <f>'Gelati Custom Cake - Slice'!D93*12</f>
        <v>60</v>
      </c>
      <c r="E93" s="90">
        <f>'Gelati Custom Cake - Slice'!E93*12</f>
        <v>12</v>
      </c>
      <c r="F93" s="90">
        <f>'Gelati Custom Cake - Slice'!F93*12</f>
        <v>6</v>
      </c>
      <c r="G93" s="90">
        <f>'Gelati Custom Cake - Slice'!G93*12</f>
        <v>0</v>
      </c>
      <c r="H93" s="90">
        <f>'Gelati Custom Cake - Slice'!H93*12</f>
        <v>0</v>
      </c>
      <c r="I93" s="90">
        <f>'Gelati Custom Cake - Slice'!I93*12</f>
        <v>120</v>
      </c>
      <c r="J93" s="90">
        <f>'Gelati Custom Cake - Slice'!J93*12</f>
        <v>144</v>
      </c>
      <c r="K93" s="90">
        <f>'Gelati Custom Cake - Slice'!K93*12</f>
        <v>0</v>
      </c>
      <c r="L93" s="90">
        <f>'Gelati Custom Cake - Slice'!L93*12</f>
        <v>132</v>
      </c>
      <c r="M93" s="90">
        <f>'Gelati Custom Cake - Slice'!M93*12</f>
        <v>120</v>
      </c>
      <c r="N93" s="90">
        <f>'Gelati Custom Cake - Slice'!N93*12</f>
        <v>0</v>
      </c>
      <c r="O93" s="91">
        <f>'Gelati Custom Cake - Slice'!O93*12</f>
        <v>0</v>
      </c>
      <c r="P93" s="91">
        <f>'Gelati Custom Cake - Slice'!P93*12</f>
        <v>0</v>
      </c>
      <c r="Q93" s="91">
        <f>'Gelati Custom Cake - Slice'!Q93*12</f>
        <v>24</v>
      </c>
      <c r="R93" s="91">
        <f>'Gelati Custom Cake - Slice'!R93*12</f>
        <v>0</v>
      </c>
      <c r="S93" s="91">
        <f>'Gelati Custom Cake - Slice'!S93*12</f>
        <v>0</v>
      </c>
      <c r="T93" s="91">
        <f>'Gelati Custom Cake - Slice'!T93*12</f>
        <v>0</v>
      </c>
      <c r="U93" s="91">
        <f>'Gelati Custom Cake - Slice'!U93*12</f>
        <v>36</v>
      </c>
      <c r="V93" s="91">
        <f>'Gelati Custom Cake - Slice'!V93*12</f>
        <v>0</v>
      </c>
      <c r="W93" s="91">
        <f>'Gelati Custom Cake - Slice'!W93*12</f>
        <v>0</v>
      </c>
      <c r="X93" s="92">
        <f>'Gelati Custom Cake - Slice'!X93*12</f>
        <v>0</v>
      </c>
    </row>
    <row r="94" spans="1:24" ht="14.6">
      <c r="A94" s="1317" t="s">
        <v>121</v>
      </c>
      <c r="B94" s="53" t="s">
        <v>122</v>
      </c>
      <c r="C94" s="146">
        <f>'Gelati Custom Cake - Slice'!C94*12</f>
        <v>240</v>
      </c>
      <c r="D94" s="146">
        <f>'Gelati Custom Cake - Slice'!D94*12</f>
        <v>0</v>
      </c>
      <c r="E94" s="146">
        <f>'Gelati Custom Cake - Slice'!E94*12</f>
        <v>0</v>
      </c>
      <c r="F94" s="146">
        <f>'Gelati Custom Cake - Slice'!F94*12</f>
        <v>0</v>
      </c>
      <c r="G94" s="146">
        <f>'Gelati Custom Cake - Slice'!G94*12</f>
        <v>0</v>
      </c>
      <c r="H94" s="146">
        <f>'Gelati Custom Cake - Slice'!H94*12</f>
        <v>0</v>
      </c>
      <c r="I94" s="146">
        <f>'Gelati Custom Cake - Slice'!I94*12</f>
        <v>0</v>
      </c>
      <c r="J94" s="146">
        <f>'Gelati Custom Cake - Slice'!J94*12</f>
        <v>72</v>
      </c>
      <c r="K94" s="146">
        <f>'Gelati Custom Cake - Slice'!K94*12</f>
        <v>0</v>
      </c>
      <c r="L94" s="146">
        <f>'Gelati Custom Cake - Slice'!L94*12</f>
        <v>0</v>
      </c>
      <c r="M94" s="146">
        <f>'Gelati Custom Cake - Slice'!M94*12</f>
        <v>0</v>
      </c>
      <c r="N94" s="146">
        <f>'Gelati Custom Cake - Slice'!N94*12</f>
        <v>0</v>
      </c>
      <c r="O94" s="147">
        <f>'Gelati Custom Cake - Slice'!O94*12</f>
        <v>0</v>
      </c>
      <c r="P94" s="147">
        <f>'Gelati Custom Cake - Slice'!P94*12</f>
        <v>0</v>
      </c>
      <c r="Q94" s="147">
        <f>'Gelati Custom Cake - Slice'!Q94*12</f>
        <v>24</v>
      </c>
      <c r="R94" s="147">
        <f>'Gelati Custom Cake - Slice'!R94*12</f>
        <v>0</v>
      </c>
      <c r="S94" s="147">
        <f>'Gelati Custom Cake - Slice'!S94*12</f>
        <v>0</v>
      </c>
      <c r="T94" s="147">
        <f>'Gelati Custom Cake - Slice'!T94*12</f>
        <v>0</v>
      </c>
      <c r="U94" s="147">
        <f>'Gelati Custom Cake - Slice'!U94*12</f>
        <v>36</v>
      </c>
      <c r="V94" s="147">
        <f>'Gelati Custom Cake - Slice'!V94*12</f>
        <v>0</v>
      </c>
      <c r="W94" s="147">
        <f>'Gelati Custom Cake - Slice'!W94*12</f>
        <v>0</v>
      </c>
      <c r="X94" s="148">
        <f>'Gelati Custom Cake - Slice'!X94*12</f>
        <v>0</v>
      </c>
    </row>
    <row r="95" spans="1:24" ht="14.6">
      <c r="A95" s="1318"/>
      <c r="B95" s="54" t="s">
        <v>123</v>
      </c>
      <c r="C95" s="136">
        <f>'Gelati Custom Cake - Slice'!C95*12</f>
        <v>300</v>
      </c>
      <c r="D95" s="136">
        <f>'Gelati Custom Cake - Slice'!D95*12</f>
        <v>0</v>
      </c>
      <c r="E95" s="136">
        <f>'Gelati Custom Cake - Slice'!E95*12</f>
        <v>0</v>
      </c>
      <c r="F95" s="136">
        <f>'Gelati Custom Cake - Slice'!F95*12</f>
        <v>0</v>
      </c>
      <c r="G95" s="136">
        <f>'Gelati Custom Cake - Slice'!G95*12</f>
        <v>0</v>
      </c>
      <c r="H95" s="136">
        <f>'Gelati Custom Cake - Slice'!H95*12</f>
        <v>0</v>
      </c>
      <c r="I95" s="136">
        <f>'Gelati Custom Cake - Slice'!I95*12</f>
        <v>0</v>
      </c>
      <c r="J95" s="136">
        <f>'Gelati Custom Cake - Slice'!J95*12</f>
        <v>108</v>
      </c>
      <c r="K95" s="136">
        <f>'Gelati Custom Cake - Slice'!K95*12</f>
        <v>0</v>
      </c>
      <c r="L95" s="136">
        <f>'Gelati Custom Cake - Slice'!L95*12</f>
        <v>0</v>
      </c>
      <c r="M95" s="136">
        <f>'Gelati Custom Cake - Slice'!M95*12</f>
        <v>0</v>
      </c>
      <c r="N95" s="136">
        <f>'Gelati Custom Cake - Slice'!N95*12</f>
        <v>0</v>
      </c>
      <c r="O95" s="137">
        <f>'Gelati Custom Cake - Slice'!O95*12</f>
        <v>0</v>
      </c>
      <c r="P95" s="137">
        <f>'Gelati Custom Cake - Slice'!P95*12</f>
        <v>0</v>
      </c>
      <c r="Q95" s="137">
        <f>'Gelati Custom Cake - Slice'!Q95*12</f>
        <v>24</v>
      </c>
      <c r="R95" s="137">
        <f>'Gelati Custom Cake - Slice'!R95*12</f>
        <v>0</v>
      </c>
      <c r="S95" s="137">
        <f>'Gelati Custom Cake - Slice'!S95*12</f>
        <v>0</v>
      </c>
      <c r="T95" s="137">
        <f>'Gelati Custom Cake - Slice'!T95*12</f>
        <v>0</v>
      </c>
      <c r="U95" s="137">
        <f>'Gelati Custom Cake - Slice'!U95*12</f>
        <v>60</v>
      </c>
      <c r="V95" s="137">
        <f>'Gelati Custom Cake - Slice'!V95*12</f>
        <v>0</v>
      </c>
      <c r="W95" s="137">
        <f>'Gelati Custom Cake - Slice'!W95*12</f>
        <v>0</v>
      </c>
      <c r="X95" s="138">
        <f>'Gelati Custom Cake - Slice'!X95*12</f>
        <v>0</v>
      </c>
    </row>
    <row r="96" spans="1:24" ht="14.6">
      <c r="A96" s="1318"/>
      <c r="B96" s="54" t="s">
        <v>124</v>
      </c>
      <c r="C96" s="136">
        <f>'Gelati Custom Cake - Slice'!C96*12</f>
        <v>240</v>
      </c>
      <c r="D96" s="136">
        <f>'Gelati Custom Cake - Slice'!D96*12</f>
        <v>0</v>
      </c>
      <c r="E96" s="136">
        <f>'Gelati Custom Cake - Slice'!E96*12</f>
        <v>0</v>
      </c>
      <c r="F96" s="136">
        <f>'Gelati Custom Cake - Slice'!F96*12</f>
        <v>0</v>
      </c>
      <c r="G96" s="136">
        <f>'Gelati Custom Cake - Slice'!G96*12</f>
        <v>0</v>
      </c>
      <c r="H96" s="136">
        <f>'Gelati Custom Cake - Slice'!H96*12</f>
        <v>0</v>
      </c>
      <c r="I96" s="136">
        <f>'Gelati Custom Cake - Slice'!I96*12</f>
        <v>0</v>
      </c>
      <c r="J96" s="136">
        <f>'Gelati Custom Cake - Slice'!J96*12</f>
        <v>72</v>
      </c>
      <c r="K96" s="136">
        <f>'Gelati Custom Cake - Slice'!K96*12</f>
        <v>0</v>
      </c>
      <c r="L96" s="136">
        <f>'Gelati Custom Cake - Slice'!L96*12</f>
        <v>0</v>
      </c>
      <c r="M96" s="136">
        <f>'Gelati Custom Cake - Slice'!M96*12</f>
        <v>0</v>
      </c>
      <c r="N96" s="136">
        <f>'Gelati Custom Cake - Slice'!N96*12</f>
        <v>0</v>
      </c>
      <c r="O96" s="137">
        <f>'Gelati Custom Cake - Slice'!O96*12</f>
        <v>0</v>
      </c>
      <c r="P96" s="137">
        <f>'Gelati Custom Cake - Slice'!P96*12</f>
        <v>0</v>
      </c>
      <c r="Q96" s="137">
        <f>'Gelati Custom Cake - Slice'!Q96*12</f>
        <v>24</v>
      </c>
      <c r="R96" s="137">
        <f>'Gelati Custom Cake - Slice'!R96*12</f>
        <v>0</v>
      </c>
      <c r="S96" s="137">
        <f>'Gelati Custom Cake - Slice'!S96*12</f>
        <v>0</v>
      </c>
      <c r="T96" s="137">
        <f>'Gelati Custom Cake - Slice'!T96*12</f>
        <v>0</v>
      </c>
      <c r="U96" s="137">
        <f>'Gelati Custom Cake - Slice'!U96*12</f>
        <v>36</v>
      </c>
      <c r="V96" s="137">
        <f>'Gelati Custom Cake - Slice'!V96*12</f>
        <v>0</v>
      </c>
      <c r="W96" s="137">
        <f>'Gelati Custom Cake - Slice'!W96*12</f>
        <v>0</v>
      </c>
      <c r="X96" s="138">
        <f>'Gelati Custom Cake - Slice'!X96*12</f>
        <v>0</v>
      </c>
    </row>
    <row r="97" spans="1:24" ht="14.6">
      <c r="A97" s="1318"/>
      <c r="B97" s="54" t="s">
        <v>125</v>
      </c>
      <c r="C97" s="136">
        <f>'Gelati Custom Cake - Slice'!C97*12</f>
        <v>240</v>
      </c>
      <c r="D97" s="136">
        <f>'Gelati Custom Cake - Slice'!D97*12</f>
        <v>0</v>
      </c>
      <c r="E97" s="136">
        <f>'Gelati Custom Cake - Slice'!E97*12</f>
        <v>0</v>
      </c>
      <c r="F97" s="136">
        <f>'Gelati Custom Cake - Slice'!F97*12</f>
        <v>0</v>
      </c>
      <c r="G97" s="136">
        <f>'Gelati Custom Cake - Slice'!G97*12</f>
        <v>0</v>
      </c>
      <c r="H97" s="136">
        <f>'Gelati Custom Cake - Slice'!H97*12</f>
        <v>0</v>
      </c>
      <c r="I97" s="136">
        <f>'Gelati Custom Cake - Slice'!I97*12</f>
        <v>0</v>
      </c>
      <c r="J97" s="136">
        <f>'Gelati Custom Cake - Slice'!J97*12</f>
        <v>72</v>
      </c>
      <c r="K97" s="136">
        <f>'Gelati Custom Cake - Slice'!K97*12</f>
        <v>0</v>
      </c>
      <c r="L97" s="136">
        <f>'Gelati Custom Cake - Slice'!L97*12</f>
        <v>0</v>
      </c>
      <c r="M97" s="136">
        <f>'Gelati Custom Cake - Slice'!M97*12</f>
        <v>0</v>
      </c>
      <c r="N97" s="136">
        <f>'Gelati Custom Cake - Slice'!N97*12</f>
        <v>0</v>
      </c>
      <c r="O97" s="137">
        <f>'Gelati Custom Cake - Slice'!O97*12</f>
        <v>0</v>
      </c>
      <c r="P97" s="137">
        <f>'Gelati Custom Cake - Slice'!P97*12</f>
        <v>0</v>
      </c>
      <c r="Q97" s="137">
        <f>'Gelati Custom Cake - Slice'!Q97*12</f>
        <v>12</v>
      </c>
      <c r="R97" s="137">
        <f>'Gelati Custom Cake - Slice'!R97*12</f>
        <v>0</v>
      </c>
      <c r="S97" s="137">
        <f>'Gelati Custom Cake - Slice'!S97*12</f>
        <v>0</v>
      </c>
      <c r="T97" s="137">
        <f>'Gelati Custom Cake - Slice'!T97*12</f>
        <v>0</v>
      </c>
      <c r="U97" s="137">
        <f>'Gelati Custom Cake - Slice'!U97*12</f>
        <v>36</v>
      </c>
      <c r="V97" s="137">
        <f>'Gelati Custom Cake - Slice'!V97*12</f>
        <v>0</v>
      </c>
      <c r="W97" s="137">
        <f>'Gelati Custom Cake - Slice'!W97*12</f>
        <v>0</v>
      </c>
      <c r="X97" s="138">
        <f>'Gelati Custom Cake - Slice'!X97*12</f>
        <v>0</v>
      </c>
    </row>
    <row r="98" spans="1:24" ht="14.6">
      <c r="A98" s="1318"/>
      <c r="B98" s="54" t="s">
        <v>126</v>
      </c>
      <c r="C98" s="136">
        <f>'Gelati Custom Cake - Slice'!C98*12</f>
        <v>240</v>
      </c>
      <c r="D98" s="136">
        <f>'Gelati Custom Cake - Slice'!D98*12</f>
        <v>0</v>
      </c>
      <c r="E98" s="136">
        <f>'Gelati Custom Cake - Slice'!E98*12</f>
        <v>0</v>
      </c>
      <c r="F98" s="136">
        <f>'Gelati Custom Cake - Slice'!F98*12</f>
        <v>0</v>
      </c>
      <c r="G98" s="136">
        <f>'Gelati Custom Cake - Slice'!G98*12</f>
        <v>0</v>
      </c>
      <c r="H98" s="136">
        <f>'Gelati Custom Cake - Slice'!H98*12</f>
        <v>0</v>
      </c>
      <c r="I98" s="136">
        <f>'Gelati Custom Cake - Slice'!I98*12</f>
        <v>60</v>
      </c>
      <c r="J98" s="136">
        <f>'Gelati Custom Cake - Slice'!J98*12</f>
        <v>72</v>
      </c>
      <c r="K98" s="136">
        <f>'Gelati Custom Cake - Slice'!K98*12</f>
        <v>0</v>
      </c>
      <c r="L98" s="136">
        <f>'Gelati Custom Cake - Slice'!L98*12</f>
        <v>0</v>
      </c>
      <c r="M98" s="136">
        <f>'Gelati Custom Cake - Slice'!M98*12</f>
        <v>0</v>
      </c>
      <c r="N98" s="136">
        <f>'Gelati Custom Cake - Slice'!N98*12</f>
        <v>0</v>
      </c>
      <c r="O98" s="137">
        <f>'Gelati Custom Cake - Slice'!O98*12</f>
        <v>0</v>
      </c>
      <c r="P98" s="137">
        <f>'Gelati Custom Cake - Slice'!P98*12</f>
        <v>0</v>
      </c>
      <c r="Q98" s="137">
        <f>'Gelati Custom Cake - Slice'!Q98*12</f>
        <v>12</v>
      </c>
      <c r="R98" s="137">
        <f>'Gelati Custom Cake - Slice'!R98*12</f>
        <v>0</v>
      </c>
      <c r="S98" s="137">
        <f>'Gelati Custom Cake - Slice'!S98*12</f>
        <v>0</v>
      </c>
      <c r="T98" s="137">
        <f>'Gelati Custom Cake - Slice'!T98*12</f>
        <v>0</v>
      </c>
      <c r="U98" s="137">
        <f>'Gelati Custom Cake - Slice'!U98*12</f>
        <v>36</v>
      </c>
      <c r="V98" s="137">
        <f>'Gelati Custom Cake - Slice'!V98*12</f>
        <v>0</v>
      </c>
      <c r="W98" s="137">
        <f>'Gelati Custom Cake - Slice'!W98*12</f>
        <v>0</v>
      </c>
      <c r="X98" s="138">
        <f>'Gelati Custom Cake - Slice'!X98*12</f>
        <v>0</v>
      </c>
    </row>
    <row r="99" spans="1:24" ht="15" thickBot="1">
      <c r="A99" s="1319"/>
      <c r="B99" s="55" t="s">
        <v>127</v>
      </c>
      <c r="C99" s="149">
        <f>'Gelati Custom Cake - Slice'!C99*12</f>
        <v>240</v>
      </c>
      <c r="D99" s="149">
        <f>'Gelati Custom Cake - Slice'!D99*12</f>
        <v>0</v>
      </c>
      <c r="E99" s="149">
        <f>'Gelati Custom Cake - Slice'!E99*12</f>
        <v>0</v>
      </c>
      <c r="F99" s="149">
        <f>'Gelati Custom Cake - Slice'!F99*12</f>
        <v>0</v>
      </c>
      <c r="G99" s="149">
        <f>'Gelati Custom Cake - Slice'!G99*12</f>
        <v>0</v>
      </c>
      <c r="H99" s="149">
        <f>'Gelati Custom Cake - Slice'!H99*12</f>
        <v>0</v>
      </c>
      <c r="I99" s="149">
        <f>'Gelati Custom Cake - Slice'!I99*12</f>
        <v>60</v>
      </c>
      <c r="J99" s="149">
        <f>'Gelati Custom Cake - Slice'!J99*12</f>
        <v>72</v>
      </c>
      <c r="K99" s="149">
        <f>'Gelati Custom Cake - Slice'!K99*12</f>
        <v>0</v>
      </c>
      <c r="L99" s="149">
        <f>'Gelati Custom Cake - Slice'!L99*12</f>
        <v>0</v>
      </c>
      <c r="M99" s="149">
        <f>'Gelati Custom Cake - Slice'!M99*12</f>
        <v>0</v>
      </c>
      <c r="N99" s="149">
        <f>'Gelati Custom Cake - Slice'!N99*12</f>
        <v>0</v>
      </c>
      <c r="O99" s="144">
        <f>'Gelati Custom Cake - Slice'!O99*12</f>
        <v>0</v>
      </c>
      <c r="P99" s="144">
        <f>'Gelati Custom Cake - Slice'!P99*12</f>
        <v>0</v>
      </c>
      <c r="Q99" s="144">
        <f>'Gelati Custom Cake - Slice'!Q99*12</f>
        <v>12</v>
      </c>
      <c r="R99" s="144">
        <f>'Gelati Custom Cake - Slice'!R99*12</f>
        <v>0</v>
      </c>
      <c r="S99" s="144">
        <f>'Gelati Custom Cake - Slice'!S99*12</f>
        <v>0</v>
      </c>
      <c r="T99" s="144">
        <f>'Gelati Custom Cake - Slice'!T99*12</f>
        <v>0</v>
      </c>
      <c r="U99" s="144">
        <f>'Gelati Custom Cake - Slice'!U99*12</f>
        <v>48</v>
      </c>
      <c r="V99" s="144">
        <f>'Gelati Custom Cake - Slice'!V99*12</f>
        <v>0</v>
      </c>
      <c r="W99" s="144">
        <f>'Gelati Custom Cake - Slice'!W99*12</f>
        <v>0</v>
      </c>
      <c r="X99" s="145">
        <f>'Gelati Custom Cake - Slice'!X99*12</f>
        <v>0</v>
      </c>
    </row>
    <row r="101" spans="1:24" ht="18" customHeight="1" thickBot="1">
      <c r="A101" s="1307" t="s">
        <v>556</v>
      </c>
      <c r="B101" s="1308"/>
      <c r="C101" s="1308"/>
      <c r="D101" s="1308"/>
      <c r="E101" s="1308"/>
      <c r="F101" s="1308"/>
      <c r="G101" s="1308"/>
      <c r="H101" s="1308"/>
      <c r="I101" s="1308"/>
      <c r="J101" s="1308"/>
      <c r="K101" s="1308"/>
      <c r="L101" s="1308"/>
      <c r="M101" s="1308"/>
      <c r="N101" s="1308"/>
      <c r="O101" s="1308"/>
      <c r="P101" s="1308"/>
      <c r="Q101" s="1308"/>
      <c r="R101" s="1308"/>
      <c r="S101" s="1308"/>
      <c r="T101" s="1308"/>
      <c r="U101" s="1308"/>
      <c r="V101" s="1308"/>
      <c r="W101" s="1308"/>
      <c r="X101" s="1308"/>
    </row>
    <row r="102" spans="1:24" ht="37.5" customHeight="1" thickBot="1">
      <c r="A102" s="77"/>
      <c r="B102" s="48" t="s">
        <v>3</v>
      </c>
      <c r="C102" s="1" t="s">
        <v>4</v>
      </c>
      <c r="D102" s="1" t="s">
        <v>5</v>
      </c>
      <c r="E102" s="1" t="s">
        <v>6</v>
      </c>
      <c r="F102" s="1" t="s">
        <v>7</v>
      </c>
      <c r="G102" s="1" t="s">
        <v>8</v>
      </c>
      <c r="H102" s="1" t="s">
        <v>9</v>
      </c>
      <c r="I102" s="1" t="s">
        <v>10</v>
      </c>
      <c r="J102" s="1" t="s">
        <v>11</v>
      </c>
      <c r="K102" s="1" t="s">
        <v>12</v>
      </c>
      <c r="L102" s="1" t="s">
        <v>13</v>
      </c>
      <c r="M102" s="1" t="s">
        <v>14</v>
      </c>
      <c r="N102" s="1" t="s">
        <v>15</v>
      </c>
      <c r="O102" s="2" t="s">
        <v>16</v>
      </c>
      <c r="P102" s="2" t="s">
        <v>17</v>
      </c>
      <c r="Q102" s="2" t="s">
        <v>18</v>
      </c>
      <c r="R102" s="2" t="s">
        <v>19</v>
      </c>
      <c r="S102" s="2" t="s">
        <v>20</v>
      </c>
      <c r="T102" s="2" t="s">
        <v>21</v>
      </c>
      <c r="U102" s="2" t="s">
        <v>22</v>
      </c>
      <c r="V102" s="2" t="s">
        <v>23</v>
      </c>
      <c r="W102" s="2" t="s">
        <v>377</v>
      </c>
      <c r="X102" s="3" t="s">
        <v>378</v>
      </c>
    </row>
    <row r="103" spans="1:24" ht="14.6">
      <c r="A103" s="1323" t="s">
        <v>396</v>
      </c>
      <c r="B103" s="61" t="s">
        <v>26</v>
      </c>
      <c r="C103" s="98">
        <f>'Gelati Custom Cake - Slice'!C103*12</f>
        <v>852.48</v>
      </c>
      <c r="D103" s="99">
        <f>'Gelati Custom Cake - Slice'!D103*12</f>
        <v>404.52</v>
      </c>
      <c r="E103" s="99">
        <f>'Gelati Custom Cake - Slice'!E103*12</f>
        <v>45</v>
      </c>
      <c r="F103" s="99">
        <f>'Gelati Custom Cake - Slice'!F103*12</f>
        <v>28.56</v>
      </c>
      <c r="G103" s="99">
        <f>'Gelati Custom Cake - Slice'!G103*12</f>
        <v>0</v>
      </c>
      <c r="H103" s="99">
        <f>'Gelati Custom Cake - Slice'!H103*12</f>
        <v>265.68</v>
      </c>
      <c r="I103" s="99">
        <f>'Gelati Custom Cake - Slice'!I103*12</f>
        <v>579.84</v>
      </c>
      <c r="J103" s="99">
        <f>'Gelati Custom Cake - Slice'!J103*12</f>
        <v>102.72</v>
      </c>
      <c r="K103" s="99">
        <f>'Gelati Custom Cake - Slice'!K103*12</f>
        <v>0</v>
      </c>
      <c r="L103" s="99">
        <f>'Gelati Custom Cake - Slice'!L103*12</f>
        <v>81.72</v>
      </c>
      <c r="M103" s="99">
        <f>'Gelati Custom Cake - Slice'!M103*12</f>
        <v>16.32</v>
      </c>
      <c r="N103" s="99">
        <f>'Gelati Custom Cake - Slice'!N103*12</f>
        <v>48</v>
      </c>
      <c r="O103" s="99">
        <f>'Gelati Custom Cake - Slice'!O103*12</f>
        <v>0</v>
      </c>
      <c r="P103" s="99">
        <f>'Gelati Custom Cake - Slice'!P103*12</f>
        <v>72</v>
      </c>
      <c r="Q103" s="100">
        <f>'Gelati Custom Cake - Slice'!Q103*12</f>
        <v>0</v>
      </c>
      <c r="R103" s="99">
        <f>'Gelati Custom Cake - Slice'!R103*12</f>
        <v>0</v>
      </c>
      <c r="S103" s="99">
        <f>'Gelati Custom Cake - Slice'!S103*12</f>
        <v>0</v>
      </c>
      <c r="T103" s="99">
        <f>'Gelati Custom Cake - Slice'!T103*12</f>
        <v>0</v>
      </c>
      <c r="U103" s="99">
        <f>'Gelati Custom Cake - Slice'!U103*12</f>
        <v>0</v>
      </c>
      <c r="V103" s="99">
        <f>'Gelati Custom Cake - Slice'!V103*12</f>
        <v>0</v>
      </c>
      <c r="W103" s="99">
        <f>'Gelati Custom Cake - Slice'!W103*12</f>
        <v>0</v>
      </c>
      <c r="X103" s="118">
        <f>'Gelati Custom Cake - Slice'!X103*12</f>
        <v>0</v>
      </c>
    </row>
    <row r="104" spans="1:24" ht="14.6">
      <c r="A104" s="1324"/>
      <c r="B104" s="62" t="s">
        <v>505</v>
      </c>
      <c r="C104" s="103">
        <f>'Gelati Custom Cake - Slice'!C104*12</f>
        <v>843.12000000000012</v>
      </c>
      <c r="D104" s="104">
        <f>'Gelati Custom Cake - Slice'!D104*12</f>
        <v>411.59999999999997</v>
      </c>
      <c r="E104" s="104">
        <f>'Gelati Custom Cake - Slice'!E104*12</f>
        <v>45.72</v>
      </c>
      <c r="F104" s="104">
        <f>'Gelati Custom Cake - Slice'!F104*12</f>
        <v>29.04</v>
      </c>
      <c r="G104" s="104">
        <f>'Gelati Custom Cake - Slice'!G104*12</f>
        <v>0</v>
      </c>
      <c r="H104" s="104">
        <f>'Gelati Custom Cake - Slice'!H104*12</f>
        <v>270.12</v>
      </c>
      <c r="I104" s="104">
        <f>'Gelati Custom Cake - Slice'!I104*12</f>
        <v>586.20000000000005</v>
      </c>
      <c r="J104" s="104">
        <f>'Gelati Custom Cake - Slice'!J104*12</f>
        <v>97.68</v>
      </c>
      <c r="K104" s="104">
        <f>'Gelati Custom Cake - Slice'!K104*12</f>
        <v>0</v>
      </c>
      <c r="L104" s="104">
        <f>'Gelati Custom Cake - Slice'!L104*12</f>
        <v>75.239999999999995</v>
      </c>
      <c r="M104" s="104">
        <f>'Gelati Custom Cake - Slice'!M104*12</f>
        <v>16.68</v>
      </c>
      <c r="N104" s="104">
        <f>'Gelati Custom Cake - Slice'!N104*12</f>
        <v>48</v>
      </c>
      <c r="O104" s="104">
        <f>'Gelati Custom Cake - Slice'!O104*12</f>
        <v>0</v>
      </c>
      <c r="P104" s="104">
        <f>'Gelati Custom Cake - Slice'!P104*12</f>
        <v>72</v>
      </c>
      <c r="Q104" s="105">
        <f>'Gelati Custom Cake - Slice'!Q104*12</f>
        <v>0</v>
      </c>
      <c r="R104" s="104">
        <f>'Gelati Custom Cake - Slice'!R104*12</f>
        <v>0</v>
      </c>
      <c r="S104" s="104">
        <f>'Gelati Custom Cake - Slice'!S104*12</f>
        <v>0</v>
      </c>
      <c r="T104" s="104">
        <f>'Gelati Custom Cake - Slice'!T104*12</f>
        <v>0</v>
      </c>
      <c r="U104" s="104">
        <f>'Gelati Custom Cake - Slice'!U104*12</f>
        <v>0</v>
      </c>
      <c r="V104" s="104">
        <f>'Gelati Custom Cake - Slice'!V104*12</f>
        <v>0</v>
      </c>
      <c r="W104" s="104">
        <f>'Gelati Custom Cake - Slice'!W104*12</f>
        <v>0</v>
      </c>
      <c r="X104" s="119">
        <f>'Gelati Custom Cake - Slice'!X104*12</f>
        <v>0</v>
      </c>
    </row>
    <row r="105" spans="1:24" ht="14.6">
      <c r="A105" s="1324"/>
      <c r="B105" s="62" t="s">
        <v>404</v>
      </c>
      <c r="C105" s="103">
        <f>'Gelati Custom Cake - Slice'!C105*12</f>
        <v>849.48</v>
      </c>
      <c r="D105" s="104">
        <f>'Gelati Custom Cake - Slice'!D105*12</f>
        <v>414.72</v>
      </c>
      <c r="E105" s="104">
        <f>'Gelati Custom Cake - Slice'!E105*12</f>
        <v>46.08</v>
      </c>
      <c r="F105" s="104">
        <f>'Gelati Custom Cake - Slice'!F105*12</f>
        <v>29.28</v>
      </c>
      <c r="G105" s="104">
        <f>'Gelati Custom Cake - Slice'!G105*12</f>
        <v>0</v>
      </c>
      <c r="H105" s="104">
        <f>'Gelati Custom Cake - Slice'!H105*12</f>
        <v>272.28000000000003</v>
      </c>
      <c r="I105" s="104">
        <f>'Gelati Custom Cake - Slice'!I105*12</f>
        <v>590.40000000000009</v>
      </c>
      <c r="J105" s="104">
        <f>'Gelati Custom Cake - Slice'!J105*12</f>
        <v>99.359999999999985</v>
      </c>
      <c r="K105" s="104">
        <f>'Gelati Custom Cake - Slice'!K105*12</f>
        <v>0</v>
      </c>
      <c r="L105" s="104">
        <f>'Gelati Custom Cake - Slice'!L105*12</f>
        <v>77.760000000000005</v>
      </c>
      <c r="M105" s="104">
        <f>'Gelati Custom Cake - Slice'!M105*12</f>
        <v>16.799999999999997</v>
      </c>
      <c r="N105" s="104">
        <f>'Gelati Custom Cake - Slice'!N105*12</f>
        <v>48</v>
      </c>
      <c r="O105" s="104">
        <f>'Gelati Custom Cake - Slice'!O105*12</f>
        <v>0</v>
      </c>
      <c r="P105" s="104">
        <f>'Gelati Custom Cake - Slice'!P105*12</f>
        <v>72</v>
      </c>
      <c r="Q105" s="105">
        <f>'Gelati Custom Cake - Slice'!Q105*12</f>
        <v>0</v>
      </c>
      <c r="R105" s="104">
        <f>'Gelati Custom Cake - Slice'!R105*12</f>
        <v>0</v>
      </c>
      <c r="S105" s="104">
        <f>'Gelati Custom Cake - Slice'!S105*12</f>
        <v>0</v>
      </c>
      <c r="T105" s="104">
        <f>'Gelati Custom Cake - Slice'!T105*12</f>
        <v>0</v>
      </c>
      <c r="U105" s="104">
        <f>'Gelati Custom Cake - Slice'!U105*12</f>
        <v>0</v>
      </c>
      <c r="V105" s="104">
        <f>'Gelati Custom Cake - Slice'!V105*12</f>
        <v>0</v>
      </c>
      <c r="W105" s="104">
        <f>'Gelati Custom Cake - Slice'!W105*12</f>
        <v>0</v>
      </c>
      <c r="X105" s="119">
        <f>'Gelati Custom Cake - Slice'!X105*12</f>
        <v>0</v>
      </c>
    </row>
    <row r="106" spans="1:24" ht="14.6">
      <c r="A106" s="1324"/>
      <c r="B106" s="62" t="s">
        <v>98</v>
      </c>
      <c r="C106" s="103">
        <f>'Gelati Custom Cake - Slice'!C106*12</f>
        <v>870.59999999999991</v>
      </c>
      <c r="D106" s="104">
        <f>'Gelati Custom Cake - Slice'!D106*12</f>
        <v>392.64</v>
      </c>
      <c r="E106" s="104">
        <f>'Gelati Custom Cake - Slice'!E106*12</f>
        <v>43.68</v>
      </c>
      <c r="F106" s="104">
        <f>'Gelati Custom Cake - Slice'!F106*12</f>
        <v>27.72</v>
      </c>
      <c r="G106" s="104">
        <f>'Gelati Custom Cake - Slice'!G106*12</f>
        <v>0</v>
      </c>
      <c r="H106" s="104">
        <f>'Gelati Custom Cake - Slice'!H106*12</f>
        <v>257.76</v>
      </c>
      <c r="I106" s="104">
        <f>'Gelati Custom Cake - Slice'!I106*12</f>
        <v>559.20000000000005</v>
      </c>
      <c r="J106" s="104">
        <f>'Gelati Custom Cake - Slice'!J106*12</f>
        <v>110.39999999999999</v>
      </c>
      <c r="K106" s="104">
        <f>'Gelati Custom Cake - Slice'!K106*12</f>
        <v>0</v>
      </c>
      <c r="L106" s="104">
        <f>'Gelati Custom Cake - Slice'!L106*12</f>
        <v>89.4</v>
      </c>
      <c r="M106" s="104">
        <f>'Gelati Custom Cake - Slice'!M106*12</f>
        <v>15.84</v>
      </c>
      <c r="N106" s="104">
        <f>'Gelati Custom Cake - Slice'!N106*12</f>
        <v>48</v>
      </c>
      <c r="O106" s="104">
        <f>'Gelati Custom Cake - Slice'!O106*12</f>
        <v>0</v>
      </c>
      <c r="P106" s="104">
        <f>'Gelati Custom Cake - Slice'!P106*12</f>
        <v>72</v>
      </c>
      <c r="Q106" s="105">
        <f>'Gelati Custom Cake - Slice'!Q106*12</f>
        <v>0</v>
      </c>
      <c r="R106" s="104">
        <f>'Gelati Custom Cake - Slice'!R106*12</f>
        <v>0</v>
      </c>
      <c r="S106" s="104">
        <f>'Gelati Custom Cake - Slice'!S106*12</f>
        <v>0</v>
      </c>
      <c r="T106" s="104">
        <f>'Gelati Custom Cake - Slice'!T106*12</f>
        <v>0</v>
      </c>
      <c r="U106" s="104">
        <f>'Gelati Custom Cake - Slice'!U106*12</f>
        <v>0</v>
      </c>
      <c r="V106" s="104">
        <f>'Gelati Custom Cake - Slice'!V106*12</f>
        <v>0</v>
      </c>
      <c r="W106" s="104">
        <f>'Gelati Custom Cake - Slice'!W106*12</f>
        <v>0</v>
      </c>
      <c r="X106" s="119">
        <f>'Gelati Custom Cake - Slice'!X106*12</f>
        <v>0</v>
      </c>
    </row>
    <row r="107" spans="1:24" ht="14.6">
      <c r="A107" s="1324"/>
      <c r="B107" s="62" t="s">
        <v>34</v>
      </c>
      <c r="C107" s="103">
        <f>'Gelati Custom Cake - Slice'!C107*12</f>
        <v>893.04</v>
      </c>
      <c r="D107" s="104">
        <f>'Gelati Custom Cake - Slice'!D107*12</f>
        <v>382.68</v>
      </c>
      <c r="E107" s="104">
        <f>'Gelati Custom Cake - Slice'!E107*12</f>
        <v>42.480000000000004</v>
      </c>
      <c r="F107" s="104">
        <f>'Gelati Custom Cake - Slice'!F107*12</f>
        <v>25.56</v>
      </c>
      <c r="G107" s="104">
        <f>'Gelati Custom Cake - Slice'!G107*12</f>
        <v>0</v>
      </c>
      <c r="H107" s="104">
        <f>'Gelati Custom Cake - Slice'!H107*12</f>
        <v>233.88</v>
      </c>
      <c r="I107" s="104">
        <f>'Gelati Custom Cake - Slice'!I107*12</f>
        <v>489</v>
      </c>
      <c r="J107" s="104">
        <f>'Gelati Custom Cake - Slice'!J107*12</f>
        <v>114.84</v>
      </c>
      <c r="K107" s="104">
        <f>'Gelati Custom Cake - Slice'!K107*12</f>
        <v>0</v>
      </c>
      <c r="L107" s="104">
        <f>'Gelati Custom Cake - Slice'!L107*12</f>
        <v>89.28</v>
      </c>
      <c r="M107" s="104">
        <f>'Gelati Custom Cake - Slice'!M107*12</f>
        <v>17.04</v>
      </c>
      <c r="N107" s="104">
        <f>'Gelati Custom Cake - Slice'!N107*12</f>
        <v>48</v>
      </c>
      <c r="O107" s="104">
        <f>'Gelati Custom Cake - Slice'!O107*12</f>
        <v>0</v>
      </c>
      <c r="P107" s="104">
        <f>'Gelati Custom Cake - Slice'!P107*12</f>
        <v>72</v>
      </c>
      <c r="Q107" s="105">
        <f>'Gelati Custom Cake - Slice'!Q107*12</f>
        <v>4.5600000000000005</v>
      </c>
      <c r="R107" s="104">
        <f>'Gelati Custom Cake - Slice'!R107*12</f>
        <v>0</v>
      </c>
      <c r="S107" s="104">
        <f>'Gelati Custom Cake - Slice'!S107*12</f>
        <v>0</v>
      </c>
      <c r="T107" s="104">
        <f>'Gelati Custom Cake - Slice'!T107*12</f>
        <v>0</v>
      </c>
      <c r="U107" s="104">
        <f>'Gelati Custom Cake - Slice'!U107*12</f>
        <v>0</v>
      </c>
      <c r="V107" s="104">
        <f>'Gelati Custom Cake - Slice'!V107*12</f>
        <v>0</v>
      </c>
      <c r="W107" s="104">
        <f>'Gelati Custom Cake - Slice'!W107*12</f>
        <v>0</v>
      </c>
      <c r="X107" s="119">
        <f>'Gelati Custom Cake - Slice'!X107*12</f>
        <v>0</v>
      </c>
    </row>
    <row r="108" spans="1:24" ht="14.6">
      <c r="A108" s="1324"/>
      <c r="B108" s="62" t="s">
        <v>136</v>
      </c>
      <c r="C108" s="103">
        <f>'Gelati Custom Cake - Slice'!C108*12</f>
        <v>845.64</v>
      </c>
      <c r="D108" s="104">
        <f>'Gelati Custom Cake - Slice'!D108*12</f>
        <v>415.91999999999996</v>
      </c>
      <c r="E108" s="104">
        <f>'Gelati Custom Cake - Slice'!E108*12</f>
        <v>46.2</v>
      </c>
      <c r="F108" s="104">
        <f>'Gelati Custom Cake - Slice'!F108*12</f>
        <v>29.400000000000002</v>
      </c>
      <c r="G108" s="104">
        <f>'Gelati Custom Cake - Slice'!G108*12</f>
        <v>0</v>
      </c>
      <c r="H108" s="104">
        <f>'Gelati Custom Cake - Slice'!H108*12</f>
        <v>273</v>
      </c>
      <c r="I108" s="104">
        <f>'Gelati Custom Cake - Slice'!I108*12</f>
        <v>616.56000000000006</v>
      </c>
      <c r="J108" s="104">
        <f>'Gelati Custom Cake - Slice'!J108*12</f>
        <v>97.92</v>
      </c>
      <c r="K108" s="104">
        <f>'Gelati Custom Cake - Slice'!K108*12</f>
        <v>0.12</v>
      </c>
      <c r="L108" s="104">
        <f>'Gelati Custom Cake - Slice'!L108*12</f>
        <v>75.960000000000008</v>
      </c>
      <c r="M108" s="104">
        <f>'Gelati Custom Cake - Slice'!M108*12</f>
        <v>17.04</v>
      </c>
      <c r="N108" s="104">
        <f>'Gelati Custom Cake - Slice'!N108*12</f>
        <v>48</v>
      </c>
      <c r="O108" s="104">
        <f>'Gelati Custom Cake - Slice'!O108*12</f>
        <v>0</v>
      </c>
      <c r="P108" s="104">
        <f>'Gelati Custom Cake - Slice'!P108*12</f>
        <v>72</v>
      </c>
      <c r="Q108" s="105">
        <f>'Gelati Custom Cake - Slice'!Q108*12</f>
        <v>0.12</v>
      </c>
      <c r="R108" s="104">
        <f>'Gelati Custom Cake - Slice'!R108*12</f>
        <v>0</v>
      </c>
      <c r="S108" s="104">
        <f>'Gelati Custom Cake - Slice'!S108*12</f>
        <v>0</v>
      </c>
      <c r="T108" s="104">
        <f>'Gelati Custom Cake - Slice'!T108*12</f>
        <v>0</v>
      </c>
      <c r="U108" s="104">
        <f>'Gelati Custom Cake - Slice'!U108*12</f>
        <v>0</v>
      </c>
      <c r="V108" s="104">
        <f>'Gelati Custom Cake - Slice'!V108*12</f>
        <v>0</v>
      </c>
      <c r="W108" s="104">
        <f>'Gelati Custom Cake - Slice'!W108*12</f>
        <v>0</v>
      </c>
      <c r="X108" s="119">
        <f>'Gelati Custom Cake - Slice'!X108*12</f>
        <v>0</v>
      </c>
    </row>
    <row r="109" spans="1:24" ht="14.6">
      <c r="A109" s="1324"/>
      <c r="B109" s="62" t="s">
        <v>528</v>
      </c>
      <c r="C109" s="103">
        <f>'Gelati Custom Cake - Slice'!C109*12</f>
        <v>859.68000000000006</v>
      </c>
      <c r="D109" s="104">
        <f>'Gelati Custom Cake - Slice'!D109*12</f>
        <v>405.59999999999997</v>
      </c>
      <c r="E109" s="104">
        <f>'Gelati Custom Cake - Slice'!E109*12</f>
        <v>45.12</v>
      </c>
      <c r="F109" s="104">
        <f>'Gelati Custom Cake - Slice'!F109*12</f>
        <v>28.68</v>
      </c>
      <c r="G109" s="104">
        <f>'Gelati Custom Cake - Slice'!G109*12</f>
        <v>0</v>
      </c>
      <c r="H109" s="104">
        <f>'Gelati Custom Cake - Slice'!H109*12</f>
        <v>266.28000000000003</v>
      </c>
      <c r="I109" s="104">
        <f>'Gelati Custom Cake - Slice'!I109*12</f>
        <v>575.88</v>
      </c>
      <c r="J109" s="104">
        <f>'Gelati Custom Cake - Slice'!J109*12</f>
        <v>104.28</v>
      </c>
      <c r="K109" s="104">
        <f>'Gelati Custom Cake - Slice'!K109*12</f>
        <v>0</v>
      </c>
      <c r="L109" s="104">
        <f>'Gelati Custom Cake - Slice'!L109*12</f>
        <v>82.679999999999993</v>
      </c>
      <c r="M109" s="104">
        <f>'Gelati Custom Cake - Slice'!M109*12</f>
        <v>16.440000000000001</v>
      </c>
      <c r="N109" s="104">
        <f>'Gelati Custom Cake - Slice'!N109*12</f>
        <v>48</v>
      </c>
      <c r="O109" s="104">
        <f>'Gelati Custom Cake - Slice'!O109*12</f>
        <v>0</v>
      </c>
      <c r="P109" s="104">
        <f>'Gelati Custom Cake - Slice'!P109*12</f>
        <v>72</v>
      </c>
      <c r="Q109" s="105">
        <f>'Gelati Custom Cake - Slice'!Q109*12</f>
        <v>0</v>
      </c>
      <c r="R109" s="104">
        <f>'Gelati Custom Cake - Slice'!R109*12</f>
        <v>0</v>
      </c>
      <c r="S109" s="104">
        <f>'Gelati Custom Cake - Slice'!S109*12</f>
        <v>0</v>
      </c>
      <c r="T109" s="104">
        <f>'Gelati Custom Cake - Slice'!T109*12</f>
        <v>0</v>
      </c>
      <c r="U109" s="104">
        <f>'Gelati Custom Cake - Slice'!U109*12</f>
        <v>0</v>
      </c>
      <c r="V109" s="104">
        <f>'Gelati Custom Cake - Slice'!V109*12</f>
        <v>0</v>
      </c>
      <c r="W109" s="104">
        <f>'Gelati Custom Cake - Slice'!W109*12</f>
        <v>0</v>
      </c>
      <c r="X109" s="119">
        <f>'Gelati Custom Cake - Slice'!X109*12</f>
        <v>0</v>
      </c>
    </row>
    <row r="110" spans="1:24" ht="14.6">
      <c r="A110" s="1324"/>
      <c r="B110" s="62" t="s">
        <v>48</v>
      </c>
      <c r="C110" s="103">
        <f>'Gelati Custom Cake - Slice'!C110*12</f>
        <v>849.59999999999991</v>
      </c>
      <c r="D110" s="104">
        <f>'Gelati Custom Cake - Slice'!D110*12</f>
        <v>411.24</v>
      </c>
      <c r="E110" s="104">
        <f>'Gelati Custom Cake - Slice'!E110*12</f>
        <v>45.72</v>
      </c>
      <c r="F110" s="104">
        <f>'Gelati Custom Cake - Slice'!F110*12</f>
        <v>29.04</v>
      </c>
      <c r="G110" s="104">
        <f>'Gelati Custom Cake - Slice'!G110*12</f>
        <v>0</v>
      </c>
      <c r="H110" s="104">
        <f>'Gelati Custom Cake - Slice'!H110*12</f>
        <v>270</v>
      </c>
      <c r="I110" s="104">
        <f>'Gelati Custom Cake - Slice'!I110*12</f>
        <v>582.84</v>
      </c>
      <c r="J110" s="104">
        <f>'Gelati Custom Cake - Slice'!J110*12</f>
        <v>100.32</v>
      </c>
      <c r="K110" s="104">
        <f>'Gelati Custom Cake - Slice'!K110*12</f>
        <v>0</v>
      </c>
      <c r="L110" s="104">
        <f>'Gelati Custom Cake - Slice'!L110*12</f>
        <v>78.84</v>
      </c>
      <c r="M110" s="104">
        <f>'Gelati Custom Cake - Slice'!M110*12</f>
        <v>16.559999999999999</v>
      </c>
      <c r="N110" s="104">
        <f>'Gelati Custom Cake - Slice'!N110*12</f>
        <v>48</v>
      </c>
      <c r="O110" s="104">
        <f>'Gelati Custom Cake - Slice'!O110*12</f>
        <v>0</v>
      </c>
      <c r="P110" s="104">
        <f>'Gelati Custom Cake - Slice'!P110*12</f>
        <v>72</v>
      </c>
      <c r="Q110" s="105">
        <f>'Gelati Custom Cake - Slice'!Q110*12</f>
        <v>0</v>
      </c>
      <c r="R110" s="104">
        <f>'Gelati Custom Cake - Slice'!R110*12</f>
        <v>0</v>
      </c>
      <c r="S110" s="104">
        <f>'Gelati Custom Cake - Slice'!S110*12</f>
        <v>0</v>
      </c>
      <c r="T110" s="104">
        <f>'Gelati Custom Cake - Slice'!T110*12</f>
        <v>0</v>
      </c>
      <c r="U110" s="104">
        <f>'Gelati Custom Cake - Slice'!U110*12</f>
        <v>0</v>
      </c>
      <c r="V110" s="104">
        <f>'Gelati Custom Cake - Slice'!V110*12</f>
        <v>0</v>
      </c>
      <c r="W110" s="104">
        <f>'Gelati Custom Cake - Slice'!W110*12</f>
        <v>0</v>
      </c>
      <c r="X110" s="119">
        <f>'Gelati Custom Cake - Slice'!X110*12</f>
        <v>0</v>
      </c>
    </row>
    <row r="111" spans="1:24" ht="14.6">
      <c r="A111" s="1324"/>
      <c r="B111" s="62" t="s">
        <v>137</v>
      </c>
      <c r="C111" s="103">
        <f>'Gelati Custom Cake - Slice'!C111*12</f>
        <v>837.72</v>
      </c>
      <c r="D111" s="104">
        <f>'Gelati Custom Cake - Slice'!D111*12</f>
        <v>415.08000000000004</v>
      </c>
      <c r="E111" s="104">
        <f>'Gelati Custom Cake - Slice'!E111*12</f>
        <v>46.08</v>
      </c>
      <c r="F111" s="104">
        <f>'Gelati Custom Cake - Slice'!F111*12</f>
        <v>29.28</v>
      </c>
      <c r="G111" s="104">
        <f>'Gelati Custom Cake - Slice'!G111*12</f>
        <v>0</v>
      </c>
      <c r="H111" s="104">
        <f>'Gelati Custom Cake - Slice'!H111*12</f>
        <v>271.92</v>
      </c>
      <c r="I111" s="104">
        <f>'Gelati Custom Cake - Slice'!I111*12</f>
        <v>589.68000000000006</v>
      </c>
      <c r="J111" s="104">
        <f>'Gelati Custom Cake - Slice'!J111*12</f>
        <v>96.359999999999985</v>
      </c>
      <c r="K111" s="104">
        <f>'Gelati Custom Cake - Slice'!K111*12</f>
        <v>0</v>
      </c>
      <c r="L111" s="104">
        <f>'Gelati Custom Cake - Slice'!L111*12</f>
        <v>75.36</v>
      </c>
      <c r="M111" s="104">
        <f>'Gelati Custom Cake - Slice'!M111*12</f>
        <v>16.68</v>
      </c>
      <c r="N111" s="104">
        <f>'Gelati Custom Cake - Slice'!N111*12</f>
        <v>48</v>
      </c>
      <c r="O111" s="104">
        <f>'Gelati Custom Cake - Slice'!O111*12</f>
        <v>0</v>
      </c>
      <c r="P111" s="104">
        <f>'Gelati Custom Cake - Slice'!P111*12</f>
        <v>72</v>
      </c>
      <c r="Q111" s="105">
        <f>'Gelati Custom Cake - Slice'!Q111*12</f>
        <v>0</v>
      </c>
      <c r="R111" s="104">
        <f>'Gelati Custom Cake - Slice'!R111*12</f>
        <v>0</v>
      </c>
      <c r="S111" s="104">
        <f>'Gelati Custom Cake - Slice'!S111*12</f>
        <v>0</v>
      </c>
      <c r="T111" s="104">
        <f>'Gelati Custom Cake - Slice'!T111*12</f>
        <v>0</v>
      </c>
      <c r="U111" s="104">
        <f>'Gelati Custom Cake - Slice'!U111*12</f>
        <v>0</v>
      </c>
      <c r="V111" s="104">
        <f>'Gelati Custom Cake - Slice'!V111*12</f>
        <v>0</v>
      </c>
      <c r="W111" s="104">
        <f>'Gelati Custom Cake - Slice'!W111*12</f>
        <v>0</v>
      </c>
      <c r="X111" s="119">
        <f>'Gelati Custom Cake - Slice'!X111*12</f>
        <v>0</v>
      </c>
    </row>
    <row r="112" spans="1:24" ht="14.6">
      <c r="A112" s="1324"/>
      <c r="B112" s="62" t="s">
        <v>416</v>
      </c>
      <c r="C112" s="103">
        <f>'Gelati Custom Cake - Slice'!C112*12</f>
        <v>852.36</v>
      </c>
      <c r="D112" s="104">
        <f>'Gelati Custom Cake - Slice'!D112*12</f>
        <v>410.28</v>
      </c>
      <c r="E112" s="104">
        <f>'Gelati Custom Cake - Slice'!E112*12</f>
        <v>45.599999999999994</v>
      </c>
      <c r="F112" s="104">
        <f>'Gelati Custom Cake - Slice'!F112*12</f>
        <v>29.04</v>
      </c>
      <c r="G112" s="104">
        <f>'Gelati Custom Cake - Slice'!G112*12</f>
        <v>0</v>
      </c>
      <c r="H112" s="104">
        <f>'Gelati Custom Cake - Slice'!H112*12</f>
        <v>269.39999999999998</v>
      </c>
      <c r="I112" s="104">
        <f>'Gelati Custom Cake - Slice'!I112*12</f>
        <v>584.40000000000009</v>
      </c>
      <c r="J112" s="104">
        <f>'Gelati Custom Cake - Slice'!J112*12</f>
        <v>100.68</v>
      </c>
      <c r="K112" s="104">
        <f>'Gelati Custom Cake - Slice'!K112*12</f>
        <v>0</v>
      </c>
      <c r="L112" s="104">
        <f>'Gelati Custom Cake - Slice'!L112*12</f>
        <v>79.320000000000007</v>
      </c>
      <c r="M112" s="104">
        <f>'Gelati Custom Cake - Slice'!M112*12</f>
        <v>16.559999999999999</v>
      </c>
      <c r="N112" s="104">
        <f>'Gelati Custom Cake - Slice'!N112*12</f>
        <v>48</v>
      </c>
      <c r="O112" s="104">
        <f>'Gelati Custom Cake - Slice'!O112*12</f>
        <v>0</v>
      </c>
      <c r="P112" s="104">
        <f>'Gelati Custom Cake - Slice'!P112*12</f>
        <v>72</v>
      </c>
      <c r="Q112" s="105">
        <f>'Gelati Custom Cake - Slice'!Q112*12</f>
        <v>0</v>
      </c>
      <c r="R112" s="104">
        <f>'Gelati Custom Cake - Slice'!R112*12</f>
        <v>0</v>
      </c>
      <c r="S112" s="104">
        <f>'Gelati Custom Cake - Slice'!S112*12</f>
        <v>0</v>
      </c>
      <c r="T112" s="104">
        <f>'Gelati Custom Cake - Slice'!T112*12</f>
        <v>0</v>
      </c>
      <c r="U112" s="104">
        <f>'Gelati Custom Cake - Slice'!U112*12</f>
        <v>0</v>
      </c>
      <c r="V112" s="104">
        <f>'Gelati Custom Cake - Slice'!V112*12</f>
        <v>0</v>
      </c>
      <c r="W112" s="104">
        <f>'Gelati Custom Cake - Slice'!W112*12</f>
        <v>0</v>
      </c>
      <c r="X112" s="119">
        <f>'Gelati Custom Cake - Slice'!X112*12</f>
        <v>0</v>
      </c>
    </row>
    <row r="113" spans="1:24" ht="14.6">
      <c r="A113" s="1324"/>
      <c r="B113" s="62" t="s">
        <v>417</v>
      </c>
      <c r="C113" s="103">
        <f>'Gelati Custom Cake - Slice'!C113*12</f>
        <v>856.92</v>
      </c>
      <c r="D113" s="104">
        <f>'Gelati Custom Cake - Slice'!D113*12</f>
        <v>415.32</v>
      </c>
      <c r="E113" s="104">
        <f>'Gelati Custom Cake - Slice'!E113*12</f>
        <v>46.2</v>
      </c>
      <c r="F113" s="104">
        <f>'Gelati Custom Cake - Slice'!F113*12</f>
        <v>29.400000000000002</v>
      </c>
      <c r="G113" s="104">
        <f>'Gelati Custom Cake - Slice'!G113*12</f>
        <v>0</v>
      </c>
      <c r="H113" s="104">
        <f>'Gelati Custom Cake - Slice'!H113*12</f>
        <v>272.64</v>
      </c>
      <c r="I113" s="104">
        <f>'Gelati Custom Cake - Slice'!I113*12</f>
        <v>590.28</v>
      </c>
      <c r="J113" s="104">
        <f>'Gelati Custom Cake - Slice'!J113*12</f>
        <v>100.32</v>
      </c>
      <c r="K113" s="104">
        <f>'Gelati Custom Cake - Slice'!K113*12</f>
        <v>0</v>
      </c>
      <c r="L113" s="104">
        <f>'Gelati Custom Cake - Slice'!L113*12</f>
        <v>78</v>
      </c>
      <c r="M113" s="104">
        <f>'Gelati Custom Cake - Slice'!M113*12</f>
        <v>16.799999999999997</v>
      </c>
      <c r="N113" s="104">
        <f>'Gelati Custom Cake - Slice'!N113*12</f>
        <v>48</v>
      </c>
      <c r="O113" s="104">
        <f>'Gelati Custom Cake - Slice'!O113*12</f>
        <v>0</v>
      </c>
      <c r="P113" s="104">
        <f>'Gelati Custom Cake - Slice'!P113*12</f>
        <v>72</v>
      </c>
      <c r="Q113" s="105">
        <f>'Gelati Custom Cake - Slice'!Q113*12</f>
        <v>0</v>
      </c>
      <c r="R113" s="104">
        <f>'Gelati Custom Cake - Slice'!R113*12</f>
        <v>0</v>
      </c>
      <c r="S113" s="104">
        <f>'Gelati Custom Cake - Slice'!S113*12</f>
        <v>0</v>
      </c>
      <c r="T113" s="104">
        <f>'Gelati Custom Cake - Slice'!T113*12</f>
        <v>0</v>
      </c>
      <c r="U113" s="104">
        <f>'Gelati Custom Cake - Slice'!U113*12</f>
        <v>0</v>
      </c>
      <c r="V113" s="104">
        <f>'Gelati Custom Cake - Slice'!V113*12</f>
        <v>0</v>
      </c>
      <c r="W113" s="104">
        <f>'Gelati Custom Cake - Slice'!W113*12</f>
        <v>0</v>
      </c>
      <c r="X113" s="119">
        <f>'Gelati Custom Cake - Slice'!X113*12</f>
        <v>0</v>
      </c>
    </row>
    <row r="114" spans="1:24" ht="14.6">
      <c r="A114" s="1324"/>
      <c r="B114" s="62" t="s">
        <v>418</v>
      </c>
      <c r="C114" s="103">
        <f>'Gelati Custom Cake - Slice'!C114*12</f>
        <v>860.28</v>
      </c>
      <c r="D114" s="104">
        <f>'Gelati Custom Cake - Slice'!D114*12</f>
        <v>407.15999999999997</v>
      </c>
      <c r="E114" s="104">
        <f>'Gelati Custom Cake - Slice'!E114*12</f>
        <v>45.24</v>
      </c>
      <c r="F114" s="104">
        <f>'Gelati Custom Cake - Slice'!F114*12</f>
        <v>28.799999999999997</v>
      </c>
      <c r="G114" s="104">
        <f>'Gelati Custom Cake - Slice'!G114*12</f>
        <v>0</v>
      </c>
      <c r="H114" s="104">
        <f>'Gelati Custom Cake - Slice'!H114*12</f>
        <v>267.36</v>
      </c>
      <c r="I114" s="104">
        <f>'Gelati Custom Cake - Slice'!I114*12</f>
        <v>586.20000000000005</v>
      </c>
      <c r="J114" s="104">
        <f>'Gelati Custom Cake - Slice'!J114*12</f>
        <v>104.16</v>
      </c>
      <c r="K114" s="104">
        <f>'Gelati Custom Cake - Slice'!K114*12</f>
        <v>0.12</v>
      </c>
      <c r="L114" s="104">
        <f>'Gelati Custom Cake - Slice'!L114*12</f>
        <v>82.56</v>
      </c>
      <c r="M114" s="104">
        <f>'Gelati Custom Cake - Slice'!M114*12</f>
        <v>16.440000000000001</v>
      </c>
      <c r="N114" s="104">
        <f>'Gelati Custom Cake - Slice'!N114*12</f>
        <v>48</v>
      </c>
      <c r="O114" s="104">
        <f>'Gelati Custom Cake - Slice'!O114*12</f>
        <v>0</v>
      </c>
      <c r="P114" s="104">
        <f>'Gelati Custom Cake - Slice'!P114*12</f>
        <v>72</v>
      </c>
      <c r="Q114" s="105">
        <f>'Gelati Custom Cake - Slice'!Q114*12</f>
        <v>0</v>
      </c>
      <c r="R114" s="104">
        <f>'Gelati Custom Cake - Slice'!R114*12</f>
        <v>0</v>
      </c>
      <c r="S114" s="104">
        <f>'Gelati Custom Cake - Slice'!S114*12</f>
        <v>0</v>
      </c>
      <c r="T114" s="104">
        <f>'Gelati Custom Cake - Slice'!T114*12</f>
        <v>0</v>
      </c>
      <c r="U114" s="104">
        <f>'Gelati Custom Cake - Slice'!U114*12</f>
        <v>0</v>
      </c>
      <c r="V114" s="104">
        <f>'Gelati Custom Cake - Slice'!V114*12</f>
        <v>0</v>
      </c>
      <c r="W114" s="104">
        <f>'Gelati Custom Cake - Slice'!W114*12</f>
        <v>0</v>
      </c>
      <c r="X114" s="119">
        <f>'Gelati Custom Cake - Slice'!X114*12</f>
        <v>0</v>
      </c>
    </row>
    <row r="115" spans="1:24" ht="14.6">
      <c r="A115" s="1324"/>
      <c r="B115" s="62" t="s">
        <v>360</v>
      </c>
      <c r="C115" s="103">
        <f>'Gelati Custom Cake - Slice'!C115*12</f>
        <v>851.76</v>
      </c>
      <c r="D115" s="104">
        <f>'Gelati Custom Cake - Slice'!D115*12</f>
        <v>414</v>
      </c>
      <c r="E115" s="104">
        <f>'Gelati Custom Cake - Slice'!E115*12</f>
        <v>45.96</v>
      </c>
      <c r="F115" s="104">
        <f>'Gelati Custom Cake - Slice'!F115*12</f>
        <v>29.28</v>
      </c>
      <c r="G115" s="104">
        <f>'Gelati Custom Cake - Slice'!G115*12</f>
        <v>0</v>
      </c>
      <c r="H115" s="104">
        <f>'Gelati Custom Cake - Slice'!H115*12</f>
        <v>271.79999999999995</v>
      </c>
      <c r="I115" s="104">
        <f>'Gelati Custom Cake - Slice'!I115*12</f>
        <v>585.48</v>
      </c>
      <c r="J115" s="104">
        <f>'Gelati Custom Cake - Slice'!J115*12</f>
        <v>99.960000000000008</v>
      </c>
      <c r="K115" s="104">
        <f>'Gelati Custom Cake - Slice'!K115*12</f>
        <v>0</v>
      </c>
      <c r="L115" s="104">
        <f>'Gelati Custom Cake - Slice'!L115*12</f>
        <v>78</v>
      </c>
      <c r="M115" s="104">
        <f>'Gelati Custom Cake - Slice'!M115*12</f>
        <v>16.68</v>
      </c>
      <c r="N115" s="104">
        <f>'Gelati Custom Cake - Slice'!N115*12</f>
        <v>48</v>
      </c>
      <c r="O115" s="104">
        <f>'Gelati Custom Cake - Slice'!O115*12</f>
        <v>0</v>
      </c>
      <c r="P115" s="104">
        <f>'Gelati Custom Cake - Slice'!P115*12</f>
        <v>72</v>
      </c>
      <c r="Q115" s="105">
        <f>'Gelati Custom Cake - Slice'!Q115*12</f>
        <v>0</v>
      </c>
      <c r="R115" s="104">
        <f>'Gelati Custom Cake - Slice'!R115*12</f>
        <v>0</v>
      </c>
      <c r="S115" s="104">
        <f>'Gelati Custom Cake - Slice'!S115*12</f>
        <v>0</v>
      </c>
      <c r="T115" s="104">
        <f>'Gelati Custom Cake - Slice'!T115*12</f>
        <v>0</v>
      </c>
      <c r="U115" s="104">
        <f>'Gelati Custom Cake - Slice'!U115*12</f>
        <v>0</v>
      </c>
      <c r="V115" s="104">
        <f>'Gelati Custom Cake - Slice'!V115*12</f>
        <v>0</v>
      </c>
      <c r="W115" s="104">
        <f>'Gelati Custom Cake - Slice'!W115*12</f>
        <v>0</v>
      </c>
      <c r="X115" s="119">
        <f>'Gelati Custom Cake - Slice'!X115*12</f>
        <v>0</v>
      </c>
    </row>
    <row r="116" spans="1:24" ht="14.6">
      <c r="A116" s="1324"/>
      <c r="B116" s="62" t="s">
        <v>66</v>
      </c>
      <c r="C116" s="103">
        <f>'Gelati Custom Cake - Slice'!C116*12</f>
        <v>855.12000000000012</v>
      </c>
      <c r="D116" s="104">
        <f>'Gelati Custom Cake - Slice'!D116*12</f>
        <v>411.12</v>
      </c>
      <c r="E116" s="104">
        <f>'Gelati Custom Cake - Slice'!E116*12</f>
        <v>45.72</v>
      </c>
      <c r="F116" s="104">
        <f>'Gelati Custom Cake - Slice'!F116*12</f>
        <v>29.04</v>
      </c>
      <c r="G116" s="104">
        <f>'Gelati Custom Cake - Slice'!G116*12</f>
        <v>0</v>
      </c>
      <c r="H116" s="104">
        <f>'Gelati Custom Cake - Slice'!H116*12</f>
        <v>269.88</v>
      </c>
      <c r="I116" s="104">
        <f>'Gelati Custom Cake - Slice'!I116*12</f>
        <v>583.31999999999994</v>
      </c>
      <c r="J116" s="104">
        <f>'Gelati Custom Cake - Slice'!J116*12</f>
        <v>101.64000000000001</v>
      </c>
      <c r="K116" s="104">
        <f>'Gelati Custom Cake - Slice'!K116*12</f>
        <v>0</v>
      </c>
      <c r="L116" s="104">
        <f>'Gelati Custom Cake - Slice'!L116*12</f>
        <v>80.64</v>
      </c>
      <c r="M116" s="104">
        <f>'Gelati Custom Cake - Slice'!M116*12</f>
        <v>16.68</v>
      </c>
      <c r="N116" s="104">
        <f>'Gelati Custom Cake - Slice'!N116*12</f>
        <v>48</v>
      </c>
      <c r="O116" s="104">
        <f>'Gelati Custom Cake - Slice'!O116*12</f>
        <v>0</v>
      </c>
      <c r="P116" s="104">
        <f>'Gelati Custom Cake - Slice'!P116*12</f>
        <v>72</v>
      </c>
      <c r="Q116" s="105">
        <f>'Gelati Custom Cake - Slice'!Q116*12</f>
        <v>0</v>
      </c>
      <c r="R116" s="104">
        <f>'Gelati Custom Cake - Slice'!R116*12</f>
        <v>0</v>
      </c>
      <c r="S116" s="104">
        <f>'Gelati Custom Cake - Slice'!S116*12</f>
        <v>0</v>
      </c>
      <c r="T116" s="104">
        <f>'Gelati Custom Cake - Slice'!T116*12</f>
        <v>0</v>
      </c>
      <c r="U116" s="104">
        <f>'Gelati Custom Cake - Slice'!U116*12</f>
        <v>0</v>
      </c>
      <c r="V116" s="104">
        <f>'Gelati Custom Cake - Slice'!V116*12</f>
        <v>0</v>
      </c>
      <c r="W116" s="104">
        <f>'Gelati Custom Cake - Slice'!W116*12</f>
        <v>0</v>
      </c>
      <c r="X116" s="119">
        <f>'Gelati Custom Cake - Slice'!X116*12</f>
        <v>0</v>
      </c>
    </row>
    <row r="117" spans="1:24" ht="15" thickBot="1">
      <c r="A117" s="1325"/>
      <c r="B117" s="63" t="s">
        <v>75</v>
      </c>
      <c r="C117" s="108">
        <f>'Gelati Custom Cake - Slice'!C117*12</f>
        <v>850.44</v>
      </c>
      <c r="D117" s="109">
        <f>'Gelati Custom Cake - Slice'!D117*12</f>
        <v>420.96</v>
      </c>
      <c r="E117" s="109">
        <f>'Gelati Custom Cake - Slice'!E117*12</f>
        <v>46.8</v>
      </c>
      <c r="F117" s="109">
        <f>'Gelati Custom Cake - Slice'!F117*12</f>
        <v>29.759999999999998</v>
      </c>
      <c r="G117" s="109">
        <f>'Gelati Custom Cake - Slice'!G117*12</f>
        <v>0</v>
      </c>
      <c r="H117" s="109">
        <f>'Gelati Custom Cake - Slice'!H117*12</f>
        <v>276.36</v>
      </c>
      <c r="I117" s="109">
        <f>'Gelati Custom Cake - Slice'!I117*12</f>
        <v>595.31999999999994</v>
      </c>
      <c r="J117" s="109">
        <f>'Gelati Custom Cake - Slice'!J117*12</f>
        <v>97.800000000000011</v>
      </c>
      <c r="K117" s="109">
        <f>'Gelati Custom Cake - Slice'!K117*12</f>
        <v>0</v>
      </c>
      <c r="L117" s="109">
        <f>'Gelati Custom Cake - Slice'!L117*12</f>
        <v>76.56</v>
      </c>
      <c r="M117" s="109">
        <f>'Gelati Custom Cake - Slice'!M117*12</f>
        <v>17.04</v>
      </c>
      <c r="N117" s="109">
        <f>'Gelati Custom Cake - Slice'!N117*12</f>
        <v>48</v>
      </c>
      <c r="O117" s="109">
        <f>'Gelati Custom Cake - Slice'!O117*12</f>
        <v>0</v>
      </c>
      <c r="P117" s="109">
        <f>'Gelati Custom Cake - Slice'!P117*12</f>
        <v>72</v>
      </c>
      <c r="Q117" s="110">
        <f>'Gelati Custom Cake - Slice'!Q117*12</f>
        <v>0</v>
      </c>
      <c r="R117" s="109">
        <f>'Gelati Custom Cake - Slice'!R117*12</f>
        <v>0</v>
      </c>
      <c r="S117" s="109">
        <f>'Gelati Custom Cake - Slice'!S117*12</f>
        <v>0</v>
      </c>
      <c r="T117" s="109">
        <f>'Gelati Custom Cake - Slice'!T117*12</f>
        <v>0</v>
      </c>
      <c r="U117" s="109">
        <f>'Gelati Custom Cake - Slice'!U117*12</f>
        <v>0</v>
      </c>
      <c r="V117" s="109">
        <f>'Gelati Custom Cake - Slice'!V117*12</f>
        <v>0</v>
      </c>
      <c r="W117" s="109">
        <f>'Gelati Custom Cake - Slice'!W117*12</f>
        <v>0</v>
      </c>
      <c r="X117" s="120">
        <f>'Gelati Custom Cake - Slice'!X117*12</f>
        <v>0</v>
      </c>
    </row>
    <row r="119" spans="1:24" ht="18" customHeight="1" thickBot="1">
      <c r="A119" s="1308" t="s">
        <v>543</v>
      </c>
      <c r="B119" s="1308"/>
      <c r="C119" s="1308"/>
      <c r="D119" s="1308"/>
      <c r="E119" s="1308"/>
      <c r="F119" s="1308"/>
      <c r="G119" s="1308"/>
      <c r="H119" s="1308"/>
      <c r="I119" s="1308"/>
      <c r="J119" s="1308"/>
      <c r="K119" s="1308"/>
      <c r="L119" s="1308"/>
      <c r="M119" s="1308"/>
      <c r="N119" s="1308"/>
      <c r="O119" s="1308"/>
      <c r="P119" s="1308"/>
      <c r="Q119" s="1308"/>
      <c r="R119" s="1308"/>
      <c r="S119" s="1308"/>
      <c r="T119" s="1308"/>
      <c r="U119" s="1308"/>
      <c r="V119" s="1308"/>
      <c r="W119" s="1308"/>
      <c r="X119" s="1308"/>
    </row>
    <row r="120" spans="1:24" ht="37.5" customHeight="1" thickBot="1">
      <c r="A120" s="77"/>
      <c r="B120" s="48" t="s">
        <v>3</v>
      </c>
      <c r="C120" s="1" t="s">
        <v>4</v>
      </c>
      <c r="D120" s="1" t="s">
        <v>5</v>
      </c>
      <c r="E120" s="1" t="s">
        <v>6</v>
      </c>
      <c r="F120" s="1" t="s">
        <v>7</v>
      </c>
      <c r="G120" s="1" t="s">
        <v>8</v>
      </c>
      <c r="H120" s="1" t="s">
        <v>9</v>
      </c>
      <c r="I120" s="1" t="s">
        <v>10</v>
      </c>
      <c r="J120" s="1" t="s">
        <v>11</v>
      </c>
      <c r="K120" s="1" t="s">
        <v>12</v>
      </c>
      <c r="L120" s="1" t="s">
        <v>13</v>
      </c>
      <c r="M120" s="1" t="s">
        <v>14</v>
      </c>
      <c r="N120" s="1" t="s">
        <v>15</v>
      </c>
      <c r="O120" s="2" t="s">
        <v>16</v>
      </c>
      <c r="P120" s="2" t="s">
        <v>17</v>
      </c>
      <c r="Q120" s="2" t="s">
        <v>18</v>
      </c>
      <c r="R120" s="2" t="s">
        <v>19</v>
      </c>
      <c r="S120" s="2" t="s">
        <v>20</v>
      </c>
      <c r="T120" s="2" t="s">
        <v>21</v>
      </c>
      <c r="U120" s="2" t="s">
        <v>22</v>
      </c>
      <c r="V120" s="2" t="s">
        <v>23</v>
      </c>
      <c r="W120" s="2" t="s">
        <v>377</v>
      </c>
      <c r="X120" s="3" t="s">
        <v>378</v>
      </c>
    </row>
    <row r="121" spans="1:24" ht="14.6">
      <c r="A121" s="1326" t="s">
        <v>544</v>
      </c>
      <c r="B121" s="61" t="s">
        <v>129</v>
      </c>
      <c r="C121" s="98">
        <f>'Gelati Custom Cake - Slice'!C121*12</f>
        <v>872.76</v>
      </c>
      <c r="D121" s="99">
        <f>'Gelati Custom Cake - Slice'!D121*12</f>
        <v>484.32</v>
      </c>
      <c r="E121" s="99">
        <f>'Gelati Custom Cake - Slice'!E121*12</f>
        <v>53.760000000000005</v>
      </c>
      <c r="F121" s="99">
        <f>'Gelati Custom Cake - Slice'!F121*12</f>
        <v>53.400000000000006</v>
      </c>
      <c r="G121" s="99">
        <f>'Gelati Custom Cake - Slice'!G121*12</f>
        <v>0.48</v>
      </c>
      <c r="H121" s="99">
        <f>'Gelati Custom Cake - Slice'!H121*12</f>
        <v>0.84000000000000008</v>
      </c>
      <c r="I121" s="99">
        <f>'Gelati Custom Cake - Slice'!I121*12</f>
        <v>158.76</v>
      </c>
      <c r="J121" s="99">
        <f>'Gelati Custom Cake - Slice'!J121*12</f>
        <v>92.16</v>
      </c>
      <c r="K121" s="99">
        <f>'Gelati Custom Cake - Slice'!K121*12</f>
        <v>2.52</v>
      </c>
      <c r="L121" s="99">
        <f>'Gelati Custom Cake - Slice'!L121*12</f>
        <v>75.239999999999995</v>
      </c>
      <c r="M121" s="99">
        <f>'Gelati Custom Cake - Slice'!M121*12</f>
        <v>4.92</v>
      </c>
      <c r="N121" s="99">
        <f>'Gelati Custom Cake - Slice'!N121*12</f>
        <v>10.44</v>
      </c>
      <c r="O121" s="99">
        <f>'Gelati Custom Cake - Slice'!O121*12</f>
        <v>0</v>
      </c>
      <c r="P121" s="99">
        <f>'Gelati Custom Cake - Slice'!P121*12</f>
        <v>16.559999999999999</v>
      </c>
      <c r="Q121" s="100">
        <f>'Gelati Custom Cake - Slice'!Q121*12</f>
        <v>2.04</v>
      </c>
      <c r="R121" s="101"/>
      <c r="S121" s="101"/>
      <c r="T121" s="101"/>
      <c r="U121" s="101"/>
      <c r="V121" s="101"/>
      <c r="W121" s="101"/>
      <c r="X121" s="102"/>
    </row>
    <row r="122" spans="1:24" ht="15" thickBot="1">
      <c r="A122" s="1327"/>
      <c r="B122" s="63" t="s">
        <v>130</v>
      </c>
      <c r="C122" s="108">
        <f>'Gelati Custom Cake - Slice'!C122*12</f>
        <v>917.40000000000009</v>
      </c>
      <c r="D122" s="109">
        <f>'Gelati Custom Cake - Slice'!D122*12</f>
        <v>551.52</v>
      </c>
      <c r="E122" s="109">
        <f>'Gelati Custom Cake - Slice'!E122*12</f>
        <v>61.320000000000007</v>
      </c>
      <c r="F122" s="109">
        <f>'Gelati Custom Cake - Slice'!F122*12</f>
        <v>61.08</v>
      </c>
      <c r="G122" s="109">
        <f>'Gelati Custom Cake - Slice'!G122*12</f>
        <v>0.12</v>
      </c>
      <c r="H122" s="109">
        <f>'Gelati Custom Cake - Slice'!H122*12</f>
        <v>0.48</v>
      </c>
      <c r="I122" s="109">
        <f>'Gelati Custom Cake - Slice'!I122*12</f>
        <v>137.04</v>
      </c>
      <c r="J122" s="109">
        <f>'Gelati Custom Cake - Slice'!J122*12</f>
        <v>88.679999999999993</v>
      </c>
      <c r="K122" s="109">
        <f>'Gelati Custom Cake - Slice'!K122*12</f>
        <v>0.24</v>
      </c>
      <c r="L122" s="109">
        <f>'Gelati Custom Cake - Slice'!L122*12</f>
        <v>80.64</v>
      </c>
      <c r="M122" s="109">
        <f>'Gelati Custom Cake - Slice'!M122*12</f>
        <v>2.64</v>
      </c>
      <c r="N122" s="109">
        <f>'Gelati Custom Cake - Slice'!N122*12</f>
        <v>2.2800000000000002</v>
      </c>
      <c r="O122" s="109">
        <f>'Gelati Custom Cake - Slice'!O122*12</f>
        <v>0</v>
      </c>
      <c r="P122" s="109">
        <f>'Gelati Custom Cake - Slice'!P122*12</f>
        <v>5.04</v>
      </c>
      <c r="Q122" s="110">
        <f>'Gelati Custom Cake - Slice'!Q122*12</f>
        <v>0.12</v>
      </c>
      <c r="R122" s="111"/>
      <c r="S122" s="111"/>
      <c r="T122" s="111"/>
      <c r="U122" s="111"/>
      <c r="V122" s="111"/>
      <c r="W122" s="111"/>
      <c r="X122" s="112"/>
    </row>
    <row r="123" spans="1:24" ht="14.6">
      <c r="A123" s="14"/>
      <c r="B123" s="22"/>
      <c r="C123" s="15"/>
      <c r="D123" s="15"/>
      <c r="E123" s="15"/>
      <c r="F123" s="15"/>
      <c r="G123" s="15"/>
      <c r="H123" s="15"/>
      <c r="I123" s="15"/>
      <c r="J123" s="15"/>
      <c r="K123" s="15"/>
      <c r="L123" s="15"/>
      <c r="M123" s="15"/>
      <c r="N123" s="15"/>
      <c r="O123" s="15"/>
      <c r="P123" s="15"/>
      <c r="Q123" s="15"/>
    </row>
    <row r="124" spans="1:24" ht="18" customHeight="1" thickBot="1">
      <c r="A124" s="1308" t="s">
        <v>545</v>
      </c>
      <c r="B124" s="1308"/>
      <c r="C124" s="1308"/>
      <c r="D124" s="1308"/>
      <c r="E124" s="1308"/>
      <c r="F124" s="1308"/>
      <c r="G124" s="1308"/>
      <c r="H124" s="1308"/>
      <c r="I124" s="1308"/>
      <c r="J124" s="1308"/>
      <c r="K124" s="1308"/>
      <c r="L124" s="1308"/>
      <c r="M124" s="1308"/>
      <c r="N124" s="1308"/>
      <c r="O124" s="1308"/>
      <c r="P124" s="1308"/>
      <c r="Q124" s="1308"/>
      <c r="R124" s="1308"/>
      <c r="S124" s="1308"/>
      <c r="T124" s="1308"/>
      <c r="U124" s="1308"/>
      <c r="V124" s="1308"/>
      <c r="W124" s="1308"/>
      <c r="X124" s="1308"/>
    </row>
    <row r="125" spans="1:24" ht="37.5" customHeight="1" thickBot="1">
      <c r="A125" s="77"/>
      <c r="B125" s="48" t="s">
        <v>3</v>
      </c>
      <c r="C125" s="1" t="s">
        <v>4</v>
      </c>
      <c r="D125" s="1" t="s">
        <v>5</v>
      </c>
      <c r="E125" s="1" t="s">
        <v>6</v>
      </c>
      <c r="F125" s="1" t="s">
        <v>7</v>
      </c>
      <c r="G125" s="1" t="s">
        <v>8</v>
      </c>
      <c r="H125" s="1" t="s">
        <v>9</v>
      </c>
      <c r="I125" s="1" t="s">
        <v>10</v>
      </c>
      <c r="J125" s="1" t="s">
        <v>11</v>
      </c>
      <c r="K125" s="1" t="s">
        <v>12</v>
      </c>
      <c r="L125" s="1" t="s">
        <v>13</v>
      </c>
      <c r="M125" s="1" t="s">
        <v>14</v>
      </c>
      <c r="N125" s="1" t="s">
        <v>15</v>
      </c>
      <c r="O125" s="2" t="s">
        <v>16</v>
      </c>
      <c r="P125" s="2" t="s">
        <v>17</v>
      </c>
      <c r="Q125" s="2" t="s">
        <v>18</v>
      </c>
      <c r="R125" s="2" t="s">
        <v>19</v>
      </c>
      <c r="S125" s="2" t="s">
        <v>20</v>
      </c>
      <c r="T125" s="2" t="s">
        <v>21</v>
      </c>
      <c r="U125" s="2" t="s">
        <v>22</v>
      </c>
      <c r="V125" s="2" t="s">
        <v>23</v>
      </c>
      <c r="W125" s="2" t="s">
        <v>377</v>
      </c>
      <c r="X125" s="3" t="s">
        <v>378</v>
      </c>
    </row>
    <row r="126" spans="1:24" ht="14.6">
      <c r="A126" s="1326" t="s">
        <v>546</v>
      </c>
      <c r="B126" s="61" t="s">
        <v>130</v>
      </c>
      <c r="C126" s="98">
        <f>C122</f>
        <v>917.40000000000009</v>
      </c>
      <c r="D126" s="99">
        <f t="shared" ref="D126:Q126" si="0">D122</f>
        <v>551.52</v>
      </c>
      <c r="E126" s="99">
        <f t="shared" si="0"/>
        <v>61.320000000000007</v>
      </c>
      <c r="F126" s="99">
        <f t="shared" si="0"/>
        <v>61.08</v>
      </c>
      <c r="G126" s="99">
        <f t="shared" si="0"/>
        <v>0.12</v>
      </c>
      <c r="H126" s="99">
        <f t="shared" si="0"/>
        <v>0.48</v>
      </c>
      <c r="I126" s="99">
        <f t="shared" si="0"/>
        <v>137.04</v>
      </c>
      <c r="J126" s="99">
        <f t="shared" si="0"/>
        <v>88.679999999999993</v>
      </c>
      <c r="K126" s="99">
        <f t="shared" si="0"/>
        <v>0.24</v>
      </c>
      <c r="L126" s="99">
        <f t="shared" si="0"/>
        <v>80.64</v>
      </c>
      <c r="M126" s="99">
        <f t="shared" si="0"/>
        <v>2.64</v>
      </c>
      <c r="N126" s="99">
        <f t="shared" si="0"/>
        <v>2.2800000000000002</v>
      </c>
      <c r="O126" s="99">
        <f t="shared" si="0"/>
        <v>0</v>
      </c>
      <c r="P126" s="99">
        <f t="shared" si="0"/>
        <v>5.04</v>
      </c>
      <c r="Q126" s="100">
        <f t="shared" si="0"/>
        <v>0.12</v>
      </c>
      <c r="R126" s="101"/>
      <c r="S126" s="101"/>
      <c r="T126" s="101"/>
      <c r="U126" s="101"/>
      <c r="V126" s="101"/>
      <c r="W126" s="101"/>
      <c r="X126" s="102"/>
    </row>
    <row r="127" spans="1:24" ht="15" thickBot="1">
      <c r="A127" s="1327"/>
      <c r="B127" s="63" t="s">
        <v>129</v>
      </c>
      <c r="C127" s="108">
        <f>C121</f>
        <v>872.76</v>
      </c>
      <c r="D127" s="109">
        <f t="shared" ref="D127:Q127" si="1">D121</f>
        <v>484.32</v>
      </c>
      <c r="E127" s="109">
        <f t="shared" si="1"/>
        <v>53.760000000000005</v>
      </c>
      <c r="F127" s="109">
        <f t="shared" si="1"/>
        <v>53.400000000000006</v>
      </c>
      <c r="G127" s="109">
        <f t="shared" si="1"/>
        <v>0.48</v>
      </c>
      <c r="H127" s="109">
        <f t="shared" si="1"/>
        <v>0.84000000000000008</v>
      </c>
      <c r="I127" s="109">
        <f t="shared" si="1"/>
        <v>158.76</v>
      </c>
      <c r="J127" s="109">
        <f t="shared" si="1"/>
        <v>92.16</v>
      </c>
      <c r="K127" s="109">
        <f t="shared" si="1"/>
        <v>2.52</v>
      </c>
      <c r="L127" s="109">
        <f t="shared" si="1"/>
        <v>75.239999999999995</v>
      </c>
      <c r="M127" s="109">
        <f t="shared" si="1"/>
        <v>4.92</v>
      </c>
      <c r="N127" s="109">
        <f t="shared" si="1"/>
        <v>10.44</v>
      </c>
      <c r="O127" s="109">
        <f t="shared" si="1"/>
        <v>0</v>
      </c>
      <c r="P127" s="109">
        <f t="shared" si="1"/>
        <v>16.559999999999999</v>
      </c>
      <c r="Q127" s="110">
        <f t="shared" si="1"/>
        <v>2.04</v>
      </c>
      <c r="R127" s="111"/>
      <c r="S127" s="111"/>
      <c r="T127" s="111"/>
      <c r="U127" s="111"/>
      <c r="V127" s="111"/>
      <c r="W127" s="111"/>
      <c r="X127" s="112"/>
    </row>
    <row r="129" spans="1:24" ht="18" customHeight="1" thickBot="1">
      <c r="A129" s="1308" t="s">
        <v>538</v>
      </c>
      <c r="B129" s="1308"/>
      <c r="C129" s="1308"/>
      <c r="D129" s="1308"/>
      <c r="E129" s="1308"/>
      <c r="F129" s="1308"/>
      <c r="G129" s="1308"/>
      <c r="H129" s="1308"/>
      <c r="I129" s="1308"/>
      <c r="J129" s="1308"/>
      <c r="K129" s="1308"/>
      <c r="L129" s="1308"/>
      <c r="M129" s="1308"/>
      <c r="N129" s="1308"/>
      <c r="O129" s="1308"/>
      <c r="P129" s="1308"/>
      <c r="Q129" s="1308"/>
      <c r="R129" s="1308"/>
      <c r="S129" s="1308"/>
      <c r="T129" s="1308"/>
      <c r="U129" s="1308"/>
      <c r="V129" s="1308"/>
      <c r="W129" s="1308"/>
      <c r="X129" s="1308"/>
    </row>
    <row r="130" spans="1:24" ht="37.5" customHeight="1" thickBot="1">
      <c r="A130" s="77"/>
      <c r="B130" s="48" t="s">
        <v>3</v>
      </c>
      <c r="C130" s="1" t="s">
        <v>4</v>
      </c>
      <c r="D130" s="1" t="s">
        <v>5</v>
      </c>
      <c r="E130" s="1" t="s">
        <v>6</v>
      </c>
      <c r="F130" s="1" t="s">
        <v>7</v>
      </c>
      <c r="G130" s="1" t="s">
        <v>8</v>
      </c>
      <c r="H130" s="1" t="s">
        <v>9</v>
      </c>
      <c r="I130" s="1" t="s">
        <v>10</v>
      </c>
      <c r="J130" s="1" t="s">
        <v>11</v>
      </c>
      <c r="K130" s="1" t="s">
        <v>12</v>
      </c>
      <c r="L130" s="1" t="s">
        <v>13</v>
      </c>
      <c r="M130" s="1" t="s">
        <v>14</v>
      </c>
      <c r="N130" s="1" t="s">
        <v>15</v>
      </c>
      <c r="O130" s="2" t="s">
        <v>16</v>
      </c>
      <c r="P130" s="2" t="s">
        <v>17</v>
      </c>
      <c r="Q130" s="2" t="s">
        <v>18</v>
      </c>
      <c r="R130" s="2" t="s">
        <v>19</v>
      </c>
      <c r="S130" s="2" t="s">
        <v>20</v>
      </c>
      <c r="T130" s="2" t="s">
        <v>21</v>
      </c>
      <c r="U130" s="2" t="s">
        <v>22</v>
      </c>
      <c r="V130" s="2" t="s">
        <v>23</v>
      </c>
      <c r="W130" s="2" t="s">
        <v>377</v>
      </c>
      <c r="X130" s="3" t="s">
        <v>378</v>
      </c>
    </row>
    <row r="131" spans="1:24" ht="14.6">
      <c r="A131" s="1317" t="s">
        <v>539</v>
      </c>
      <c r="B131" s="59" t="s">
        <v>144</v>
      </c>
      <c r="C131" s="98">
        <f>'Gelati Custom Cake - Slice'!C131*12</f>
        <v>258.60000000000002</v>
      </c>
      <c r="D131" s="99">
        <f>'Gelati Custom Cake - Slice'!D131*12</f>
        <v>132.72</v>
      </c>
      <c r="E131" s="99">
        <f>'Gelati Custom Cake - Slice'!E131*12</f>
        <v>14.76</v>
      </c>
      <c r="F131" s="99">
        <f>'Gelati Custom Cake - Slice'!F131*12</f>
        <v>8.76</v>
      </c>
      <c r="G131" s="99">
        <f>'Gelati Custom Cake - Slice'!G131*12</f>
        <v>0</v>
      </c>
      <c r="H131" s="99">
        <f>'Gelati Custom Cake - Slice'!H131*12</f>
        <v>0</v>
      </c>
      <c r="I131" s="99">
        <f>'Gelati Custom Cake - Slice'!I131*12</f>
        <v>0.12</v>
      </c>
      <c r="J131" s="99">
        <f>'Gelati Custom Cake - Slice'!J131*12</f>
        <v>38.04</v>
      </c>
      <c r="K131" s="99">
        <f>'Gelati Custom Cake - Slice'!K131*12</f>
        <v>4.4399999999999995</v>
      </c>
      <c r="L131" s="99">
        <f>'Gelati Custom Cake - Slice'!L131*12</f>
        <v>30.72</v>
      </c>
      <c r="M131" s="99">
        <f>'Gelati Custom Cake - Slice'!M131*12</f>
        <v>2.88</v>
      </c>
      <c r="N131" s="99">
        <f>'Gelati Custom Cake - Slice'!N131*12</f>
        <v>0</v>
      </c>
      <c r="O131" s="99">
        <f>'Gelati Custom Cake - Slice'!O131*12</f>
        <v>0</v>
      </c>
      <c r="P131" s="99">
        <f>'Gelati Custom Cake - Slice'!P131*12</f>
        <v>24</v>
      </c>
      <c r="Q131" s="100">
        <f>'Gelati Custom Cake - Slice'!Q131*12</f>
        <v>180</v>
      </c>
      <c r="R131" s="101"/>
      <c r="S131" s="101"/>
      <c r="T131" s="101"/>
      <c r="U131" s="101"/>
      <c r="V131" s="101"/>
      <c r="W131" s="101"/>
      <c r="X131" s="102"/>
    </row>
    <row r="132" spans="1:24" ht="14.6">
      <c r="A132" s="1318"/>
      <c r="B132" s="56" t="s">
        <v>534</v>
      </c>
      <c r="C132" s="103">
        <f>'Gelati Custom Cake - Slice'!C132*12</f>
        <v>229.44</v>
      </c>
      <c r="D132" s="104">
        <f>'Gelati Custom Cake - Slice'!D132*12</f>
        <v>48</v>
      </c>
      <c r="E132" s="104">
        <f>'Gelati Custom Cake - Slice'!E132*12</f>
        <v>5.28</v>
      </c>
      <c r="F132" s="104">
        <f>'Gelati Custom Cake - Slice'!F132*12</f>
        <v>2.7600000000000002</v>
      </c>
      <c r="G132" s="104">
        <f>'Gelati Custom Cake - Slice'!G132*12</f>
        <v>0</v>
      </c>
      <c r="H132" s="104">
        <f>'Gelati Custom Cake - Slice'!H132*12</f>
        <v>0</v>
      </c>
      <c r="I132" s="104">
        <f>'Gelati Custom Cake - Slice'!I132*12</f>
        <v>344.88</v>
      </c>
      <c r="J132" s="104">
        <f>'Gelati Custom Cake - Slice'!J132*12</f>
        <v>45.24</v>
      </c>
      <c r="K132" s="104">
        <f>'Gelati Custom Cake - Slice'!K132*12</f>
        <v>2.88</v>
      </c>
      <c r="L132" s="104">
        <f>'Gelati Custom Cake - Slice'!L132*12</f>
        <v>17.52</v>
      </c>
      <c r="M132" s="104">
        <f>'Gelati Custom Cake - Slice'!M132*12</f>
        <v>3.3600000000000003</v>
      </c>
      <c r="N132" s="104">
        <f>'Gelati Custom Cake - Slice'!N132*12</f>
        <v>0</v>
      </c>
      <c r="O132" s="104">
        <f>'Gelati Custom Cake - Slice'!O132*12</f>
        <v>0</v>
      </c>
      <c r="P132" s="104">
        <f>'Gelati Custom Cake - Slice'!P132*12</f>
        <v>180</v>
      </c>
      <c r="Q132" s="105">
        <f>'Gelati Custom Cake - Slice'!Q132*12</f>
        <v>0</v>
      </c>
      <c r="R132" s="106"/>
      <c r="S132" s="106"/>
      <c r="T132" s="106"/>
      <c r="U132" s="106"/>
      <c r="V132" s="106"/>
      <c r="W132" s="106"/>
      <c r="X132" s="107"/>
    </row>
    <row r="133" spans="1:24" ht="14.6">
      <c r="A133" s="1318"/>
      <c r="B133" s="56" t="s">
        <v>540</v>
      </c>
      <c r="C133" s="103">
        <f>'Gelati Custom Cake - Slice'!C133*12</f>
        <v>275.28000000000003</v>
      </c>
      <c r="D133" s="104">
        <f>'Gelati Custom Cake - Slice'!D133*12</f>
        <v>109.68</v>
      </c>
      <c r="E133" s="104">
        <f>'Gelati Custom Cake - Slice'!E133*12</f>
        <v>12.24</v>
      </c>
      <c r="F133" s="104">
        <f>'Gelati Custom Cake - Slice'!F133*12</f>
        <v>10.44</v>
      </c>
      <c r="G133" s="104">
        <f>'Gelati Custom Cake - Slice'!G133*12</f>
        <v>0.12</v>
      </c>
      <c r="H133" s="104">
        <f>'Gelati Custom Cake - Slice'!H133*12</f>
        <v>0</v>
      </c>
      <c r="I133" s="104">
        <f>'Gelati Custom Cake - Slice'!I133*12</f>
        <v>56.64</v>
      </c>
      <c r="J133" s="104">
        <f>'Gelati Custom Cake - Slice'!J133*12</f>
        <v>39.72</v>
      </c>
      <c r="K133" s="104">
        <f>'Gelati Custom Cake - Slice'!K133*12</f>
        <v>2.04</v>
      </c>
      <c r="L133" s="104">
        <f>'Gelati Custom Cake - Slice'!L133*12</f>
        <v>20.28</v>
      </c>
      <c r="M133" s="104">
        <f>'Gelati Custom Cake - Slice'!M133*12</f>
        <v>1.6800000000000002</v>
      </c>
      <c r="N133" s="104">
        <f>'Gelati Custom Cake - Slice'!N133*12</f>
        <v>180</v>
      </c>
      <c r="O133" s="104">
        <f>'Gelati Custom Cake - Slice'!O133*12</f>
        <v>120</v>
      </c>
      <c r="P133" s="104">
        <f>'Gelati Custom Cake - Slice'!P133*12</f>
        <v>0</v>
      </c>
      <c r="Q133" s="105">
        <f>'Gelati Custom Cake - Slice'!Q133*12</f>
        <v>120</v>
      </c>
      <c r="R133" s="106"/>
      <c r="S133" s="106"/>
      <c r="T133" s="106"/>
      <c r="U133" s="106"/>
      <c r="V133" s="106"/>
      <c r="W133" s="106"/>
      <c r="X133" s="107"/>
    </row>
    <row r="134" spans="1:24" ht="14.6">
      <c r="A134" s="1318"/>
      <c r="B134" s="56" t="s">
        <v>147</v>
      </c>
      <c r="C134" s="103">
        <f>'Gelati Custom Cake - Slice'!C134*12</f>
        <v>332.28000000000003</v>
      </c>
      <c r="D134" s="104">
        <f>'Gelati Custom Cake - Slice'!D134*12</f>
        <v>253.44</v>
      </c>
      <c r="E134" s="104">
        <f>'Gelati Custom Cake - Slice'!E134*12</f>
        <v>28.200000000000003</v>
      </c>
      <c r="F134" s="104">
        <f>'Gelati Custom Cake - Slice'!F134*12</f>
        <v>3.96</v>
      </c>
      <c r="G134" s="104">
        <f>'Gelati Custom Cake - Slice'!G134*12</f>
        <v>0</v>
      </c>
      <c r="H134" s="104">
        <f>'Gelati Custom Cake - Slice'!H134*12</f>
        <v>0</v>
      </c>
      <c r="I134" s="104">
        <f>'Gelati Custom Cake - Slice'!I134*12</f>
        <v>81.599999999999994</v>
      </c>
      <c r="J134" s="104">
        <f>'Gelati Custom Cake - Slice'!J134*12</f>
        <v>12.120000000000001</v>
      </c>
      <c r="K134" s="104">
        <f>'Gelati Custom Cake - Slice'!K134*12</f>
        <v>5.28</v>
      </c>
      <c r="L134" s="104">
        <f>'Gelati Custom Cake - Slice'!L134*12</f>
        <v>2.4000000000000004</v>
      </c>
      <c r="M134" s="104">
        <f>'Gelati Custom Cake - Slice'!M134*12</f>
        <v>13.440000000000001</v>
      </c>
      <c r="N134" s="104">
        <f>'Gelati Custom Cake - Slice'!N134*12</f>
        <v>24</v>
      </c>
      <c r="O134" s="104">
        <f>'Gelati Custom Cake - Slice'!O134*12</f>
        <v>0</v>
      </c>
      <c r="P134" s="104">
        <f>'Gelati Custom Cake - Slice'!P134*12</f>
        <v>24</v>
      </c>
      <c r="Q134" s="105">
        <f>'Gelati Custom Cake - Slice'!Q134*12</f>
        <v>0</v>
      </c>
      <c r="R134" s="106"/>
      <c r="S134" s="106"/>
      <c r="T134" s="106"/>
      <c r="U134" s="106"/>
      <c r="V134" s="106"/>
      <c r="W134" s="106"/>
      <c r="X134" s="107"/>
    </row>
    <row r="135" spans="1:24" ht="14.6">
      <c r="A135" s="1318"/>
      <c r="B135" s="56" t="s">
        <v>148</v>
      </c>
      <c r="C135" s="103">
        <f>'Gelati Custom Cake - Slice'!C135*12</f>
        <v>231</v>
      </c>
      <c r="D135" s="104">
        <f>'Gelati Custom Cake - Slice'!D135*12</f>
        <v>18.84</v>
      </c>
      <c r="E135" s="104">
        <f>'Gelati Custom Cake - Slice'!E135*12</f>
        <v>2.04</v>
      </c>
      <c r="F135" s="104">
        <f>'Gelati Custom Cake - Slice'!F135*12</f>
        <v>2.04</v>
      </c>
      <c r="G135" s="104">
        <f>'Gelati Custom Cake - Slice'!G135*12</f>
        <v>0</v>
      </c>
      <c r="H135" s="104">
        <f>'Gelati Custom Cake - Slice'!H135*12</f>
        <v>0</v>
      </c>
      <c r="I135" s="104">
        <f>'Gelati Custom Cake - Slice'!I135*12</f>
        <v>357</v>
      </c>
      <c r="J135" s="104">
        <f>'Gelati Custom Cake - Slice'!J135*12</f>
        <v>48.239999999999995</v>
      </c>
      <c r="K135" s="104">
        <f>'Gelati Custom Cake - Slice'!K135*12</f>
        <v>0</v>
      </c>
      <c r="L135" s="104">
        <f>'Gelati Custom Cake - Slice'!L135*12</f>
        <v>18.84</v>
      </c>
      <c r="M135" s="104">
        <f>'Gelati Custom Cake - Slice'!M135*12</f>
        <v>2.04</v>
      </c>
      <c r="N135" s="104">
        <f>'Gelati Custom Cake - Slice'!N135*12</f>
        <v>0</v>
      </c>
      <c r="O135" s="104">
        <f>'Gelati Custom Cake - Slice'!O135*12</f>
        <v>0</v>
      </c>
      <c r="P135" s="104">
        <f>'Gelati Custom Cake - Slice'!P135*12</f>
        <v>24</v>
      </c>
      <c r="Q135" s="105">
        <f>'Gelati Custom Cake - Slice'!Q135*12</f>
        <v>0</v>
      </c>
      <c r="R135" s="106"/>
      <c r="S135" s="106"/>
      <c r="T135" s="106"/>
      <c r="U135" s="106"/>
      <c r="V135" s="106"/>
      <c r="W135" s="106"/>
      <c r="X135" s="107"/>
    </row>
    <row r="136" spans="1:24" ht="14.6">
      <c r="A136" s="1318"/>
      <c r="B136" s="56" t="s">
        <v>306</v>
      </c>
      <c r="C136" s="103">
        <f>'Gelati Custom Cake - Slice'!C136*12</f>
        <v>180</v>
      </c>
      <c r="D136" s="104">
        <f>'Gelati Custom Cake - Slice'!D136*12</f>
        <v>0</v>
      </c>
      <c r="E136" s="104">
        <f>'Gelati Custom Cake - Slice'!E136*12</f>
        <v>0</v>
      </c>
      <c r="F136" s="104">
        <f>'Gelati Custom Cake - Slice'!F136*12</f>
        <v>0</v>
      </c>
      <c r="G136" s="104">
        <f>'Gelati Custom Cake - Slice'!G136*12</f>
        <v>0</v>
      </c>
      <c r="H136" s="104">
        <f>'Gelati Custom Cake - Slice'!H136*12</f>
        <v>0</v>
      </c>
      <c r="I136" s="104">
        <f>'Gelati Custom Cake - Slice'!I136*12</f>
        <v>0</v>
      </c>
      <c r="J136" s="104">
        <f>'Gelati Custom Cake - Slice'!J136*12</f>
        <v>36</v>
      </c>
      <c r="K136" s="104">
        <f>'Gelati Custom Cake - Slice'!K136*12</f>
        <v>0</v>
      </c>
      <c r="L136" s="104">
        <f>'Gelati Custom Cake - Slice'!L136*12</f>
        <v>24</v>
      </c>
      <c r="M136" s="104">
        <f>'Gelati Custom Cake - Slice'!M136*12</f>
        <v>0</v>
      </c>
      <c r="N136" s="104">
        <f>'Gelati Custom Cake - Slice'!N136*12</f>
        <v>0</v>
      </c>
      <c r="O136" s="104">
        <f>'Gelati Custom Cake - Slice'!O136*12</f>
        <v>0</v>
      </c>
      <c r="P136" s="104">
        <f>'Gelati Custom Cake - Slice'!P136*12</f>
        <v>0</v>
      </c>
      <c r="Q136" s="105">
        <f>'Gelati Custom Cake - Slice'!Q136*12</f>
        <v>0</v>
      </c>
      <c r="R136" s="106"/>
      <c r="S136" s="106"/>
      <c r="T136" s="106"/>
      <c r="U136" s="106"/>
      <c r="V136" s="106"/>
      <c r="W136" s="106"/>
      <c r="X136" s="107"/>
    </row>
    <row r="137" spans="1:24" ht="14.6">
      <c r="A137" s="1318"/>
      <c r="B137" s="56" t="s">
        <v>149</v>
      </c>
      <c r="C137" s="103">
        <f>'Gelati Custom Cake - Slice'!C137*12</f>
        <v>298.79999999999995</v>
      </c>
      <c r="D137" s="104">
        <f>'Gelati Custom Cake - Slice'!D137*12</f>
        <v>165.84</v>
      </c>
      <c r="E137" s="104">
        <f>'Gelati Custom Cake - Slice'!E137*12</f>
        <v>18.48</v>
      </c>
      <c r="F137" s="104">
        <f>'Gelati Custom Cake - Slice'!F137*12</f>
        <v>9.7200000000000006</v>
      </c>
      <c r="G137" s="104">
        <f>'Gelati Custom Cake - Slice'!G137*12</f>
        <v>0.24</v>
      </c>
      <c r="H137" s="104">
        <f>'Gelati Custom Cake - Slice'!H137*12</f>
        <v>10.56</v>
      </c>
      <c r="I137" s="104">
        <f>'Gelati Custom Cake - Slice'!I137*12</f>
        <v>196.92000000000002</v>
      </c>
      <c r="J137" s="104">
        <f>'Gelati Custom Cake - Slice'!J137*12</f>
        <v>35.28</v>
      </c>
      <c r="K137" s="104">
        <f>'Gelati Custom Cake - Slice'!K137*12</f>
        <v>0.72</v>
      </c>
      <c r="L137" s="104">
        <f>'Gelati Custom Cake - Slice'!L137*12</f>
        <v>33.96</v>
      </c>
      <c r="M137" s="104">
        <f>'Gelati Custom Cake - Slice'!M137*12</f>
        <v>1.7999999999999998</v>
      </c>
      <c r="N137" s="104">
        <f>'Gelati Custom Cake - Slice'!N137*12</f>
        <v>0</v>
      </c>
      <c r="O137" s="104">
        <f>'Gelati Custom Cake - Slice'!O137*12</f>
        <v>0</v>
      </c>
      <c r="P137" s="104">
        <f>'Gelati Custom Cake - Slice'!P137*12</f>
        <v>0</v>
      </c>
      <c r="Q137" s="105">
        <f>'Gelati Custom Cake - Slice'!Q137*12</f>
        <v>0</v>
      </c>
      <c r="R137" s="106"/>
      <c r="S137" s="106"/>
      <c r="T137" s="106"/>
      <c r="U137" s="106"/>
      <c r="V137" s="106"/>
      <c r="W137" s="106"/>
      <c r="X137" s="107"/>
    </row>
    <row r="138" spans="1:24" ht="14.6">
      <c r="A138" s="1318"/>
      <c r="B138" s="56" t="s">
        <v>150</v>
      </c>
      <c r="C138" s="103">
        <v>180</v>
      </c>
      <c r="D138" s="104">
        <v>10</v>
      </c>
      <c r="E138" s="104">
        <v>0</v>
      </c>
      <c r="F138" s="104">
        <v>0</v>
      </c>
      <c r="G138" s="104">
        <v>0</v>
      </c>
      <c r="H138" s="104">
        <v>0</v>
      </c>
      <c r="I138" s="104">
        <v>100</v>
      </c>
      <c r="J138" s="104">
        <v>42</v>
      </c>
      <c r="K138" s="104">
        <v>0</v>
      </c>
      <c r="L138" s="104">
        <v>30</v>
      </c>
      <c r="M138" s="104">
        <v>0</v>
      </c>
      <c r="N138" s="104">
        <v>0</v>
      </c>
      <c r="O138" s="104">
        <v>0</v>
      </c>
      <c r="P138" s="104">
        <v>0</v>
      </c>
      <c r="Q138" s="105">
        <v>0</v>
      </c>
      <c r="R138" s="106"/>
      <c r="S138" s="106"/>
      <c r="T138" s="106"/>
      <c r="U138" s="106"/>
      <c r="V138" s="106"/>
      <c r="W138" s="106"/>
      <c r="X138" s="107"/>
    </row>
    <row r="139" spans="1:24" ht="14.6">
      <c r="A139" s="1318"/>
      <c r="B139" s="56" t="s">
        <v>151</v>
      </c>
      <c r="C139" s="103">
        <v>180</v>
      </c>
      <c r="D139" s="104">
        <v>60</v>
      </c>
      <c r="E139" s="104">
        <v>7</v>
      </c>
      <c r="F139" s="104">
        <v>6</v>
      </c>
      <c r="G139" s="104">
        <v>0</v>
      </c>
      <c r="H139" s="104">
        <v>0</v>
      </c>
      <c r="I139" s="104">
        <v>90</v>
      </c>
      <c r="J139" s="104">
        <v>30</v>
      </c>
      <c r="K139" s="104">
        <v>0</v>
      </c>
      <c r="L139" s="104">
        <v>28</v>
      </c>
      <c r="M139" s="104">
        <v>2</v>
      </c>
      <c r="N139" s="104">
        <v>0</v>
      </c>
      <c r="O139" s="104">
        <v>0</v>
      </c>
      <c r="P139" s="104">
        <v>8</v>
      </c>
      <c r="Q139" s="105">
        <v>0</v>
      </c>
      <c r="R139" s="106"/>
      <c r="S139" s="106"/>
      <c r="T139" s="106"/>
      <c r="U139" s="106"/>
      <c r="V139" s="106"/>
      <c r="W139" s="106"/>
      <c r="X139" s="107"/>
    </row>
    <row r="140" spans="1:24" ht="14.6">
      <c r="A140" s="1318"/>
      <c r="B140" s="56" t="s">
        <v>535</v>
      </c>
      <c r="C140" s="103">
        <f>'Gelati Custom Cake - Slice'!C140*12</f>
        <v>244.79999999999998</v>
      </c>
      <c r="D140" s="104">
        <f>'Gelati Custom Cake - Slice'!D140*12</f>
        <v>54</v>
      </c>
      <c r="E140" s="104">
        <f>'Gelati Custom Cake - Slice'!E140*12</f>
        <v>6</v>
      </c>
      <c r="F140" s="104">
        <f>'Gelati Custom Cake - Slice'!F140*12</f>
        <v>3.4799999999999995</v>
      </c>
      <c r="G140" s="104">
        <f>'Gelati Custom Cake - Slice'!G140*12</f>
        <v>0</v>
      </c>
      <c r="H140" s="104">
        <f>'Gelati Custom Cake - Slice'!H140*12</f>
        <v>0</v>
      </c>
      <c r="I140" s="104">
        <f>'Gelati Custom Cake - Slice'!I140*12</f>
        <v>125.16</v>
      </c>
      <c r="J140" s="104">
        <f>'Gelati Custom Cake - Slice'!J140*12</f>
        <v>48.96</v>
      </c>
      <c r="K140" s="104">
        <f>'Gelati Custom Cake - Slice'!K140*12</f>
        <v>0</v>
      </c>
      <c r="L140" s="104">
        <f>'Gelati Custom Cake - Slice'!L140*12</f>
        <v>40.44</v>
      </c>
      <c r="M140" s="104">
        <f>'Gelati Custom Cake - Slice'!M140*12</f>
        <v>0</v>
      </c>
      <c r="N140" s="104">
        <f>'Gelati Custom Cake - Slice'!N140*12</f>
        <v>0</v>
      </c>
      <c r="O140" s="104">
        <f>'Gelati Custom Cake - Slice'!O140*12</f>
        <v>0</v>
      </c>
      <c r="P140" s="104">
        <f>'Gelati Custom Cake - Slice'!P140*12</f>
        <v>0</v>
      </c>
      <c r="Q140" s="105">
        <f>'Gelati Custom Cake - Slice'!Q140*12</f>
        <v>0</v>
      </c>
      <c r="R140" s="106"/>
      <c r="S140" s="106"/>
      <c r="T140" s="106"/>
      <c r="U140" s="106"/>
      <c r="V140" s="106"/>
      <c r="W140" s="106"/>
      <c r="X140" s="107"/>
    </row>
    <row r="141" spans="1:24" ht="14.6">
      <c r="A141" s="1318"/>
      <c r="B141" s="56" t="s">
        <v>152</v>
      </c>
      <c r="C141" s="103">
        <f>'Gelati Custom Cake - Slice'!C141*12</f>
        <v>300</v>
      </c>
      <c r="D141" s="104">
        <f>'Gelati Custom Cake - Slice'!D141*12</f>
        <v>120</v>
      </c>
      <c r="E141" s="104">
        <f>'Gelati Custom Cake - Slice'!E141*12</f>
        <v>12</v>
      </c>
      <c r="F141" s="104">
        <f>'Gelati Custom Cake - Slice'!F141*12</f>
        <v>6</v>
      </c>
      <c r="G141" s="104">
        <f>'Gelati Custom Cake - Slice'!G141*12</f>
        <v>0</v>
      </c>
      <c r="H141" s="104">
        <f>'Gelati Custom Cake - Slice'!H141*12</f>
        <v>0</v>
      </c>
      <c r="I141" s="104">
        <f>'Gelati Custom Cake - Slice'!I141*12</f>
        <v>0</v>
      </c>
      <c r="J141" s="104">
        <f>'Gelati Custom Cake - Slice'!J141*12</f>
        <v>38.64</v>
      </c>
      <c r="K141" s="104">
        <f>'Gelati Custom Cake - Slice'!K141*12</f>
        <v>1.56</v>
      </c>
      <c r="L141" s="104">
        <f>'Gelati Custom Cake - Slice'!L141*12</f>
        <v>35.28</v>
      </c>
      <c r="M141" s="104">
        <f>'Gelati Custom Cake - Slice'!M141*12</f>
        <v>3</v>
      </c>
      <c r="N141" s="104">
        <f>'Gelati Custom Cake - Slice'!N141*12</f>
        <v>0</v>
      </c>
      <c r="O141" s="104">
        <f>'Gelati Custom Cake - Slice'!O141*12</f>
        <v>0</v>
      </c>
      <c r="P141" s="104">
        <f>'Gelati Custom Cake - Slice'!P141*12</f>
        <v>0</v>
      </c>
      <c r="Q141" s="105">
        <f>'Gelati Custom Cake - Slice'!Q141*12</f>
        <v>0</v>
      </c>
      <c r="R141" s="106"/>
      <c r="S141" s="106"/>
      <c r="T141" s="106"/>
      <c r="U141" s="106"/>
      <c r="V141" s="106"/>
      <c r="W141" s="106"/>
      <c r="X141" s="107"/>
    </row>
    <row r="142" spans="1:24" ht="14.6">
      <c r="A142" s="1318"/>
      <c r="B142" s="56" t="s">
        <v>422</v>
      </c>
      <c r="C142" s="103">
        <f>'Gelati Custom Cake - Slice'!C142*12</f>
        <v>113.39999999999999</v>
      </c>
      <c r="D142" s="104">
        <f>'Gelati Custom Cake - Slice'!D142*12</f>
        <v>0</v>
      </c>
      <c r="E142" s="104">
        <f>'Gelati Custom Cake - Slice'!E142*12</f>
        <v>0</v>
      </c>
      <c r="F142" s="104">
        <f>'Gelati Custom Cake - Slice'!F142*12</f>
        <v>0</v>
      </c>
      <c r="G142" s="104">
        <f>'Gelati Custom Cake - Slice'!G142*12</f>
        <v>0</v>
      </c>
      <c r="H142" s="104">
        <f>'Gelati Custom Cake - Slice'!H142*12</f>
        <v>0</v>
      </c>
      <c r="I142" s="104">
        <f>'Gelati Custom Cake - Slice'!I142*12</f>
        <v>0</v>
      </c>
      <c r="J142" s="104">
        <f>'Gelati Custom Cake - Slice'!J142*12</f>
        <v>22.68</v>
      </c>
      <c r="K142" s="104">
        <f>'Gelati Custom Cake - Slice'!K142*12</f>
        <v>0</v>
      </c>
      <c r="L142" s="104">
        <f>'Gelati Custom Cake - Slice'!L142*12</f>
        <v>11.28</v>
      </c>
      <c r="M142" s="104">
        <f>'Gelati Custom Cake - Slice'!M142*12</f>
        <v>0</v>
      </c>
      <c r="N142" s="104">
        <f>'Gelati Custom Cake - Slice'!N142*12</f>
        <v>0</v>
      </c>
      <c r="O142" s="104">
        <f>'Gelati Custom Cake - Slice'!O142*12</f>
        <v>0</v>
      </c>
      <c r="P142" s="104">
        <f>'Gelati Custom Cake - Slice'!P142*12</f>
        <v>0</v>
      </c>
      <c r="Q142" s="105">
        <f>'Gelati Custom Cake - Slice'!Q142*12</f>
        <v>48</v>
      </c>
      <c r="R142" s="106"/>
      <c r="S142" s="106"/>
      <c r="T142" s="106"/>
      <c r="U142" s="106"/>
      <c r="V142" s="106"/>
      <c r="W142" s="106"/>
      <c r="X142" s="107"/>
    </row>
    <row r="143" spans="1:24" ht="14.6">
      <c r="A143" s="1318"/>
      <c r="B143" s="56" t="s">
        <v>536</v>
      </c>
      <c r="C143" s="103">
        <f>'Gelati Custom Cake - Slice'!C143*12</f>
        <v>164.28</v>
      </c>
      <c r="D143" s="104">
        <f>'Gelati Custom Cake - Slice'!D143*12</f>
        <v>63.36</v>
      </c>
      <c r="E143" s="104">
        <f>'Gelati Custom Cake - Slice'!E143*12</f>
        <v>7.08</v>
      </c>
      <c r="F143" s="104">
        <f>'Gelati Custom Cake - Slice'!F143*12</f>
        <v>2.4000000000000004</v>
      </c>
      <c r="G143" s="104">
        <f>'Gelati Custom Cake - Slice'!G143*12</f>
        <v>0.12</v>
      </c>
      <c r="H143" s="104">
        <f>'Gelati Custom Cake - Slice'!H143*12</f>
        <v>0</v>
      </c>
      <c r="I143" s="104">
        <f>'Gelati Custom Cake - Slice'!I143*12</f>
        <v>134.88</v>
      </c>
      <c r="J143" s="104">
        <f>'Gelati Custom Cake - Slice'!J143*12</f>
        <v>24.599999999999998</v>
      </c>
      <c r="K143" s="104">
        <f>'Gelati Custom Cake - Slice'!K143*12</f>
        <v>1.2000000000000002</v>
      </c>
      <c r="L143" s="104">
        <f>'Gelati Custom Cake - Slice'!L143*12</f>
        <v>14.04</v>
      </c>
      <c r="M143" s="104">
        <f>'Gelati Custom Cake - Slice'!M143*12</f>
        <v>1.2000000000000002</v>
      </c>
      <c r="N143" s="104">
        <f>'Gelati Custom Cake - Slice'!N143*12</f>
        <v>0</v>
      </c>
      <c r="O143" s="104">
        <f>'Gelati Custom Cake - Slice'!O143*12</f>
        <v>0</v>
      </c>
      <c r="P143" s="104">
        <f>'Gelati Custom Cake - Slice'!P143*12</f>
        <v>0</v>
      </c>
      <c r="Q143" s="105">
        <f>'Gelati Custom Cake - Slice'!Q143*12</f>
        <v>96</v>
      </c>
      <c r="R143" s="106"/>
      <c r="S143" s="106"/>
      <c r="T143" s="106"/>
      <c r="U143" s="106"/>
      <c r="V143" s="106"/>
      <c r="W143" s="106"/>
      <c r="X143" s="107"/>
    </row>
    <row r="144" spans="1:24" ht="14.6">
      <c r="A144" s="1318"/>
      <c r="B144" s="56" t="s">
        <v>154</v>
      </c>
      <c r="C144" s="103">
        <f>'Gelati Custom Cake - Slice'!C144*12</f>
        <v>212.64</v>
      </c>
      <c r="D144" s="104">
        <f>'Gelati Custom Cake - Slice'!D144*12</f>
        <v>0</v>
      </c>
      <c r="E144" s="104">
        <f>'Gelati Custom Cake - Slice'!E144*12</f>
        <v>0</v>
      </c>
      <c r="F144" s="104">
        <f>'Gelati Custom Cake - Slice'!F144*12</f>
        <v>0</v>
      </c>
      <c r="G144" s="104">
        <f>'Gelati Custom Cake - Slice'!G144*12</f>
        <v>0</v>
      </c>
      <c r="H144" s="104">
        <f>'Gelati Custom Cake - Slice'!H144*12</f>
        <v>0</v>
      </c>
      <c r="I144" s="104">
        <f>'Gelati Custom Cake - Slice'!I144*12</f>
        <v>4.1999999999999993</v>
      </c>
      <c r="J144" s="104">
        <f>'Gelati Custom Cake - Slice'!J144*12</f>
        <v>53.04</v>
      </c>
      <c r="K144" s="104">
        <f>'Gelati Custom Cake - Slice'!K144*12</f>
        <v>0</v>
      </c>
      <c r="L144" s="104">
        <f>'Gelati Custom Cake - Slice'!L144*12</f>
        <v>51.96</v>
      </c>
      <c r="M144" s="104">
        <f>'Gelati Custom Cake - Slice'!M144*12</f>
        <v>0</v>
      </c>
      <c r="N144" s="104">
        <f>'Gelati Custom Cake - Slice'!N144*12</f>
        <v>0</v>
      </c>
      <c r="O144" s="104">
        <f>'Gelati Custom Cake - Slice'!O144*12</f>
        <v>0</v>
      </c>
      <c r="P144" s="104">
        <f>'Gelati Custom Cake - Slice'!P144*12</f>
        <v>24</v>
      </c>
      <c r="Q144" s="105">
        <f>'Gelati Custom Cake - Slice'!Q144*12</f>
        <v>72</v>
      </c>
      <c r="R144" s="106"/>
      <c r="S144" s="106"/>
      <c r="T144" s="106"/>
      <c r="U144" s="106"/>
      <c r="V144" s="106"/>
      <c r="W144" s="106"/>
      <c r="X144" s="107"/>
    </row>
    <row r="145" spans="1:24" ht="14.6">
      <c r="A145" s="1318"/>
      <c r="B145" s="56" t="s">
        <v>155</v>
      </c>
      <c r="C145" s="103">
        <f>'Gelati Custom Cake - Slice'!C145*12</f>
        <v>245.64</v>
      </c>
      <c r="D145" s="104">
        <f>'Gelati Custom Cake - Slice'!D145*12</f>
        <v>54.480000000000004</v>
      </c>
      <c r="E145" s="104">
        <f>'Gelati Custom Cake - Slice'!E145*12</f>
        <v>6</v>
      </c>
      <c r="F145" s="104">
        <f>'Gelati Custom Cake - Slice'!F145*12</f>
        <v>3</v>
      </c>
      <c r="G145" s="104">
        <f>'Gelati Custom Cake - Slice'!G145*12</f>
        <v>0</v>
      </c>
      <c r="H145" s="104">
        <f>'Gelati Custom Cake - Slice'!H145*12</f>
        <v>4.92</v>
      </c>
      <c r="I145" s="104">
        <f>'Gelati Custom Cake - Slice'!I145*12</f>
        <v>303.84000000000003</v>
      </c>
      <c r="J145" s="104">
        <f>'Gelati Custom Cake - Slice'!J145*12</f>
        <v>45</v>
      </c>
      <c r="K145" s="104">
        <f>'Gelati Custom Cake - Slice'!K145*12</f>
        <v>0.84000000000000008</v>
      </c>
      <c r="L145" s="104">
        <f>'Gelati Custom Cake - Slice'!L145*12</f>
        <v>20.64</v>
      </c>
      <c r="M145" s="104">
        <f>'Gelati Custom Cake - Slice'!M145*12</f>
        <v>2.88</v>
      </c>
      <c r="N145" s="104">
        <f>'Gelati Custom Cake - Slice'!N145*12</f>
        <v>0</v>
      </c>
      <c r="O145" s="104">
        <f>'Gelati Custom Cake - Slice'!O145*12</f>
        <v>0</v>
      </c>
      <c r="P145" s="104">
        <f>'Gelati Custom Cake - Slice'!P145*12</f>
        <v>24</v>
      </c>
      <c r="Q145" s="105">
        <f>'Gelati Custom Cake - Slice'!Q145*12</f>
        <v>24</v>
      </c>
      <c r="R145" s="106"/>
      <c r="S145" s="106"/>
      <c r="T145" s="106"/>
      <c r="U145" s="106"/>
      <c r="V145" s="106"/>
      <c r="W145" s="106"/>
      <c r="X145" s="107"/>
    </row>
    <row r="146" spans="1:24" ht="14.6">
      <c r="A146" s="1318"/>
      <c r="B146" s="56" t="s">
        <v>156</v>
      </c>
      <c r="C146" s="103">
        <f>'Gelati Custom Cake - Slice'!C146*12</f>
        <v>273</v>
      </c>
      <c r="D146" s="104">
        <f>'Gelati Custom Cake - Slice'!D146*12</f>
        <v>94.44</v>
      </c>
      <c r="E146" s="104">
        <f>'Gelati Custom Cake - Slice'!E146*12</f>
        <v>10.44</v>
      </c>
      <c r="F146" s="104">
        <f>'Gelati Custom Cake - Slice'!F146*12</f>
        <v>3.12</v>
      </c>
      <c r="G146" s="104">
        <f>'Gelati Custom Cake - Slice'!G146*12</f>
        <v>0</v>
      </c>
      <c r="H146" s="104">
        <f>'Gelati Custom Cake - Slice'!H146*12</f>
        <v>0</v>
      </c>
      <c r="I146" s="104">
        <f>'Gelati Custom Cake - Slice'!I146*12</f>
        <v>315</v>
      </c>
      <c r="J146" s="104">
        <f>'Gelati Custom Cake - Slice'!J146*12</f>
        <v>39.839999999999996</v>
      </c>
      <c r="K146" s="104">
        <f>'Gelati Custom Cake - Slice'!K146*12</f>
        <v>2.04</v>
      </c>
      <c r="L146" s="104">
        <f>'Gelati Custom Cake - Slice'!L146*12</f>
        <v>23.04</v>
      </c>
      <c r="M146" s="104">
        <f>'Gelati Custom Cake - Slice'!M146*12</f>
        <v>2.04</v>
      </c>
      <c r="N146" s="104">
        <f>'Gelati Custom Cake - Slice'!N146*12</f>
        <v>0</v>
      </c>
      <c r="O146" s="104">
        <f>'Gelati Custom Cake - Slice'!O146*12</f>
        <v>0</v>
      </c>
      <c r="P146" s="104">
        <f>'Gelati Custom Cake - Slice'!P146*12</f>
        <v>24</v>
      </c>
      <c r="Q146" s="105">
        <f>'Gelati Custom Cake - Slice'!Q146*12</f>
        <v>72</v>
      </c>
      <c r="R146" s="106"/>
      <c r="S146" s="106"/>
      <c r="T146" s="106"/>
      <c r="U146" s="106"/>
      <c r="V146" s="106"/>
      <c r="W146" s="106"/>
      <c r="X146" s="107"/>
    </row>
    <row r="147" spans="1:24" ht="14.6">
      <c r="A147" s="1318"/>
      <c r="B147" s="56" t="s">
        <v>157</v>
      </c>
      <c r="C147" s="103">
        <f>'Gelati Custom Cake - Slice'!C147*12</f>
        <v>285.71999999999997</v>
      </c>
      <c r="D147" s="104">
        <f>'Gelati Custom Cake - Slice'!D147*12</f>
        <v>154.07999999999998</v>
      </c>
      <c r="E147" s="104">
        <f>'Gelati Custom Cake - Slice'!E147*12</f>
        <v>17.16</v>
      </c>
      <c r="F147" s="104">
        <f>'Gelati Custom Cake - Slice'!F147*12</f>
        <v>5.88</v>
      </c>
      <c r="G147" s="104">
        <f>'Gelati Custom Cake - Slice'!G147*12</f>
        <v>0</v>
      </c>
      <c r="H147" s="104">
        <f>'Gelati Custom Cake - Slice'!H147*12</f>
        <v>3.84</v>
      </c>
      <c r="I147" s="104">
        <f>'Gelati Custom Cake - Slice'!I147*12</f>
        <v>219.36</v>
      </c>
      <c r="J147" s="104">
        <f>'Gelati Custom Cake - Slice'!J147*12</f>
        <v>31.200000000000003</v>
      </c>
      <c r="K147" s="104">
        <f>'Gelati Custom Cake - Slice'!K147*12</f>
        <v>2.16</v>
      </c>
      <c r="L147" s="104">
        <f>'Gelati Custom Cake - Slice'!L147*12</f>
        <v>26.880000000000003</v>
      </c>
      <c r="M147" s="104">
        <f>'Gelati Custom Cake - Slice'!M147*12</f>
        <v>6.48</v>
      </c>
      <c r="N147" s="104">
        <f>'Gelati Custom Cake - Slice'!N147*12</f>
        <v>0</v>
      </c>
      <c r="O147" s="104">
        <f>'Gelati Custom Cake - Slice'!O147*12</f>
        <v>0</v>
      </c>
      <c r="P147" s="104">
        <f>'Gelati Custom Cake - Slice'!P147*12</f>
        <v>24</v>
      </c>
      <c r="Q147" s="105">
        <f>'Gelati Custom Cake - Slice'!Q147*12</f>
        <v>0</v>
      </c>
      <c r="R147" s="106"/>
      <c r="S147" s="106"/>
      <c r="T147" s="106"/>
      <c r="U147" s="106"/>
      <c r="V147" s="106"/>
      <c r="W147" s="106"/>
      <c r="X147" s="107"/>
    </row>
    <row r="148" spans="1:24" ht="14.6">
      <c r="A148" s="1318"/>
      <c r="B148" s="56" t="s">
        <v>158</v>
      </c>
      <c r="C148" s="103">
        <f>'Gelati Custom Cake - Slice'!C148*12</f>
        <v>365.76</v>
      </c>
      <c r="D148" s="104">
        <f>'Gelati Custom Cake - Slice'!D148*12</f>
        <v>300.95999999999998</v>
      </c>
      <c r="E148" s="104">
        <f>'Gelati Custom Cake - Slice'!E148*12</f>
        <v>33.480000000000004</v>
      </c>
      <c r="F148" s="104">
        <f>'Gelati Custom Cake - Slice'!F148*12</f>
        <v>5.5200000000000005</v>
      </c>
      <c r="G148" s="104">
        <f>'Gelati Custom Cake - Slice'!G148*12</f>
        <v>0</v>
      </c>
      <c r="H148" s="104">
        <f>'Gelati Custom Cake - Slice'!H148*12</f>
        <v>0</v>
      </c>
      <c r="I148" s="104">
        <f>'Gelati Custom Cake - Slice'!I148*12</f>
        <v>247.79999999999998</v>
      </c>
      <c r="J148" s="104">
        <f>'Gelati Custom Cake - Slice'!J148*12</f>
        <v>10.44</v>
      </c>
      <c r="K148" s="104">
        <f>'Gelati Custom Cake - Slice'!K148*12</f>
        <v>3.5999999999999996</v>
      </c>
      <c r="L148" s="104">
        <f>'Gelati Custom Cake - Slice'!L148*12</f>
        <v>5.28</v>
      </c>
      <c r="M148" s="104">
        <f>'Gelati Custom Cake - Slice'!M148*12</f>
        <v>11.040000000000001</v>
      </c>
      <c r="N148" s="104">
        <f>'Gelati Custom Cake - Slice'!N148*12</f>
        <v>0</v>
      </c>
      <c r="O148" s="104">
        <f>'Gelati Custom Cake - Slice'!O148*12</f>
        <v>0</v>
      </c>
      <c r="P148" s="104">
        <f>'Gelati Custom Cake - Slice'!P148*12</f>
        <v>24</v>
      </c>
      <c r="Q148" s="105">
        <f>'Gelati Custom Cake - Slice'!Q148*12</f>
        <v>24</v>
      </c>
      <c r="R148" s="106"/>
      <c r="S148" s="106"/>
      <c r="T148" s="106"/>
      <c r="U148" s="106"/>
      <c r="V148" s="106"/>
      <c r="W148" s="106"/>
      <c r="X148" s="107"/>
    </row>
    <row r="149" spans="1:24" ht="14.6">
      <c r="A149" s="1318"/>
      <c r="B149" s="56" t="s">
        <v>537</v>
      </c>
      <c r="C149" s="103">
        <f>'Gelati Custom Cake - Slice'!C149*12</f>
        <v>288</v>
      </c>
      <c r="D149" s="104">
        <f>'Gelati Custom Cake - Slice'!D149*12</f>
        <v>123</v>
      </c>
      <c r="E149" s="104">
        <f>'Gelati Custom Cake - Slice'!E149*12</f>
        <v>13.68</v>
      </c>
      <c r="F149" s="104">
        <f>'Gelati Custom Cake - Slice'!F149*12</f>
        <v>9.120000000000001</v>
      </c>
      <c r="G149" s="104">
        <f>'Gelati Custom Cake - Slice'!G149*12</f>
        <v>0.12</v>
      </c>
      <c r="H149" s="104">
        <f>'Gelati Custom Cake - Slice'!H149*12</f>
        <v>0</v>
      </c>
      <c r="I149" s="104">
        <f>'Gelati Custom Cake - Slice'!I149*12</f>
        <v>111</v>
      </c>
      <c r="J149" s="104">
        <f>'Gelati Custom Cake - Slice'!J149*12</f>
        <v>35.04</v>
      </c>
      <c r="K149" s="104">
        <f>'Gelati Custom Cake - Slice'!K149*12</f>
        <v>1.56</v>
      </c>
      <c r="L149" s="104">
        <f>'Gelati Custom Cake - Slice'!L149*12</f>
        <v>31.200000000000003</v>
      </c>
      <c r="M149" s="104">
        <f>'Gelati Custom Cake - Slice'!M149*12</f>
        <v>6.24</v>
      </c>
      <c r="N149" s="104">
        <f>'Gelati Custom Cake - Slice'!N149*12</f>
        <v>0</v>
      </c>
      <c r="O149" s="104">
        <f>'Gelati Custom Cake - Slice'!O149*12</f>
        <v>0</v>
      </c>
      <c r="P149" s="104">
        <f>'Gelati Custom Cake - Slice'!P149*12</f>
        <v>0</v>
      </c>
      <c r="Q149" s="105">
        <f>'Gelati Custom Cake - Slice'!Q149*12</f>
        <v>0</v>
      </c>
      <c r="R149" s="106"/>
      <c r="S149" s="106"/>
      <c r="T149" s="106"/>
      <c r="U149" s="106"/>
      <c r="V149" s="106"/>
      <c r="W149" s="106"/>
      <c r="X149" s="107"/>
    </row>
    <row r="150" spans="1:24" ht="14.6">
      <c r="A150" s="1318"/>
      <c r="B150" s="56" t="s">
        <v>159</v>
      </c>
      <c r="C150" s="103">
        <f>'Gelati Custom Cake - Slice'!C150*12</f>
        <v>240</v>
      </c>
      <c r="D150" s="104">
        <f>'Gelati Custom Cake - Slice'!D150*12</f>
        <v>114.84</v>
      </c>
      <c r="E150" s="104">
        <f>'Gelati Custom Cake - Slice'!E150*12</f>
        <v>12.72</v>
      </c>
      <c r="F150" s="104">
        <f>'Gelati Custom Cake - Slice'!F150*12</f>
        <v>4.92</v>
      </c>
      <c r="G150" s="104">
        <f>'Gelati Custom Cake - Slice'!G150*12</f>
        <v>0.24</v>
      </c>
      <c r="H150" s="104">
        <f>'Gelati Custom Cake - Slice'!H150*12</f>
        <v>0</v>
      </c>
      <c r="I150" s="104">
        <f>'Gelati Custom Cake - Slice'!I150*12</f>
        <v>120</v>
      </c>
      <c r="J150" s="104">
        <f>'Gelati Custom Cake - Slice'!J150*12</f>
        <v>36</v>
      </c>
      <c r="K150" s="104">
        <f>'Gelati Custom Cake - Slice'!K150*12</f>
        <v>1.2000000000000002</v>
      </c>
      <c r="L150" s="104">
        <f>'Gelati Custom Cake - Slice'!L150*12</f>
        <v>28.92</v>
      </c>
      <c r="M150" s="104">
        <f>'Gelati Custom Cake - Slice'!M150*12</f>
        <v>4.68</v>
      </c>
      <c r="N150" s="104">
        <f>'Gelati Custom Cake - Slice'!N150*12</f>
        <v>0</v>
      </c>
      <c r="O150" s="104">
        <f>'Gelati Custom Cake - Slice'!O150*12</f>
        <v>0</v>
      </c>
      <c r="P150" s="104">
        <f>'Gelati Custom Cake - Slice'!P150*12</f>
        <v>0</v>
      </c>
      <c r="Q150" s="105">
        <f>'Gelati Custom Cake - Slice'!Q150*12</f>
        <v>0</v>
      </c>
      <c r="R150" s="106"/>
      <c r="S150" s="106"/>
      <c r="T150" s="106"/>
      <c r="U150" s="106"/>
      <c r="V150" s="106"/>
      <c r="W150" s="106"/>
      <c r="X150" s="107"/>
    </row>
    <row r="151" spans="1:24" ht="14.6">
      <c r="A151" s="1318"/>
      <c r="B151" s="56" t="s">
        <v>161</v>
      </c>
      <c r="C151" s="103">
        <f>'Gelati Custom Cake - Slice'!C151*12</f>
        <v>269.28000000000003</v>
      </c>
      <c r="D151" s="104">
        <f>'Gelati Custom Cake - Slice'!D151*12</f>
        <v>96.47999999999999</v>
      </c>
      <c r="E151" s="104">
        <f>'Gelati Custom Cake - Slice'!E151*12</f>
        <v>10.68</v>
      </c>
      <c r="F151" s="104">
        <f>'Gelati Custom Cake - Slice'!F151*12</f>
        <v>9.120000000000001</v>
      </c>
      <c r="G151" s="104">
        <f>'Gelati Custom Cake - Slice'!G151*12</f>
        <v>0.12</v>
      </c>
      <c r="H151" s="104">
        <f>'Gelati Custom Cake - Slice'!H151*12</f>
        <v>0.24</v>
      </c>
      <c r="I151" s="104">
        <f>'Gelati Custom Cake - Slice'!I151*12</f>
        <v>4.8000000000000007</v>
      </c>
      <c r="J151" s="104">
        <f>'Gelati Custom Cake - Slice'!J151*12</f>
        <v>44.76</v>
      </c>
      <c r="K151" s="104">
        <f>'Gelati Custom Cake - Slice'!K151*12</f>
        <v>0.12</v>
      </c>
      <c r="L151" s="104">
        <f>'Gelati Custom Cake - Slice'!L151*12</f>
        <v>27.240000000000002</v>
      </c>
      <c r="M151" s="104">
        <f>'Gelati Custom Cake - Slice'!M151*12</f>
        <v>0</v>
      </c>
      <c r="N151" s="104">
        <f>'Gelati Custom Cake - Slice'!N151*12</f>
        <v>0</v>
      </c>
      <c r="O151" s="104">
        <f>'Gelati Custom Cake - Slice'!O151*12</f>
        <v>120</v>
      </c>
      <c r="P151" s="104">
        <f>'Gelati Custom Cake - Slice'!P151*12</f>
        <v>0</v>
      </c>
      <c r="Q151" s="105">
        <f>'Gelati Custom Cake - Slice'!Q151*12</f>
        <v>0</v>
      </c>
      <c r="R151" s="106"/>
      <c r="S151" s="106"/>
      <c r="T151" s="106"/>
      <c r="U151" s="106"/>
      <c r="V151" s="106"/>
      <c r="W151" s="106"/>
      <c r="X151" s="107"/>
    </row>
    <row r="152" spans="1:24" ht="14.6">
      <c r="A152" s="1318"/>
      <c r="B152" s="56" t="s">
        <v>162</v>
      </c>
      <c r="C152" s="103">
        <f>'Gelati Custom Cake - Slice'!C152*12</f>
        <v>75.72</v>
      </c>
      <c r="D152" s="104">
        <f>'Gelati Custom Cake - Slice'!D152*12</f>
        <v>0.36</v>
      </c>
      <c r="E152" s="104">
        <f>'Gelati Custom Cake - Slice'!E152*12</f>
        <v>0</v>
      </c>
      <c r="F152" s="104">
        <f>'Gelati Custom Cake - Slice'!F152*12</f>
        <v>0</v>
      </c>
      <c r="G152" s="104">
        <f>'Gelati Custom Cake - Slice'!G152*12</f>
        <v>0</v>
      </c>
      <c r="H152" s="104">
        <f>'Gelati Custom Cake - Slice'!H152*12</f>
        <v>0</v>
      </c>
      <c r="I152" s="104">
        <f>'Gelati Custom Cake - Slice'!I152*12</f>
        <v>10.44</v>
      </c>
      <c r="J152" s="104">
        <f>'Gelati Custom Cake - Slice'!J152*12</f>
        <v>20.759999999999998</v>
      </c>
      <c r="K152" s="104">
        <f>'Gelati Custom Cake - Slice'!K152*12</f>
        <v>0.60000000000000009</v>
      </c>
      <c r="L152" s="104">
        <f>'Gelati Custom Cake - Slice'!L152*12</f>
        <v>17.52</v>
      </c>
      <c r="M152" s="104">
        <f>'Gelati Custom Cake - Slice'!M152*12</f>
        <v>0.12</v>
      </c>
      <c r="N152" s="104">
        <f>'Gelati Custom Cake - Slice'!N152*12</f>
        <v>0</v>
      </c>
      <c r="O152" s="104">
        <f>'Gelati Custom Cake - Slice'!O152*12</f>
        <v>0</v>
      </c>
      <c r="P152" s="104">
        <f>'Gelati Custom Cake - Slice'!P152*12</f>
        <v>24</v>
      </c>
      <c r="Q152" s="105">
        <f>'Gelati Custom Cake - Slice'!Q152*12</f>
        <v>24</v>
      </c>
      <c r="R152" s="106"/>
      <c r="S152" s="106"/>
      <c r="T152" s="106"/>
      <c r="U152" s="106"/>
      <c r="V152" s="106"/>
      <c r="W152" s="106"/>
      <c r="X152" s="107"/>
    </row>
    <row r="153" spans="1:24" ht="15" thickBot="1">
      <c r="A153" s="1319"/>
      <c r="B153" s="60" t="s">
        <v>163</v>
      </c>
      <c r="C153" s="108">
        <f>'Gelati Custom Cake - Slice'!C153*12</f>
        <v>275.15999999999997</v>
      </c>
      <c r="D153" s="109">
        <f>'Gelati Custom Cake - Slice'!D153*12</f>
        <v>158.04</v>
      </c>
      <c r="E153" s="109">
        <f>'Gelati Custom Cake - Slice'!E153*12</f>
        <v>17.52</v>
      </c>
      <c r="F153" s="109">
        <f>'Gelati Custom Cake - Slice'!F153*12</f>
        <v>1.32</v>
      </c>
      <c r="G153" s="109">
        <f>'Gelati Custom Cake - Slice'!G153*12</f>
        <v>0</v>
      </c>
      <c r="H153" s="109">
        <f>'Gelati Custom Cake - Slice'!H153*12</f>
        <v>0</v>
      </c>
      <c r="I153" s="109">
        <f>'Gelati Custom Cake - Slice'!I153*12</f>
        <v>3.84</v>
      </c>
      <c r="J153" s="109">
        <f>'Gelati Custom Cake - Slice'!J153*12</f>
        <v>25.08</v>
      </c>
      <c r="K153" s="109">
        <f>'Gelati Custom Cake - Slice'!K153*12</f>
        <v>3</v>
      </c>
      <c r="L153" s="109">
        <f>'Gelati Custom Cake - Slice'!L153*12</f>
        <v>19.559999999999999</v>
      </c>
      <c r="M153" s="109">
        <f>'Gelati Custom Cake - Slice'!M153*12</f>
        <v>4.1999999999999993</v>
      </c>
      <c r="N153" s="109">
        <f>'Gelati Custom Cake - Slice'!N153*12</f>
        <v>0</v>
      </c>
      <c r="O153" s="109">
        <f>'Gelati Custom Cake - Slice'!O153*12</f>
        <v>0</v>
      </c>
      <c r="P153" s="109">
        <f>'Gelati Custom Cake - Slice'!P153*12</f>
        <v>0</v>
      </c>
      <c r="Q153" s="110">
        <f>'Gelati Custom Cake - Slice'!Q153*12</f>
        <v>0</v>
      </c>
      <c r="R153" s="111"/>
      <c r="S153" s="111"/>
      <c r="T153" s="111"/>
      <c r="U153" s="111"/>
      <c r="V153" s="111"/>
      <c r="W153" s="111"/>
      <c r="X153" s="112"/>
    </row>
    <row r="155" spans="1:24" ht="12.75" customHeight="1">
      <c r="B155" s="1227" t="s">
        <v>168</v>
      </c>
      <c r="C155" s="1227"/>
      <c r="D155" s="1227"/>
      <c r="E155" s="1227"/>
      <c r="F155" s="1227"/>
      <c r="G155" s="1227"/>
      <c r="H155" s="1227"/>
      <c r="I155" s="1227"/>
      <c r="J155" s="1227"/>
      <c r="K155" s="1227"/>
      <c r="L155" s="1227"/>
      <c r="M155" s="1227"/>
      <c r="N155" s="1227"/>
      <c r="O155" s="1227"/>
      <c r="P155" s="1227"/>
      <c r="Q155" s="1227"/>
      <c r="R155" s="1227"/>
      <c r="S155" s="1227"/>
      <c r="T155" s="1227"/>
      <c r="U155" s="1227"/>
      <c r="V155" s="1227"/>
      <c r="W155" s="1227"/>
      <c r="X155" s="1227"/>
    </row>
    <row r="156" spans="1:24" ht="28.5" customHeight="1">
      <c r="B156" s="1227"/>
      <c r="C156" s="1227"/>
      <c r="D156" s="1227"/>
      <c r="E156" s="1227"/>
      <c r="F156" s="1227"/>
      <c r="G156" s="1227"/>
      <c r="H156" s="1227"/>
      <c r="I156" s="1227"/>
      <c r="J156" s="1227"/>
      <c r="K156" s="1227"/>
      <c r="L156" s="1227"/>
      <c r="M156" s="1227"/>
      <c r="N156" s="1227"/>
      <c r="O156" s="1227"/>
      <c r="P156" s="1227"/>
      <c r="Q156" s="1227"/>
      <c r="R156" s="1227"/>
      <c r="S156" s="1227"/>
      <c r="T156" s="1227"/>
      <c r="U156" s="1227"/>
      <c r="V156" s="1227"/>
      <c r="W156" s="1227"/>
      <c r="X156" s="1227"/>
    </row>
    <row r="157" spans="1:24" ht="30" customHeight="1">
      <c r="B157" s="1227"/>
      <c r="C157" s="1227"/>
      <c r="D157" s="1227"/>
      <c r="E157" s="1227"/>
      <c r="F157" s="1227"/>
      <c r="G157" s="1227"/>
      <c r="H157" s="1227"/>
      <c r="I157" s="1227"/>
      <c r="J157" s="1227"/>
      <c r="K157" s="1227"/>
      <c r="L157" s="1227"/>
      <c r="M157" s="1227"/>
      <c r="N157" s="1227"/>
      <c r="O157" s="1227"/>
      <c r="P157" s="1227"/>
      <c r="Q157" s="1227"/>
      <c r="R157" s="1227"/>
      <c r="S157" s="1227"/>
      <c r="T157" s="1227"/>
      <c r="U157" s="1227"/>
      <c r="V157" s="1227"/>
      <c r="W157" s="1227"/>
      <c r="X157" s="1227"/>
    </row>
    <row r="159" spans="1:24" ht="14.6">
      <c r="B159" s="5" t="s">
        <v>560</v>
      </c>
      <c r="C159" s="4">
        <f>(AVERAGE(C5:C99)+AVERAGE(C103:C117)+AVERAGE(C121:C122)+AVERAGE(C126:C127)+AVERAGE(C131:C153))</f>
        <v>3364.6922471395878</v>
      </c>
      <c r="D159" s="4">
        <f t="shared" ref="D159:X159" si="2">(AVERAGE(D5:D99)+AVERAGE(D103:D117)+AVERAGE(D121:D122)+AVERAGE(D126:D127)+AVERAGE(D131:D153))</f>
        <v>1558.8896842105262</v>
      </c>
      <c r="E159" s="4">
        <f t="shared" si="2"/>
        <v>172.81116704805493</v>
      </c>
      <c r="F159" s="4">
        <f t="shared" si="2"/>
        <v>148.20847597254004</v>
      </c>
      <c r="G159" s="4">
        <f t="shared" si="2"/>
        <v>0.64173913043478259</v>
      </c>
      <c r="H159" s="4">
        <f t="shared" si="2"/>
        <v>269.39443478260876</v>
      </c>
      <c r="I159" s="4">
        <f t="shared" si="2"/>
        <v>1074.794965675057</v>
      </c>
      <c r="J159" s="4">
        <f t="shared" si="2"/>
        <v>433.71934096109828</v>
      </c>
      <c r="K159" s="4">
        <f t="shared" si="2"/>
        <v>4.2212173913043474</v>
      </c>
      <c r="L159" s="4">
        <f t="shared" si="2"/>
        <v>365.49340045766587</v>
      </c>
      <c r="M159" s="4">
        <f t="shared" si="2"/>
        <v>121.94032036613274</v>
      </c>
      <c r="N159" s="4">
        <f t="shared" si="2"/>
        <v>69.589565217391311</v>
      </c>
      <c r="O159" s="4">
        <f t="shared" si="2"/>
        <v>10.434782608695652</v>
      </c>
      <c r="P159" s="4">
        <f t="shared" si="2"/>
        <v>111.16521739130434</v>
      </c>
      <c r="Q159" s="4">
        <f t="shared" si="2"/>
        <v>51.780504384439354</v>
      </c>
      <c r="R159" s="4" t="e">
        <f t="shared" si="2"/>
        <v>#DIV/0!</v>
      </c>
      <c r="S159" s="4" t="e">
        <f t="shared" si="2"/>
        <v>#DIV/0!</v>
      </c>
      <c r="T159" s="4" t="e">
        <f t="shared" si="2"/>
        <v>#DIV/0!</v>
      </c>
      <c r="U159" s="4" t="e">
        <f t="shared" si="2"/>
        <v>#DIV/0!</v>
      </c>
      <c r="V159" s="4" t="e">
        <f t="shared" si="2"/>
        <v>#DIV/0!</v>
      </c>
      <c r="W159" s="4" t="e">
        <f t="shared" si="2"/>
        <v>#DIV/0!</v>
      </c>
      <c r="X159" s="4" t="e">
        <f t="shared" si="2"/>
        <v>#DIV/0!</v>
      </c>
    </row>
    <row r="160" spans="1:24" ht="29.15">
      <c r="B160" s="5" t="s">
        <v>561</v>
      </c>
      <c r="C160" s="4" t="str">
        <f>(ROUND((MIN(C5:C99)+MIN(C103:C117)+MIN(C121:C122)+MIN(C126:C127)+MIN(C131:C153)),0)&amp;" - "&amp;ROUND((MAX(C5:C99)+MAX(C103:C117)+MAX(C121:C122)+MAX(C126:C127)+MAX(C131:C153)),0))</f>
        <v>2899 - 3814</v>
      </c>
      <c r="D160" s="4" t="str">
        <f t="shared" ref="D160:X160" si="3">(ROUND((MIN(D5:D99)+MIN(D103:D117)+MIN(D121:D122)+MIN(D126:D127)+MIN(D131:D153)),0)&amp;" - "&amp;ROUND((MAX(D5:D99)+MAX(D103:D117)+MAX(D121:D122)+MAX(D126:D127)+MAX(D131:D153)),0))</f>
        <v>1351 - 1945</v>
      </c>
      <c r="E160" s="4" t="str">
        <f t="shared" si="3"/>
        <v>150 - 221</v>
      </c>
      <c r="F160" s="4" t="str">
        <f t="shared" si="3"/>
        <v>132 - 168</v>
      </c>
      <c r="G160" s="4" t="str">
        <f t="shared" si="3"/>
        <v>0 - 1</v>
      </c>
      <c r="H160" s="4" t="str">
        <f t="shared" si="3"/>
        <v>235 - 289</v>
      </c>
      <c r="I160" s="4" t="str">
        <f t="shared" si="3"/>
        <v>763 - 1591</v>
      </c>
      <c r="J160" s="4" t="str">
        <f t="shared" si="3"/>
        <v>356 - 532</v>
      </c>
      <c r="K160" s="4" t="str">
        <f t="shared" si="3"/>
        <v>0 - 10</v>
      </c>
      <c r="L160" s="4" t="str">
        <f t="shared" si="3"/>
        <v>228 - 471</v>
      </c>
      <c r="M160" s="4" t="str">
        <f t="shared" si="3"/>
        <v>21 - 208</v>
      </c>
      <c r="N160" s="4" t="str">
        <f t="shared" si="3"/>
        <v>53 - 249</v>
      </c>
      <c r="O160" s="4" t="str">
        <f t="shared" si="3"/>
        <v>0 - 120</v>
      </c>
      <c r="P160" s="4" t="str">
        <f t="shared" si="3"/>
        <v>82 - 285</v>
      </c>
      <c r="Q160" s="4" t="str">
        <f t="shared" si="3"/>
        <v>12 - 249</v>
      </c>
      <c r="R160" s="4" t="str">
        <f t="shared" si="3"/>
        <v>0 - 0</v>
      </c>
      <c r="S160" s="4" t="str">
        <f t="shared" si="3"/>
        <v>0 - 0</v>
      </c>
      <c r="T160" s="4" t="str">
        <f t="shared" si="3"/>
        <v>0 - 0</v>
      </c>
      <c r="U160" s="4" t="str">
        <f t="shared" si="3"/>
        <v>0 - 492</v>
      </c>
      <c r="V160" s="4" t="str">
        <f t="shared" si="3"/>
        <v>0 - 0</v>
      </c>
      <c r="W160" s="4" t="str">
        <f t="shared" si="3"/>
        <v>0 - 0</v>
      </c>
      <c r="X160" s="4" t="str">
        <f t="shared" si="3"/>
        <v>0 - 480</v>
      </c>
    </row>
  </sheetData>
  <mergeCells count="16">
    <mergeCell ref="A1:X1"/>
    <mergeCell ref="A2:X2"/>
    <mergeCell ref="A3:X3"/>
    <mergeCell ref="B155:X157"/>
    <mergeCell ref="A94:A99"/>
    <mergeCell ref="A5:A54"/>
    <mergeCell ref="A55:A66"/>
    <mergeCell ref="A67:A93"/>
    <mergeCell ref="A131:A153"/>
    <mergeCell ref="A103:A117"/>
    <mergeCell ref="A121:A122"/>
    <mergeCell ref="A126:A127"/>
    <mergeCell ref="A101:X101"/>
    <mergeCell ref="A119:X119"/>
    <mergeCell ref="A124:X124"/>
    <mergeCell ref="A129:X129"/>
  </mergeCells>
  <pageMargins left="0.7" right="0.7" top="0.75" bottom="0.75" header="0.3" footer="0.3"/>
  <pageSetup scale="45" fitToHeight="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pageSetUpPr fitToPage="1"/>
  </sheetPr>
  <dimension ref="A1:X186"/>
  <sheetViews>
    <sheetView zoomScale="60" zoomScaleNormal="60" workbookViewId="0">
      <selection activeCell="E105" sqref="E105"/>
    </sheetView>
    <sheetView workbookViewId="1">
      <selection sqref="A1:X1"/>
    </sheetView>
    <sheetView workbookViewId="2">
      <selection sqref="A1:X1"/>
    </sheetView>
  </sheetViews>
  <sheetFormatPr defaultColWidth="9.15234375" defaultRowHeight="12.45"/>
  <cols>
    <col min="1" max="1" width="6.53515625" style="26" customWidth="1"/>
    <col min="2" max="2" width="42.84375" style="27" customWidth="1"/>
    <col min="3" max="4" width="10.53515625" style="26" customWidth="1"/>
    <col min="5" max="5" width="8.53515625" style="26" customWidth="1"/>
    <col min="6" max="6" width="11.53515625" style="26" customWidth="1"/>
    <col min="7" max="7" width="8.53515625" style="26" customWidth="1"/>
    <col min="8" max="8" width="13" style="26" customWidth="1"/>
    <col min="9" max="9" width="9" style="26" customWidth="1"/>
    <col min="10" max="10" width="16.84375" style="26" customWidth="1"/>
    <col min="11" max="11" width="9" style="26" customWidth="1"/>
    <col min="12" max="12" width="7.84375" style="26" customWidth="1"/>
    <col min="13" max="13" width="9" style="26" customWidth="1"/>
    <col min="14" max="16" width="11.53515625" style="26" customWidth="1"/>
    <col min="17" max="17" width="9" style="26" customWidth="1"/>
    <col min="18" max="16384" width="9.15234375" style="37"/>
  </cols>
  <sheetData>
    <row r="1" spans="1:24" ht="22.5" customHeight="1">
      <c r="A1" s="1313" t="s">
        <v>562</v>
      </c>
      <c r="B1" s="1225"/>
      <c r="C1" s="1225"/>
      <c r="D1" s="1225"/>
      <c r="E1" s="1225"/>
      <c r="F1" s="1225"/>
      <c r="G1" s="1225"/>
      <c r="H1" s="1225"/>
      <c r="I1" s="1225"/>
      <c r="J1" s="1225"/>
      <c r="K1" s="1225"/>
      <c r="L1" s="1225"/>
      <c r="M1" s="1225"/>
      <c r="N1" s="1225"/>
      <c r="O1" s="1225"/>
      <c r="P1" s="1225"/>
      <c r="Q1" s="1225"/>
      <c r="R1" s="1225"/>
      <c r="S1" s="1225"/>
      <c r="T1" s="1225"/>
      <c r="U1" s="1225"/>
      <c r="V1" s="1225"/>
      <c r="W1" s="1225"/>
      <c r="X1" s="1225"/>
    </row>
    <row r="2" spans="1:24" ht="18" customHeight="1">
      <c r="A2" s="1226" t="s">
        <v>563</v>
      </c>
      <c r="B2" s="1226"/>
      <c r="C2" s="1226"/>
      <c r="D2" s="1226"/>
      <c r="E2" s="1226"/>
      <c r="F2" s="1226"/>
      <c r="G2" s="1226"/>
      <c r="H2" s="1226"/>
      <c r="I2" s="1226"/>
      <c r="J2" s="1226"/>
      <c r="K2" s="1226"/>
      <c r="L2" s="1226"/>
      <c r="M2" s="1226"/>
      <c r="N2" s="1226"/>
      <c r="O2" s="1226"/>
      <c r="P2" s="1226"/>
      <c r="Q2" s="1226"/>
      <c r="R2" s="1226"/>
      <c r="S2" s="1226"/>
      <c r="T2" s="1226"/>
      <c r="U2" s="1226"/>
      <c r="V2" s="1226"/>
      <c r="W2" s="1226"/>
      <c r="X2" s="1226"/>
    </row>
    <row r="3" spans="1:24" ht="18" customHeight="1" thickBot="1">
      <c r="A3" s="1308" t="s">
        <v>405</v>
      </c>
      <c r="B3" s="1308"/>
      <c r="C3" s="1308"/>
      <c r="D3" s="1308"/>
      <c r="E3" s="1308"/>
      <c r="F3" s="1308"/>
      <c r="G3" s="1308"/>
      <c r="H3" s="1308"/>
      <c r="I3" s="1308"/>
      <c r="J3" s="1308"/>
      <c r="K3" s="1308"/>
      <c r="L3" s="1308"/>
      <c r="M3" s="1308"/>
      <c r="N3" s="1308"/>
      <c r="O3" s="1308"/>
      <c r="P3" s="1308"/>
      <c r="Q3" s="1308"/>
      <c r="R3" s="1308"/>
      <c r="S3" s="1308"/>
      <c r="T3" s="1308"/>
      <c r="U3" s="1308"/>
      <c r="V3" s="1308"/>
      <c r="W3" s="1308"/>
      <c r="X3" s="1308"/>
    </row>
    <row r="4" spans="1:24" ht="37.5" customHeight="1" thickBot="1">
      <c r="A4" s="77"/>
      <c r="B4" s="38" t="s">
        <v>3</v>
      </c>
      <c r="C4" s="44" t="s">
        <v>4</v>
      </c>
      <c r="D4" s="44" t="s">
        <v>5</v>
      </c>
      <c r="E4" s="44" t="s">
        <v>6</v>
      </c>
      <c r="F4" s="44" t="s">
        <v>7</v>
      </c>
      <c r="G4" s="44" t="s">
        <v>8</v>
      </c>
      <c r="H4" s="44" t="s">
        <v>9</v>
      </c>
      <c r="I4" s="44" t="s">
        <v>10</v>
      </c>
      <c r="J4" s="44" t="s">
        <v>11</v>
      </c>
      <c r="K4" s="44" t="s">
        <v>12</v>
      </c>
      <c r="L4" s="44" t="s">
        <v>13</v>
      </c>
      <c r="M4" s="44" t="s">
        <v>14</v>
      </c>
      <c r="N4" s="44" t="s">
        <v>15</v>
      </c>
      <c r="O4" s="45" t="s">
        <v>16</v>
      </c>
      <c r="P4" s="45" t="s">
        <v>17</v>
      </c>
      <c r="Q4" s="45" t="s">
        <v>18</v>
      </c>
      <c r="R4" s="45" t="s">
        <v>19</v>
      </c>
      <c r="S4" s="45" t="s">
        <v>20</v>
      </c>
      <c r="T4" s="45" t="s">
        <v>21</v>
      </c>
      <c r="U4" s="45" t="s">
        <v>22</v>
      </c>
      <c r="V4" s="45" t="s">
        <v>23</v>
      </c>
      <c r="W4" s="45" t="s">
        <v>377</v>
      </c>
      <c r="X4" s="46" t="s">
        <v>378</v>
      </c>
    </row>
    <row r="5" spans="1:24" ht="14.6">
      <c r="A5" s="1317" t="s">
        <v>24</v>
      </c>
      <c r="B5" s="53" t="s">
        <v>26</v>
      </c>
      <c r="C5" s="133">
        <v>45</v>
      </c>
      <c r="D5" s="133">
        <v>0</v>
      </c>
      <c r="E5" s="133">
        <v>0</v>
      </c>
      <c r="F5" s="133">
        <v>0</v>
      </c>
      <c r="G5" s="133">
        <v>0</v>
      </c>
      <c r="H5" s="133">
        <v>0</v>
      </c>
      <c r="I5" s="133">
        <v>5</v>
      </c>
      <c r="J5" s="133">
        <v>11</v>
      </c>
      <c r="K5" s="133">
        <v>0</v>
      </c>
      <c r="L5" s="133">
        <v>11</v>
      </c>
      <c r="M5" s="133">
        <v>10</v>
      </c>
      <c r="N5" s="133">
        <v>0</v>
      </c>
      <c r="O5" s="134">
        <v>0</v>
      </c>
      <c r="P5" s="134">
        <v>0</v>
      </c>
      <c r="Q5" s="134">
        <v>1</v>
      </c>
      <c r="R5" s="134">
        <v>0</v>
      </c>
      <c r="S5" s="134">
        <v>0</v>
      </c>
      <c r="T5" s="134">
        <v>0</v>
      </c>
      <c r="U5" s="134">
        <v>9</v>
      </c>
      <c r="V5" s="134">
        <v>0</v>
      </c>
      <c r="W5" s="134">
        <v>0</v>
      </c>
      <c r="X5" s="135">
        <v>0</v>
      </c>
    </row>
    <row r="6" spans="1:24" ht="14.6">
      <c r="A6" s="1318"/>
      <c r="B6" s="54" t="s">
        <v>27</v>
      </c>
      <c r="C6" s="177">
        <v>30</v>
      </c>
      <c r="D6" s="177">
        <v>0</v>
      </c>
      <c r="E6" s="177">
        <v>0</v>
      </c>
      <c r="F6" s="177">
        <v>0</v>
      </c>
      <c r="G6" s="177">
        <v>0</v>
      </c>
      <c r="H6" s="177">
        <v>0</v>
      </c>
      <c r="I6" s="177">
        <v>0</v>
      </c>
      <c r="J6" s="177">
        <v>8</v>
      </c>
      <c r="K6" s="177"/>
      <c r="L6" s="177">
        <v>7</v>
      </c>
      <c r="M6" s="177">
        <v>7</v>
      </c>
      <c r="N6" s="177">
        <v>0</v>
      </c>
      <c r="O6" s="177"/>
      <c r="P6" s="177"/>
      <c r="Q6" s="177">
        <v>1.1850799999999999</v>
      </c>
      <c r="R6" s="177">
        <v>0</v>
      </c>
      <c r="S6" s="177">
        <v>1.405E-3</v>
      </c>
      <c r="T6" s="177">
        <v>0</v>
      </c>
      <c r="U6" s="177">
        <v>0</v>
      </c>
      <c r="V6" s="177">
        <v>0</v>
      </c>
      <c r="W6" s="177">
        <v>0</v>
      </c>
      <c r="X6" s="177">
        <v>0</v>
      </c>
    </row>
    <row r="7" spans="1:24" ht="14.6">
      <c r="A7" s="1318"/>
      <c r="B7" s="54" t="s">
        <v>28</v>
      </c>
      <c r="C7" s="136">
        <v>35</v>
      </c>
      <c r="D7" s="136">
        <v>0</v>
      </c>
      <c r="E7" s="136">
        <v>0</v>
      </c>
      <c r="F7" s="136">
        <v>0</v>
      </c>
      <c r="G7" s="136">
        <v>0</v>
      </c>
      <c r="H7" s="136">
        <v>0</v>
      </c>
      <c r="I7" s="136">
        <v>0</v>
      </c>
      <c r="J7" s="136">
        <v>9</v>
      </c>
      <c r="K7" s="136">
        <v>0</v>
      </c>
      <c r="L7" s="136">
        <v>9</v>
      </c>
      <c r="M7" s="136">
        <v>9</v>
      </c>
      <c r="N7" s="136">
        <v>0</v>
      </c>
      <c r="O7" s="137">
        <v>0</v>
      </c>
      <c r="P7" s="137">
        <v>0</v>
      </c>
      <c r="Q7" s="137">
        <v>1</v>
      </c>
      <c r="R7" s="137">
        <v>0</v>
      </c>
      <c r="S7" s="137">
        <v>0</v>
      </c>
      <c r="T7" s="137">
        <v>0</v>
      </c>
      <c r="U7" s="137">
        <v>2</v>
      </c>
      <c r="V7" s="137">
        <v>0</v>
      </c>
      <c r="W7" s="137">
        <v>0</v>
      </c>
      <c r="X7" s="138">
        <v>0</v>
      </c>
    </row>
    <row r="8" spans="1:24" ht="14.6">
      <c r="A8" s="1318"/>
      <c r="B8" s="54" t="s">
        <v>29</v>
      </c>
      <c r="C8" s="136">
        <v>40</v>
      </c>
      <c r="D8" s="136">
        <v>0</v>
      </c>
      <c r="E8" s="136">
        <v>0</v>
      </c>
      <c r="F8" s="136">
        <v>0</v>
      </c>
      <c r="G8" s="136">
        <v>0</v>
      </c>
      <c r="H8" s="136">
        <v>0</v>
      </c>
      <c r="I8" s="136">
        <v>5</v>
      </c>
      <c r="J8" s="136">
        <v>10</v>
      </c>
      <c r="K8" s="136">
        <v>0</v>
      </c>
      <c r="L8" s="136">
        <v>10</v>
      </c>
      <c r="M8" s="136">
        <v>10</v>
      </c>
      <c r="N8" s="136">
        <v>0</v>
      </c>
      <c r="O8" s="137">
        <v>0</v>
      </c>
      <c r="P8" s="137">
        <v>0</v>
      </c>
      <c r="Q8" s="137">
        <v>1</v>
      </c>
      <c r="R8" s="137">
        <v>0</v>
      </c>
      <c r="S8" s="137">
        <v>0</v>
      </c>
      <c r="T8" s="137">
        <v>0</v>
      </c>
      <c r="U8" s="137">
        <v>0</v>
      </c>
      <c r="V8" s="137">
        <v>0</v>
      </c>
      <c r="W8" s="137">
        <v>0</v>
      </c>
      <c r="X8" s="138">
        <v>0</v>
      </c>
    </row>
    <row r="9" spans="1:24" ht="14.6">
      <c r="A9" s="1318"/>
      <c r="B9" s="54" t="s">
        <v>30</v>
      </c>
      <c r="C9" s="136">
        <v>60</v>
      </c>
      <c r="D9" s="136">
        <v>0</v>
      </c>
      <c r="E9" s="136">
        <v>0</v>
      </c>
      <c r="F9" s="136">
        <v>0</v>
      </c>
      <c r="G9" s="136">
        <v>0</v>
      </c>
      <c r="H9" s="136">
        <v>0</v>
      </c>
      <c r="I9" s="136">
        <v>5</v>
      </c>
      <c r="J9" s="136">
        <v>15</v>
      </c>
      <c r="K9" s="136">
        <v>0</v>
      </c>
      <c r="L9" s="136">
        <v>14</v>
      </c>
      <c r="M9" s="136">
        <v>14</v>
      </c>
      <c r="N9" s="136">
        <v>0</v>
      </c>
      <c r="O9" s="137">
        <v>0</v>
      </c>
      <c r="P9" s="137">
        <v>0</v>
      </c>
      <c r="Q9" s="137">
        <v>1</v>
      </c>
      <c r="R9" s="137">
        <v>0</v>
      </c>
      <c r="S9" s="137">
        <v>0</v>
      </c>
      <c r="T9" s="137">
        <v>0</v>
      </c>
      <c r="U9" s="137">
        <v>0</v>
      </c>
      <c r="V9" s="137">
        <v>0</v>
      </c>
      <c r="W9" s="137">
        <v>0</v>
      </c>
      <c r="X9" s="138">
        <v>0</v>
      </c>
    </row>
    <row r="10" spans="1:24" ht="14.6">
      <c r="A10" s="1318"/>
      <c r="B10" s="54" t="s">
        <v>31</v>
      </c>
      <c r="C10" s="136">
        <v>30</v>
      </c>
      <c r="D10" s="136">
        <v>0</v>
      </c>
      <c r="E10" s="136">
        <v>0</v>
      </c>
      <c r="F10" s="136">
        <v>0</v>
      </c>
      <c r="G10" s="136">
        <v>0</v>
      </c>
      <c r="H10" s="136">
        <v>0</v>
      </c>
      <c r="I10" s="136">
        <v>5</v>
      </c>
      <c r="J10" s="136">
        <v>8</v>
      </c>
      <c r="K10" s="136">
        <v>0</v>
      </c>
      <c r="L10" s="136">
        <v>8</v>
      </c>
      <c r="M10" s="136">
        <v>7</v>
      </c>
      <c r="N10" s="136">
        <v>0</v>
      </c>
      <c r="O10" s="137">
        <v>0</v>
      </c>
      <c r="P10" s="137">
        <v>0</v>
      </c>
      <c r="Q10" s="137">
        <v>2</v>
      </c>
      <c r="R10" s="137">
        <v>0</v>
      </c>
      <c r="S10" s="137">
        <v>0</v>
      </c>
      <c r="T10" s="137">
        <v>0</v>
      </c>
      <c r="U10" s="137">
        <v>0</v>
      </c>
      <c r="V10" s="137">
        <v>0</v>
      </c>
      <c r="W10" s="137">
        <v>0</v>
      </c>
      <c r="X10" s="138">
        <v>0</v>
      </c>
    </row>
    <row r="11" spans="1:24" ht="14.6">
      <c r="A11" s="1318"/>
      <c r="B11" s="54" t="s">
        <v>32</v>
      </c>
      <c r="C11" s="136">
        <v>35</v>
      </c>
      <c r="D11" s="136">
        <v>0</v>
      </c>
      <c r="E11" s="136">
        <v>0</v>
      </c>
      <c r="F11" s="136">
        <v>0</v>
      </c>
      <c r="G11" s="136">
        <v>0</v>
      </c>
      <c r="H11" s="136">
        <v>0</v>
      </c>
      <c r="I11" s="136">
        <v>5</v>
      </c>
      <c r="J11" s="136">
        <v>9</v>
      </c>
      <c r="K11" s="136">
        <v>0</v>
      </c>
      <c r="L11" s="136">
        <v>9</v>
      </c>
      <c r="M11" s="136">
        <v>8</v>
      </c>
      <c r="N11" s="136">
        <v>0</v>
      </c>
      <c r="O11" s="137">
        <v>0</v>
      </c>
      <c r="P11" s="137">
        <v>0</v>
      </c>
      <c r="Q11" s="137">
        <v>1</v>
      </c>
      <c r="R11" s="137">
        <v>0</v>
      </c>
      <c r="S11" s="137">
        <v>0</v>
      </c>
      <c r="T11" s="137">
        <v>0</v>
      </c>
      <c r="U11" s="137">
        <v>3</v>
      </c>
      <c r="V11" s="137">
        <v>0</v>
      </c>
      <c r="W11" s="137">
        <v>0</v>
      </c>
      <c r="X11" s="138">
        <v>2</v>
      </c>
    </row>
    <row r="12" spans="1:24" ht="14.6">
      <c r="A12" s="1318"/>
      <c r="B12" s="54" t="s">
        <v>33</v>
      </c>
      <c r="C12" s="136">
        <v>40</v>
      </c>
      <c r="D12" s="136">
        <v>0</v>
      </c>
      <c r="E12" s="136">
        <v>0</v>
      </c>
      <c r="F12" s="136">
        <v>0</v>
      </c>
      <c r="G12" s="136">
        <v>0</v>
      </c>
      <c r="H12" s="136">
        <v>0</v>
      </c>
      <c r="I12" s="136">
        <v>5</v>
      </c>
      <c r="J12" s="136">
        <v>10</v>
      </c>
      <c r="K12" s="136">
        <v>0</v>
      </c>
      <c r="L12" s="136">
        <v>10</v>
      </c>
      <c r="M12" s="136">
        <v>10</v>
      </c>
      <c r="N12" s="136">
        <v>0</v>
      </c>
      <c r="O12" s="137">
        <v>0</v>
      </c>
      <c r="P12" s="137">
        <v>0</v>
      </c>
      <c r="Q12" s="137">
        <v>1</v>
      </c>
      <c r="R12" s="137">
        <v>0</v>
      </c>
      <c r="S12" s="137">
        <v>0</v>
      </c>
      <c r="T12" s="137">
        <v>0</v>
      </c>
      <c r="U12" s="137">
        <v>1</v>
      </c>
      <c r="V12" s="137">
        <v>0</v>
      </c>
      <c r="W12" s="137">
        <v>0</v>
      </c>
      <c r="X12" s="138">
        <v>0</v>
      </c>
    </row>
    <row r="13" spans="1:24" ht="14.6">
      <c r="A13" s="1318"/>
      <c r="B13" s="54" t="s">
        <v>34</v>
      </c>
      <c r="C13" s="136">
        <v>45</v>
      </c>
      <c r="D13" s="136">
        <v>0</v>
      </c>
      <c r="E13" s="136">
        <v>0</v>
      </c>
      <c r="F13" s="136">
        <v>0</v>
      </c>
      <c r="G13" s="136">
        <v>0</v>
      </c>
      <c r="H13" s="136">
        <v>0</v>
      </c>
      <c r="I13" s="136">
        <v>10</v>
      </c>
      <c r="J13" s="136">
        <v>12</v>
      </c>
      <c r="K13" s="136">
        <v>0</v>
      </c>
      <c r="L13" s="136">
        <v>11</v>
      </c>
      <c r="M13" s="136">
        <v>11</v>
      </c>
      <c r="N13" s="136">
        <v>0</v>
      </c>
      <c r="O13" s="137">
        <v>0</v>
      </c>
      <c r="P13" s="137">
        <v>0</v>
      </c>
      <c r="Q13" s="137">
        <v>2</v>
      </c>
      <c r="R13" s="137">
        <v>0</v>
      </c>
      <c r="S13" s="137">
        <v>0</v>
      </c>
      <c r="T13" s="137">
        <v>0</v>
      </c>
      <c r="U13" s="137">
        <v>12</v>
      </c>
      <c r="V13" s="137">
        <v>0</v>
      </c>
      <c r="W13" s="137">
        <v>0</v>
      </c>
      <c r="X13" s="138">
        <v>0</v>
      </c>
    </row>
    <row r="14" spans="1:24" ht="14.6">
      <c r="A14" s="1318"/>
      <c r="B14" s="54" t="s">
        <v>35</v>
      </c>
      <c r="C14" s="87">
        <v>50</v>
      </c>
      <c r="D14" s="87">
        <v>5</v>
      </c>
      <c r="E14" s="87">
        <v>0</v>
      </c>
      <c r="F14" s="87">
        <v>0</v>
      </c>
      <c r="G14" s="87">
        <v>0</v>
      </c>
      <c r="H14" s="87">
        <v>0</v>
      </c>
      <c r="I14" s="87">
        <v>10</v>
      </c>
      <c r="J14" s="87">
        <v>12</v>
      </c>
      <c r="K14" s="87">
        <v>0</v>
      </c>
      <c r="L14" s="87">
        <v>12</v>
      </c>
      <c r="M14" s="87">
        <v>11</v>
      </c>
      <c r="N14" s="87">
        <v>0</v>
      </c>
      <c r="O14" s="85">
        <v>0</v>
      </c>
      <c r="P14" s="85">
        <v>0</v>
      </c>
      <c r="Q14" s="85">
        <v>3</v>
      </c>
      <c r="R14" s="85">
        <v>0</v>
      </c>
      <c r="S14" s="85">
        <v>0</v>
      </c>
      <c r="T14" s="85">
        <v>0</v>
      </c>
      <c r="U14" s="85">
        <v>12</v>
      </c>
      <c r="V14" s="85">
        <v>0</v>
      </c>
      <c r="W14" s="85">
        <v>0</v>
      </c>
      <c r="X14" s="86">
        <v>0</v>
      </c>
    </row>
    <row r="15" spans="1:24" ht="14.6">
      <c r="A15" s="1318"/>
      <c r="B15" s="54" t="s">
        <v>36</v>
      </c>
      <c r="C15" s="136">
        <v>40</v>
      </c>
      <c r="D15" s="136">
        <v>0</v>
      </c>
      <c r="E15" s="136">
        <v>0</v>
      </c>
      <c r="F15" s="136">
        <v>0</v>
      </c>
      <c r="G15" s="136">
        <v>0</v>
      </c>
      <c r="H15" s="136">
        <v>0</v>
      </c>
      <c r="I15" s="136">
        <v>0</v>
      </c>
      <c r="J15" s="136">
        <v>10</v>
      </c>
      <c r="K15" s="136">
        <v>0</v>
      </c>
      <c r="L15" s="136">
        <v>10</v>
      </c>
      <c r="M15" s="136">
        <v>4</v>
      </c>
      <c r="N15" s="136">
        <v>0</v>
      </c>
      <c r="O15" s="137">
        <v>0</v>
      </c>
      <c r="P15" s="137">
        <v>0</v>
      </c>
      <c r="Q15" s="137">
        <v>1</v>
      </c>
      <c r="R15" s="137">
        <v>0</v>
      </c>
      <c r="S15" s="137">
        <v>0</v>
      </c>
      <c r="T15" s="137">
        <v>0</v>
      </c>
      <c r="U15" s="137">
        <v>0</v>
      </c>
      <c r="V15" s="137">
        <v>0</v>
      </c>
      <c r="W15" s="137">
        <v>0</v>
      </c>
      <c r="X15" s="138">
        <v>0</v>
      </c>
    </row>
    <row r="16" spans="1:24" ht="14.6">
      <c r="A16" s="1318"/>
      <c r="B16" s="54" t="s">
        <v>37</v>
      </c>
      <c r="C16" s="87">
        <v>40</v>
      </c>
      <c r="D16" s="87">
        <v>0</v>
      </c>
      <c r="E16" s="87">
        <v>0</v>
      </c>
      <c r="F16" s="87">
        <v>0</v>
      </c>
      <c r="G16" s="87">
        <v>0</v>
      </c>
      <c r="H16" s="87">
        <v>0</v>
      </c>
      <c r="I16" s="87">
        <v>0</v>
      </c>
      <c r="J16" s="87">
        <v>11</v>
      </c>
      <c r="K16" s="87">
        <v>0</v>
      </c>
      <c r="L16" s="87">
        <v>11</v>
      </c>
      <c r="M16" s="87">
        <v>4</v>
      </c>
      <c r="N16" s="87">
        <v>0</v>
      </c>
      <c r="O16" s="85">
        <v>0</v>
      </c>
      <c r="P16" s="85">
        <v>0</v>
      </c>
      <c r="Q16" s="85">
        <v>1</v>
      </c>
      <c r="R16" s="85">
        <v>0</v>
      </c>
      <c r="S16" s="85">
        <v>0</v>
      </c>
      <c r="T16" s="85">
        <v>0</v>
      </c>
      <c r="U16" s="85">
        <v>0</v>
      </c>
      <c r="V16" s="85">
        <v>0</v>
      </c>
      <c r="W16" s="85">
        <v>0</v>
      </c>
      <c r="X16" s="86">
        <v>0</v>
      </c>
    </row>
    <row r="17" spans="1:24" ht="14.6">
      <c r="A17" s="1318"/>
      <c r="B17" s="54" t="s">
        <v>38</v>
      </c>
      <c r="C17" s="136">
        <v>35</v>
      </c>
      <c r="D17" s="136">
        <v>0</v>
      </c>
      <c r="E17" s="136">
        <v>0</v>
      </c>
      <c r="F17" s="136">
        <v>0</v>
      </c>
      <c r="G17" s="136">
        <v>0</v>
      </c>
      <c r="H17" s="136">
        <v>0</v>
      </c>
      <c r="I17" s="136">
        <v>5</v>
      </c>
      <c r="J17" s="136">
        <v>9</v>
      </c>
      <c r="K17" s="136">
        <v>0</v>
      </c>
      <c r="L17" s="136">
        <v>9</v>
      </c>
      <c r="M17" s="136">
        <v>8</v>
      </c>
      <c r="N17" s="136">
        <v>0</v>
      </c>
      <c r="O17" s="137">
        <v>0</v>
      </c>
      <c r="P17" s="137">
        <v>0</v>
      </c>
      <c r="Q17" s="137">
        <v>2</v>
      </c>
      <c r="R17" s="137">
        <v>0</v>
      </c>
      <c r="S17" s="137">
        <v>0</v>
      </c>
      <c r="T17" s="137">
        <v>0</v>
      </c>
      <c r="U17" s="137">
        <v>7</v>
      </c>
      <c r="V17" s="137">
        <v>0</v>
      </c>
      <c r="W17" s="137">
        <v>0</v>
      </c>
      <c r="X17" s="138">
        <v>2</v>
      </c>
    </row>
    <row r="18" spans="1:24" ht="14.6">
      <c r="A18" s="1318"/>
      <c r="B18" s="54" t="s">
        <v>39</v>
      </c>
      <c r="C18" s="136">
        <v>40</v>
      </c>
      <c r="D18" s="136">
        <v>0</v>
      </c>
      <c r="E18" s="136">
        <v>0</v>
      </c>
      <c r="F18" s="136">
        <v>0</v>
      </c>
      <c r="G18" s="136">
        <v>0</v>
      </c>
      <c r="H18" s="136">
        <v>0</v>
      </c>
      <c r="I18" s="136">
        <v>5</v>
      </c>
      <c r="J18" s="136">
        <v>10</v>
      </c>
      <c r="K18" s="136">
        <v>0</v>
      </c>
      <c r="L18" s="136">
        <v>9</v>
      </c>
      <c r="M18" s="136">
        <v>9</v>
      </c>
      <c r="N18" s="136">
        <v>0</v>
      </c>
      <c r="O18" s="137">
        <v>0</v>
      </c>
      <c r="P18" s="137">
        <v>0</v>
      </c>
      <c r="Q18" s="137">
        <v>1</v>
      </c>
      <c r="R18" s="137">
        <v>0</v>
      </c>
      <c r="S18" s="137">
        <v>0</v>
      </c>
      <c r="T18" s="137">
        <v>0</v>
      </c>
      <c r="U18" s="137">
        <v>0</v>
      </c>
      <c r="V18" s="137">
        <v>0</v>
      </c>
      <c r="W18" s="137">
        <v>0</v>
      </c>
      <c r="X18" s="138">
        <v>4</v>
      </c>
    </row>
    <row r="19" spans="1:24" ht="14.6">
      <c r="A19" s="1318"/>
      <c r="B19" s="54" t="s">
        <v>40</v>
      </c>
      <c r="C19" s="136">
        <v>40</v>
      </c>
      <c r="D19" s="136">
        <v>0</v>
      </c>
      <c r="E19" s="136">
        <v>0</v>
      </c>
      <c r="F19" s="136">
        <v>0</v>
      </c>
      <c r="G19" s="136">
        <v>0</v>
      </c>
      <c r="H19" s="136">
        <v>0</v>
      </c>
      <c r="I19" s="136">
        <v>5</v>
      </c>
      <c r="J19" s="136">
        <v>10</v>
      </c>
      <c r="K19" s="136">
        <v>0</v>
      </c>
      <c r="L19" s="136">
        <v>10</v>
      </c>
      <c r="M19" s="136">
        <v>9</v>
      </c>
      <c r="N19" s="136">
        <v>0</v>
      </c>
      <c r="O19" s="137">
        <v>0</v>
      </c>
      <c r="P19" s="137">
        <v>0</v>
      </c>
      <c r="Q19" s="137">
        <v>2</v>
      </c>
      <c r="R19" s="137">
        <v>0</v>
      </c>
      <c r="S19" s="137">
        <v>0</v>
      </c>
      <c r="T19" s="137">
        <v>0</v>
      </c>
      <c r="U19" s="137">
        <v>6</v>
      </c>
      <c r="V19" s="137">
        <v>0</v>
      </c>
      <c r="W19" s="137">
        <v>0</v>
      </c>
      <c r="X19" s="138">
        <v>0</v>
      </c>
    </row>
    <row r="20" spans="1:24" ht="14.6">
      <c r="A20" s="1318"/>
      <c r="B20" s="54" t="s">
        <v>41</v>
      </c>
      <c r="C20" s="81">
        <v>40</v>
      </c>
      <c r="D20" s="81">
        <v>0</v>
      </c>
      <c r="E20" s="81">
        <v>0</v>
      </c>
      <c r="F20" s="81">
        <v>0</v>
      </c>
      <c r="G20" s="81">
        <v>0</v>
      </c>
      <c r="H20" s="81">
        <v>0</v>
      </c>
      <c r="I20" s="81">
        <v>0</v>
      </c>
      <c r="J20" s="81">
        <v>11</v>
      </c>
      <c r="K20" s="81">
        <v>0</v>
      </c>
      <c r="L20" s="81">
        <v>10</v>
      </c>
      <c r="M20" s="81">
        <v>3</v>
      </c>
      <c r="N20" s="81">
        <v>0</v>
      </c>
      <c r="O20" s="85">
        <v>0</v>
      </c>
      <c r="P20" s="85">
        <v>0</v>
      </c>
      <c r="Q20" s="85">
        <v>1</v>
      </c>
      <c r="R20" s="85">
        <v>0</v>
      </c>
      <c r="S20" s="85">
        <v>0</v>
      </c>
      <c r="T20" s="85">
        <v>0</v>
      </c>
      <c r="U20" s="85">
        <v>0</v>
      </c>
      <c r="V20" s="85">
        <v>0</v>
      </c>
      <c r="W20" s="85">
        <v>0</v>
      </c>
      <c r="X20" s="86">
        <v>2</v>
      </c>
    </row>
    <row r="21" spans="1:24" ht="14.6">
      <c r="A21" s="1318"/>
      <c r="B21" s="54" t="s">
        <v>42</v>
      </c>
      <c r="C21" s="136">
        <v>40</v>
      </c>
      <c r="D21" s="136">
        <v>0</v>
      </c>
      <c r="E21" s="136">
        <v>0</v>
      </c>
      <c r="F21" s="136">
        <v>0</v>
      </c>
      <c r="G21" s="136">
        <v>0</v>
      </c>
      <c r="H21" s="136">
        <v>0</v>
      </c>
      <c r="I21" s="136">
        <v>5</v>
      </c>
      <c r="J21" s="136">
        <v>11</v>
      </c>
      <c r="K21" s="136">
        <v>0</v>
      </c>
      <c r="L21" s="136">
        <v>10</v>
      </c>
      <c r="M21" s="136">
        <v>10</v>
      </c>
      <c r="N21" s="136">
        <v>0</v>
      </c>
      <c r="O21" s="137">
        <v>0</v>
      </c>
      <c r="P21" s="137">
        <v>0</v>
      </c>
      <c r="Q21" s="137">
        <v>1</v>
      </c>
      <c r="R21" s="137">
        <v>0</v>
      </c>
      <c r="S21" s="137">
        <v>0</v>
      </c>
      <c r="T21" s="137">
        <v>0</v>
      </c>
      <c r="U21" s="137">
        <v>6</v>
      </c>
      <c r="V21" s="137">
        <v>0</v>
      </c>
      <c r="W21" s="137">
        <v>0</v>
      </c>
      <c r="X21" s="138">
        <v>0</v>
      </c>
    </row>
    <row r="22" spans="1:24" ht="14.6">
      <c r="A22" s="1318"/>
      <c r="B22" s="54" t="s">
        <v>43</v>
      </c>
      <c r="C22" s="136">
        <v>35</v>
      </c>
      <c r="D22" s="136">
        <v>0</v>
      </c>
      <c r="E22" s="136">
        <v>0</v>
      </c>
      <c r="F22" s="136">
        <v>0</v>
      </c>
      <c r="G22" s="136">
        <v>0</v>
      </c>
      <c r="H22" s="136">
        <v>0</v>
      </c>
      <c r="I22" s="136">
        <v>5</v>
      </c>
      <c r="J22" s="136">
        <v>9</v>
      </c>
      <c r="K22" s="136">
        <v>0</v>
      </c>
      <c r="L22" s="136">
        <v>9</v>
      </c>
      <c r="M22" s="136">
        <v>9</v>
      </c>
      <c r="N22" s="136">
        <v>0</v>
      </c>
      <c r="O22" s="137">
        <v>0</v>
      </c>
      <c r="P22" s="137">
        <v>0</v>
      </c>
      <c r="Q22" s="137">
        <v>1</v>
      </c>
      <c r="R22" s="137">
        <v>0</v>
      </c>
      <c r="S22" s="137">
        <v>0</v>
      </c>
      <c r="T22" s="137">
        <v>0</v>
      </c>
      <c r="U22" s="137">
        <v>0</v>
      </c>
      <c r="V22" s="137">
        <v>0</v>
      </c>
      <c r="W22" s="137">
        <v>0</v>
      </c>
      <c r="X22" s="138">
        <v>0</v>
      </c>
    </row>
    <row r="23" spans="1:24" ht="14.6">
      <c r="A23" s="1318"/>
      <c r="B23" s="54" t="s">
        <v>44</v>
      </c>
      <c r="C23" s="136">
        <v>25</v>
      </c>
      <c r="D23" s="136">
        <v>0</v>
      </c>
      <c r="E23" s="136">
        <v>0</v>
      </c>
      <c r="F23" s="136">
        <v>0</v>
      </c>
      <c r="G23" s="136">
        <v>0</v>
      </c>
      <c r="H23" s="136">
        <v>0</v>
      </c>
      <c r="I23" s="136">
        <v>5</v>
      </c>
      <c r="J23" s="136">
        <v>7</v>
      </c>
      <c r="K23" s="136">
        <v>0</v>
      </c>
      <c r="L23" s="136">
        <v>6</v>
      </c>
      <c r="M23" s="136">
        <v>6</v>
      </c>
      <c r="N23" s="136">
        <v>0</v>
      </c>
      <c r="O23" s="137">
        <v>0</v>
      </c>
      <c r="P23" s="137">
        <v>0</v>
      </c>
      <c r="Q23" s="137">
        <v>1</v>
      </c>
      <c r="R23" s="137">
        <v>0</v>
      </c>
      <c r="S23" s="137">
        <v>0</v>
      </c>
      <c r="T23" s="137">
        <v>0</v>
      </c>
      <c r="U23" s="137">
        <v>0</v>
      </c>
      <c r="V23" s="137">
        <v>0</v>
      </c>
      <c r="W23" s="137">
        <v>0</v>
      </c>
      <c r="X23" s="138">
        <v>0</v>
      </c>
    </row>
    <row r="24" spans="1:24" ht="14.6">
      <c r="A24" s="1318"/>
      <c r="B24" s="54" t="s">
        <v>45</v>
      </c>
      <c r="C24" s="137">
        <v>35</v>
      </c>
      <c r="D24" s="137">
        <v>0</v>
      </c>
      <c r="E24" s="137">
        <v>0</v>
      </c>
      <c r="F24" s="137">
        <v>0</v>
      </c>
      <c r="G24" s="139">
        <v>0</v>
      </c>
      <c r="H24" s="137">
        <v>0</v>
      </c>
      <c r="I24" s="137">
        <v>5</v>
      </c>
      <c r="J24" s="137">
        <v>9</v>
      </c>
      <c r="K24" s="137">
        <v>0</v>
      </c>
      <c r="L24" s="137">
        <v>9</v>
      </c>
      <c r="M24" s="137">
        <v>9</v>
      </c>
      <c r="N24" s="137">
        <v>0</v>
      </c>
      <c r="O24" s="137">
        <v>0</v>
      </c>
      <c r="P24" s="137">
        <v>0</v>
      </c>
      <c r="Q24" s="137">
        <v>1</v>
      </c>
      <c r="R24" s="137">
        <v>0</v>
      </c>
      <c r="S24" s="137">
        <v>0</v>
      </c>
      <c r="T24" s="137">
        <v>0</v>
      </c>
      <c r="U24" s="137">
        <v>0</v>
      </c>
      <c r="V24" s="137">
        <v>0</v>
      </c>
      <c r="W24" s="137">
        <v>0</v>
      </c>
      <c r="X24" s="138">
        <v>0</v>
      </c>
    </row>
    <row r="25" spans="1:24" ht="14.6">
      <c r="A25" s="1318"/>
      <c r="B25" s="54" t="s">
        <v>46</v>
      </c>
      <c r="C25" s="136">
        <v>40</v>
      </c>
      <c r="D25" s="136">
        <v>0</v>
      </c>
      <c r="E25" s="136">
        <v>0</v>
      </c>
      <c r="F25" s="136">
        <v>0</v>
      </c>
      <c r="G25" s="136">
        <v>0</v>
      </c>
      <c r="H25" s="136">
        <v>0</v>
      </c>
      <c r="I25" s="136">
        <v>10</v>
      </c>
      <c r="J25" s="136">
        <v>10</v>
      </c>
      <c r="K25" s="136">
        <v>0</v>
      </c>
      <c r="L25" s="136">
        <v>9</v>
      </c>
      <c r="M25" s="136">
        <v>9</v>
      </c>
      <c r="N25" s="136">
        <v>0</v>
      </c>
      <c r="O25" s="137">
        <v>0</v>
      </c>
      <c r="P25" s="137">
        <v>0</v>
      </c>
      <c r="Q25" s="137">
        <v>1</v>
      </c>
      <c r="R25" s="137">
        <v>0</v>
      </c>
      <c r="S25" s="137">
        <v>0</v>
      </c>
      <c r="T25" s="137">
        <v>0</v>
      </c>
      <c r="U25" s="137">
        <v>0</v>
      </c>
      <c r="V25" s="137">
        <v>0</v>
      </c>
      <c r="W25" s="137">
        <v>0</v>
      </c>
      <c r="X25" s="138">
        <v>0</v>
      </c>
    </row>
    <row r="26" spans="1:24" ht="14.6">
      <c r="A26" s="1318"/>
      <c r="B26" s="54" t="s">
        <v>47</v>
      </c>
      <c r="C26" s="136">
        <v>35</v>
      </c>
      <c r="D26" s="136">
        <v>0</v>
      </c>
      <c r="E26" s="136">
        <v>0</v>
      </c>
      <c r="F26" s="136">
        <v>0</v>
      </c>
      <c r="G26" s="136">
        <v>0</v>
      </c>
      <c r="H26" s="136">
        <v>0</v>
      </c>
      <c r="I26" s="136">
        <v>5</v>
      </c>
      <c r="J26" s="136">
        <v>9</v>
      </c>
      <c r="K26" s="136">
        <v>0</v>
      </c>
      <c r="L26" s="136">
        <v>9</v>
      </c>
      <c r="M26" s="136">
        <v>9</v>
      </c>
      <c r="N26" s="136">
        <v>0</v>
      </c>
      <c r="O26" s="137">
        <v>0</v>
      </c>
      <c r="P26" s="137">
        <v>0</v>
      </c>
      <c r="Q26" s="137">
        <v>1</v>
      </c>
      <c r="R26" s="137">
        <v>0</v>
      </c>
      <c r="S26" s="137">
        <v>0</v>
      </c>
      <c r="T26" s="137">
        <v>0</v>
      </c>
      <c r="U26" s="137">
        <v>1</v>
      </c>
      <c r="V26" s="137">
        <v>0</v>
      </c>
      <c r="W26" s="137">
        <v>0</v>
      </c>
      <c r="X26" s="138">
        <v>0</v>
      </c>
    </row>
    <row r="27" spans="1:24" ht="14.6">
      <c r="A27" s="1318"/>
      <c r="B27" s="54" t="s">
        <v>48</v>
      </c>
      <c r="C27" s="136">
        <v>30</v>
      </c>
      <c r="D27" s="136">
        <v>0</v>
      </c>
      <c r="E27" s="136">
        <v>0</v>
      </c>
      <c r="F27" s="136">
        <v>0</v>
      </c>
      <c r="G27" s="136">
        <v>0</v>
      </c>
      <c r="H27" s="136">
        <v>0</v>
      </c>
      <c r="I27" s="136">
        <v>0</v>
      </c>
      <c r="J27" s="136">
        <v>8</v>
      </c>
      <c r="K27" s="136">
        <v>0</v>
      </c>
      <c r="L27" s="136">
        <v>8</v>
      </c>
      <c r="M27" s="136">
        <v>8</v>
      </c>
      <c r="N27" s="136">
        <v>0</v>
      </c>
      <c r="O27" s="137">
        <v>0</v>
      </c>
      <c r="P27" s="137">
        <v>0</v>
      </c>
      <c r="Q27" s="137">
        <v>2</v>
      </c>
      <c r="R27" s="137">
        <v>0</v>
      </c>
      <c r="S27" s="137">
        <v>0</v>
      </c>
      <c r="T27" s="137">
        <v>0</v>
      </c>
      <c r="U27" s="137">
        <v>1</v>
      </c>
      <c r="V27" s="137">
        <v>0</v>
      </c>
      <c r="W27" s="137">
        <v>0</v>
      </c>
      <c r="X27" s="138">
        <v>0</v>
      </c>
    </row>
    <row r="28" spans="1:24" ht="14.6">
      <c r="A28" s="1318"/>
      <c r="B28" s="54" t="s">
        <v>49</v>
      </c>
      <c r="C28" s="136">
        <v>30</v>
      </c>
      <c r="D28" s="136">
        <v>0</v>
      </c>
      <c r="E28" s="136">
        <v>0</v>
      </c>
      <c r="F28" s="136">
        <v>0</v>
      </c>
      <c r="G28" s="136">
        <v>0</v>
      </c>
      <c r="H28" s="136">
        <v>0</v>
      </c>
      <c r="I28" s="136">
        <v>5</v>
      </c>
      <c r="J28" s="136">
        <v>7</v>
      </c>
      <c r="K28" s="136">
        <v>0</v>
      </c>
      <c r="L28" s="136">
        <v>7</v>
      </c>
      <c r="M28" s="136">
        <v>7</v>
      </c>
      <c r="N28" s="136">
        <v>0</v>
      </c>
      <c r="O28" s="137">
        <v>0</v>
      </c>
      <c r="P28" s="137">
        <v>0</v>
      </c>
      <c r="Q28" s="137">
        <v>1</v>
      </c>
      <c r="R28" s="137">
        <v>0</v>
      </c>
      <c r="S28" s="137">
        <v>0</v>
      </c>
      <c r="T28" s="137">
        <v>0</v>
      </c>
      <c r="U28" s="137">
        <v>0</v>
      </c>
      <c r="V28" s="137">
        <v>0</v>
      </c>
      <c r="W28" s="137">
        <v>0</v>
      </c>
      <c r="X28" s="138">
        <v>0</v>
      </c>
    </row>
    <row r="29" spans="1:24" ht="14.6">
      <c r="A29" s="1318"/>
      <c r="B29" s="54" t="s">
        <v>50</v>
      </c>
      <c r="C29" s="136">
        <v>40</v>
      </c>
      <c r="D29" s="136">
        <v>0</v>
      </c>
      <c r="E29" s="136">
        <v>0</v>
      </c>
      <c r="F29" s="136">
        <v>0</v>
      </c>
      <c r="G29" s="136">
        <v>0</v>
      </c>
      <c r="H29" s="136">
        <v>0</v>
      </c>
      <c r="I29" s="136">
        <v>5</v>
      </c>
      <c r="J29" s="136">
        <v>10</v>
      </c>
      <c r="K29" s="136">
        <v>0</v>
      </c>
      <c r="L29" s="136">
        <v>10</v>
      </c>
      <c r="M29" s="136">
        <v>10</v>
      </c>
      <c r="N29" s="136">
        <v>0</v>
      </c>
      <c r="O29" s="137">
        <v>0</v>
      </c>
      <c r="P29" s="137">
        <v>0</v>
      </c>
      <c r="Q29" s="137">
        <v>1</v>
      </c>
      <c r="R29" s="137">
        <v>0</v>
      </c>
      <c r="S29" s="137">
        <v>0</v>
      </c>
      <c r="T29" s="137">
        <v>0</v>
      </c>
      <c r="U29" s="137">
        <v>3</v>
      </c>
      <c r="V29" s="137">
        <v>0</v>
      </c>
      <c r="W29" s="137">
        <v>0</v>
      </c>
      <c r="X29" s="138">
        <v>0</v>
      </c>
    </row>
    <row r="30" spans="1:24" ht="14.6">
      <c r="A30" s="1318"/>
      <c r="B30" s="54" t="s">
        <v>51</v>
      </c>
      <c r="C30" s="136">
        <v>40</v>
      </c>
      <c r="D30" s="136">
        <v>0</v>
      </c>
      <c r="E30" s="136">
        <v>0</v>
      </c>
      <c r="F30" s="136">
        <v>0</v>
      </c>
      <c r="G30" s="136">
        <v>0</v>
      </c>
      <c r="H30" s="136">
        <v>0</v>
      </c>
      <c r="I30" s="136">
        <v>5</v>
      </c>
      <c r="J30" s="136">
        <v>10</v>
      </c>
      <c r="K30" s="136">
        <v>0</v>
      </c>
      <c r="L30" s="136">
        <v>9</v>
      </c>
      <c r="M30" s="136">
        <v>7</v>
      </c>
      <c r="N30" s="136">
        <v>0</v>
      </c>
      <c r="O30" s="140">
        <v>0</v>
      </c>
      <c r="P30" s="140">
        <v>0</v>
      </c>
      <c r="Q30" s="140">
        <v>1</v>
      </c>
      <c r="R30" s="140">
        <v>0</v>
      </c>
      <c r="S30" s="140">
        <v>0</v>
      </c>
      <c r="T30" s="140">
        <v>0</v>
      </c>
      <c r="U30" s="140">
        <v>2</v>
      </c>
      <c r="V30" s="140">
        <v>0</v>
      </c>
      <c r="W30" s="140">
        <v>0</v>
      </c>
      <c r="X30" s="141">
        <v>0</v>
      </c>
    </row>
    <row r="31" spans="1:24" ht="14.6">
      <c r="A31" s="1318"/>
      <c r="B31" s="54" t="s">
        <v>53</v>
      </c>
      <c r="C31" s="136">
        <v>40</v>
      </c>
      <c r="D31" s="136">
        <v>0</v>
      </c>
      <c r="E31" s="136">
        <v>0</v>
      </c>
      <c r="F31" s="136">
        <v>0</v>
      </c>
      <c r="G31" s="136">
        <v>0</v>
      </c>
      <c r="H31" s="136">
        <v>0</v>
      </c>
      <c r="I31" s="136">
        <v>5</v>
      </c>
      <c r="J31" s="136">
        <v>10</v>
      </c>
      <c r="K31" s="136">
        <v>0</v>
      </c>
      <c r="L31" s="136">
        <v>10</v>
      </c>
      <c r="M31" s="136">
        <v>10</v>
      </c>
      <c r="N31" s="136">
        <v>0</v>
      </c>
      <c r="O31" s="139">
        <v>0</v>
      </c>
      <c r="P31" s="139">
        <v>0</v>
      </c>
      <c r="Q31" s="139">
        <v>1</v>
      </c>
      <c r="R31" s="139">
        <v>0</v>
      </c>
      <c r="S31" s="139">
        <v>0</v>
      </c>
      <c r="T31" s="139">
        <v>0</v>
      </c>
      <c r="U31" s="139">
        <v>2</v>
      </c>
      <c r="V31" s="139">
        <v>0</v>
      </c>
      <c r="W31" s="139">
        <v>0</v>
      </c>
      <c r="X31" s="142">
        <v>0</v>
      </c>
    </row>
    <row r="32" spans="1:24" ht="14.6">
      <c r="A32" s="1318"/>
      <c r="B32" s="54" t="s">
        <v>54</v>
      </c>
      <c r="C32" s="136">
        <v>40</v>
      </c>
      <c r="D32" s="136">
        <v>0</v>
      </c>
      <c r="E32" s="136">
        <v>0</v>
      </c>
      <c r="F32" s="136">
        <v>0</v>
      </c>
      <c r="G32" s="136">
        <v>0</v>
      </c>
      <c r="H32" s="136">
        <v>0</v>
      </c>
      <c r="I32" s="136">
        <v>5</v>
      </c>
      <c r="J32" s="136">
        <v>10</v>
      </c>
      <c r="K32" s="136">
        <v>0</v>
      </c>
      <c r="L32" s="136">
        <v>10</v>
      </c>
      <c r="M32" s="136">
        <v>10</v>
      </c>
      <c r="N32" s="136">
        <v>0</v>
      </c>
      <c r="O32" s="137">
        <v>0</v>
      </c>
      <c r="P32" s="137">
        <v>0</v>
      </c>
      <c r="Q32" s="137">
        <v>1</v>
      </c>
      <c r="R32" s="137">
        <v>0</v>
      </c>
      <c r="S32" s="137">
        <v>0</v>
      </c>
      <c r="T32" s="137">
        <v>0</v>
      </c>
      <c r="U32" s="137">
        <v>2</v>
      </c>
      <c r="V32" s="137">
        <v>0</v>
      </c>
      <c r="W32" s="137">
        <v>0</v>
      </c>
      <c r="X32" s="138">
        <v>0</v>
      </c>
    </row>
    <row r="33" spans="1:24" ht="14.6">
      <c r="A33" s="1318"/>
      <c r="B33" s="54" t="s">
        <v>55</v>
      </c>
      <c r="C33" s="136">
        <v>35</v>
      </c>
      <c r="D33" s="136">
        <v>0</v>
      </c>
      <c r="E33" s="136">
        <v>0</v>
      </c>
      <c r="F33" s="136">
        <v>0</v>
      </c>
      <c r="G33" s="136">
        <v>0</v>
      </c>
      <c r="H33" s="136">
        <v>0</v>
      </c>
      <c r="I33" s="136">
        <v>5</v>
      </c>
      <c r="J33" s="136">
        <v>9</v>
      </c>
      <c r="K33" s="136">
        <v>0</v>
      </c>
      <c r="L33" s="136">
        <v>8</v>
      </c>
      <c r="M33" s="136">
        <v>8</v>
      </c>
      <c r="N33" s="136">
        <v>0</v>
      </c>
      <c r="O33" s="137">
        <v>0</v>
      </c>
      <c r="P33" s="137">
        <v>0</v>
      </c>
      <c r="Q33" s="137">
        <v>2</v>
      </c>
      <c r="R33" s="137">
        <v>0</v>
      </c>
      <c r="S33" s="137">
        <v>0</v>
      </c>
      <c r="T33" s="137">
        <v>0</v>
      </c>
      <c r="U33" s="137">
        <v>2</v>
      </c>
      <c r="V33" s="137">
        <v>0</v>
      </c>
      <c r="W33" s="137">
        <v>0</v>
      </c>
      <c r="X33" s="138">
        <v>2</v>
      </c>
    </row>
    <row r="34" spans="1:24" ht="14.6">
      <c r="A34" s="1318"/>
      <c r="B34" s="54" t="s">
        <v>57</v>
      </c>
      <c r="C34" s="136">
        <v>50</v>
      </c>
      <c r="D34" s="136">
        <v>0</v>
      </c>
      <c r="E34" s="136">
        <v>0</v>
      </c>
      <c r="F34" s="136">
        <v>0</v>
      </c>
      <c r="G34" s="136">
        <v>0</v>
      </c>
      <c r="H34" s="136">
        <v>0</v>
      </c>
      <c r="I34" s="136">
        <v>5</v>
      </c>
      <c r="J34" s="136">
        <v>14</v>
      </c>
      <c r="K34" s="136">
        <v>0</v>
      </c>
      <c r="L34" s="136">
        <v>13</v>
      </c>
      <c r="M34" s="136">
        <v>13</v>
      </c>
      <c r="N34" s="136">
        <v>0</v>
      </c>
      <c r="O34" s="137">
        <v>0</v>
      </c>
      <c r="P34" s="137">
        <v>0</v>
      </c>
      <c r="Q34" s="137">
        <v>1</v>
      </c>
      <c r="R34" s="137">
        <v>0</v>
      </c>
      <c r="S34" s="137">
        <v>0</v>
      </c>
      <c r="T34" s="137">
        <v>0</v>
      </c>
      <c r="U34" s="137">
        <v>8</v>
      </c>
      <c r="V34" s="137">
        <v>0</v>
      </c>
      <c r="W34" s="137">
        <v>0</v>
      </c>
      <c r="X34" s="138">
        <v>0</v>
      </c>
    </row>
    <row r="35" spans="1:24" ht="14.6">
      <c r="A35" s="1318"/>
      <c r="B35" s="54" t="s">
        <v>58</v>
      </c>
      <c r="C35" s="136">
        <v>40</v>
      </c>
      <c r="D35" s="136">
        <v>0</v>
      </c>
      <c r="E35" s="136">
        <v>0</v>
      </c>
      <c r="F35" s="136">
        <v>0</v>
      </c>
      <c r="G35" s="136">
        <v>0</v>
      </c>
      <c r="H35" s="136">
        <v>0</v>
      </c>
      <c r="I35" s="136">
        <v>5</v>
      </c>
      <c r="J35" s="136">
        <v>10</v>
      </c>
      <c r="K35" s="136">
        <v>0</v>
      </c>
      <c r="L35" s="136">
        <v>10</v>
      </c>
      <c r="M35" s="136">
        <v>10</v>
      </c>
      <c r="N35" s="136">
        <v>0</v>
      </c>
      <c r="O35" s="137">
        <v>0</v>
      </c>
      <c r="P35" s="137">
        <v>0</v>
      </c>
      <c r="Q35" s="137">
        <v>2</v>
      </c>
      <c r="R35" s="137">
        <v>0</v>
      </c>
      <c r="S35" s="137">
        <v>0</v>
      </c>
      <c r="T35" s="137">
        <v>0</v>
      </c>
      <c r="U35" s="137">
        <v>0</v>
      </c>
      <c r="V35" s="137">
        <v>0</v>
      </c>
      <c r="W35" s="137">
        <v>0</v>
      </c>
      <c r="X35" s="138">
        <v>0</v>
      </c>
    </row>
    <row r="36" spans="1:24" ht="14.6">
      <c r="A36" s="1318"/>
      <c r="B36" s="54" t="s">
        <v>59</v>
      </c>
      <c r="C36" s="136">
        <v>35</v>
      </c>
      <c r="D36" s="136">
        <v>0</v>
      </c>
      <c r="E36" s="136">
        <v>0</v>
      </c>
      <c r="F36" s="136">
        <v>0</v>
      </c>
      <c r="G36" s="136">
        <v>0</v>
      </c>
      <c r="H36" s="136">
        <v>0</v>
      </c>
      <c r="I36" s="136">
        <v>5</v>
      </c>
      <c r="J36" s="136">
        <v>9</v>
      </c>
      <c r="K36" s="136">
        <v>0</v>
      </c>
      <c r="L36" s="136">
        <v>9</v>
      </c>
      <c r="M36" s="136">
        <v>9</v>
      </c>
      <c r="N36" s="136">
        <v>0</v>
      </c>
      <c r="O36" s="137">
        <v>0</v>
      </c>
      <c r="P36" s="137">
        <v>0</v>
      </c>
      <c r="Q36" s="137">
        <v>1</v>
      </c>
      <c r="R36" s="137">
        <v>0</v>
      </c>
      <c r="S36" s="137">
        <v>0</v>
      </c>
      <c r="T36" s="137">
        <v>0</v>
      </c>
      <c r="U36" s="137">
        <v>2</v>
      </c>
      <c r="V36" s="137">
        <v>0</v>
      </c>
      <c r="W36" s="137">
        <v>0</v>
      </c>
      <c r="X36" s="138">
        <v>0</v>
      </c>
    </row>
    <row r="37" spans="1:24" ht="14.6">
      <c r="A37" s="1318"/>
      <c r="B37" s="54" t="s">
        <v>60</v>
      </c>
      <c r="C37" s="136">
        <v>40</v>
      </c>
      <c r="D37" s="136">
        <v>0</v>
      </c>
      <c r="E37" s="136">
        <v>0</v>
      </c>
      <c r="F37" s="136">
        <v>0</v>
      </c>
      <c r="G37" s="136">
        <v>0</v>
      </c>
      <c r="H37" s="136">
        <v>0</v>
      </c>
      <c r="I37" s="136">
        <v>5</v>
      </c>
      <c r="J37" s="136">
        <v>10</v>
      </c>
      <c r="K37" s="136">
        <v>0</v>
      </c>
      <c r="L37" s="136">
        <v>9</v>
      </c>
      <c r="M37" s="136">
        <v>9</v>
      </c>
      <c r="N37" s="136">
        <v>0</v>
      </c>
      <c r="O37" s="137">
        <v>0</v>
      </c>
      <c r="P37" s="137">
        <v>0</v>
      </c>
      <c r="Q37" s="137">
        <v>2</v>
      </c>
      <c r="R37" s="137">
        <v>0</v>
      </c>
      <c r="S37" s="137">
        <v>0</v>
      </c>
      <c r="T37" s="137">
        <v>0</v>
      </c>
      <c r="U37" s="137">
        <v>4</v>
      </c>
      <c r="V37" s="137">
        <v>0</v>
      </c>
      <c r="W37" s="137">
        <v>0</v>
      </c>
      <c r="X37" s="138">
        <v>0</v>
      </c>
    </row>
    <row r="38" spans="1:24" ht="14.6">
      <c r="A38" s="1318"/>
      <c r="B38" s="54" t="s">
        <v>61</v>
      </c>
      <c r="C38" s="136">
        <v>50</v>
      </c>
      <c r="D38" s="136">
        <v>0</v>
      </c>
      <c r="E38" s="136">
        <v>0</v>
      </c>
      <c r="F38" s="136">
        <v>0</v>
      </c>
      <c r="G38" s="136">
        <v>0</v>
      </c>
      <c r="H38" s="136">
        <v>0</v>
      </c>
      <c r="I38" s="136">
        <v>5</v>
      </c>
      <c r="J38" s="136">
        <v>12</v>
      </c>
      <c r="K38" s="136">
        <v>0</v>
      </c>
      <c r="L38" s="136">
        <v>12</v>
      </c>
      <c r="M38" s="136">
        <v>11</v>
      </c>
      <c r="N38" s="136">
        <v>0</v>
      </c>
      <c r="O38" s="137">
        <v>0</v>
      </c>
      <c r="P38" s="137">
        <v>0</v>
      </c>
      <c r="Q38" s="137">
        <v>2</v>
      </c>
      <c r="R38" s="137">
        <v>0</v>
      </c>
      <c r="S38" s="137">
        <v>0</v>
      </c>
      <c r="T38" s="137">
        <v>0</v>
      </c>
      <c r="U38" s="137">
        <v>1</v>
      </c>
      <c r="V38" s="137">
        <v>0</v>
      </c>
      <c r="W38" s="137">
        <v>0</v>
      </c>
      <c r="X38" s="138">
        <v>0</v>
      </c>
    </row>
    <row r="39" spans="1:24" ht="14.6">
      <c r="A39" s="1318"/>
      <c r="B39" s="54" t="s">
        <v>62</v>
      </c>
      <c r="C39" s="136">
        <v>60</v>
      </c>
      <c r="D39" s="136">
        <v>10</v>
      </c>
      <c r="E39" s="136">
        <v>1</v>
      </c>
      <c r="F39" s="136">
        <v>0</v>
      </c>
      <c r="G39" s="136">
        <v>0</v>
      </c>
      <c r="H39" s="136">
        <v>0</v>
      </c>
      <c r="I39" s="136">
        <v>15</v>
      </c>
      <c r="J39" s="136">
        <v>12</v>
      </c>
      <c r="K39" s="136">
        <v>0</v>
      </c>
      <c r="L39" s="136">
        <v>11</v>
      </c>
      <c r="M39" s="136">
        <v>11</v>
      </c>
      <c r="N39" s="136">
        <v>0</v>
      </c>
      <c r="O39" s="137">
        <v>0</v>
      </c>
      <c r="P39" s="137">
        <v>0</v>
      </c>
      <c r="Q39" s="137">
        <v>3</v>
      </c>
      <c r="R39" s="137">
        <v>0</v>
      </c>
      <c r="S39" s="137">
        <v>0</v>
      </c>
      <c r="T39" s="137">
        <v>0</v>
      </c>
      <c r="U39" s="137">
        <v>12</v>
      </c>
      <c r="V39" s="137">
        <v>0</v>
      </c>
      <c r="W39" s="137">
        <v>0</v>
      </c>
      <c r="X39" s="138">
        <v>0</v>
      </c>
    </row>
    <row r="40" spans="1:24" ht="14.6">
      <c r="A40" s="1318"/>
      <c r="B40" s="54" t="s">
        <v>63</v>
      </c>
      <c r="C40" s="136">
        <v>50</v>
      </c>
      <c r="D40" s="136">
        <v>10</v>
      </c>
      <c r="E40" s="136">
        <v>1.5</v>
      </c>
      <c r="F40" s="136">
        <v>0</v>
      </c>
      <c r="G40" s="136">
        <v>0</v>
      </c>
      <c r="H40" s="136">
        <v>0</v>
      </c>
      <c r="I40" s="136">
        <v>15</v>
      </c>
      <c r="J40" s="136">
        <v>10</v>
      </c>
      <c r="K40" s="136">
        <v>0</v>
      </c>
      <c r="L40" s="136">
        <v>10</v>
      </c>
      <c r="M40" s="136">
        <v>10</v>
      </c>
      <c r="N40" s="136">
        <v>0</v>
      </c>
      <c r="O40" s="137">
        <v>0</v>
      </c>
      <c r="P40" s="137">
        <v>0</v>
      </c>
      <c r="Q40" s="137">
        <v>3</v>
      </c>
      <c r="R40" s="137">
        <v>0</v>
      </c>
      <c r="S40" s="137">
        <v>0</v>
      </c>
      <c r="T40" s="137">
        <v>0</v>
      </c>
      <c r="U40" s="137">
        <v>1</v>
      </c>
      <c r="V40" s="137">
        <v>0</v>
      </c>
      <c r="W40" s="137">
        <v>0</v>
      </c>
      <c r="X40" s="138">
        <v>0</v>
      </c>
    </row>
    <row r="41" spans="1:24" ht="14.6">
      <c r="A41" s="1318"/>
      <c r="B41" s="54" t="s">
        <v>64</v>
      </c>
      <c r="C41" s="136">
        <v>40</v>
      </c>
      <c r="D41" s="136">
        <v>0</v>
      </c>
      <c r="E41" s="136">
        <v>0</v>
      </c>
      <c r="F41" s="136">
        <v>0</v>
      </c>
      <c r="G41" s="136">
        <v>0</v>
      </c>
      <c r="H41" s="136">
        <v>0</v>
      </c>
      <c r="I41" s="136">
        <v>5</v>
      </c>
      <c r="J41" s="136">
        <v>10</v>
      </c>
      <c r="K41" s="136">
        <v>0</v>
      </c>
      <c r="L41" s="136">
        <v>9</v>
      </c>
      <c r="M41" s="136">
        <v>9</v>
      </c>
      <c r="N41" s="136">
        <v>0</v>
      </c>
      <c r="O41" s="137">
        <v>0</v>
      </c>
      <c r="P41" s="137">
        <v>0</v>
      </c>
      <c r="Q41" s="137">
        <v>1</v>
      </c>
      <c r="R41" s="137">
        <v>0</v>
      </c>
      <c r="S41" s="137">
        <v>0</v>
      </c>
      <c r="T41" s="137">
        <v>0</v>
      </c>
      <c r="U41" s="137">
        <v>3</v>
      </c>
      <c r="V41" s="137">
        <v>0</v>
      </c>
      <c r="W41" s="137">
        <v>0</v>
      </c>
      <c r="X41" s="138">
        <v>0</v>
      </c>
    </row>
    <row r="42" spans="1:24" ht="14.6">
      <c r="A42" s="1318"/>
      <c r="B42" s="54" t="s">
        <v>65</v>
      </c>
      <c r="C42" s="136">
        <v>35</v>
      </c>
      <c r="D42" s="136">
        <v>0</v>
      </c>
      <c r="E42" s="136">
        <v>0</v>
      </c>
      <c r="F42" s="136">
        <v>0</v>
      </c>
      <c r="G42" s="136">
        <v>0</v>
      </c>
      <c r="H42" s="136">
        <v>0</v>
      </c>
      <c r="I42" s="136">
        <v>5</v>
      </c>
      <c r="J42" s="136">
        <v>10</v>
      </c>
      <c r="K42" s="136">
        <v>0</v>
      </c>
      <c r="L42" s="136">
        <v>10</v>
      </c>
      <c r="M42" s="136">
        <v>10</v>
      </c>
      <c r="N42" s="136">
        <v>0</v>
      </c>
      <c r="O42" s="137">
        <v>0</v>
      </c>
      <c r="P42" s="137">
        <v>0</v>
      </c>
      <c r="Q42" s="137">
        <v>1</v>
      </c>
      <c r="R42" s="137">
        <v>0</v>
      </c>
      <c r="S42" s="137">
        <v>0</v>
      </c>
      <c r="T42" s="137">
        <v>0</v>
      </c>
      <c r="U42" s="137">
        <v>0</v>
      </c>
      <c r="V42" s="137">
        <v>0</v>
      </c>
      <c r="W42" s="137">
        <v>0</v>
      </c>
      <c r="X42" s="138">
        <v>0</v>
      </c>
    </row>
    <row r="43" spans="1:24" ht="14.6">
      <c r="A43" s="1318"/>
      <c r="B43" s="54" t="s">
        <v>67</v>
      </c>
      <c r="C43" s="136">
        <v>40</v>
      </c>
      <c r="D43" s="136">
        <v>0</v>
      </c>
      <c r="E43" s="136">
        <v>0</v>
      </c>
      <c r="F43" s="136">
        <v>0</v>
      </c>
      <c r="G43" s="136">
        <v>0</v>
      </c>
      <c r="H43" s="136">
        <v>0</v>
      </c>
      <c r="I43" s="136">
        <v>5</v>
      </c>
      <c r="J43" s="136">
        <v>10</v>
      </c>
      <c r="K43" s="136">
        <v>0</v>
      </c>
      <c r="L43" s="136">
        <v>10</v>
      </c>
      <c r="M43" s="136">
        <v>10</v>
      </c>
      <c r="N43" s="136">
        <v>0</v>
      </c>
      <c r="O43" s="137">
        <v>0</v>
      </c>
      <c r="P43" s="137">
        <v>0</v>
      </c>
      <c r="Q43" s="137">
        <v>1</v>
      </c>
      <c r="R43" s="137">
        <v>0</v>
      </c>
      <c r="S43" s="137">
        <v>0</v>
      </c>
      <c r="T43" s="137">
        <v>0</v>
      </c>
      <c r="U43" s="137">
        <v>0</v>
      </c>
      <c r="V43" s="137">
        <v>0</v>
      </c>
      <c r="W43" s="137">
        <v>0</v>
      </c>
      <c r="X43" s="138">
        <v>0</v>
      </c>
    </row>
    <row r="44" spans="1:24" ht="14.6">
      <c r="A44" s="1318"/>
      <c r="B44" s="54" t="s">
        <v>66</v>
      </c>
      <c r="C44" s="136">
        <v>40</v>
      </c>
      <c r="D44" s="136">
        <v>0</v>
      </c>
      <c r="E44" s="136">
        <v>0</v>
      </c>
      <c r="F44" s="136">
        <v>0</v>
      </c>
      <c r="G44" s="136">
        <v>0</v>
      </c>
      <c r="H44" s="136">
        <v>0</v>
      </c>
      <c r="I44" s="136">
        <v>5</v>
      </c>
      <c r="J44" s="136">
        <v>10</v>
      </c>
      <c r="K44" s="136">
        <v>0</v>
      </c>
      <c r="L44" s="136">
        <v>9</v>
      </c>
      <c r="M44" s="136">
        <v>9</v>
      </c>
      <c r="N44" s="136">
        <v>0</v>
      </c>
      <c r="O44" s="137">
        <v>0</v>
      </c>
      <c r="P44" s="137">
        <v>0</v>
      </c>
      <c r="Q44" s="137">
        <v>1</v>
      </c>
      <c r="R44" s="137">
        <v>0</v>
      </c>
      <c r="S44" s="137">
        <v>0</v>
      </c>
      <c r="T44" s="137">
        <v>0</v>
      </c>
      <c r="U44" s="137">
        <v>1</v>
      </c>
      <c r="V44" s="137">
        <v>0</v>
      </c>
      <c r="W44" s="137">
        <v>0</v>
      </c>
      <c r="X44" s="138">
        <v>0</v>
      </c>
    </row>
    <row r="45" spans="1:24" ht="14.6">
      <c r="A45" s="1318"/>
      <c r="B45" s="54" t="s">
        <v>68</v>
      </c>
      <c r="C45" s="136">
        <v>35</v>
      </c>
      <c r="D45" s="136">
        <v>0</v>
      </c>
      <c r="E45" s="136">
        <v>0</v>
      </c>
      <c r="F45" s="136">
        <v>0</v>
      </c>
      <c r="G45" s="136">
        <v>0</v>
      </c>
      <c r="H45" s="136">
        <v>0</v>
      </c>
      <c r="I45" s="136">
        <v>5</v>
      </c>
      <c r="J45" s="136">
        <v>9</v>
      </c>
      <c r="K45" s="136">
        <v>0</v>
      </c>
      <c r="L45" s="136">
        <v>9</v>
      </c>
      <c r="M45" s="136">
        <v>9</v>
      </c>
      <c r="N45" s="136">
        <v>0</v>
      </c>
      <c r="O45" s="140">
        <v>0</v>
      </c>
      <c r="P45" s="140">
        <v>0</v>
      </c>
      <c r="Q45" s="140">
        <v>2</v>
      </c>
      <c r="R45" s="140">
        <v>0</v>
      </c>
      <c r="S45" s="140">
        <v>0</v>
      </c>
      <c r="T45" s="140">
        <v>0</v>
      </c>
      <c r="U45" s="140">
        <v>4</v>
      </c>
      <c r="V45" s="140">
        <v>0</v>
      </c>
      <c r="W45" s="140">
        <v>0</v>
      </c>
      <c r="X45" s="141">
        <v>2</v>
      </c>
    </row>
    <row r="46" spans="1:24" ht="14.6">
      <c r="A46" s="1318"/>
      <c r="B46" s="54" t="s">
        <v>69</v>
      </c>
      <c r="C46" s="136">
        <v>40</v>
      </c>
      <c r="D46" s="136">
        <v>0</v>
      </c>
      <c r="E46" s="136">
        <v>0</v>
      </c>
      <c r="F46" s="136">
        <v>0</v>
      </c>
      <c r="G46" s="136">
        <v>0</v>
      </c>
      <c r="H46" s="136">
        <v>0</v>
      </c>
      <c r="I46" s="136">
        <v>5</v>
      </c>
      <c r="J46" s="136">
        <v>10</v>
      </c>
      <c r="K46" s="136">
        <v>0</v>
      </c>
      <c r="L46" s="136">
        <v>10</v>
      </c>
      <c r="M46" s="136">
        <v>9</v>
      </c>
      <c r="N46" s="136">
        <v>0</v>
      </c>
      <c r="O46" s="137">
        <v>0</v>
      </c>
      <c r="P46" s="137">
        <v>0</v>
      </c>
      <c r="Q46" s="137">
        <v>2</v>
      </c>
      <c r="R46" s="137">
        <v>0</v>
      </c>
      <c r="S46" s="137">
        <v>0</v>
      </c>
      <c r="T46" s="137">
        <v>0</v>
      </c>
      <c r="U46" s="137">
        <v>3</v>
      </c>
      <c r="V46" s="137">
        <v>0</v>
      </c>
      <c r="W46" s="137">
        <v>0</v>
      </c>
      <c r="X46" s="138">
        <v>2</v>
      </c>
    </row>
    <row r="47" spans="1:24" ht="14.6">
      <c r="A47" s="1318"/>
      <c r="B47" s="54" t="s">
        <v>70</v>
      </c>
      <c r="C47" s="136">
        <v>30</v>
      </c>
      <c r="D47" s="136">
        <v>0</v>
      </c>
      <c r="E47" s="136">
        <v>0</v>
      </c>
      <c r="F47" s="136">
        <v>0</v>
      </c>
      <c r="G47" s="136">
        <v>0</v>
      </c>
      <c r="H47" s="136">
        <v>0</v>
      </c>
      <c r="I47" s="136">
        <v>5</v>
      </c>
      <c r="J47" s="136">
        <v>7</v>
      </c>
      <c r="K47" s="136">
        <v>0</v>
      </c>
      <c r="L47" s="136">
        <v>7</v>
      </c>
      <c r="M47" s="136">
        <v>7</v>
      </c>
      <c r="N47" s="136">
        <v>0</v>
      </c>
      <c r="O47" s="136">
        <v>0</v>
      </c>
      <c r="P47" s="136">
        <v>0</v>
      </c>
      <c r="Q47" s="136">
        <v>1</v>
      </c>
      <c r="R47" s="136">
        <v>0</v>
      </c>
      <c r="S47" s="136">
        <v>0</v>
      </c>
      <c r="T47" s="136">
        <v>0</v>
      </c>
      <c r="U47" s="136">
        <v>0</v>
      </c>
      <c r="V47" s="136">
        <v>0</v>
      </c>
      <c r="W47" s="136">
        <v>0</v>
      </c>
      <c r="X47" s="143">
        <v>0</v>
      </c>
    </row>
    <row r="48" spans="1:24" ht="14.6">
      <c r="A48" s="1318"/>
      <c r="B48" s="54" t="s">
        <v>71</v>
      </c>
      <c r="C48" s="136">
        <v>40</v>
      </c>
      <c r="D48" s="136">
        <v>0</v>
      </c>
      <c r="E48" s="136">
        <v>0</v>
      </c>
      <c r="F48" s="136">
        <v>0</v>
      </c>
      <c r="G48" s="136">
        <v>0</v>
      </c>
      <c r="H48" s="136">
        <v>0</v>
      </c>
      <c r="I48" s="136">
        <v>5</v>
      </c>
      <c r="J48" s="136">
        <v>10</v>
      </c>
      <c r="K48" s="136">
        <v>0</v>
      </c>
      <c r="L48" s="136">
        <v>9</v>
      </c>
      <c r="M48" s="136">
        <v>9</v>
      </c>
      <c r="N48" s="136">
        <v>0</v>
      </c>
      <c r="O48" s="137">
        <v>0</v>
      </c>
      <c r="P48" s="137">
        <v>0</v>
      </c>
      <c r="Q48" s="137">
        <v>1</v>
      </c>
      <c r="R48" s="137">
        <v>0</v>
      </c>
      <c r="S48" s="137">
        <v>0</v>
      </c>
      <c r="T48" s="137">
        <v>0</v>
      </c>
      <c r="U48" s="137">
        <v>3</v>
      </c>
      <c r="V48" s="137">
        <v>0</v>
      </c>
      <c r="W48" s="137">
        <v>0</v>
      </c>
      <c r="X48" s="138">
        <v>0</v>
      </c>
    </row>
    <row r="49" spans="1:24" ht="14.6">
      <c r="A49" s="1318"/>
      <c r="B49" s="54" t="s">
        <v>72</v>
      </c>
      <c r="C49" s="136">
        <v>45</v>
      </c>
      <c r="D49" s="136">
        <v>0</v>
      </c>
      <c r="E49" s="136">
        <v>0</v>
      </c>
      <c r="F49" s="136">
        <v>0</v>
      </c>
      <c r="G49" s="136">
        <v>0</v>
      </c>
      <c r="H49" s="136">
        <v>0</v>
      </c>
      <c r="I49" s="136">
        <v>10</v>
      </c>
      <c r="J49" s="136">
        <v>12</v>
      </c>
      <c r="K49" s="136">
        <v>0</v>
      </c>
      <c r="L49" s="136">
        <v>11</v>
      </c>
      <c r="M49" s="136">
        <v>11</v>
      </c>
      <c r="N49" s="136">
        <v>0</v>
      </c>
      <c r="O49" s="137">
        <v>0</v>
      </c>
      <c r="P49" s="137">
        <v>0</v>
      </c>
      <c r="Q49" s="137">
        <v>1</v>
      </c>
      <c r="R49" s="137">
        <v>0</v>
      </c>
      <c r="S49" s="137">
        <v>0</v>
      </c>
      <c r="T49" s="137">
        <v>0</v>
      </c>
      <c r="U49" s="137">
        <v>0</v>
      </c>
      <c r="V49" s="137">
        <v>0</v>
      </c>
      <c r="W49" s="137">
        <v>0</v>
      </c>
      <c r="X49" s="138">
        <v>0</v>
      </c>
    </row>
    <row r="50" spans="1:24" ht="14.6">
      <c r="A50" s="1318"/>
      <c r="B50" s="54" t="s">
        <v>74</v>
      </c>
      <c r="C50" s="136">
        <v>35</v>
      </c>
      <c r="D50" s="136">
        <v>0</v>
      </c>
      <c r="E50" s="136">
        <v>0</v>
      </c>
      <c r="F50" s="136">
        <v>0</v>
      </c>
      <c r="G50" s="136">
        <v>0</v>
      </c>
      <c r="H50" s="136">
        <v>0</v>
      </c>
      <c r="I50" s="136">
        <v>5</v>
      </c>
      <c r="J50" s="136">
        <v>10</v>
      </c>
      <c r="K50" s="136">
        <v>0</v>
      </c>
      <c r="L50" s="136">
        <v>9</v>
      </c>
      <c r="M50" s="136">
        <v>9</v>
      </c>
      <c r="N50" s="136">
        <v>0</v>
      </c>
      <c r="O50" s="137">
        <v>0</v>
      </c>
      <c r="P50" s="137">
        <v>0</v>
      </c>
      <c r="Q50" s="137">
        <v>1</v>
      </c>
      <c r="R50" s="137">
        <v>0</v>
      </c>
      <c r="S50" s="137">
        <v>0</v>
      </c>
      <c r="T50" s="137">
        <v>0</v>
      </c>
      <c r="U50" s="137">
        <v>0</v>
      </c>
      <c r="V50" s="137">
        <v>0</v>
      </c>
      <c r="W50" s="137">
        <v>0</v>
      </c>
      <c r="X50" s="138">
        <v>0</v>
      </c>
    </row>
    <row r="51" spans="1:24" ht="14.6">
      <c r="A51" s="1318"/>
      <c r="B51" s="54" t="s">
        <v>75</v>
      </c>
      <c r="C51" s="136">
        <v>35</v>
      </c>
      <c r="D51" s="136">
        <v>0</v>
      </c>
      <c r="E51" s="136">
        <v>0</v>
      </c>
      <c r="F51" s="136">
        <v>0</v>
      </c>
      <c r="G51" s="136">
        <v>0</v>
      </c>
      <c r="H51" s="136">
        <v>0</v>
      </c>
      <c r="I51" s="136">
        <v>5</v>
      </c>
      <c r="J51" s="136">
        <v>9</v>
      </c>
      <c r="K51" s="136">
        <v>0</v>
      </c>
      <c r="L51" s="136">
        <v>9</v>
      </c>
      <c r="M51" s="136">
        <v>9</v>
      </c>
      <c r="N51" s="136">
        <v>0</v>
      </c>
      <c r="O51" s="137">
        <v>0</v>
      </c>
      <c r="P51" s="137">
        <v>0</v>
      </c>
      <c r="Q51" s="137">
        <v>1</v>
      </c>
      <c r="R51" s="137">
        <v>0</v>
      </c>
      <c r="S51" s="137">
        <v>0</v>
      </c>
      <c r="T51" s="137">
        <v>0</v>
      </c>
      <c r="U51" s="137">
        <v>3</v>
      </c>
      <c r="V51" s="137">
        <v>0</v>
      </c>
      <c r="W51" s="137">
        <v>0</v>
      </c>
      <c r="X51" s="138">
        <v>0</v>
      </c>
    </row>
    <row r="52" spans="1:24" ht="14.6">
      <c r="A52" s="1318"/>
      <c r="B52" s="54" t="s">
        <v>76</v>
      </c>
      <c r="C52" s="136">
        <v>40</v>
      </c>
      <c r="D52" s="136">
        <v>0</v>
      </c>
      <c r="E52" s="136">
        <v>0</v>
      </c>
      <c r="F52" s="136">
        <v>0</v>
      </c>
      <c r="G52" s="136">
        <v>0</v>
      </c>
      <c r="H52" s="136">
        <v>0</v>
      </c>
      <c r="I52" s="136">
        <v>5</v>
      </c>
      <c r="J52" s="136">
        <v>11</v>
      </c>
      <c r="K52" s="136">
        <v>0</v>
      </c>
      <c r="L52" s="136">
        <v>10</v>
      </c>
      <c r="M52" s="136">
        <v>10</v>
      </c>
      <c r="N52" s="136">
        <v>0</v>
      </c>
      <c r="O52" s="139">
        <v>0</v>
      </c>
      <c r="P52" s="139">
        <v>0</v>
      </c>
      <c r="Q52" s="139">
        <v>1</v>
      </c>
      <c r="R52" s="139">
        <v>0</v>
      </c>
      <c r="S52" s="139">
        <v>0</v>
      </c>
      <c r="T52" s="139">
        <v>0</v>
      </c>
      <c r="U52" s="139">
        <v>1</v>
      </c>
      <c r="V52" s="139">
        <v>0</v>
      </c>
      <c r="W52" s="139">
        <v>0</v>
      </c>
      <c r="X52" s="142">
        <v>0</v>
      </c>
    </row>
    <row r="53" spans="1:24" ht="14.6">
      <c r="A53" s="1318"/>
      <c r="B53" s="54" t="s">
        <v>77</v>
      </c>
      <c r="C53" s="136">
        <v>40</v>
      </c>
      <c r="D53" s="136">
        <v>0</v>
      </c>
      <c r="E53" s="136">
        <v>0</v>
      </c>
      <c r="F53" s="136">
        <v>0</v>
      </c>
      <c r="G53" s="136">
        <v>0</v>
      </c>
      <c r="H53" s="136">
        <v>0</v>
      </c>
      <c r="I53" s="136">
        <v>5</v>
      </c>
      <c r="J53" s="136">
        <v>10</v>
      </c>
      <c r="K53" s="136">
        <v>0</v>
      </c>
      <c r="L53" s="136">
        <v>10</v>
      </c>
      <c r="M53" s="136">
        <v>10</v>
      </c>
      <c r="N53" s="136">
        <v>0</v>
      </c>
      <c r="O53" s="137">
        <v>0</v>
      </c>
      <c r="P53" s="137">
        <v>0</v>
      </c>
      <c r="Q53" s="137">
        <v>2</v>
      </c>
      <c r="R53" s="137">
        <v>0</v>
      </c>
      <c r="S53" s="137">
        <v>0</v>
      </c>
      <c r="T53" s="137">
        <v>0</v>
      </c>
      <c r="U53" s="137">
        <v>2</v>
      </c>
      <c r="V53" s="137">
        <v>0</v>
      </c>
      <c r="W53" s="137">
        <v>0</v>
      </c>
      <c r="X53" s="138">
        <v>0</v>
      </c>
    </row>
    <row r="54" spans="1:24" ht="15" thickBot="1">
      <c r="A54" s="1319"/>
      <c r="B54" s="55" t="s">
        <v>78</v>
      </c>
      <c r="C54" s="144">
        <v>40</v>
      </c>
      <c r="D54" s="144">
        <v>0</v>
      </c>
      <c r="E54" s="144">
        <v>0</v>
      </c>
      <c r="F54" s="144">
        <v>0</v>
      </c>
      <c r="G54" s="144">
        <v>0</v>
      </c>
      <c r="H54" s="144">
        <v>0</v>
      </c>
      <c r="I54" s="144">
        <v>0</v>
      </c>
      <c r="J54" s="144">
        <v>9</v>
      </c>
      <c r="K54" s="144">
        <v>0</v>
      </c>
      <c r="L54" s="144">
        <v>9</v>
      </c>
      <c r="M54" s="144">
        <v>9</v>
      </c>
      <c r="N54" s="144">
        <v>0</v>
      </c>
      <c r="O54" s="144">
        <v>0</v>
      </c>
      <c r="P54" s="144">
        <v>0</v>
      </c>
      <c r="Q54" s="144">
        <v>2</v>
      </c>
      <c r="R54" s="144">
        <v>0</v>
      </c>
      <c r="S54" s="144">
        <v>0</v>
      </c>
      <c r="T54" s="144">
        <v>0</v>
      </c>
      <c r="U54" s="144">
        <v>3</v>
      </c>
      <c r="V54" s="144">
        <v>0</v>
      </c>
      <c r="W54" s="144">
        <v>0</v>
      </c>
      <c r="X54" s="145">
        <v>0</v>
      </c>
    </row>
    <row r="55" spans="1:24" ht="14.6">
      <c r="A55" s="1317" t="s">
        <v>79</v>
      </c>
      <c r="B55" s="53" t="s">
        <v>80</v>
      </c>
      <c r="C55" s="133">
        <v>40</v>
      </c>
      <c r="D55" s="133">
        <v>0</v>
      </c>
      <c r="E55" s="133">
        <v>0</v>
      </c>
      <c r="F55" s="133">
        <v>0</v>
      </c>
      <c r="G55" s="133">
        <v>0</v>
      </c>
      <c r="H55" s="133">
        <v>0</v>
      </c>
      <c r="I55" s="133">
        <v>0</v>
      </c>
      <c r="J55" s="133">
        <v>8</v>
      </c>
      <c r="K55" s="133">
        <v>0</v>
      </c>
      <c r="L55" s="133">
        <v>8</v>
      </c>
      <c r="M55" s="133">
        <v>7</v>
      </c>
      <c r="N55" s="133">
        <v>0</v>
      </c>
      <c r="O55" s="134">
        <v>0</v>
      </c>
      <c r="P55" s="134">
        <v>0</v>
      </c>
      <c r="Q55" s="134">
        <v>3</v>
      </c>
      <c r="R55" s="134">
        <v>0</v>
      </c>
      <c r="S55" s="134">
        <v>0</v>
      </c>
      <c r="T55" s="134">
        <v>0</v>
      </c>
      <c r="U55" s="134">
        <v>30</v>
      </c>
      <c r="V55" s="134">
        <v>0</v>
      </c>
      <c r="W55" s="134">
        <v>0</v>
      </c>
      <c r="X55" s="135">
        <v>0</v>
      </c>
    </row>
    <row r="56" spans="1:24" ht="14.6">
      <c r="A56" s="1318"/>
      <c r="B56" s="54" t="s">
        <v>81</v>
      </c>
      <c r="C56" s="136">
        <v>30</v>
      </c>
      <c r="D56" s="136">
        <v>0</v>
      </c>
      <c r="E56" s="136">
        <v>0</v>
      </c>
      <c r="F56" s="136">
        <v>0</v>
      </c>
      <c r="G56" s="136">
        <v>0</v>
      </c>
      <c r="H56" s="136">
        <v>0</v>
      </c>
      <c r="I56" s="136">
        <v>0</v>
      </c>
      <c r="J56" s="136">
        <v>7</v>
      </c>
      <c r="K56" s="136">
        <v>0</v>
      </c>
      <c r="L56" s="136">
        <v>7</v>
      </c>
      <c r="M56" s="136">
        <v>6</v>
      </c>
      <c r="N56" s="136">
        <v>0</v>
      </c>
      <c r="O56" s="136">
        <v>0</v>
      </c>
      <c r="P56" s="136">
        <v>0</v>
      </c>
      <c r="Q56" s="136">
        <v>2</v>
      </c>
      <c r="R56" s="136">
        <v>0</v>
      </c>
      <c r="S56" s="136">
        <v>0</v>
      </c>
      <c r="T56" s="136">
        <v>0</v>
      </c>
      <c r="U56" s="136">
        <v>1</v>
      </c>
      <c r="V56" s="136">
        <v>0</v>
      </c>
      <c r="W56" s="136">
        <v>0</v>
      </c>
      <c r="X56" s="143">
        <v>0</v>
      </c>
    </row>
    <row r="57" spans="1:24" ht="14.6">
      <c r="A57" s="1318"/>
      <c r="B57" s="54" t="s">
        <v>82</v>
      </c>
      <c r="C57" s="136">
        <v>30</v>
      </c>
      <c r="D57" s="136">
        <v>0</v>
      </c>
      <c r="E57" s="136">
        <v>0</v>
      </c>
      <c r="F57" s="136">
        <v>0</v>
      </c>
      <c r="G57" s="136">
        <v>0</v>
      </c>
      <c r="H57" s="136">
        <v>0</v>
      </c>
      <c r="I57" s="136">
        <v>0</v>
      </c>
      <c r="J57" s="136">
        <v>8</v>
      </c>
      <c r="K57" s="136">
        <v>0</v>
      </c>
      <c r="L57" s="136">
        <v>8</v>
      </c>
      <c r="M57" s="136">
        <v>8</v>
      </c>
      <c r="N57" s="136">
        <v>0</v>
      </c>
      <c r="O57" s="136">
        <v>0</v>
      </c>
      <c r="P57" s="136">
        <v>0</v>
      </c>
      <c r="Q57" s="136">
        <v>2</v>
      </c>
      <c r="R57" s="136">
        <v>0</v>
      </c>
      <c r="S57" s="136">
        <v>0</v>
      </c>
      <c r="T57" s="136">
        <v>0</v>
      </c>
      <c r="U57" s="136">
        <v>1</v>
      </c>
      <c r="V57" s="136">
        <v>0</v>
      </c>
      <c r="W57" s="136">
        <v>0</v>
      </c>
      <c r="X57" s="143">
        <v>0</v>
      </c>
    </row>
    <row r="58" spans="1:24" ht="14.6">
      <c r="A58" s="1318"/>
      <c r="B58" s="54" t="s">
        <v>83</v>
      </c>
      <c r="C58" s="137">
        <v>30</v>
      </c>
      <c r="D58" s="137">
        <v>0</v>
      </c>
      <c r="E58" s="137">
        <v>0</v>
      </c>
      <c r="F58" s="137">
        <v>0</v>
      </c>
      <c r="G58" s="137">
        <v>0</v>
      </c>
      <c r="H58" s="137">
        <v>0</v>
      </c>
      <c r="I58" s="137">
        <v>0</v>
      </c>
      <c r="J58" s="137">
        <v>8</v>
      </c>
      <c r="K58" s="137">
        <v>0</v>
      </c>
      <c r="L58" s="137">
        <v>8</v>
      </c>
      <c r="M58" s="137">
        <v>8</v>
      </c>
      <c r="N58" s="137">
        <v>0</v>
      </c>
      <c r="O58" s="137">
        <v>0</v>
      </c>
      <c r="P58" s="137">
        <v>0</v>
      </c>
      <c r="Q58" s="137">
        <v>2</v>
      </c>
      <c r="R58" s="137">
        <v>0</v>
      </c>
      <c r="S58" s="137">
        <v>0</v>
      </c>
      <c r="T58" s="137">
        <v>0</v>
      </c>
      <c r="U58" s="137">
        <v>3</v>
      </c>
      <c r="V58" s="137">
        <v>0</v>
      </c>
      <c r="W58" s="137">
        <v>0</v>
      </c>
      <c r="X58" s="138">
        <v>6</v>
      </c>
    </row>
    <row r="59" spans="1:24" ht="14.6">
      <c r="A59" s="1318"/>
      <c r="B59" s="54" t="s">
        <v>84</v>
      </c>
      <c r="C59" s="136">
        <v>40</v>
      </c>
      <c r="D59" s="136">
        <v>0</v>
      </c>
      <c r="E59" s="136">
        <v>0</v>
      </c>
      <c r="F59" s="136">
        <v>0</v>
      </c>
      <c r="G59" s="136">
        <v>0</v>
      </c>
      <c r="H59" s="136">
        <v>0</v>
      </c>
      <c r="I59" s="136">
        <v>0</v>
      </c>
      <c r="J59" s="136">
        <v>8</v>
      </c>
      <c r="K59" s="136">
        <v>0</v>
      </c>
      <c r="L59" s="136">
        <v>7</v>
      </c>
      <c r="M59" s="136">
        <v>7</v>
      </c>
      <c r="N59" s="136">
        <v>0</v>
      </c>
      <c r="O59" s="136">
        <v>0</v>
      </c>
      <c r="P59" s="136">
        <v>0</v>
      </c>
      <c r="Q59" s="136">
        <v>4</v>
      </c>
      <c r="R59" s="136">
        <v>0</v>
      </c>
      <c r="S59" s="136">
        <v>0</v>
      </c>
      <c r="T59" s="136">
        <v>0</v>
      </c>
      <c r="U59" s="136">
        <v>23</v>
      </c>
      <c r="V59" s="136">
        <v>0</v>
      </c>
      <c r="W59" s="136">
        <v>0</v>
      </c>
      <c r="X59" s="143">
        <v>2</v>
      </c>
    </row>
    <row r="60" spans="1:24" ht="14.6">
      <c r="A60" s="1318"/>
      <c r="B60" s="54" t="s">
        <v>85</v>
      </c>
      <c r="C60" s="136">
        <v>35</v>
      </c>
      <c r="D60" s="136">
        <v>0</v>
      </c>
      <c r="E60" s="136">
        <v>0</v>
      </c>
      <c r="F60" s="136">
        <v>0</v>
      </c>
      <c r="G60" s="136">
        <v>0</v>
      </c>
      <c r="H60" s="136">
        <v>0</v>
      </c>
      <c r="I60" s="136">
        <v>0</v>
      </c>
      <c r="J60" s="136">
        <v>8</v>
      </c>
      <c r="K60" s="136">
        <v>0</v>
      </c>
      <c r="L60" s="136">
        <v>8</v>
      </c>
      <c r="M60" s="136">
        <v>7</v>
      </c>
      <c r="N60" s="136">
        <v>0</v>
      </c>
      <c r="O60" s="137">
        <v>0</v>
      </c>
      <c r="P60" s="137">
        <v>0</v>
      </c>
      <c r="Q60" s="137">
        <v>3</v>
      </c>
      <c r="R60" s="137">
        <v>0</v>
      </c>
      <c r="S60" s="137">
        <v>0</v>
      </c>
      <c r="T60" s="137">
        <v>0</v>
      </c>
      <c r="U60" s="137">
        <v>14</v>
      </c>
      <c r="V60" s="137">
        <v>0</v>
      </c>
      <c r="W60" s="137">
        <v>0</v>
      </c>
      <c r="X60" s="138">
        <v>40</v>
      </c>
    </row>
    <row r="61" spans="1:24" ht="14.6">
      <c r="A61" s="1318"/>
      <c r="B61" s="54" t="s">
        <v>379</v>
      </c>
      <c r="C61" s="136">
        <v>35</v>
      </c>
      <c r="D61" s="136">
        <v>0</v>
      </c>
      <c r="E61" s="136">
        <v>0</v>
      </c>
      <c r="F61" s="136">
        <v>0</v>
      </c>
      <c r="G61" s="136">
        <v>0</v>
      </c>
      <c r="H61" s="136">
        <v>0</v>
      </c>
      <c r="I61" s="136">
        <v>0</v>
      </c>
      <c r="J61" s="136">
        <v>8</v>
      </c>
      <c r="K61" s="136">
        <v>0</v>
      </c>
      <c r="L61" s="136">
        <v>8</v>
      </c>
      <c r="M61" s="136">
        <v>7</v>
      </c>
      <c r="N61" s="136">
        <v>0</v>
      </c>
      <c r="O61" s="137">
        <v>0</v>
      </c>
      <c r="P61" s="137">
        <v>0</v>
      </c>
      <c r="Q61" s="137">
        <v>2</v>
      </c>
      <c r="R61" s="137">
        <v>0</v>
      </c>
      <c r="S61" s="137">
        <v>0</v>
      </c>
      <c r="T61" s="137">
        <v>0</v>
      </c>
      <c r="U61" s="137">
        <v>11</v>
      </c>
      <c r="V61" s="137">
        <v>0</v>
      </c>
      <c r="W61" s="137">
        <v>0</v>
      </c>
      <c r="X61" s="138">
        <v>30</v>
      </c>
    </row>
    <row r="62" spans="1:24" ht="14.6">
      <c r="A62" s="1318"/>
      <c r="B62" s="54" t="s">
        <v>88</v>
      </c>
      <c r="C62" s="136">
        <v>35</v>
      </c>
      <c r="D62" s="136">
        <v>0</v>
      </c>
      <c r="E62" s="136">
        <v>0</v>
      </c>
      <c r="F62" s="136">
        <v>0</v>
      </c>
      <c r="G62" s="136">
        <v>0</v>
      </c>
      <c r="H62" s="136">
        <v>0</v>
      </c>
      <c r="I62" s="136">
        <v>0</v>
      </c>
      <c r="J62" s="136">
        <v>9</v>
      </c>
      <c r="K62" s="136">
        <v>0</v>
      </c>
      <c r="L62" s="136">
        <v>8</v>
      </c>
      <c r="M62" s="136">
        <v>8</v>
      </c>
      <c r="N62" s="136">
        <v>0</v>
      </c>
      <c r="O62" s="136">
        <v>0</v>
      </c>
      <c r="P62" s="136">
        <v>0</v>
      </c>
      <c r="Q62" s="136">
        <v>2</v>
      </c>
      <c r="R62" s="136">
        <v>0</v>
      </c>
      <c r="S62" s="136">
        <v>0</v>
      </c>
      <c r="T62" s="136">
        <v>0</v>
      </c>
      <c r="U62" s="136">
        <v>8</v>
      </c>
      <c r="V62" s="136">
        <v>0</v>
      </c>
      <c r="W62" s="136">
        <v>0</v>
      </c>
      <c r="X62" s="143">
        <v>20</v>
      </c>
    </row>
    <row r="63" spans="1:24" ht="14.6">
      <c r="A63" s="1318"/>
      <c r="B63" s="54" t="s">
        <v>87</v>
      </c>
      <c r="C63" s="136">
        <v>30</v>
      </c>
      <c r="D63" s="136">
        <v>0</v>
      </c>
      <c r="E63" s="136">
        <v>0</v>
      </c>
      <c r="F63" s="136">
        <v>0</v>
      </c>
      <c r="G63" s="136">
        <v>0</v>
      </c>
      <c r="H63" s="136">
        <v>0</v>
      </c>
      <c r="I63" s="136">
        <v>0</v>
      </c>
      <c r="J63" s="136">
        <v>8</v>
      </c>
      <c r="K63" s="136">
        <v>0</v>
      </c>
      <c r="L63" s="136">
        <v>7</v>
      </c>
      <c r="M63" s="136">
        <v>7</v>
      </c>
      <c r="N63" s="136">
        <v>0</v>
      </c>
      <c r="O63" s="137">
        <v>0</v>
      </c>
      <c r="P63" s="137">
        <v>0</v>
      </c>
      <c r="Q63" s="137">
        <v>2</v>
      </c>
      <c r="R63" s="137">
        <v>0</v>
      </c>
      <c r="S63" s="137">
        <v>0</v>
      </c>
      <c r="T63" s="137">
        <v>0</v>
      </c>
      <c r="U63" s="137">
        <v>2</v>
      </c>
      <c r="V63" s="137">
        <v>0</v>
      </c>
      <c r="W63" s="137">
        <v>0</v>
      </c>
      <c r="X63" s="138">
        <v>6</v>
      </c>
    </row>
    <row r="64" spans="1:24" ht="14.6">
      <c r="A64" s="1318"/>
      <c r="B64" s="54" t="s">
        <v>89</v>
      </c>
      <c r="C64" s="137">
        <v>45</v>
      </c>
      <c r="D64" s="137">
        <v>0</v>
      </c>
      <c r="E64" s="137">
        <v>0</v>
      </c>
      <c r="F64" s="137">
        <v>0</v>
      </c>
      <c r="G64" s="137">
        <v>0</v>
      </c>
      <c r="H64" s="137">
        <v>0</v>
      </c>
      <c r="I64" s="137">
        <v>0</v>
      </c>
      <c r="J64" s="137">
        <v>7</v>
      </c>
      <c r="K64" s="137">
        <v>0</v>
      </c>
      <c r="L64" s="137">
        <v>6</v>
      </c>
      <c r="M64" s="137">
        <v>6</v>
      </c>
      <c r="N64" s="137">
        <v>0</v>
      </c>
      <c r="O64" s="137">
        <v>0</v>
      </c>
      <c r="P64" s="137">
        <v>0</v>
      </c>
      <c r="Q64" s="137">
        <v>5</v>
      </c>
      <c r="R64" s="137">
        <v>0</v>
      </c>
      <c r="S64" s="137">
        <v>0</v>
      </c>
      <c r="T64" s="137">
        <v>0</v>
      </c>
      <c r="U64" s="137">
        <v>41</v>
      </c>
      <c r="V64" s="137">
        <v>0</v>
      </c>
      <c r="W64" s="137">
        <v>0</v>
      </c>
      <c r="X64" s="138">
        <v>0</v>
      </c>
    </row>
    <row r="65" spans="1:24" ht="14.6">
      <c r="A65" s="1318"/>
      <c r="B65" s="54" t="s">
        <v>90</v>
      </c>
      <c r="C65" s="137">
        <v>40</v>
      </c>
      <c r="D65" s="137">
        <v>0</v>
      </c>
      <c r="E65" s="137">
        <v>0</v>
      </c>
      <c r="F65" s="137">
        <v>0</v>
      </c>
      <c r="G65" s="137">
        <v>0</v>
      </c>
      <c r="H65" s="137">
        <v>0</v>
      </c>
      <c r="I65" s="137">
        <v>0</v>
      </c>
      <c r="J65" s="137">
        <v>7</v>
      </c>
      <c r="K65" s="137">
        <v>0</v>
      </c>
      <c r="L65" s="137">
        <v>7</v>
      </c>
      <c r="M65" s="137">
        <v>7</v>
      </c>
      <c r="N65" s="137">
        <v>0</v>
      </c>
      <c r="O65" s="137">
        <v>0</v>
      </c>
      <c r="P65" s="137">
        <v>0</v>
      </c>
      <c r="Q65" s="137">
        <v>4</v>
      </c>
      <c r="R65" s="137">
        <v>0</v>
      </c>
      <c r="S65" s="137">
        <v>0</v>
      </c>
      <c r="T65" s="137">
        <v>0</v>
      </c>
      <c r="U65" s="137">
        <v>27</v>
      </c>
      <c r="V65" s="137">
        <v>0</v>
      </c>
      <c r="W65" s="137">
        <v>0</v>
      </c>
      <c r="X65" s="138">
        <v>2</v>
      </c>
    </row>
    <row r="66" spans="1:24" ht="15" thickBot="1">
      <c r="A66" s="1319"/>
      <c r="B66" s="55" t="s">
        <v>91</v>
      </c>
      <c r="C66" s="144">
        <v>35</v>
      </c>
      <c r="D66" s="144">
        <v>0</v>
      </c>
      <c r="E66" s="144">
        <v>0</v>
      </c>
      <c r="F66" s="144">
        <v>0</v>
      </c>
      <c r="G66" s="144">
        <v>0</v>
      </c>
      <c r="H66" s="144">
        <v>0</v>
      </c>
      <c r="I66" s="144">
        <v>0</v>
      </c>
      <c r="J66" s="144">
        <v>7</v>
      </c>
      <c r="K66" s="144">
        <v>0</v>
      </c>
      <c r="L66" s="144">
        <v>6</v>
      </c>
      <c r="M66" s="144">
        <v>6</v>
      </c>
      <c r="N66" s="144">
        <v>0</v>
      </c>
      <c r="O66" s="144">
        <v>0</v>
      </c>
      <c r="P66" s="144">
        <v>0</v>
      </c>
      <c r="Q66" s="144">
        <v>4</v>
      </c>
      <c r="R66" s="144">
        <v>0</v>
      </c>
      <c r="S66" s="144">
        <v>0</v>
      </c>
      <c r="T66" s="144">
        <v>0</v>
      </c>
      <c r="U66" s="144">
        <v>25</v>
      </c>
      <c r="V66" s="144">
        <v>0</v>
      </c>
      <c r="W66" s="144">
        <v>0</v>
      </c>
      <c r="X66" s="145">
        <v>6</v>
      </c>
    </row>
    <row r="67" spans="1:24" ht="14.6">
      <c r="A67" s="1317" t="s">
        <v>92</v>
      </c>
      <c r="B67" s="53" t="s">
        <v>94</v>
      </c>
      <c r="C67" s="133">
        <v>50</v>
      </c>
      <c r="D67" s="133">
        <v>5</v>
      </c>
      <c r="E67" s="133">
        <v>0.5</v>
      </c>
      <c r="F67" s="133">
        <v>0</v>
      </c>
      <c r="G67" s="133">
        <v>0</v>
      </c>
      <c r="H67" s="133">
        <v>0</v>
      </c>
      <c r="I67" s="133">
        <v>25</v>
      </c>
      <c r="J67" s="133">
        <v>11</v>
      </c>
      <c r="K67" s="133">
        <v>0</v>
      </c>
      <c r="L67" s="133">
        <v>10</v>
      </c>
      <c r="M67" s="133">
        <v>8</v>
      </c>
      <c r="N67" s="133">
        <v>0</v>
      </c>
      <c r="O67" s="134">
        <v>0</v>
      </c>
      <c r="P67" s="134">
        <v>0</v>
      </c>
      <c r="Q67" s="134">
        <v>5</v>
      </c>
      <c r="R67" s="134">
        <v>0</v>
      </c>
      <c r="S67" s="134">
        <v>0</v>
      </c>
      <c r="T67" s="134">
        <v>0</v>
      </c>
      <c r="U67" s="134">
        <v>1</v>
      </c>
      <c r="V67" s="134">
        <v>0</v>
      </c>
      <c r="W67" s="134">
        <v>0</v>
      </c>
      <c r="X67" s="135">
        <v>0</v>
      </c>
    </row>
    <row r="68" spans="1:24" ht="14.6">
      <c r="A68" s="1318"/>
      <c r="B68" s="54" t="s">
        <v>93</v>
      </c>
      <c r="C68" s="87">
        <v>50</v>
      </c>
      <c r="D68" s="87">
        <v>5</v>
      </c>
      <c r="E68" s="87">
        <v>0.5</v>
      </c>
      <c r="F68" s="87">
        <v>0.5</v>
      </c>
      <c r="G68" s="87">
        <v>0</v>
      </c>
      <c r="H68" s="87">
        <v>0</v>
      </c>
      <c r="I68" s="87">
        <v>5</v>
      </c>
      <c r="J68" s="87">
        <v>11</v>
      </c>
      <c r="K68" s="87">
        <v>0</v>
      </c>
      <c r="L68" s="87">
        <v>10</v>
      </c>
      <c r="M68" s="87">
        <v>4</v>
      </c>
      <c r="N68" s="87">
        <v>0</v>
      </c>
      <c r="O68" s="88">
        <v>0</v>
      </c>
      <c r="P68" s="88">
        <v>0</v>
      </c>
      <c r="Q68" s="88">
        <v>2</v>
      </c>
      <c r="R68" s="88">
        <v>0</v>
      </c>
      <c r="S68" s="88">
        <v>0</v>
      </c>
      <c r="T68" s="88">
        <v>0</v>
      </c>
      <c r="U68" s="88">
        <v>1</v>
      </c>
      <c r="V68" s="88">
        <v>0</v>
      </c>
      <c r="W68" s="88">
        <v>0</v>
      </c>
      <c r="X68" s="89">
        <v>0</v>
      </c>
    </row>
    <row r="69" spans="1:24" ht="14.6">
      <c r="A69" s="1318"/>
      <c r="B69" s="54" t="s">
        <v>95</v>
      </c>
      <c r="C69" s="136">
        <v>45</v>
      </c>
      <c r="D69" s="136">
        <v>5</v>
      </c>
      <c r="E69" s="136">
        <v>0.5</v>
      </c>
      <c r="F69" s="136">
        <v>0</v>
      </c>
      <c r="G69" s="136">
        <v>0</v>
      </c>
      <c r="H69" s="136">
        <v>0</v>
      </c>
      <c r="I69" s="136">
        <v>10</v>
      </c>
      <c r="J69" s="136">
        <v>11</v>
      </c>
      <c r="K69" s="136">
        <v>0</v>
      </c>
      <c r="L69" s="136">
        <v>10</v>
      </c>
      <c r="M69" s="136">
        <v>4</v>
      </c>
      <c r="N69" s="136">
        <v>0</v>
      </c>
      <c r="O69" s="137">
        <v>0</v>
      </c>
      <c r="P69" s="137">
        <v>0</v>
      </c>
      <c r="Q69" s="137">
        <v>2</v>
      </c>
      <c r="R69" s="137">
        <v>0</v>
      </c>
      <c r="S69" s="137">
        <v>0</v>
      </c>
      <c r="T69" s="137">
        <v>0</v>
      </c>
      <c r="U69" s="137">
        <v>1</v>
      </c>
      <c r="V69" s="137">
        <v>0</v>
      </c>
      <c r="W69" s="137">
        <v>0</v>
      </c>
      <c r="X69" s="138">
        <v>0</v>
      </c>
    </row>
    <row r="70" spans="1:24" ht="14.6">
      <c r="A70" s="1318"/>
      <c r="B70" s="54" t="s">
        <v>97</v>
      </c>
      <c r="C70" s="136">
        <v>50</v>
      </c>
      <c r="D70" s="136">
        <v>5</v>
      </c>
      <c r="E70" s="136">
        <v>0.5</v>
      </c>
      <c r="F70" s="136">
        <v>0</v>
      </c>
      <c r="G70" s="136">
        <v>0</v>
      </c>
      <c r="H70" s="136">
        <v>0</v>
      </c>
      <c r="I70" s="136">
        <v>20</v>
      </c>
      <c r="J70" s="136">
        <v>12</v>
      </c>
      <c r="K70" s="136">
        <v>0</v>
      </c>
      <c r="L70" s="136">
        <v>11</v>
      </c>
      <c r="M70" s="136">
        <v>8</v>
      </c>
      <c r="N70" s="136">
        <v>0</v>
      </c>
      <c r="O70" s="140">
        <v>0</v>
      </c>
      <c r="P70" s="140">
        <v>0</v>
      </c>
      <c r="Q70" s="140">
        <v>2</v>
      </c>
      <c r="R70" s="140">
        <v>0</v>
      </c>
      <c r="S70" s="140">
        <v>0</v>
      </c>
      <c r="T70" s="140">
        <v>0</v>
      </c>
      <c r="U70" s="140">
        <v>4</v>
      </c>
      <c r="V70" s="140">
        <v>0</v>
      </c>
      <c r="W70" s="140">
        <v>0</v>
      </c>
      <c r="X70" s="141">
        <v>0</v>
      </c>
    </row>
    <row r="71" spans="1:24" ht="14.6">
      <c r="A71" s="1318"/>
      <c r="B71" s="54" t="s">
        <v>98</v>
      </c>
      <c r="C71" s="136">
        <v>45</v>
      </c>
      <c r="D71" s="136">
        <v>5</v>
      </c>
      <c r="E71" s="136">
        <v>0.5</v>
      </c>
      <c r="F71" s="136">
        <v>0</v>
      </c>
      <c r="G71" s="136">
        <v>0</v>
      </c>
      <c r="H71" s="136">
        <v>0</v>
      </c>
      <c r="I71" s="136">
        <v>10</v>
      </c>
      <c r="J71" s="136">
        <v>10</v>
      </c>
      <c r="K71" s="136">
        <v>0</v>
      </c>
      <c r="L71" s="136">
        <v>10</v>
      </c>
      <c r="M71" s="136">
        <v>4</v>
      </c>
      <c r="N71" s="136">
        <v>0</v>
      </c>
      <c r="O71" s="137">
        <v>0</v>
      </c>
      <c r="P71" s="137">
        <v>0</v>
      </c>
      <c r="Q71" s="137">
        <v>1</v>
      </c>
      <c r="R71" s="137">
        <v>0</v>
      </c>
      <c r="S71" s="137">
        <v>0</v>
      </c>
      <c r="T71" s="137">
        <v>0</v>
      </c>
      <c r="U71" s="137">
        <v>1</v>
      </c>
      <c r="V71" s="137">
        <v>0</v>
      </c>
      <c r="W71" s="137">
        <v>0</v>
      </c>
      <c r="X71" s="138">
        <v>0</v>
      </c>
    </row>
    <row r="72" spans="1:24" ht="14.6">
      <c r="A72" s="1318"/>
      <c r="B72" s="54" t="s">
        <v>99</v>
      </c>
      <c r="C72" s="87">
        <v>50</v>
      </c>
      <c r="D72" s="87">
        <v>10</v>
      </c>
      <c r="E72" s="87">
        <v>1</v>
      </c>
      <c r="F72" s="87">
        <v>0.5</v>
      </c>
      <c r="G72" s="87">
        <v>0</v>
      </c>
      <c r="H72" s="87">
        <v>0</v>
      </c>
      <c r="I72" s="87">
        <v>10</v>
      </c>
      <c r="J72" s="87">
        <v>11</v>
      </c>
      <c r="K72" s="87">
        <v>0</v>
      </c>
      <c r="L72" s="87">
        <v>10</v>
      </c>
      <c r="M72" s="87">
        <v>4</v>
      </c>
      <c r="N72" s="87">
        <v>0</v>
      </c>
      <c r="O72" s="85">
        <v>0</v>
      </c>
      <c r="P72" s="85">
        <v>0</v>
      </c>
      <c r="Q72" s="85">
        <v>2</v>
      </c>
      <c r="R72" s="85">
        <v>0</v>
      </c>
      <c r="S72" s="85">
        <v>0</v>
      </c>
      <c r="T72" s="85">
        <v>0</v>
      </c>
      <c r="U72" s="85">
        <v>1</v>
      </c>
      <c r="V72" s="85">
        <v>0</v>
      </c>
      <c r="W72" s="85">
        <v>0</v>
      </c>
      <c r="X72" s="86">
        <v>0</v>
      </c>
    </row>
    <row r="73" spans="1:24" ht="14.6">
      <c r="A73" s="1318"/>
      <c r="B73" s="54" t="s">
        <v>101</v>
      </c>
      <c r="C73" s="87">
        <v>50</v>
      </c>
      <c r="D73" s="87">
        <v>10</v>
      </c>
      <c r="E73" s="87">
        <v>1</v>
      </c>
      <c r="F73" s="87">
        <v>0.5</v>
      </c>
      <c r="G73" s="87">
        <v>0</v>
      </c>
      <c r="H73" s="87">
        <v>0</v>
      </c>
      <c r="I73" s="87">
        <v>10</v>
      </c>
      <c r="J73" s="87">
        <v>11</v>
      </c>
      <c r="K73" s="87">
        <v>0</v>
      </c>
      <c r="L73" s="87">
        <v>10</v>
      </c>
      <c r="M73" s="87">
        <v>9</v>
      </c>
      <c r="N73" s="87">
        <v>0</v>
      </c>
      <c r="O73" s="85">
        <v>0</v>
      </c>
      <c r="P73" s="85">
        <v>0</v>
      </c>
      <c r="Q73" s="85">
        <v>3</v>
      </c>
      <c r="R73" s="85">
        <v>0</v>
      </c>
      <c r="S73" s="85">
        <v>0</v>
      </c>
      <c r="T73" s="85">
        <v>0</v>
      </c>
      <c r="U73" s="85">
        <v>1</v>
      </c>
      <c r="V73" s="85">
        <v>0</v>
      </c>
      <c r="W73" s="85">
        <v>0</v>
      </c>
      <c r="X73" s="86">
        <v>0</v>
      </c>
    </row>
    <row r="74" spans="1:24" ht="14.6">
      <c r="A74" s="1318"/>
      <c r="B74" s="54" t="s">
        <v>102</v>
      </c>
      <c r="C74" s="136">
        <v>45</v>
      </c>
      <c r="D74" s="136">
        <v>5</v>
      </c>
      <c r="E74" s="136">
        <v>0.5</v>
      </c>
      <c r="F74" s="136">
        <v>0.5</v>
      </c>
      <c r="G74" s="136">
        <v>0</v>
      </c>
      <c r="H74" s="136">
        <v>0</v>
      </c>
      <c r="I74" s="136">
        <v>10</v>
      </c>
      <c r="J74" s="136">
        <v>10</v>
      </c>
      <c r="K74" s="136">
        <v>0</v>
      </c>
      <c r="L74" s="136">
        <v>9</v>
      </c>
      <c r="M74" s="136">
        <v>9</v>
      </c>
      <c r="N74" s="136">
        <v>0</v>
      </c>
      <c r="O74" s="137">
        <v>0</v>
      </c>
      <c r="P74" s="137">
        <v>0</v>
      </c>
      <c r="Q74" s="137">
        <v>1</v>
      </c>
      <c r="R74" s="137">
        <v>0</v>
      </c>
      <c r="S74" s="137">
        <v>0</v>
      </c>
      <c r="T74" s="137">
        <v>0</v>
      </c>
      <c r="U74" s="137">
        <v>1</v>
      </c>
      <c r="V74" s="137">
        <v>0</v>
      </c>
      <c r="W74" s="137">
        <v>0</v>
      </c>
      <c r="X74" s="138">
        <v>0</v>
      </c>
    </row>
    <row r="75" spans="1:24" ht="14.6">
      <c r="A75" s="1318"/>
      <c r="B75" s="54" t="s">
        <v>104</v>
      </c>
      <c r="C75" s="87">
        <v>50</v>
      </c>
      <c r="D75" s="87">
        <v>5</v>
      </c>
      <c r="E75" s="87">
        <v>1</v>
      </c>
      <c r="F75" s="87">
        <v>0.5</v>
      </c>
      <c r="G75" s="87">
        <v>0</v>
      </c>
      <c r="H75" s="87">
        <v>0</v>
      </c>
      <c r="I75" s="87">
        <v>15</v>
      </c>
      <c r="J75" s="87">
        <v>11</v>
      </c>
      <c r="K75" s="87">
        <v>0</v>
      </c>
      <c r="L75" s="87">
        <v>9</v>
      </c>
      <c r="M75" s="87">
        <v>9</v>
      </c>
      <c r="N75" s="87">
        <v>0</v>
      </c>
      <c r="O75" s="88">
        <v>0</v>
      </c>
      <c r="P75" s="88">
        <v>0</v>
      </c>
      <c r="Q75" s="88">
        <v>2</v>
      </c>
      <c r="R75" s="88">
        <v>0</v>
      </c>
      <c r="S75" s="88">
        <v>0</v>
      </c>
      <c r="T75" s="88">
        <v>0</v>
      </c>
      <c r="U75" s="88">
        <v>5</v>
      </c>
      <c r="V75" s="88">
        <v>0</v>
      </c>
      <c r="W75" s="88">
        <v>0</v>
      </c>
      <c r="X75" s="89">
        <v>0</v>
      </c>
    </row>
    <row r="76" spans="1:24" ht="14.6">
      <c r="A76" s="1318"/>
      <c r="B76" s="54" t="s">
        <v>103</v>
      </c>
      <c r="C76" s="136">
        <v>60</v>
      </c>
      <c r="D76" s="136">
        <v>5</v>
      </c>
      <c r="E76" s="136">
        <v>0.5</v>
      </c>
      <c r="F76" s="136">
        <v>0</v>
      </c>
      <c r="G76" s="136">
        <v>0</v>
      </c>
      <c r="H76" s="136">
        <v>0</v>
      </c>
      <c r="I76" s="136">
        <v>15</v>
      </c>
      <c r="J76" s="136">
        <v>13</v>
      </c>
      <c r="K76" s="136">
        <v>0</v>
      </c>
      <c r="L76" s="136">
        <v>12</v>
      </c>
      <c r="M76" s="136">
        <v>12</v>
      </c>
      <c r="N76" s="136">
        <v>0</v>
      </c>
      <c r="O76" s="137">
        <v>0</v>
      </c>
      <c r="P76" s="137">
        <v>0</v>
      </c>
      <c r="Q76" s="137">
        <v>1</v>
      </c>
      <c r="R76" s="137">
        <v>0</v>
      </c>
      <c r="S76" s="137">
        <v>0</v>
      </c>
      <c r="T76" s="137">
        <v>0</v>
      </c>
      <c r="U76" s="137">
        <v>3</v>
      </c>
      <c r="V76" s="137">
        <v>0</v>
      </c>
      <c r="W76" s="137">
        <v>0</v>
      </c>
      <c r="X76" s="138">
        <v>0</v>
      </c>
    </row>
    <row r="77" spans="1:24" ht="14.6">
      <c r="A77" s="1318"/>
      <c r="B77" s="54" t="s">
        <v>105</v>
      </c>
      <c r="C77" s="87">
        <v>50</v>
      </c>
      <c r="D77" s="87">
        <v>5</v>
      </c>
      <c r="E77" s="87">
        <v>1</v>
      </c>
      <c r="F77" s="87">
        <v>0.5</v>
      </c>
      <c r="G77" s="87">
        <v>0</v>
      </c>
      <c r="H77" s="87">
        <v>0</v>
      </c>
      <c r="I77" s="87">
        <v>15</v>
      </c>
      <c r="J77" s="87">
        <v>12</v>
      </c>
      <c r="K77" s="87">
        <v>0</v>
      </c>
      <c r="L77" s="87">
        <v>11</v>
      </c>
      <c r="M77" s="87">
        <v>10</v>
      </c>
      <c r="N77" s="87">
        <v>0</v>
      </c>
      <c r="O77" s="85">
        <v>0</v>
      </c>
      <c r="P77" s="85">
        <v>0</v>
      </c>
      <c r="Q77" s="85">
        <v>3</v>
      </c>
      <c r="R77" s="85">
        <v>0</v>
      </c>
      <c r="S77" s="85">
        <v>0</v>
      </c>
      <c r="T77" s="85">
        <v>0</v>
      </c>
      <c r="U77" s="85">
        <v>34</v>
      </c>
      <c r="V77" s="85">
        <v>0</v>
      </c>
      <c r="W77" s="85">
        <v>0</v>
      </c>
      <c r="X77" s="86">
        <v>0</v>
      </c>
    </row>
    <row r="78" spans="1:24" ht="14.6">
      <c r="A78" s="1318"/>
      <c r="B78" s="54" t="s">
        <v>106</v>
      </c>
      <c r="C78" s="136">
        <v>40</v>
      </c>
      <c r="D78" s="136">
        <v>5</v>
      </c>
      <c r="E78" s="136">
        <v>0</v>
      </c>
      <c r="F78" s="136">
        <v>0</v>
      </c>
      <c r="G78" s="136">
        <v>0</v>
      </c>
      <c r="H78" s="136">
        <v>0</v>
      </c>
      <c r="I78" s="136">
        <v>10</v>
      </c>
      <c r="J78" s="136">
        <v>9</v>
      </c>
      <c r="K78" s="136">
        <v>0</v>
      </c>
      <c r="L78" s="136">
        <v>9</v>
      </c>
      <c r="M78" s="136">
        <v>9</v>
      </c>
      <c r="N78" s="136">
        <v>0</v>
      </c>
      <c r="O78" s="139">
        <v>0</v>
      </c>
      <c r="P78" s="139">
        <v>0</v>
      </c>
      <c r="Q78" s="139">
        <v>1</v>
      </c>
      <c r="R78" s="139">
        <v>0</v>
      </c>
      <c r="S78" s="139">
        <v>0</v>
      </c>
      <c r="T78" s="139">
        <v>0</v>
      </c>
      <c r="U78" s="139">
        <v>2</v>
      </c>
      <c r="V78" s="139">
        <v>0</v>
      </c>
      <c r="W78" s="139">
        <v>0</v>
      </c>
      <c r="X78" s="142">
        <v>0</v>
      </c>
    </row>
    <row r="79" spans="1:24" ht="14.6">
      <c r="A79" s="1318"/>
      <c r="B79" s="54" t="s">
        <v>107</v>
      </c>
      <c r="C79" s="136">
        <v>40</v>
      </c>
      <c r="D79" s="136">
        <v>5</v>
      </c>
      <c r="E79" s="136">
        <v>0</v>
      </c>
      <c r="F79" s="136">
        <v>0</v>
      </c>
      <c r="G79" s="136">
        <v>0</v>
      </c>
      <c r="H79" s="136">
        <v>0</v>
      </c>
      <c r="I79" s="136">
        <v>25</v>
      </c>
      <c r="J79" s="136">
        <v>10</v>
      </c>
      <c r="K79" s="136">
        <v>0</v>
      </c>
      <c r="L79" s="136">
        <v>9</v>
      </c>
      <c r="M79" s="136">
        <v>9</v>
      </c>
      <c r="N79" s="136">
        <v>0</v>
      </c>
      <c r="O79" s="137">
        <v>0</v>
      </c>
      <c r="P79" s="137">
        <v>0</v>
      </c>
      <c r="Q79" s="137">
        <v>2</v>
      </c>
      <c r="R79" s="137">
        <v>0</v>
      </c>
      <c r="S79" s="137">
        <v>0</v>
      </c>
      <c r="T79" s="137">
        <v>0</v>
      </c>
      <c r="U79" s="137">
        <v>18</v>
      </c>
      <c r="V79" s="137">
        <v>0</v>
      </c>
      <c r="W79" s="137">
        <v>0</v>
      </c>
      <c r="X79" s="138">
        <v>0</v>
      </c>
    </row>
    <row r="80" spans="1:24" ht="14.6">
      <c r="A80" s="1318"/>
      <c r="B80" s="54" t="s">
        <v>108</v>
      </c>
      <c r="C80" s="87">
        <v>50</v>
      </c>
      <c r="D80" s="87">
        <v>5</v>
      </c>
      <c r="E80" s="87">
        <v>1</v>
      </c>
      <c r="F80" s="87">
        <v>0.5</v>
      </c>
      <c r="G80" s="87">
        <v>0</v>
      </c>
      <c r="H80" s="87">
        <v>0</v>
      </c>
      <c r="I80" s="87">
        <v>10</v>
      </c>
      <c r="J80" s="87">
        <v>11</v>
      </c>
      <c r="K80" s="87">
        <v>0</v>
      </c>
      <c r="L80" s="87">
        <v>10</v>
      </c>
      <c r="M80" s="87">
        <v>9</v>
      </c>
      <c r="N80" s="87">
        <v>0</v>
      </c>
      <c r="O80" s="85">
        <v>0</v>
      </c>
      <c r="P80" s="85">
        <v>0</v>
      </c>
      <c r="Q80" s="85">
        <v>2</v>
      </c>
      <c r="R80" s="85">
        <v>0</v>
      </c>
      <c r="S80" s="85">
        <v>0</v>
      </c>
      <c r="T80" s="85">
        <v>0</v>
      </c>
      <c r="U80" s="85">
        <v>2</v>
      </c>
      <c r="V80" s="85">
        <v>0</v>
      </c>
      <c r="W80" s="85">
        <v>0</v>
      </c>
      <c r="X80" s="86">
        <v>0</v>
      </c>
    </row>
    <row r="81" spans="1:24" ht="14.6">
      <c r="A81" s="1318"/>
      <c r="B81" s="54" t="s">
        <v>109</v>
      </c>
      <c r="C81" s="136">
        <v>45</v>
      </c>
      <c r="D81" s="136">
        <v>5</v>
      </c>
      <c r="E81" s="136">
        <v>0.5</v>
      </c>
      <c r="F81" s="136">
        <v>0</v>
      </c>
      <c r="G81" s="136">
        <v>0</v>
      </c>
      <c r="H81" s="136">
        <v>0</v>
      </c>
      <c r="I81" s="136">
        <v>15</v>
      </c>
      <c r="J81" s="136">
        <v>11</v>
      </c>
      <c r="K81" s="136">
        <v>0</v>
      </c>
      <c r="L81" s="136">
        <v>10</v>
      </c>
      <c r="M81" s="136">
        <v>7</v>
      </c>
      <c r="N81" s="136">
        <v>0</v>
      </c>
      <c r="O81" s="137">
        <v>0</v>
      </c>
      <c r="P81" s="137">
        <v>0</v>
      </c>
      <c r="Q81" s="137">
        <v>1</v>
      </c>
      <c r="R81" s="137">
        <v>0</v>
      </c>
      <c r="S81" s="137">
        <v>0</v>
      </c>
      <c r="T81" s="137">
        <v>0</v>
      </c>
      <c r="U81" s="137">
        <v>1</v>
      </c>
      <c r="V81" s="137">
        <v>0</v>
      </c>
      <c r="W81" s="137">
        <v>0</v>
      </c>
      <c r="X81" s="138">
        <v>0</v>
      </c>
    </row>
    <row r="82" spans="1:24" ht="14.6">
      <c r="A82" s="1318"/>
      <c r="B82" s="54" t="s">
        <v>110</v>
      </c>
      <c r="C82" s="136">
        <v>45</v>
      </c>
      <c r="D82" s="136">
        <v>5</v>
      </c>
      <c r="E82" s="136">
        <v>0</v>
      </c>
      <c r="F82" s="136">
        <v>0</v>
      </c>
      <c r="G82" s="136">
        <v>0</v>
      </c>
      <c r="H82" s="136">
        <v>0</v>
      </c>
      <c r="I82" s="136">
        <v>20</v>
      </c>
      <c r="J82" s="136">
        <v>10</v>
      </c>
      <c r="K82" s="136">
        <v>0</v>
      </c>
      <c r="L82" s="136">
        <v>9</v>
      </c>
      <c r="M82" s="136">
        <v>9</v>
      </c>
      <c r="N82" s="136">
        <v>0</v>
      </c>
      <c r="O82" s="139">
        <v>0</v>
      </c>
      <c r="P82" s="139">
        <v>0</v>
      </c>
      <c r="Q82" s="139">
        <v>2</v>
      </c>
      <c r="R82" s="139">
        <v>0</v>
      </c>
      <c r="S82" s="139">
        <v>0</v>
      </c>
      <c r="T82" s="139">
        <v>0</v>
      </c>
      <c r="U82" s="139">
        <v>15</v>
      </c>
      <c r="V82" s="139">
        <v>0</v>
      </c>
      <c r="W82" s="139">
        <v>0</v>
      </c>
      <c r="X82" s="142">
        <v>0</v>
      </c>
    </row>
    <row r="83" spans="1:24" ht="14.6">
      <c r="A83" s="1318"/>
      <c r="B83" s="54" t="s">
        <v>555</v>
      </c>
      <c r="C83" s="87">
        <v>50</v>
      </c>
      <c r="D83" s="87">
        <v>5</v>
      </c>
      <c r="E83" s="87">
        <v>1</v>
      </c>
      <c r="F83" s="87">
        <v>0.5</v>
      </c>
      <c r="G83" s="87">
        <v>0</v>
      </c>
      <c r="H83" s="87">
        <v>0</v>
      </c>
      <c r="I83" s="87">
        <v>10</v>
      </c>
      <c r="J83" s="87">
        <v>11</v>
      </c>
      <c r="K83" s="87">
        <v>0</v>
      </c>
      <c r="L83" s="87">
        <v>10</v>
      </c>
      <c r="M83" s="87">
        <v>10</v>
      </c>
      <c r="N83" s="87">
        <v>0</v>
      </c>
      <c r="O83" s="85">
        <v>0</v>
      </c>
      <c r="P83" s="85">
        <v>0</v>
      </c>
      <c r="Q83" s="85">
        <v>2</v>
      </c>
      <c r="R83" s="85">
        <v>0</v>
      </c>
      <c r="S83" s="85">
        <v>0</v>
      </c>
      <c r="T83" s="85">
        <v>0</v>
      </c>
      <c r="U83" s="85">
        <v>3</v>
      </c>
      <c r="V83" s="85">
        <v>0</v>
      </c>
      <c r="W83" s="85">
        <v>0</v>
      </c>
      <c r="X83" s="86">
        <v>0</v>
      </c>
    </row>
    <row r="84" spans="1:24" ht="14.6">
      <c r="A84" s="1318"/>
      <c r="B84" s="54" t="s">
        <v>111</v>
      </c>
      <c r="C84" s="136">
        <v>40</v>
      </c>
      <c r="D84" s="136">
        <v>5</v>
      </c>
      <c r="E84" s="136">
        <v>0</v>
      </c>
      <c r="F84" s="136">
        <v>0</v>
      </c>
      <c r="G84" s="136">
        <v>0</v>
      </c>
      <c r="H84" s="136">
        <v>0</v>
      </c>
      <c r="I84" s="136">
        <v>5</v>
      </c>
      <c r="J84" s="136">
        <v>9</v>
      </c>
      <c r="K84" s="136">
        <v>0</v>
      </c>
      <c r="L84" s="136">
        <v>9</v>
      </c>
      <c r="M84" s="136">
        <v>4</v>
      </c>
      <c r="N84" s="136">
        <v>0</v>
      </c>
      <c r="O84" s="137">
        <v>0</v>
      </c>
      <c r="P84" s="137">
        <v>0</v>
      </c>
      <c r="Q84" s="137">
        <v>2</v>
      </c>
      <c r="R84" s="137">
        <v>0</v>
      </c>
      <c r="S84" s="137">
        <v>0</v>
      </c>
      <c r="T84" s="137">
        <v>0</v>
      </c>
      <c r="U84" s="137">
        <v>2</v>
      </c>
      <c r="V84" s="137">
        <v>0</v>
      </c>
      <c r="W84" s="137">
        <v>0</v>
      </c>
      <c r="X84" s="138">
        <v>0</v>
      </c>
    </row>
    <row r="85" spans="1:24" ht="14.6">
      <c r="A85" s="1318"/>
      <c r="B85" s="54" t="s">
        <v>112</v>
      </c>
      <c r="C85" s="136">
        <v>40</v>
      </c>
      <c r="D85" s="136">
        <v>5</v>
      </c>
      <c r="E85" s="136">
        <v>0</v>
      </c>
      <c r="F85" s="136">
        <v>0</v>
      </c>
      <c r="G85" s="136">
        <v>0</v>
      </c>
      <c r="H85" s="136">
        <v>0</v>
      </c>
      <c r="I85" s="136">
        <v>10</v>
      </c>
      <c r="J85" s="136">
        <v>8</v>
      </c>
      <c r="K85" s="136">
        <v>0</v>
      </c>
      <c r="L85" s="136">
        <v>8</v>
      </c>
      <c r="M85" s="136">
        <v>8</v>
      </c>
      <c r="N85" s="136">
        <v>0</v>
      </c>
      <c r="O85" s="140">
        <v>0</v>
      </c>
      <c r="P85" s="140">
        <v>0</v>
      </c>
      <c r="Q85" s="140">
        <v>2</v>
      </c>
      <c r="R85" s="140">
        <v>0</v>
      </c>
      <c r="S85" s="140">
        <v>0</v>
      </c>
      <c r="T85" s="140">
        <v>0</v>
      </c>
      <c r="U85" s="140">
        <v>4</v>
      </c>
      <c r="V85" s="140">
        <v>0</v>
      </c>
      <c r="W85" s="140">
        <v>0</v>
      </c>
      <c r="X85" s="141">
        <v>0</v>
      </c>
    </row>
    <row r="86" spans="1:24" ht="14.6">
      <c r="A86" s="1318"/>
      <c r="B86" s="54" t="s">
        <v>113</v>
      </c>
      <c r="C86" s="136">
        <v>40</v>
      </c>
      <c r="D86" s="136">
        <v>5</v>
      </c>
      <c r="E86" s="136">
        <v>0.5</v>
      </c>
      <c r="F86" s="136">
        <v>0</v>
      </c>
      <c r="G86" s="136">
        <v>0</v>
      </c>
      <c r="H86" s="136">
        <v>0</v>
      </c>
      <c r="I86" s="136">
        <v>15</v>
      </c>
      <c r="J86" s="136">
        <v>9</v>
      </c>
      <c r="K86" s="136">
        <v>0</v>
      </c>
      <c r="L86" s="136">
        <v>8</v>
      </c>
      <c r="M86" s="136">
        <v>8</v>
      </c>
      <c r="N86" s="136">
        <v>0</v>
      </c>
      <c r="O86" s="137">
        <v>0</v>
      </c>
      <c r="P86" s="137">
        <v>0</v>
      </c>
      <c r="Q86" s="137">
        <v>2</v>
      </c>
      <c r="R86" s="137">
        <v>0</v>
      </c>
      <c r="S86" s="137">
        <v>0</v>
      </c>
      <c r="T86" s="137">
        <v>0</v>
      </c>
      <c r="U86" s="137">
        <v>12</v>
      </c>
      <c r="V86" s="137">
        <v>0</v>
      </c>
      <c r="W86" s="137">
        <v>0</v>
      </c>
      <c r="X86" s="138">
        <v>0</v>
      </c>
    </row>
    <row r="87" spans="1:24" ht="14.6">
      <c r="A87" s="1318"/>
      <c r="B87" s="54" t="s">
        <v>114</v>
      </c>
      <c r="C87" s="136">
        <v>60</v>
      </c>
      <c r="D87" s="136">
        <v>10</v>
      </c>
      <c r="E87" s="136">
        <v>1.5</v>
      </c>
      <c r="F87" s="136">
        <v>0.5</v>
      </c>
      <c r="G87" s="136">
        <v>0</v>
      </c>
      <c r="H87" s="136">
        <v>0</v>
      </c>
      <c r="I87" s="136">
        <v>15</v>
      </c>
      <c r="J87" s="136">
        <v>12</v>
      </c>
      <c r="K87" s="136">
        <v>0</v>
      </c>
      <c r="L87" s="136">
        <v>11</v>
      </c>
      <c r="M87" s="136">
        <v>11</v>
      </c>
      <c r="N87" s="136">
        <v>0</v>
      </c>
      <c r="O87" s="140">
        <v>0</v>
      </c>
      <c r="P87" s="140">
        <v>0</v>
      </c>
      <c r="Q87" s="140">
        <v>2</v>
      </c>
      <c r="R87" s="140">
        <v>0</v>
      </c>
      <c r="S87" s="140">
        <v>0</v>
      </c>
      <c r="T87" s="140">
        <v>0</v>
      </c>
      <c r="U87" s="140">
        <v>3</v>
      </c>
      <c r="V87" s="140">
        <v>0</v>
      </c>
      <c r="W87" s="140">
        <v>0</v>
      </c>
      <c r="X87" s="141">
        <v>0</v>
      </c>
    </row>
    <row r="88" spans="1:24" ht="14.6">
      <c r="A88" s="1318"/>
      <c r="B88" s="54" t="s">
        <v>115</v>
      </c>
      <c r="C88" s="136">
        <v>40</v>
      </c>
      <c r="D88" s="136">
        <v>0</v>
      </c>
      <c r="E88" s="136">
        <v>0</v>
      </c>
      <c r="F88" s="136">
        <v>0</v>
      </c>
      <c r="G88" s="136">
        <v>0</v>
      </c>
      <c r="H88" s="136">
        <v>0</v>
      </c>
      <c r="I88" s="136">
        <v>10</v>
      </c>
      <c r="J88" s="136">
        <v>10</v>
      </c>
      <c r="K88" s="136">
        <v>0</v>
      </c>
      <c r="L88" s="136">
        <v>9</v>
      </c>
      <c r="M88" s="136">
        <v>7</v>
      </c>
      <c r="N88" s="136">
        <v>0</v>
      </c>
      <c r="O88" s="137">
        <v>0</v>
      </c>
      <c r="P88" s="137">
        <v>0</v>
      </c>
      <c r="Q88" s="137">
        <v>1</v>
      </c>
      <c r="R88" s="137">
        <v>0</v>
      </c>
      <c r="S88" s="137">
        <v>0</v>
      </c>
      <c r="T88" s="137">
        <v>0</v>
      </c>
      <c r="U88" s="137">
        <v>2</v>
      </c>
      <c r="V88" s="137">
        <v>0</v>
      </c>
      <c r="W88" s="137">
        <v>0</v>
      </c>
      <c r="X88" s="138">
        <v>0</v>
      </c>
    </row>
    <row r="89" spans="1:24" ht="14.6">
      <c r="A89" s="1318"/>
      <c r="B89" s="54" t="s">
        <v>116</v>
      </c>
      <c r="C89" s="87">
        <v>50</v>
      </c>
      <c r="D89" s="87">
        <v>5</v>
      </c>
      <c r="E89" s="87">
        <v>0.5</v>
      </c>
      <c r="F89" s="87">
        <v>0.5</v>
      </c>
      <c r="G89" s="87">
        <v>0</v>
      </c>
      <c r="H89" s="87">
        <v>0</v>
      </c>
      <c r="I89" s="87">
        <v>10</v>
      </c>
      <c r="J89" s="87">
        <v>12</v>
      </c>
      <c r="K89" s="87">
        <v>0</v>
      </c>
      <c r="L89" s="87">
        <v>12</v>
      </c>
      <c r="M89" s="87">
        <v>11</v>
      </c>
      <c r="N89" s="87">
        <v>0</v>
      </c>
      <c r="O89" s="85">
        <v>0</v>
      </c>
      <c r="P89" s="85">
        <v>0</v>
      </c>
      <c r="Q89" s="85">
        <v>2</v>
      </c>
      <c r="R89" s="85">
        <v>0</v>
      </c>
      <c r="S89" s="85">
        <v>0</v>
      </c>
      <c r="T89" s="85">
        <v>0</v>
      </c>
      <c r="U89" s="85">
        <v>3</v>
      </c>
      <c r="V89" s="85">
        <v>0</v>
      </c>
      <c r="W89" s="85">
        <v>0</v>
      </c>
      <c r="X89" s="86">
        <v>0</v>
      </c>
    </row>
    <row r="90" spans="1:24" ht="14.6">
      <c r="A90" s="1318"/>
      <c r="B90" s="54" t="s">
        <v>117</v>
      </c>
      <c r="C90" s="136">
        <v>50</v>
      </c>
      <c r="D90" s="136">
        <v>5</v>
      </c>
      <c r="E90" s="136">
        <v>0</v>
      </c>
      <c r="F90" s="136">
        <v>0</v>
      </c>
      <c r="G90" s="136">
        <v>0</v>
      </c>
      <c r="H90" s="136">
        <v>0</v>
      </c>
      <c r="I90" s="136">
        <v>10</v>
      </c>
      <c r="J90" s="136">
        <v>11</v>
      </c>
      <c r="K90" s="136">
        <v>0</v>
      </c>
      <c r="L90" s="136">
        <v>10</v>
      </c>
      <c r="M90" s="136">
        <v>10</v>
      </c>
      <c r="N90" s="136">
        <v>0</v>
      </c>
      <c r="O90" s="139">
        <v>0</v>
      </c>
      <c r="P90" s="139">
        <v>0</v>
      </c>
      <c r="Q90" s="139">
        <v>1</v>
      </c>
      <c r="R90" s="139">
        <v>0</v>
      </c>
      <c r="S90" s="139">
        <v>0</v>
      </c>
      <c r="T90" s="139">
        <v>0</v>
      </c>
      <c r="U90" s="139">
        <v>6</v>
      </c>
      <c r="V90" s="139">
        <v>0</v>
      </c>
      <c r="W90" s="139">
        <v>0</v>
      </c>
      <c r="X90" s="142">
        <v>0</v>
      </c>
    </row>
    <row r="91" spans="1:24" ht="14.6">
      <c r="A91" s="1318"/>
      <c r="B91" s="54" t="s">
        <v>118</v>
      </c>
      <c r="C91" s="136">
        <v>50</v>
      </c>
      <c r="D91" s="136">
        <v>5</v>
      </c>
      <c r="E91" s="136">
        <v>0.5</v>
      </c>
      <c r="F91" s="136">
        <v>0</v>
      </c>
      <c r="G91" s="136">
        <v>0</v>
      </c>
      <c r="H91" s="136">
        <v>0</v>
      </c>
      <c r="I91" s="136">
        <v>10</v>
      </c>
      <c r="J91" s="136">
        <v>11</v>
      </c>
      <c r="K91" s="136">
        <v>0</v>
      </c>
      <c r="L91" s="136">
        <v>10</v>
      </c>
      <c r="M91" s="136">
        <v>5</v>
      </c>
      <c r="N91" s="136">
        <v>0</v>
      </c>
      <c r="O91" s="137">
        <v>0</v>
      </c>
      <c r="P91" s="137">
        <v>0</v>
      </c>
      <c r="Q91" s="137">
        <v>1</v>
      </c>
      <c r="R91" s="137">
        <v>0</v>
      </c>
      <c r="S91" s="137">
        <v>0</v>
      </c>
      <c r="T91" s="137">
        <v>0</v>
      </c>
      <c r="U91" s="137">
        <v>3</v>
      </c>
      <c r="V91" s="137">
        <v>0</v>
      </c>
      <c r="W91" s="137">
        <v>0</v>
      </c>
      <c r="X91" s="138">
        <v>0</v>
      </c>
    </row>
    <row r="92" spans="1:24" ht="14.6">
      <c r="A92" s="1318"/>
      <c r="B92" s="54" t="s">
        <v>119</v>
      </c>
      <c r="C92" s="136">
        <v>40</v>
      </c>
      <c r="D92" s="136">
        <v>5</v>
      </c>
      <c r="E92" s="136">
        <v>0</v>
      </c>
      <c r="F92" s="136">
        <v>0</v>
      </c>
      <c r="G92" s="136">
        <v>0</v>
      </c>
      <c r="H92" s="136">
        <v>0</v>
      </c>
      <c r="I92" s="136">
        <v>10</v>
      </c>
      <c r="J92" s="136">
        <v>10</v>
      </c>
      <c r="K92" s="136">
        <v>0</v>
      </c>
      <c r="L92" s="136">
        <v>9</v>
      </c>
      <c r="M92" s="136">
        <v>9</v>
      </c>
      <c r="N92" s="136">
        <v>0</v>
      </c>
      <c r="O92" s="140">
        <v>0</v>
      </c>
      <c r="P92" s="140">
        <v>0</v>
      </c>
      <c r="Q92" s="140">
        <v>1</v>
      </c>
      <c r="R92" s="140">
        <v>0</v>
      </c>
      <c r="S92" s="140">
        <v>0</v>
      </c>
      <c r="T92" s="140">
        <v>0</v>
      </c>
      <c r="U92" s="140">
        <v>4</v>
      </c>
      <c r="V92" s="140">
        <v>0</v>
      </c>
      <c r="W92" s="140">
        <v>0</v>
      </c>
      <c r="X92" s="141">
        <v>0</v>
      </c>
    </row>
    <row r="93" spans="1:24" ht="15" thickBot="1">
      <c r="A93" s="1319"/>
      <c r="B93" s="55" t="s">
        <v>120</v>
      </c>
      <c r="C93" s="90">
        <v>50</v>
      </c>
      <c r="D93" s="90">
        <v>5</v>
      </c>
      <c r="E93" s="90">
        <v>1</v>
      </c>
      <c r="F93" s="90">
        <v>0.5</v>
      </c>
      <c r="G93" s="90">
        <v>0</v>
      </c>
      <c r="H93" s="90">
        <v>0</v>
      </c>
      <c r="I93" s="90">
        <v>10</v>
      </c>
      <c r="J93" s="90">
        <v>12</v>
      </c>
      <c r="K93" s="90">
        <v>0</v>
      </c>
      <c r="L93" s="90">
        <v>11</v>
      </c>
      <c r="M93" s="90">
        <v>10</v>
      </c>
      <c r="N93" s="90">
        <v>0</v>
      </c>
      <c r="O93" s="91">
        <v>0</v>
      </c>
      <c r="P93" s="91">
        <v>0</v>
      </c>
      <c r="Q93" s="91">
        <v>2</v>
      </c>
      <c r="R93" s="91">
        <v>0</v>
      </c>
      <c r="S93" s="91">
        <v>0</v>
      </c>
      <c r="T93" s="91">
        <v>0</v>
      </c>
      <c r="U93" s="91">
        <v>3</v>
      </c>
      <c r="V93" s="91">
        <v>0</v>
      </c>
      <c r="W93" s="91">
        <v>0</v>
      </c>
      <c r="X93" s="92">
        <v>0</v>
      </c>
    </row>
    <row r="94" spans="1:24" ht="14.6">
      <c r="A94" s="1317" t="s">
        <v>121</v>
      </c>
      <c r="B94" s="53" t="s">
        <v>122</v>
      </c>
      <c r="C94" s="146">
        <v>20</v>
      </c>
      <c r="D94" s="146">
        <v>0</v>
      </c>
      <c r="E94" s="146">
        <v>0</v>
      </c>
      <c r="F94" s="146">
        <v>0</v>
      </c>
      <c r="G94" s="146">
        <v>0</v>
      </c>
      <c r="H94" s="146">
        <v>0</v>
      </c>
      <c r="I94" s="146">
        <v>0</v>
      </c>
      <c r="J94" s="146">
        <v>6</v>
      </c>
      <c r="K94" s="146">
        <v>0</v>
      </c>
      <c r="L94" s="146">
        <v>0</v>
      </c>
      <c r="M94" s="146">
        <v>0</v>
      </c>
      <c r="N94" s="146">
        <v>0</v>
      </c>
      <c r="O94" s="147">
        <v>0</v>
      </c>
      <c r="P94" s="147">
        <v>0</v>
      </c>
      <c r="Q94" s="147">
        <v>2</v>
      </c>
      <c r="R94" s="147">
        <v>0</v>
      </c>
      <c r="S94" s="147">
        <v>0</v>
      </c>
      <c r="T94" s="147">
        <v>0</v>
      </c>
      <c r="U94" s="147">
        <v>3</v>
      </c>
      <c r="V94" s="147">
        <v>0</v>
      </c>
      <c r="W94" s="147">
        <v>0</v>
      </c>
      <c r="X94" s="148">
        <v>0</v>
      </c>
    </row>
    <row r="95" spans="1:24" ht="14.6">
      <c r="A95" s="1318"/>
      <c r="B95" s="54" t="s">
        <v>123</v>
      </c>
      <c r="C95" s="136">
        <v>25</v>
      </c>
      <c r="D95" s="136">
        <v>0</v>
      </c>
      <c r="E95" s="136">
        <v>0</v>
      </c>
      <c r="F95" s="136">
        <v>0</v>
      </c>
      <c r="G95" s="136">
        <v>0</v>
      </c>
      <c r="H95" s="136">
        <v>0</v>
      </c>
      <c r="I95" s="136">
        <v>0</v>
      </c>
      <c r="J95" s="136">
        <v>9</v>
      </c>
      <c r="K95" s="136">
        <v>0</v>
      </c>
      <c r="L95" s="136">
        <v>0</v>
      </c>
      <c r="M95" s="136">
        <v>0</v>
      </c>
      <c r="N95" s="136">
        <v>0</v>
      </c>
      <c r="O95" s="137">
        <v>0</v>
      </c>
      <c r="P95" s="137">
        <v>0</v>
      </c>
      <c r="Q95" s="137">
        <v>2</v>
      </c>
      <c r="R95" s="137">
        <v>0</v>
      </c>
      <c r="S95" s="137">
        <v>0</v>
      </c>
      <c r="T95" s="137">
        <v>0</v>
      </c>
      <c r="U95" s="137">
        <v>5</v>
      </c>
      <c r="V95" s="137">
        <v>0</v>
      </c>
      <c r="W95" s="137">
        <v>0</v>
      </c>
      <c r="X95" s="138">
        <v>0</v>
      </c>
    </row>
    <row r="96" spans="1:24" ht="14.6">
      <c r="A96" s="1318"/>
      <c r="B96" s="54" t="s">
        <v>124</v>
      </c>
      <c r="C96" s="136">
        <v>20</v>
      </c>
      <c r="D96" s="136">
        <v>0</v>
      </c>
      <c r="E96" s="136">
        <v>0</v>
      </c>
      <c r="F96" s="136">
        <v>0</v>
      </c>
      <c r="G96" s="136">
        <v>0</v>
      </c>
      <c r="H96" s="136">
        <v>0</v>
      </c>
      <c r="I96" s="136">
        <v>0</v>
      </c>
      <c r="J96" s="136">
        <v>6</v>
      </c>
      <c r="K96" s="136">
        <v>0</v>
      </c>
      <c r="L96" s="136">
        <v>0</v>
      </c>
      <c r="M96" s="136">
        <v>0</v>
      </c>
      <c r="N96" s="136">
        <v>0</v>
      </c>
      <c r="O96" s="137">
        <v>0</v>
      </c>
      <c r="P96" s="137">
        <v>0</v>
      </c>
      <c r="Q96" s="137">
        <v>2</v>
      </c>
      <c r="R96" s="137">
        <v>0</v>
      </c>
      <c r="S96" s="137">
        <v>0</v>
      </c>
      <c r="T96" s="137">
        <v>0</v>
      </c>
      <c r="U96" s="137">
        <v>3</v>
      </c>
      <c r="V96" s="137">
        <v>0</v>
      </c>
      <c r="W96" s="137">
        <v>0</v>
      </c>
      <c r="X96" s="138">
        <v>0</v>
      </c>
    </row>
    <row r="97" spans="1:24" ht="14.6">
      <c r="A97" s="1318"/>
      <c r="B97" s="54" t="s">
        <v>125</v>
      </c>
      <c r="C97" s="136">
        <v>20</v>
      </c>
      <c r="D97" s="136">
        <v>0</v>
      </c>
      <c r="E97" s="136">
        <v>0</v>
      </c>
      <c r="F97" s="136">
        <v>0</v>
      </c>
      <c r="G97" s="136">
        <v>0</v>
      </c>
      <c r="H97" s="136">
        <v>0</v>
      </c>
      <c r="I97" s="136">
        <v>0</v>
      </c>
      <c r="J97" s="136">
        <v>6</v>
      </c>
      <c r="K97" s="136">
        <v>0</v>
      </c>
      <c r="L97" s="136">
        <v>0</v>
      </c>
      <c r="M97" s="136">
        <v>0</v>
      </c>
      <c r="N97" s="136">
        <v>0</v>
      </c>
      <c r="O97" s="137">
        <v>0</v>
      </c>
      <c r="P97" s="137">
        <v>0</v>
      </c>
      <c r="Q97" s="137">
        <v>1</v>
      </c>
      <c r="R97" s="137">
        <v>0</v>
      </c>
      <c r="S97" s="137">
        <v>0</v>
      </c>
      <c r="T97" s="137">
        <v>0</v>
      </c>
      <c r="U97" s="137">
        <v>3</v>
      </c>
      <c r="V97" s="137">
        <v>0</v>
      </c>
      <c r="W97" s="137">
        <v>0</v>
      </c>
      <c r="X97" s="138">
        <v>0</v>
      </c>
    </row>
    <row r="98" spans="1:24" ht="14.6">
      <c r="A98" s="1318"/>
      <c r="B98" s="54" t="s">
        <v>126</v>
      </c>
      <c r="C98" s="136">
        <v>20</v>
      </c>
      <c r="D98" s="136">
        <v>0</v>
      </c>
      <c r="E98" s="136">
        <v>0</v>
      </c>
      <c r="F98" s="136">
        <v>0</v>
      </c>
      <c r="G98" s="136">
        <v>0</v>
      </c>
      <c r="H98" s="136">
        <v>0</v>
      </c>
      <c r="I98" s="136">
        <v>5</v>
      </c>
      <c r="J98" s="136">
        <v>6</v>
      </c>
      <c r="K98" s="136">
        <v>0</v>
      </c>
      <c r="L98" s="136">
        <v>0</v>
      </c>
      <c r="M98" s="136">
        <v>0</v>
      </c>
      <c r="N98" s="136">
        <v>0</v>
      </c>
      <c r="O98" s="137">
        <v>0</v>
      </c>
      <c r="P98" s="137">
        <v>0</v>
      </c>
      <c r="Q98" s="137">
        <v>1</v>
      </c>
      <c r="R98" s="137">
        <v>0</v>
      </c>
      <c r="S98" s="137">
        <v>0</v>
      </c>
      <c r="T98" s="137">
        <v>0</v>
      </c>
      <c r="U98" s="137">
        <v>3</v>
      </c>
      <c r="V98" s="137">
        <v>0</v>
      </c>
      <c r="W98" s="137">
        <v>0</v>
      </c>
      <c r="X98" s="138">
        <v>0</v>
      </c>
    </row>
    <row r="99" spans="1:24" ht="15" thickBot="1">
      <c r="A99" s="1319"/>
      <c r="B99" s="55" t="s">
        <v>127</v>
      </c>
      <c r="C99" s="149">
        <v>20</v>
      </c>
      <c r="D99" s="149">
        <v>0</v>
      </c>
      <c r="E99" s="149">
        <v>0</v>
      </c>
      <c r="F99" s="149">
        <v>0</v>
      </c>
      <c r="G99" s="149">
        <v>0</v>
      </c>
      <c r="H99" s="149">
        <v>0</v>
      </c>
      <c r="I99" s="149">
        <v>5</v>
      </c>
      <c r="J99" s="149">
        <v>6</v>
      </c>
      <c r="K99" s="149">
        <v>0</v>
      </c>
      <c r="L99" s="149">
        <v>0</v>
      </c>
      <c r="M99" s="149">
        <v>0</v>
      </c>
      <c r="N99" s="149">
        <v>0</v>
      </c>
      <c r="O99" s="144">
        <v>0</v>
      </c>
      <c r="P99" s="144">
        <v>0</v>
      </c>
      <c r="Q99" s="144">
        <v>1</v>
      </c>
      <c r="R99" s="144">
        <v>0</v>
      </c>
      <c r="S99" s="144">
        <v>0</v>
      </c>
      <c r="T99" s="144">
        <v>0</v>
      </c>
      <c r="U99" s="144">
        <v>4</v>
      </c>
      <c r="V99" s="144">
        <v>0</v>
      </c>
      <c r="W99" s="144">
        <v>0</v>
      </c>
      <c r="X99" s="145">
        <v>0</v>
      </c>
    </row>
    <row r="100" spans="1:24" ht="14.6">
      <c r="A100" s="6"/>
      <c r="B100" s="22"/>
      <c r="C100" s="15"/>
      <c r="D100" s="15"/>
      <c r="E100" s="15"/>
      <c r="F100" s="15"/>
      <c r="G100" s="15"/>
      <c r="H100" s="15"/>
      <c r="I100" s="15"/>
      <c r="J100" s="15"/>
      <c r="K100" s="15"/>
      <c r="L100" s="15"/>
      <c r="M100" s="15"/>
      <c r="N100" s="15"/>
      <c r="O100" s="15"/>
      <c r="P100" s="15"/>
      <c r="Q100" s="15"/>
    </row>
    <row r="101" spans="1:24" ht="18" customHeight="1" thickBot="1">
      <c r="A101" s="1307" t="s">
        <v>564</v>
      </c>
      <c r="B101" s="1308"/>
      <c r="C101" s="1308"/>
      <c r="D101" s="1308"/>
      <c r="E101" s="1308"/>
      <c r="F101" s="1308"/>
      <c r="G101" s="1308"/>
      <c r="H101" s="1308"/>
      <c r="I101" s="1308"/>
      <c r="J101" s="1308"/>
      <c r="K101" s="1308"/>
      <c r="L101" s="1308"/>
      <c r="M101" s="1308"/>
      <c r="N101" s="1308"/>
      <c r="O101" s="1308"/>
      <c r="P101" s="1308"/>
      <c r="Q101" s="1308"/>
      <c r="R101" s="1308"/>
      <c r="S101" s="1308"/>
      <c r="T101" s="1308"/>
      <c r="U101" s="1308"/>
      <c r="V101" s="1308"/>
      <c r="W101" s="1308"/>
      <c r="X101" s="1308"/>
    </row>
    <row r="102" spans="1:24" ht="37.5" customHeight="1" thickBot="1">
      <c r="A102" s="77"/>
      <c r="B102" s="38" t="s">
        <v>3</v>
      </c>
      <c r="C102" s="1" t="s">
        <v>4</v>
      </c>
      <c r="D102" s="1" t="s">
        <v>5</v>
      </c>
      <c r="E102" s="1" t="s">
        <v>6</v>
      </c>
      <c r="F102" s="1" t="s">
        <v>7</v>
      </c>
      <c r="G102" s="1" t="s">
        <v>8</v>
      </c>
      <c r="H102" s="1" t="s">
        <v>9</v>
      </c>
      <c r="I102" s="1" t="s">
        <v>10</v>
      </c>
      <c r="J102" s="1" t="s">
        <v>11</v>
      </c>
      <c r="K102" s="1" t="s">
        <v>12</v>
      </c>
      <c r="L102" s="1" t="s">
        <v>13</v>
      </c>
      <c r="M102" s="1" t="s">
        <v>14</v>
      </c>
      <c r="N102" s="1" t="s">
        <v>15</v>
      </c>
      <c r="O102" s="2" t="s">
        <v>16</v>
      </c>
      <c r="P102" s="2" t="s">
        <v>17</v>
      </c>
      <c r="Q102" s="2" t="s">
        <v>18</v>
      </c>
      <c r="R102" s="2" t="s">
        <v>19</v>
      </c>
      <c r="S102" s="2" t="s">
        <v>20</v>
      </c>
      <c r="T102" s="2" t="s">
        <v>21</v>
      </c>
      <c r="U102" s="2" t="s">
        <v>22</v>
      </c>
      <c r="V102" s="2" t="s">
        <v>23</v>
      </c>
      <c r="W102" s="2" t="s">
        <v>377</v>
      </c>
      <c r="X102" s="3" t="s">
        <v>378</v>
      </c>
    </row>
    <row r="103" spans="1:24" ht="14.6">
      <c r="A103" s="1317" t="s">
        <v>396</v>
      </c>
      <c r="B103" s="61" t="s">
        <v>26</v>
      </c>
      <c r="C103" s="124">
        <v>71.040000000000006</v>
      </c>
      <c r="D103" s="99">
        <v>33.71</v>
      </c>
      <c r="E103" s="99">
        <v>3.75</v>
      </c>
      <c r="F103" s="99">
        <v>2.38</v>
      </c>
      <c r="G103" s="99">
        <v>0</v>
      </c>
      <c r="H103" s="99">
        <v>22.14</v>
      </c>
      <c r="I103" s="99">
        <v>48.32</v>
      </c>
      <c r="J103" s="99">
        <v>8.56</v>
      </c>
      <c r="K103" s="99">
        <v>0</v>
      </c>
      <c r="L103" s="99">
        <v>6.81</v>
      </c>
      <c r="M103" s="99">
        <v>1.36</v>
      </c>
      <c r="N103" s="99">
        <v>4</v>
      </c>
      <c r="O103" s="99">
        <v>0</v>
      </c>
      <c r="P103" s="99">
        <v>6</v>
      </c>
      <c r="Q103" s="100">
        <v>0</v>
      </c>
      <c r="R103" s="101"/>
      <c r="S103" s="101"/>
      <c r="T103" s="101"/>
      <c r="U103" s="101"/>
      <c r="V103" s="101"/>
      <c r="W103" s="101"/>
      <c r="X103" s="102"/>
    </row>
    <row r="104" spans="1:24" ht="14.6">
      <c r="A104" s="1318"/>
      <c r="B104" s="62" t="s">
        <v>505</v>
      </c>
      <c r="C104" s="125">
        <v>70.260000000000005</v>
      </c>
      <c r="D104" s="104">
        <v>34.299999999999997</v>
      </c>
      <c r="E104" s="104">
        <v>3.81</v>
      </c>
      <c r="F104" s="104">
        <v>2.42</v>
      </c>
      <c r="G104" s="104">
        <v>0</v>
      </c>
      <c r="H104" s="104">
        <v>22.51</v>
      </c>
      <c r="I104" s="104">
        <v>48.85</v>
      </c>
      <c r="J104" s="104">
        <v>8.14</v>
      </c>
      <c r="K104" s="104">
        <v>0</v>
      </c>
      <c r="L104" s="104">
        <v>6.27</v>
      </c>
      <c r="M104" s="104">
        <v>1.39</v>
      </c>
      <c r="N104" s="104">
        <v>4</v>
      </c>
      <c r="O104" s="104">
        <v>0</v>
      </c>
      <c r="P104" s="104">
        <v>6</v>
      </c>
      <c r="Q104" s="105">
        <v>0</v>
      </c>
      <c r="R104" s="106"/>
      <c r="S104" s="106"/>
      <c r="T104" s="106"/>
      <c r="U104" s="106"/>
      <c r="V104" s="106"/>
      <c r="W104" s="106"/>
      <c r="X104" s="107"/>
    </row>
    <row r="105" spans="1:24" ht="14.6">
      <c r="A105" s="1318"/>
      <c r="B105" s="62" t="s">
        <v>404</v>
      </c>
      <c r="C105" s="125">
        <v>70.790000000000006</v>
      </c>
      <c r="D105" s="104">
        <v>34.56</v>
      </c>
      <c r="E105" s="104">
        <v>3.84</v>
      </c>
      <c r="F105" s="104">
        <v>2.44</v>
      </c>
      <c r="G105" s="104">
        <v>0</v>
      </c>
      <c r="H105" s="104">
        <v>22.69</v>
      </c>
      <c r="I105" s="104">
        <v>49.2</v>
      </c>
      <c r="J105" s="104">
        <v>8.2799999999999994</v>
      </c>
      <c r="K105" s="104">
        <v>0</v>
      </c>
      <c r="L105" s="104">
        <v>6.48</v>
      </c>
      <c r="M105" s="104">
        <v>1.4</v>
      </c>
      <c r="N105" s="104">
        <v>4</v>
      </c>
      <c r="O105" s="104">
        <v>0</v>
      </c>
      <c r="P105" s="104">
        <v>6</v>
      </c>
      <c r="Q105" s="105">
        <v>0</v>
      </c>
      <c r="R105" s="106"/>
      <c r="S105" s="106"/>
      <c r="T105" s="106"/>
      <c r="U105" s="106"/>
      <c r="V105" s="106"/>
      <c r="W105" s="106"/>
      <c r="X105" s="107"/>
    </row>
    <row r="106" spans="1:24" ht="14.6">
      <c r="A106" s="1318"/>
      <c r="B106" s="62" t="s">
        <v>98</v>
      </c>
      <c r="C106" s="125">
        <v>72.55</v>
      </c>
      <c r="D106" s="104">
        <v>32.72</v>
      </c>
      <c r="E106" s="104">
        <v>3.64</v>
      </c>
      <c r="F106" s="104">
        <v>2.31</v>
      </c>
      <c r="G106" s="104">
        <v>0</v>
      </c>
      <c r="H106" s="104">
        <v>21.48</v>
      </c>
      <c r="I106" s="104">
        <v>46.6</v>
      </c>
      <c r="J106" s="104">
        <v>9.1999999999999993</v>
      </c>
      <c r="K106" s="104">
        <v>0</v>
      </c>
      <c r="L106" s="104">
        <v>7.45</v>
      </c>
      <c r="M106" s="104">
        <v>1.32</v>
      </c>
      <c r="N106" s="104">
        <v>4</v>
      </c>
      <c r="O106" s="104">
        <v>0</v>
      </c>
      <c r="P106" s="104">
        <v>6</v>
      </c>
      <c r="Q106" s="105">
        <v>0</v>
      </c>
      <c r="R106" s="106"/>
      <c r="S106" s="106"/>
      <c r="T106" s="106"/>
      <c r="U106" s="106"/>
      <c r="V106" s="106"/>
      <c r="W106" s="106"/>
      <c r="X106" s="107"/>
    </row>
    <row r="107" spans="1:24" ht="14.6">
      <c r="A107" s="1318"/>
      <c r="B107" s="62" t="s">
        <v>34</v>
      </c>
      <c r="C107" s="125">
        <v>74.42</v>
      </c>
      <c r="D107" s="104">
        <v>31.89</v>
      </c>
      <c r="E107" s="104">
        <v>3.54</v>
      </c>
      <c r="F107" s="104">
        <v>2.13</v>
      </c>
      <c r="G107" s="104">
        <v>0</v>
      </c>
      <c r="H107" s="104">
        <v>19.489999999999998</v>
      </c>
      <c r="I107" s="104">
        <v>40.75</v>
      </c>
      <c r="J107" s="104">
        <v>9.57</v>
      </c>
      <c r="K107" s="104">
        <v>0</v>
      </c>
      <c r="L107" s="104">
        <v>7.44</v>
      </c>
      <c r="M107" s="104">
        <v>1.42</v>
      </c>
      <c r="N107" s="104">
        <v>4</v>
      </c>
      <c r="O107" s="104">
        <v>0</v>
      </c>
      <c r="P107" s="104">
        <v>6</v>
      </c>
      <c r="Q107" s="105">
        <v>0.38</v>
      </c>
      <c r="R107" s="106"/>
      <c r="S107" s="106"/>
      <c r="T107" s="106"/>
      <c r="U107" s="106"/>
      <c r="V107" s="106"/>
      <c r="W107" s="106"/>
      <c r="X107" s="107"/>
    </row>
    <row r="108" spans="1:24" ht="14.6">
      <c r="A108" s="1318"/>
      <c r="B108" s="62" t="s">
        <v>136</v>
      </c>
      <c r="C108" s="125">
        <v>70.47</v>
      </c>
      <c r="D108" s="104">
        <v>34.659999999999997</v>
      </c>
      <c r="E108" s="104">
        <v>3.85</v>
      </c>
      <c r="F108" s="104">
        <v>2.4500000000000002</v>
      </c>
      <c r="G108" s="104">
        <v>0</v>
      </c>
      <c r="H108" s="104">
        <v>22.75</v>
      </c>
      <c r="I108" s="104">
        <v>51.38</v>
      </c>
      <c r="J108" s="104">
        <v>8.16</v>
      </c>
      <c r="K108" s="104">
        <v>0.01</v>
      </c>
      <c r="L108" s="104">
        <v>6.33</v>
      </c>
      <c r="M108" s="104">
        <v>1.42</v>
      </c>
      <c r="N108" s="104">
        <v>4</v>
      </c>
      <c r="O108" s="104">
        <v>0</v>
      </c>
      <c r="P108" s="104">
        <v>6</v>
      </c>
      <c r="Q108" s="105">
        <v>0.01</v>
      </c>
      <c r="R108" s="106"/>
      <c r="S108" s="106"/>
      <c r="T108" s="106"/>
      <c r="U108" s="106"/>
      <c r="V108" s="106"/>
      <c r="W108" s="106"/>
      <c r="X108" s="107"/>
    </row>
    <row r="109" spans="1:24" ht="14.6">
      <c r="A109" s="1318"/>
      <c r="B109" s="62" t="s">
        <v>528</v>
      </c>
      <c r="C109" s="125">
        <v>71.64</v>
      </c>
      <c r="D109" s="104">
        <v>33.799999999999997</v>
      </c>
      <c r="E109" s="104">
        <v>3.76</v>
      </c>
      <c r="F109" s="104">
        <v>2.39</v>
      </c>
      <c r="G109" s="104">
        <v>0</v>
      </c>
      <c r="H109" s="104">
        <v>22.19</v>
      </c>
      <c r="I109" s="104">
        <v>47.99</v>
      </c>
      <c r="J109" s="104">
        <v>8.69</v>
      </c>
      <c r="K109" s="104">
        <v>0</v>
      </c>
      <c r="L109" s="104">
        <v>6.89</v>
      </c>
      <c r="M109" s="104">
        <v>1.37</v>
      </c>
      <c r="N109" s="104">
        <v>4</v>
      </c>
      <c r="O109" s="104">
        <v>0</v>
      </c>
      <c r="P109" s="104">
        <v>6</v>
      </c>
      <c r="Q109" s="105">
        <v>0</v>
      </c>
      <c r="R109" s="106"/>
      <c r="S109" s="106"/>
      <c r="T109" s="106"/>
      <c r="U109" s="106"/>
      <c r="V109" s="106"/>
      <c r="W109" s="106"/>
      <c r="X109" s="107"/>
    </row>
    <row r="110" spans="1:24" ht="14.6">
      <c r="A110" s="1318"/>
      <c r="B110" s="62" t="s">
        <v>48</v>
      </c>
      <c r="C110" s="125">
        <v>70.8</v>
      </c>
      <c r="D110" s="104">
        <v>34.270000000000003</v>
      </c>
      <c r="E110" s="104">
        <v>3.81</v>
      </c>
      <c r="F110" s="104">
        <v>2.42</v>
      </c>
      <c r="G110" s="104">
        <v>0</v>
      </c>
      <c r="H110" s="104">
        <v>22.5</v>
      </c>
      <c r="I110" s="104">
        <v>48.57</v>
      </c>
      <c r="J110" s="104">
        <v>8.36</v>
      </c>
      <c r="K110" s="104">
        <v>0</v>
      </c>
      <c r="L110" s="104">
        <v>6.57</v>
      </c>
      <c r="M110" s="104">
        <v>1.38</v>
      </c>
      <c r="N110" s="104">
        <v>4</v>
      </c>
      <c r="O110" s="104">
        <v>0</v>
      </c>
      <c r="P110" s="104">
        <v>6</v>
      </c>
      <c r="Q110" s="105">
        <v>0</v>
      </c>
      <c r="R110" s="106"/>
      <c r="S110" s="106"/>
      <c r="T110" s="106"/>
      <c r="U110" s="106"/>
      <c r="V110" s="106"/>
      <c r="W110" s="106"/>
      <c r="X110" s="107"/>
    </row>
    <row r="111" spans="1:24" ht="14.6">
      <c r="A111" s="1318"/>
      <c r="B111" s="62" t="s">
        <v>137</v>
      </c>
      <c r="C111" s="125">
        <v>69.81</v>
      </c>
      <c r="D111" s="104">
        <v>34.590000000000003</v>
      </c>
      <c r="E111" s="104">
        <v>3.84</v>
      </c>
      <c r="F111" s="104">
        <v>2.44</v>
      </c>
      <c r="G111" s="104">
        <v>0</v>
      </c>
      <c r="H111" s="104">
        <v>22.66</v>
      </c>
      <c r="I111" s="104">
        <v>49.14</v>
      </c>
      <c r="J111" s="104">
        <v>8.0299999999999994</v>
      </c>
      <c r="K111" s="104">
        <v>0</v>
      </c>
      <c r="L111" s="104">
        <v>6.28</v>
      </c>
      <c r="M111" s="104">
        <v>1.39</v>
      </c>
      <c r="N111" s="104">
        <v>4</v>
      </c>
      <c r="O111" s="104">
        <v>0</v>
      </c>
      <c r="P111" s="104">
        <v>6</v>
      </c>
      <c r="Q111" s="105">
        <v>0</v>
      </c>
      <c r="R111" s="106"/>
      <c r="S111" s="106"/>
      <c r="T111" s="106"/>
      <c r="U111" s="106"/>
      <c r="V111" s="106"/>
      <c r="W111" s="106"/>
      <c r="X111" s="107"/>
    </row>
    <row r="112" spans="1:24" ht="14.6">
      <c r="A112" s="1318"/>
      <c r="B112" s="62" t="s">
        <v>416</v>
      </c>
      <c r="C112" s="125">
        <v>71.03</v>
      </c>
      <c r="D112" s="104">
        <v>34.19</v>
      </c>
      <c r="E112" s="104">
        <v>3.8</v>
      </c>
      <c r="F112" s="104">
        <v>2.42</v>
      </c>
      <c r="G112" s="104">
        <v>0</v>
      </c>
      <c r="H112" s="104">
        <v>22.45</v>
      </c>
      <c r="I112" s="104">
        <v>48.7</v>
      </c>
      <c r="J112" s="104">
        <v>8.39</v>
      </c>
      <c r="K112" s="104">
        <v>0</v>
      </c>
      <c r="L112" s="104">
        <v>6.61</v>
      </c>
      <c r="M112" s="104">
        <v>1.38</v>
      </c>
      <c r="N112" s="104">
        <v>4</v>
      </c>
      <c r="O112" s="104">
        <v>0</v>
      </c>
      <c r="P112" s="104">
        <v>6</v>
      </c>
      <c r="Q112" s="105">
        <v>0</v>
      </c>
      <c r="R112" s="106"/>
      <c r="S112" s="106"/>
      <c r="T112" s="106"/>
      <c r="U112" s="106"/>
      <c r="V112" s="106"/>
      <c r="W112" s="106"/>
      <c r="X112" s="107"/>
    </row>
    <row r="113" spans="1:24" ht="14.6">
      <c r="A113" s="1318"/>
      <c r="B113" s="62" t="s">
        <v>417</v>
      </c>
      <c r="C113" s="125">
        <v>71.41</v>
      </c>
      <c r="D113" s="104">
        <v>34.61</v>
      </c>
      <c r="E113" s="104">
        <v>3.85</v>
      </c>
      <c r="F113" s="104">
        <v>2.4500000000000002</v>
      </c>
      <c r="G113" s="104">
        <v>0</v>
      </c>
      <c r="H113" s="104">
        <v>22.72</v>
      </c>
      <c r="I113" s="104">
        <v>49.19</v>
      </c>
      <c r="J113" s="104">
        <v>8.36</v>
      </c>
      <c r="K113" s="104">
        <v>0</v>
      </c>
      <c r="L113" s="104">
        <v>6.5</v>
      </c>
      <c r="M113" s="104">
        <v>1.4</v>
      </c>
      <c r="N113" s="104">
        <v>4</v>
      </c>
      <c r="O113" s="104">
        <v>0</v>
      </c>
      <c r="P113" s="104">
        <v>6</v>
      </c>
      <c r="Q113" s="105">
        <v>0</v>
      </c>
      <c r="R113" s="106"/>
      <c r="S113" s="106"/>
      <c r="T113" s="106"/>
      <c r="U113" s="106"/>
      <c r="V113" s="106"/>
      <c r="W113" s="106"/>
      <c r="X113" s="107"/>
    </row>
    <row r="114" spans="1:24" ht="14.6">
      <c r="A114" s="1318"/>
      <c r="B114" s="62" t="s">
        <v>418</v>
      </c>
      <c r="C114" s="125">
        <v>71.69</v>
      </c>
      <c r="D114" s="104">
        <v>33.93</v>
      </c>
      <c r="E114" s="104">
        <v>3.77</v>
      </c>
      <c r="F114" s="104">
        <v>2.4</v>
      </c>
      <c r="G114" s="104">
        <v>0</v>
      </c>
      <c r="H114" s="104">
        <v>22.28</v>
      </c>
      <c r="I114" s="104">
        <v>48.85</v>
      </c>
      <c r="J114" s="104">
        <v>8.68</v>
      </c>
      <c r="K114" s="104">
        <v>0.01</v>
      </c>
      <c r="L114" s="104">
        <v>6.88</v>
      </c>
      <c r="M114" s="104">
        <v>1.37</v>
      </c>
      <c r="N114" s="104">
        <v>4</v>
      </c>
      <c r="O114" s="104">
        <v>0</v>
      </c>
      <c r="P114" s="104">
        <v>6</v>
      </c>
      <c r="Q114" s="105">
        <v>0</v>
      </c>
      <c r="R114" s="106"/>
      <c r="S114" s="106"/>
      <c r="T114" s="106"/>
      <c r="U114" s="106"/>
      <c r="V114" s="106"/>
      <c r="W114" s="106"/>
      <c r="X114" s="107"/>
    </row>
    <row r="115" spans="1:24" ht="14.6">
      <c r="A115" s="1318"/>
      <c r="B115" s="62" t="s">
        <v>360</v>
      </c>
      <c r="C115" s="125">
        <v>70.98</v>
      </c>
      <c r="D115" s="104">
        <v>34.5</v>
      </c>
      <c r="E115" s="104">
        <v>3.83</v>
      </c>
      <c r="F115" s="104">
        <v>2.44</v>
      </c>
      <c r="G115" s="104">
        <v>0</v>
      </c>
      <c r="H115" s="104">
        <v>22.65</v>
      </c>
      <c r="I115" s="104">
        <v>48.79</v>
      </c>
      <c r="J115" s="104">
        <v>8.33</v>
      </c>
      <c r="K115" s="104">
        <v>0</v>
      </c>
      <c r="L115" s="104">
        <v>6.5</v>
      </c>
      <c r="M115" s="104">
        <v>1.39</v>
      </c>
      <c r="N115" s="104">
        <v>4</v>
      </c>
      <c r="O115" s="104">
        <v>0</v>
      </c>
      <c r="P115" s="104">
        <v>6</v>
      </c>
      <c r="Q115" s="105">
        <v>0</v>
      </c>
      <c r="R115" s="106"/>
      <c r="S115" s="106"/>
      <c r="T115" s="106"/>
      <c r="U115" s="106"/>
      <c r="V115" s="106"/>
      <c r="W115" s="106"/>
      <c r="X115" s="107"/>
    </row>
    <row r="116" spans="1:24" ht="14.6">
      <c r="A116" s="1318"/>
      <c r="B116" s="62" t="s">
        <v>66</v>
      </c>
      <c r="C116" s="125">
        <v>71.260000000000005</v>
      </c>
      <c r="D116" s="104">
        <v>34.26</v>
      </c>
      <c r="E116" s="104">
        <v>3.81</v>
      </c>
      <c r="F116" s="104">
        <v>2.42</v>
      </c>
      <c r="G116" s="104">
        <v>0</v>
      </c>
      <c r="H116" s="104">
        <v>22.49</v>
      </c>
      <c r="I116" s="104">
        <v>48.61</v>
      </c>
      <c r="J116" s="104">
        <v>8.4700000000000006</v>
      </c>
      <c r="K116" s="104">
        <v>0</v>
      </c>
      <c r="L116" s="104">
        <v>6.72</v>
      </c>
      <c r="M116" s="104">
        <v>1.39</v>
      </c>
      <c r="N116" s="104">
        <v>4</v>
      </c>
      <c r="O116" s="104">
        <v>0</v>
      </c>
      <c r="P116" s="104">
        <v>6</v>
      </c>
      <c r="Q116" s="105">
        <v>0</v>
      </c>
      <c r="R116" s="106"/>
      <c r="S116" s="106"/>
      <c r="T116" s="106"/>
      <c r="U116" s="106"/>
      <c r="V116" s="106"/>
      <c r="W116" s="106"/>
      <c r="X116" s="107"/>
    </row>
    <row r="117" spans="1:24" ht="15" thickBot="1">
      <c r="A117" s="1319"/>
      <c r="B117" s="63" t="s">
        <v>75</v>
      </c>
      <c r="C117" s="126">
        <v>70.87</v>
      </c>
      <c r="D117" s="109">
        <v>35.08</v>
      </c>
      <c r="E117" s="109">
        <v>3.9</v>
      </c>
      <c r="F117" s="109">
        <v>2.48</v>
      </c>
      <c r="G117" s="109">
        <v>0</v>
      </c>
      <c r="H117" s="109">
        <v>23.03</v>
      </c>
      <c r="I117" s="109">
        <v>49.61</v>
      </c>
      <c r="J117" s="109">
        <v>8.15</v>
      </c>
      <c r="K117" s="109">
        <v>0</v>
      </c>
      <c r="L117" s="109">
        <v>6.38</v>
      </c>
      <c r="M117" s="109">
        <v>1.42</v>
      </c>
      <c r="N117" s="109">
        <v>4</v>
      </c>
      <c r="O117" s="109">
        <v>0</v>
      </c>
      <c r="P117" s="109">
        <v>6</v>
      </c>
      <c r="Q117" s="110">
        <v>0</v>
      </c>
      <c r="R117" s="111"/>
      <c r="S117" s="111"/>
      <c r="T117" s="111"/>
      <c r="U117" s="111"/>
      <c r="V117" s="111"/>
      <c r="W117" s="111"/>
      <c r="X117" s="112"/>
    </row>
    <row r="119" spans="1:24" ht="18" customHeight="1" thickBot="1">
      <c r="A119" s="1308" t="s">
        <v>543</v>
      </c>
      <c r="B119" s="1308"/>
      <c r="C119" s="1308"/>
      <c r="D119" s="1308"/>
      <c r="E119" s="1308"/>
      <c r="F119" s="1308"/>
      <c r="G119" s="1308"/>
      <c r="H119" s="1308"/>
      <c r="I119" s="1308"/>
      <c r="J119" s="1308"/>
      <c r="K119" s="1308"/>
      <c r="L119" s="1308"/>
      <c r="M119" s="1308"/>
      <c r="N119" s="1308"/>
      <c r="O119" s="1308"/>
      <c r="P119" s="1308"/>
      <c r="Q119" s="1308"/>
      <c r="R119" s="1308"/>
      <c r="S119" s="1308"/>
      <c r="T119" s="1308"/>
      <c r="U119" s="1308"/>
      <c r="V119" s="1308"/>
      <c r="W119" s="1308"/>
      <c r="X119" s="1308"/>
    </row>
    <row r="120" spans="1:24" ht="37.5" customHeight="1" thickBot="1">
      <c r="A120" s="77"/>
      <c r="B120" s="38" t="s">
        <v>3</v>
      </c>
      <c r="C120" s="1" t="s">
        <v>4</v>
      </c>
      <c r="D120" s="1" t="s">
        <v>5</v>
      </c>
      <c r="E120" s="1" t="s">
        <v>6</v>
      </c>
      <c r="F120" s="1" t="s">
        <v>7</v>
      </c>
      <c r="G120" s="1" t="s">
        <v>8</v>
      </c>
      <c r="H120" s="1" t="s">
        <v>9</v>
      </c>
      <c r="I120" s="1" t="s">
        <v>10</v>
      </c>
      <c r="J120" s="1" t="s">
        <v>11</v>
      </c>
      <c r="K120" s="1" t="s">
        <v>12</v>
      </c>
      <c r="L120" s="1" t="s">
        <v>13</v>
      </c>
      <c r="M120" s="1" t="s">
        <v>14</v>
      </c>
      <c r="N120" s="1" t="s">
        <v>15</v>
      </c>
      <c r="O120" s="2" t="s">
        <v>16</v>
      </c>
      <c r="P120" s="2" t="s">
        <v>17</v>
      </c>
      <c r="Q120" s="2" t="s">
        <v>18</v>
      </c>
      <c r="R120" s="2" t="s">
        <v>19</v>
      </c>
      <c r="S120" s="2" t="s">
        <v>20</v>
      </c>
      <c r="T120" s="2" t="s">
        <v>21</v>
      </c>
      <c r="U120" s="2" t="s">
        <v>22</v>
      </c>
      <c r="V120" s="2" t="s">
        <v>23</v>
      </c>
      <c r="W120" s="2" t="s">
        <v>377</v>
      </c>
      <c r="X120" s="3" t="s">
        <v>378</v>
      </c>
    </row>
    <row r="121" spans="1:24" ht="14.6">
      <c r="A121" s="1321" t="s">
        <v>544</v>
      </c>
      <c r="B121" s="61" t="s">
        <v>129</v>
      </c>
      <c r="C121" s="124">
        <v>72.73</v>
      </c>
      <c r="D121" s="99">
        <v>40.36</v>
      </c>
      <c r="E121" s="99">
        <v>4.4800000000000004</v>
      </c>
      <c r="F121" s="99">
        <v>4.45</v>
      </c>
      <c r="G121" s="99">
        <v>0.04</v>
      </c>
      <c r="H121" s="99">
        <v>7.0000000000000007E-2</v>
      </c>
      <c r="I121" s="99">
        <v>13.23</v>
      </c>
      <c r="J121" s="99">
        <v>7.68</v>
      </c>
      <c r="K121" s="99">
        <v>0.21</v>
      </c>
      <c r="L121" s="99">
        <v>6.27</v>
      </c>
      <c r="M121" s="99">
        <v>0.41</v>
      </c>
      <c r="N121" s="99">
        <v>0.87</v>
      </c>
      <c r="O121" s="99">
        <v>0</v>
      </c>
      <c r="P121" s="99">
        <v>1.38</v>
      </c>
      <c r="Q121" s="100">
        <v>0.17</v>
      </c>
      <c r="R121" s="101"/>
      <c r="S121" s="101"/>
      <c r="T121" s="101"/>
      <c r="U121" s="101"/>
      <c r="V121" s="101"/>
      <c r="W121" s="101"/>
      <c r="X121" s="102"/>
    </row>
    <row r="122" spans="1:24" ht="15" thickBot="1">
      <c r="A122" s="1322"/>
      <c r="B122" s="63" t="s">
        <v>130</v>
      </c>
      <c r="C122" s="126">
        <v>76.45</v>
      </c>
      <c r="D122" s="109">
        <v>45.96</v>
      </c>
      <c r="E122" s="109">
        <v>5.1100000000000003</v>
      </c>
      <c r="F122" s="109">
        <v>5.09</v>
      </c>
      <c r="G122" s="109">
        <v>0.01</v>
      </c>
      <c r="H122" s="109">
        <v>0.04</v>
      </c>
      <c r="I122" s="109">
        <v>11.42</v>
      </c>
      <c r="J122" s="109">
        <v>7.39</v>
      </c>
      <c r="K122" s="109">
        <v>0.02</v>
      </c>
      <c r="L122" s="109">
        <v>6.72</v>
      </c>
      <c r="M122" s="109">
        <v>0.22</v>
      </c>
      <c r="N122" s="109">
        <v>0.19</v>
      </c>
      <c r="O122" s="109">
        <v>0</v>
      </c>
      <c r="P122" s="109">
        <v>0.42</v>
      </c>
      <c r="Q122" s="110">
        <v>0.01</v>
      </c>
      <c r="R122" s="111"/>
      <c r="S122" s="111"/>
      <c r="T122" s="111"/>
      <c r="U122" s="111"/>
      <c r="V122" s="111"/>
      <c r="W122" s="111"/>
      <c r="X122" s="112"/>
    </row>
    <row r="123" spans="1:24" ht="14.6">
      <c r="A123" s="14"/>
      <c r="B123" s="22"/>
      <c r="C123" s="15"/>
      <c r="D123" s="15"/>
      <c r="E123" s="15"/>
      <c r="F123" s="15"/>
      <c r="G123" s="15"/>
      <c r="H123" s="15"/>
      <c r="I123" s="15"/>
      <c r="J123" s="15"/>
      <c r="K123" s="15"/>
      <c r="L123" s="15"/>
      <c r="M123" s="15"/>
      <c r="N123" s="15"/>
      <c r="O123" s="15"/>
      <c r="P123" s="15"/>
      <c r="Q123" s="15"/>
    </row>
    <row r="124" spans="1:24" ht="18" customHeight="1" thickBot="1">
      <c r="A124" s="1332" t="s">
        <v>545</v>
      </c>
      <c r="B124" s="1332"/>
      <c r="C124" s="1332"/>
      <c r="D124" s="1332"/>
      <c r="E124" s="1332"/>
      <c r="F124" s="1332"/>
      <c r="G124" s="1332"/>
      <c r="H124" s="1332"/>
      <c r="I124" s="1332"/>
      <c r="J124" s="1332"/>
      <c r="K124" s="1332"/>
      <c r="L124" s="1332"/>
      <c r="M124" s="1332"/>
      <c r="N124" s="1332"/>
      <c r="O124" s="1332"/>
      <c r="P124" s="1332"/>
      <c r="Q124" s="1332"/>
      <c r="R124" s="1332"/>
      <c r="S124" s="1332"/>
      <c r="T124" s="1332"/>
      <c r="U124" s="1332"/>
      <c r="V124" s="1332"/>
      <c r="W124" s="1332"/>
      <c r="X124" s="1332"/>
    </row>
    <row r="125" spans="1:24" ht="37.5" customHeight="1" thickBot="1">
      <c r="A125" s="77"/>
      <c r="B125" s="38" t="s">
        <v>3</v>
      </c>
      <c r="C125" s="1" t="s">
        <v>4</v>
      </c>
      <c r="D125" s="1" t="s">
        <v>5</v>
      </c>
      <c r="E125" s="1" t="s">
        <v>6</v>
      </c>
      <c r="F125" s="1" t="s">
        <v>7</v>
      </c>
      <c r="G125" s="1" t="s">
        <v>8</v>
      </c>
      <c r="H125" s="1" t="s">
        <v>9</v>
      </c>
      <c r="I125" s="1" t="s">
        <v>10</v>
      </c>
      <c r="J125" s="1" t="s">
        <v>11</v>
      </c>
      <c r="K125" s="1" t="s">
        <v>12</v>
      </c>
      <c r="L125" s="1" t="s">
        <v>13</v>
      </c>
      <c r="M125" s="1" t="s">
        <v>14</v>
      </c>
      <c r="N125" s="1" t="s">
        <v>15</v>
      </c>
      <c r="O125" s="2" t="s">
        <v>16</v>
      </c>
      <c r="P125" s="2" t="s">
        <v>17</v>
      </c>
      <c r="Q125" s="2" t="s">
        <v>18</v>
      </c>
      <c r="R125" s="2" t="s">
        <v>19</v>
      </c>
      <c r="S125" s="2" t="s">
        <v>20</v>
      </c>
      <c r="T125" s="2" t="s">
        <v>21</v>
      </c>
      <c r="U125" s="2" t="s">
        <v>22</v>
      </c>
      <c r="V125" s="2" t="s">
        <v>23</v>
      </c>
      <c r="W125" s="2" t="s">
        <v>377</v>
      </c>
      <c r="X125" s="3" t="s">
        <v>378</v>
      </c>
    </row>
    <row r="126" spans="1:24" ht="14.6">
      <c r="A126" s="1321" t="s">
        <v>546</v>
      </c>
      <c r="B126" s="61" t="s">
        <v>130</v>
      </c>
      <c r="C126" s="124">
        <v>76.45</v>
      </c>
      <c r="D126" s="99">
        <v>45.96</v>
      </c>
      <c r="E126" s="99">
        <v>5.1100000000000003</v>
      </c>
      <c r="F126" s="99">
        <v>5.09</v>
      </c>
      <c r="G126" s="99">
        <v>0.01</v>
      </c>
      <c r="H126" s="99">
        <v>0.04</v>
      </c>
      <c r="I126" s="99">
        <v>11.42</v>
      </c>
      <c r="J126" s="99">
        <v>7.39</v>
      </c>
      <c r="K126" s="99">
        <v>0.02</v>
      </c>
      <c r="L126" s="99">
        <v>6.72</v>
      </c>
      <c r="M126" s="99">
        <v>0.22</v>
      </c>
      <c r="N126" s="99">
        <v>0.19</v>
      </c>
      <c r="O126" s="99">
        <v>0</v>
      </c>
      <c r="P126" s="99">
        <v>0.42</v>
      </c>
      <c r="Q126" s="100">
        <v>0.01</v>
      </c>
      <c r="R126" s="101"/>
      <c r="S126" s="101"/>
      <c r="T126" s="101"/>
      <c r="U126" s="101"/>
      <c r="V126" s="101"/>
      <c r="W126" s="101"/>
      <c r="X126" s="102"/>
    </row>
    <row r="127" spans="1:24" ht="15" thickBot="1">
      <c r="A127" s="1322"/>
      <c r="B127" s="63" t="s">
        <v>129</v>
      </c>
      <c r="C127" s="126">
        <v>72.73</v>
      </c>
      <c r="D127" s="109">
        <v>40.36</v>
      </c>
      <c r="E127" s="109">
        <v>4.4800000000000004</v>
      </c>
      <c r="F127" s="109">
        <v>4.45</v>
      </c>
      <c r="G127" s="109">
        <v>0.04</v>
      </c>
      <c r="H127" s="109">
        <v>7.0000000000000007E-2</v>
      </c>
      <c r="I127" s="109">
        <v>13.23</v>
      </c>
      <c r="J127" s="109">
        <v>7.68</v>
      </c>
      <c r="K127" s="109">
        <v>0.21</v>
      </c>
      <c r="L127" s="109">
        <v>6.27</v>
      </c>
      <c r="M127" s="109">
        <v>0.41</v>
      </c>
      <c r="N127" s="109">
        <v>0.87</v>
      </c>
      <c r="O127" s="109">
        <v>0</v>
      </c>
      <c r="P127" s="109">
        <v>1.38</v>
      </c>
      <c r="Q127" s="110">
        <v>0.17</v>
      </c>
      <c r="R127" s="111"/>
      <c r="S127" s="111"/>
      <c r="T127" s="111"/>
      <c r="U127" s="111"/>
      <c r="V127" s="111"/>
      <c r="W127" s="111"/>
      <c r="X127" s="112"/>
    </row>
    <row r="129" spans="1:24" ht="18" customHeight="1" thickBot="1">
      <c r="A129" s="1308" t="s">
        <v>538</v>
      </c>
      <c r="B129" s="1308"/>
      <c r="C129" s="1308"/>
      <c r="D129" s="1308"/>
      <c r="E129" s="1308"/>
      <c r="F129" s="1308"/>
      <c r="G129" s="1308"/>
      <c r="H129" s="1308"/>
      <c r="I129" s="1308"/>
      <c r="J129" s="1308"/>
      <c r="K129" s="1308"/>
      <c r="L129" s="1308"/>
      <c r="M129" s="1308"/>
      <c r="N129" s="1308"/>
      <c r="O129" s="1308"/>
      <c r="P129" s="1308"/>
      <c r="Q129" s="1308"/>
      <c r="R129" s="1308"/>
      <c r="S129" s="1308"/>
      <c r="T129" s="1308"/>
      <c r="U129" s="1308"/>
      <c r="V129" s="1308"/>
      <c r="W129" s="1308"/>
      <c r="X129" s="1308"/>
    </row>
    <row r="130" spans="1:24" ht="37.5" customHeight="1" thickBot="1">
      <c r="A130" s="77"/>
      <c r="B130" s="38" t="s">
        <v>3</v>
      </c>
      <c r="C130" s="1" t="s">
        <v>4</v>
      </c>
      <c r="D130" s="1" t="s">
        <v>5</v>
      </c>
      <c r="E130" s="1" t="s">
        <v>6</v>
      </c>
      <c r="F130" s="1" t="s">
        <v>7</v>
      </c>
      <c r="G130" s="1" t="s">
        <v>8</v>
      </c>
      <c r="H130" s="1" t="s">
        <v>9</v>
      </c>
      <c r="I130" s="1" t="s">
        <v>10</v>
      </c>
      <c r="J130" s="1" t="s">
        <v>11</v>
      </c>
      <c r="K130" s="1" t="s">
        <v>12</v>
      </c>
      <c r="L130" s="1" t="s">
        <v>13</v>
      </c>
      <c r="M130" s="1" t="s">
        <v>14</v>
      </c>
      <c r="N130" s="1" t="s">
        <v>15</v>
      </c>
      <c r="O130" s="2" t="s">
        <v>16</v>
      </c>
      <c r="P130" s="2" t="s">
        <v>17</v>
      </c>
      <c r="Q130" s="2" t="s">
        <v>18</v>
      </c>
      <c r="R130" s="2" t="s">
        <v>19</v>
      </c>
      <c r="S130" s="2" t="s">
        <v>20</v>
      </c>
      <c r="T130" s="2" t="s">
        <v>21</v>
      </c>
      <c r="U130" s="2" t="s">
        <v>22</v>
      </c>
      <c r="V130" s="2" t="s">
        <v>23</v>
      </c>
      <c r="W130" s="2" t="s">
        <v>377</v>
      </c>
      <c r="X130" s="3" t="s">
        <v>378</v>
      </c>
    </row>
    <row r="131" spans="1:24" ht="14.6">
      <c r="A131" s="1328" t="s">
        <v>539</v>
      </c>
      <c r="B131" s="59" t="s">
        <v>144</v>
      </c>
      <c r="C131" s="124">
        <v>21.55</v>
      </c>
      <c r="D131" s="99">
        <v>11.06</v>
      </c>
      <c r="E131" s="99">
        <v>1.23</v>
      </c>
      <c r="F131" s="99">
        <v>0.73</v>
      </c>
      <c r="G131" s="99">
        <v>0</v>
      </c>
      <c r="H131" s="99">
        <v>0</v>
      </c>
      <c r="I131" s="99">
        <v>0.01</v>
      </c>
      <c r="J131" s="99">
        <v>3.17</v>
      </c>
      <c r="K131" s="99">
        <v>0.37</v>
      </c>
      <c r="L131" s="99">
        <v>2.56</v>
      </c>
      <c r="M131" s="99">
        <v>0.24</v>
      </c>
      <c r="N131" s="79">
        <v>0</v>
      </c>
      <c r="O131" s="79">
        <v>0</v>
      </c>
      <c r="P131" s="79">
        <v>2</v>
      </c>
      <c r="Q131" s="113">
        <v>15</v>
      </c>
      <c r="R131" s="101"/>
      <c r="S131" s="101"/>
      <c r="T131" s="101"/>
      <c r="U131" s="101"/>
      <c r="V131" s="101"/>
      <c r="W131" s="101"/>
      <c r="X131" s="102"/>
    </row>
    <row r="132" spans="1:24" ht="14.6">
      <c r="A132" s="1328"/>
      <c r="B132" s="56" t="s">
        <v>534</v>
      </c>
      <c r="C132" s="125">
        <v>19.12</v>
      </c>
      <c r="D132" s="104">
        <v>4</v>
      </c>
      <c r="E132" s="104">
        <v>0.44</v>
      </c>
      <c r="F132" s="104">
        <v>0.23</v>
      </c>
      <c r="G132" s="104">
        <v>0</v>
      </c>
      <c r="H132" s="104">
        <v>0</v>
      </c>
      <c r="I132" s="104">
        <v>28.74</v>
      </c>
      <c r="J132" s="104">
        <v>3.77</v>
      </c>
      <c r="K132" s="104">
        <v>0.24</v>
      </c>
      <c r="L132" s="104">
        <v>1.46</v>
      </c>
      <c r="M132" s="104">
        <v>0.28000000000000003</v>
      </c>
      <c r="N132" s="81">
        <v>0</v>
      </c>
      <c r="O132" s="81">
        <v>0</v>
      </c>
      <c r="P132" s="81">
        <v>15</v>
      </c>
      <c r="Q132" s="114">
        <v>0</v>
      </c>
      <c r="R132" s="106"/>
      <c r="S132" s="106"/>
      <c r="T132" s="106"/>
      <c r="U132" s="106"/>
      <c r="V132" s="106"/>
      <c r="W132" s="106"/>
      <c r="X132" s="107"/>
    </row>
    <row r="133" spans="1:24" ht="14.6">
      <c r="A133" s="1328"/>
      <c r="B133" s="56" t="s">
        <v>540</v>
      </c>
      <c r="C133" s="125">
        <v>22.94</v>
      </c>
      <c r="D133" s="104">
        <v>9.14</v>
      </c>
      <c r="E133" s="104">
        <v>1.02</v>
      </c>
      <c r="F133" s="104">
        <v>0.87</v>
      </c>
      <c r="G133" s="104">
        <v>0.01</v>
      </c>
      <c r="H133" s="104">
        <v>0</v>
      </c>
      <c r="I133" s="104">
        <v>4.72</v>
      </c>
      <c r="J133" s="104">
        <v>3.31</v>
      </c>
      <c r="K133" s="104">
        <v>0.17</v>
      </c>
      <c r="L133" s="104">
        <v>1.69</v>
      </c>
      <c r="M133" s="104">
        <v>0.14000000000000001</v>
      </c>
      <c r="N133" s="81">
        <v>15</v>
      </c>
      <c r="O133" s="81">
        <v>10</v>
      </c>
      <c r="P133" s="81">
        <v>0</v>
      </c>
      <c r="Q133" s="114">
        <v>10</v>
      </c>
      <c r="R133" s="106"/>
      <c r="S133" s="106"/>
      <c r="T133" s="106"/>
      <c r="U133" s="106"/>
      <c r="V133" s="106"/>
      <c r="W133" s="106"/>
      <c r="X133" s="107"/>
    </row>
    <row r="134" spans="1:24" ht="14.6">
      <c r="A134" s="1328"/>
      <c r="B134" s="56" t="s">
        <v>147</v>
      </c>
      <c r="C134" s="125">
        <v>27.69</v>
      </c>
      <c r="D134" s="104">
        <v>21.12</v>
      </c>
      <c r="E134" s="104">
        <v>2.35</v>
      </c>
      <c r="F134" s="104">
        <v>0.33</v>
      </c>
      <c r="G134" s="104">
        <v>0</v>
      </c>
      <c r="H134" s="104">
        <v>0</v>
      </c>
      <c r="I134" s="104">
        <v>6.8</v>
      </c>
      <c r="J134" s="104">
        <v>1.01</v>
      </c>
      <c r="K134" s="104">
        <v>0.44</v>
      </c>
      <c r="L134" s="104">
        <v>0.2</v>
      </c>
      <c r="M134" s="104">
        <v>1.1200000000000001</v>
      </c>
      <c r="N134" s="81">
        <v>2</v>
      </c>
      <c r="O134" s="81">
        <v>0</v>
      </c>
      <c r="P134" s="81">
        <v>2</v>
      </c>
      <c r="Q134" s="114">
        <v>0</v>
      </c>
      <c r="R134" s="106"/>
      <c r="S134" s="106"/>
      <c r="T134" s="106"/>
      <c r="U134" s="106"/>
      <c r="V134" s="106"/>
      <c r="W134" s="106"/>
      <c r="X134" s="107"/>
    </row>
    <row r="135" spans="1:24" ht="14.6">
      <c r="A135" s="1328"/>
      <c r="B135" s="56" t="s">
        <v>148</v>
      </c>
      <c r="C135" s="125">
        <v>19.25</v>
      </c>
      <c r="D135" s="104">
        <v>1.57</v>
      </c>
      <c r="E135" s="104">
        <v>0.17</v>
      </c>
      <c r="F135" s="104">
        <v>0.17</v>
      </c>
      <c r="G135" s="104">
        <v>0</v>
      </c>
      <c r="H135" s="104">
        <v>0</v>
      </c>
      <c r="I135" s="104">
        <v>29.75</v>
      </c>
      <c r="J135" s="104">
        <v>4.0199999999999996</v>
      </c>
      <c r="K135" s="104">
        <v>0</v>
      </c>
      <c r="L135" s="104">
        <v>1.57</v>
      </c>
      <c r="M135" s="104">
        <v>0.17</v>
      </c>
      <c r="N135" s="81">
        <v>0</v>
      </c>
      <c r="O135" s="81">
        <v>0</v>
      </c>
      <c r="P135" s="81">
        <v>2</v>
      </c>
      <c r="Q135" s="114">
        <v>0</v>
      </c>
      <c r="R135" s="106"/>
      <c r="S135" s="106"/>
      <c r="T135" s="106"/>
      <c r="U135" s="106"/>
      <c r="V135" s="106"/>
      <c r="W135" s="106"/>
      <c r="X135" s="107"/>
    </row>
    <row r="136" spans="1:24" ht="14.6">
      <c r="A136" s="1328"/>
      <c r="B136" s="56" t="s">
        <v>306</v>
      </c>
      <c r="C136" s="125">
        <v>15</v>
      </c>
      <c r="D136" s="104">
        <v>0</v>
      </c>
      <c r="E136" s="104">
        <v>0</v>
      </c>
      <c r="F136" s="104">
        <v>0</v>
      </c>
      <c r="G136" s="104">
        <v>0</v>
      </c>
      <c r="H136" s="104">
        <v>0</v>
      </c>
      <c r="I136" s="104">
        <v>0</v>
      </c>
      <c r="J136" s="104">
        <v>3</v>
      </c>
      <c r="K136" s="104">
        <v>0</v>
      </c>
      <c r="L136" s="104">
        <v>2</v>
      </c>
      <c r="M136" s="104">
        <v>0</v>
      </c>
      <c r="N136" s="81">
        <v>0</v>
      </c>
      <c r="O136" s="81">
        <v>0</v>
      </c>
      <c r="P136" s="81">
        <v>0</v>
      </c>
      <c r="Q136" s="114">
        <v>0</v>
      </c>
      <c r="R136" s="106"/>
      <c r="S136" s="106"/>
      <c r="T136" s="106"/>
      <c r="U136" s="106"/>
      <c r="V136" s="106"/>
      <c r="W136" s="106"/>
      <c r="X136" s="107"/>
    </row>
    <row r="137" spans="1:24" ht="14.6">
      <c r="A137" s="1328"/>
      <c r="B137" s="56" t="s">
        <v>149</v>
      </c>
      <c r="C137" s="125">
        <v>24.9</v>
      </c>
      <c r="D137" s="104">
        <v>13.82</v>
      </c>
      <c r="E137" s="104">
        <v>1.54</v>
      </c>
      <c r="F137" s="104">
        <v>0.81</v>
      </c>
      <c r="G137" s="104">
        <v>0.02</v>
      </c>
      <c r="H137" s="104">
        <v>0.88</v>
      </c>
      <c r="I137" s="104">
        <v>16.41</v>
      </c>
      <c r="J137" s="104">
        <v>2.94</v>
      </c>
      <c r="K137" s="104">
        <v>0.06</v>
      </c>
      <c r="L137" s="104">
        <v>2.83</v>
      </c>
      <c r="M137" s="104">
        <v>0.15</v>
      </c>
      <c r="N137" s="81">
        <v>0</v>
      </c>
      <c r="O137" s="81">
        <v>0</v>
      </c>
      <c r="P137" s="81">
        <v>0</v>
      </c>
      <c r="Q137" s="114">
        <v>0</v>
      </c>
      <c r="R137" s="106"/>
      <c r="S137" s="106"/>
      <c r="T137" s="106"/>
      <c r="U137" s="106"/>
      <c r="V137" s="106"/>
      <c r="W137" s="106"/>
      <c r="X137" s="107"/>
    </row>
    <row r="138" spans="1:24" ht="14.6">
      <c r="A138" s="1328"/>
      <c r="B138" s="56" t="s">
        <v>150</v>
      </c>
      <c r="C138" s="125">
        <v>15</v>
      </c>
      <c r="D138" s="104">
        <v>0.83333333333333337</v>
      </c>
      <c r="E138" s="104">
        <v>0</v>
      </c>
      <c r="F138" s="104">
        <v>0</v>
      </c>
      <c r="G138" s="104">
        <v>0</v>
      </c>
      <c r="H138" s="104">
        <v>0</v>
      </c>
      <c r="I138" s="104">
        <v>8.3333333333333339</v>
      </c>
      <c r="J138" s="104">
        <v>3.5</v>
      </c>
      <c r="K138" s="104">
        <v>0</v>
      </c>
      <c r="L138" s="104">
        <v>2.5</v>
      </c>
      <c r="M138" s="104">
        <v>0</v>
      </c>
      <c r="N138" s="81">
        <v>0</v>
      </c>
      <c r="O138" s="81">
        <v>0</v>
      </c>
      <c r="P138" s="81">
        <v>0</v>
      </c>
      <c r="Q138" s="114">
        <v>0</v>
      </c>
      <c r="R138" s="106"/>
      <c r="S138" s="106"/>
      <c r="T138" s="106"/>
      <c r="U138" s="106"/>
      <c r="V138" s="106"/>
      <c r="W138" s="106"/>
      <c r="X138" s="107"/>
    </row>
    <row r="139" spans="1:24" ht="14.6">
      <c r="A139" s="1328"/>
      <c r="B139" s="56" t="s">
        <v>151</v>
      </c>
      <c r="C139" s="125">
        <v>15</v>
      </c>
      <c r="D139" s="104">
        <v>5</v>
      </c>
      <c r="E139" s="104">
        <v>0.58333333333333337</v>
      </c>
      <c r="F139" s="104">
        <v>0.5</v>
      </c>
      <c r="G139" s="104">
        <v>0</v>
      </c>
      <c r="H139" s="104">
        <v>0</v>
      </c>
      <c r="I139" s="104">
        <v>7.5</v>
      </c>
      <c r="J139" s="104">
        <v>2.5</v>
      </c>
      <c r="K139" s="104">
        <v>0</v>
      </c>
      <c r="L139" s="104">
        <v>2.3333333333333335</v>
      </c>
      <c r="M139" s="104">
        <v>0.16666666666666666</v>
      </c>
      <c r="N139" s="81">
        <v>0</v>
      </c>
      <c r="O139" s="81">
        <v>0</v>
      </c>
      <c r="P139" s="115">
        <v>0.66666666666666663</v>
      </c>
      <c r="Q139" s="114">
        <v>0</v>
      </c>
      <c r="R139" s="106"/>
      <c r="S139" s="106"/>
      <c r="T139" s="106"/>
      <c r="U139" s="106"/>
      <c r="V139" s="106"/>
      <c r="W139" s="106"/>
      <c r="X139" s="107"/>
    </row>
    <row r="140" spans="1:24" ht="14.6">
      <c r="A140" s="1328"/>
      <c r="B140" s="56" t="s">
        <v>535</v>
      </c>
      <c r="C140" s="125">
        <v>20.399999999999999</v>
      </c>
      <c r="D140" s="104">
        <v>4.5</v>
      </c>
      <c r="E140" s="104">
        <v>0.5</v>
      </c>
      <c r="F140" s="104">
        <v>0.28999999999999998</v>
      </c>
      <c r="G140" s="104">
        <v>0</v>
      </c>
      <c r="H140" s="104">
        <v>0</v>
      </c>
      <c r="I140" s="104">
        <v>10.43</v>
      </c>
      <c r="J140" s="104">
        <v>4.08</v>
      </c>
      <c r="K140" s="104">
        <v>0</v>
      </c>
      <c r="L140" s="104">
        <v>3.37</v>
      </c>
      <c r="M140" s="104">
        <v>0</v>
      </c>
      <c r="N140" s="81">
        <v>0</v>
      </c>
      <c r="O140" s="81">
        <v>0</v>
      </c>
      <c r="P140" s="81">
        <v>0</v>
      </c>
      <c r="Q140" s="114">
        <v>0</v>
      </c>
      <c r="R140" s="106"/>
      <c r="S140" s="106"/>
      <c r="T140" s="106"/>
      <c r="U140" s="106"/>
      <c r="V140" s="106"/>
      <c r="W140" s="106"/>
      <c r="X140" s="107"/>
    </row>
    <row r="141" spans="1:24" ht="14.6">
      <c r="A141" s="1328"/>
      <c r="B141" s="56" t="s">
        <v>152</v>
      </c>
      <c r="C141" s="125">
        <v>25</v>
      </c>
      <c r="D141" s="104">
        <v>10</v>
      </c>
      <c r="E141" s="104">
        <v>1</v>
      </c>
      <c r="F141" s="104">
        <v>0.5</v>
      </c>
      <c r="G141" s="104">
        <v>0</v>
      </c>
      <c r="H141" s="104">
        <v>0</v>
      </c>
      <c r="I141" s="104">
        <v>0</v>
      </c>
      <c r="J141" s="104">
        <v>3.22</v>
      </c>
      <c r="K141" s="104">
        <v>0.13</v>
      </c>
      <c r="L141" s="104">
        <v>2.94</v>
      </c>
      <c r="M141" s="104">
        <v>0.25</v>
      </c>
      <c r="N141" s="81">
        <v>0</v>
      </c>
      <c r="O141" s="81">
        <v>0</v>
      </c>
      <c r="P141" s="81">
        <v>0</v>
      </c>
      <c r="Q141" s="114">
        <v>0</v>
      </c>
      <c r="R141" s="106"/>
      <c r="S141" s="106"/>
      <c r="T141" s="106"/>
      <c r="U141" s="106"/>
      <c r="V141" s="106"/>
      <c r="W141" s="106"/>
      <c r="X141" s="107"/>
    </row>
    <row r="142" spans="1:24" ht="14.6">
      <c r="A142" s="1328"/>
      <c r="B142" s="56" t="s">
        <v>422</v>
      </c>
      <c r="C142" s="125">
        <v>9.4499999999999993</v>
      </c>
      <c r="D142" s="104">
        <v>0</v>
      </c>
      <c r="E142" s="104">
        <v>0</v>
      </c>
      <c r="F142" s="104">
        <v>0</v>
      </c>
      <c r="G142" s="104">
        <v>0</v>
      </c>
      <c r="H142" s="104">
        <v>0</v>
      </c>
      <c r="I142" s="104">
        <v>0</v>
      </c>
      <c r="J142" s="104">
        <v>1.89</v>
      </c>
      <c r="K142" s="104">
        <v>0</v>
      </c>
      <c r="L142" s="104">
        <v>0.94</v>
      </c>
      <c r="M142" s="104">
        <v>0</v>
      </c>
      <c r="N142" s="81">
        <v>0</v>
      </c>
      <c r="O142" s="81">
        <v>0</v>
      </c>
      <c r="P142" s="81">
        <v>0</v>
      </c>
      <c r="Q142" s="114">
        <v>4</v>
      </c>
      <c r="R142" s="106"/>
      <c r="S142" s="106"/>
      <c r="T142" s="106"/>
      <c r="U142" s="106"/>
      <c r="V142" s="106"/>
      <c r="W142" s="106"/>
      <c r="X142" s="107"/>
    </row>
    <row r="143" spans="1:24" ht="14.6">
      <c r="A143" s="1328"/>
      <c r="B143" s="56" t="s">
        <v>536</v>
      </c>
      <c r="C143" s="125">
        <v>13.69</v>
      </c>
      <c r="D143" s="104">
        <v>5.28</v>
      </c>
      <c r="E143" s="104">
        <v>0.59</v>
      </c>
      <c r="F143" s="104">
        <v>0.2</v>
      </c>
      <c r="G143" s="104">
        <v>0.01</v>
      </c>
      <c r="H143" s="104">
        <v>0</v>
      </c>
      <c r="I143" s="104">
        <v>11.24</v>
      </c>
      <c r="J143" s="104">
        <v>2.0499999999999998</v>
      </c>
      <c r="K143" s="104">
        <v>0.1</v>
      </c>
      <c r="L143" s="104">
        <v>1.17</v>
      </c>
      <c r="M143" s="104">
        <v>0.1</v>
      </c>
      <c r="N143" s="81">
        <v>0</v>
      </c>
      <c r="O143" s="81">
        <v>0</v>
      </c>
      <c r="P143" s="81">
        <v>0</v>
      </c>
      <c r="Q143" s="114">
        <v>8</v>
      </c>
      <c r="R143" s="106"/>
      <c r="S143" s="106"/>
      <c r="T143" s="106"/>
      <c r="U143" s="106"/>
      <c r="V143" s="106"/>
      <c r="W143" s="106"/>
      <c r="X143" s="107"/>
    </row>
    <row r="144" spans="1:24" ht="14.6">
      <c r="A144" s="1328"/>
      <c r="B144" s="56" t="s">
        <v>154</v>
      </c>
      <c r="C144" s="125">
        <v>17.72</v>
      </c>
      <c r="D144" s="104">
        <v>0</v>
      </c>
      <c r="E144" s="104">
        <v>0</v>
      </c>
      <c r="F144" s="104">
        <v>0</v>
      </c>
      <c r="G144" s="104">
        <v>0</v>
      </c>
      <c r="H144" s="104">
        <v>0</v>
      </c>
      <c r="I144" s="104">
        <v>0.35</v>
      </c>
      <c r="J144" s="104">
        <v>4.42</v>
      </c>
      <c r="K144" s="104">
        <v>0</v>
      </c>
      <c r="L144" s="104">
        <v>4.33</v>
      </c>
      <c r="M144" s="104">
        <v>0</v>
      </c>
      <c r="N144" s="85">
        <v>0</v>
      </c>
      <c r="O144" s="85">
        <v>0</v>
      </c>
      <c r="P144" s="85">
        <v>2</v>
      </c>
      <c r="Q144" s="116">
        <v>6</v>
      </c>
      <c r="R144" s="106"/>
      <c r="S144" s="106"/>
      <c r="T144" s="106"/>
      <c r="U144" s="106"/>
      <c r="V144" s="106"/>
      <c r="W144" s="106"/>
      <c r="X144" s="107"/>
    </row>
    <row r="145" spans="1:24" ht="14.6">
      <c r="A145" s="1328"/>
      <c r="B145" s="56" t="s">
        <v>155</v>
      </c>
      <c r="C145" s="125">
        <v>20.47</v>
      </c>
      <c r="D145" s="104">
        <v>4.54</v>
      </c>
      <c r="E145" s="104">
        <v>0.5</v>
      </c>
      <c r="F145" s="104">
        <v>0.25</v>
      </c>
      <c r="G145" s="104">
        <v>0</v>
      </c>
      <c r="H145" s="104">
        <v>0.41</v>
      </c>
      <c r="I145" s="104">
        <v>25.32</v>
      </c>
      <c r="J145" s="104">
        <v>3.75</v>
      </c>
      <c r="K145" s="104">
        <v>7.0000000000000007E-2</v>
      </c>
      <c r="L145" s="104">
        <v>1.72</v>
      </c>
      <c r="M145" s="104">
        <v>0.24</v>
      </c>
      <c r="N145" s="81">
        <v>0</v>
      </c>
      <c r="O145" s="81">
        <v>0</v>
      </c>
      <c r="P145" s="81">
        <v>2</v>
      </c>
      <c r="Q145" s="114">
        <v>2</v>
      </c>
      <c r="R145" s="106"/>
      <c r="S145" s="106"/>
      <c r="T145" s="106"/>
      <c r="U145" s="106"/>
      <c r="V145" s="106"/>
      <c r="W145" s="106"/>
      <c r="X145" s="107"/>
    </row>
    <row r="146" spans="1:24" ht="14.6">
      <c r="A146" s="1328"/>
      <c r="B146" s="56" t="s">
        <v>156</v>
      </c>
      <c r="C146" s="125">
        <v>22.75</v>
      </c>
      <c r="D146" s="104">
        <v>7.87</v>
      </c>
      <c r="E146" s="104">
        <v>0.87</v>
      </c>
      <c r="F146" s="104">
        <v>0.26</v>
      </c>
      <c r="G146" s="104">
        <v>0</v>
      </c>
      <c r="H146" s="104">
        <v>0</v>
      </c>
      <c r="I146" s="104">
        <v>26.25</v>
      </c>
      <c r="J146" s="104">
        <v>3.32</v>
      </c>
      <c r="K146" s="104">
        <v>0.17</v>
      </c>
      <c r="L146" s="104">
        <v>1.92</v>
      </c>
      <c r="M146" s="104">
        <v>0.17</v>
      </c>
      <c r="N146" s="81">
        <v>0</v>
      </c>
      <c r="O146" s="81">
        <v>0</v>
      </c>
      <c r="P146" s="81">
        <v>2</v>
      </c>
      <c r="Q146" s="114">
        <v>6</v>
      </c>
      <c r="R146" s="106"/>
      <c r="S146" s="106"/>
      <c r="T146" s="106"/>
      <c r="U146" s="106"/>
      <c r="V146" s="106"/>
      <c r="W146" s="106"/>
      <c r="X146" s="107"/>
    </row>
    <row r="147" spans="1:24" ht="14.6">
      <c r="A147" s="1328"/>
      <c r="B147" s="56" t="s">
        <v>157</v>
      </c>
      <c r="C147" s="125">
        <v>23.81</v>
      </c>
      <c r="D147" s="104">
        <v>12.84</v>
      </c>
      <c r="E147" s="104">
        <v>1.43</v>
      </c>
      <c r="F147" s="104">
        <v>0.49</v>
      </c>
      <c r="G147" s="104">
        <v>0</v>
      </c>
      <c r="H147" s="104">
        <v>0.32</v>
      </c>
      <c r="I147" s="104">
        <v>18.28</v>
      </c>
      <c r="J147" s="104">
        <v>2.6</v>
      </c>
      <c r="K147" s="104">
        <v>0.18</v>
      </c>
      <c r="L147" s="104">
        <v>2.2400000000000002</v>
      </c>
      <c r="M147" s="104">
        <v>0.54</v>
      </c>
      <c r="N147" s="81">
        <v>0</v>
      </c>
      <c r="O147" s="81">
        <v>0</v>
      </c>
      <c r="P147" s="81">
        <v>2</v>
      </c>
      <c r="Q147" s="114">
        <v>0</v>
      </c>
      <c r="R147" s="106"/>
      <c r="S147" s="106"/>
      <c r="T147" s="106"/>
      <c r="U147" s="106"/>
      <c r="V147" s="106"/>
      <c r="W147" s="106"/>
      <c r="X147" s="107"/>
    </row>
    <row r="148" spans="1:24" ht="14.6">
      <c r="A148" s="1328"/>
      <c r="B148" s="56" t="s">
        <v>158</v>
      </c>
      <c r="C148" s="125">
        <v>30.48</v>
      </c>
      <c r="D148" s="104">
        <v>25.08</v>
      </c>
      <c r="E148" s="104">
        <v>2.79</v>
      </c>
      <c r="F148" s="104">
        <v>0.46</v>
      </c>
      <c r="G148" s="104">
        <v>0</v>
      </c>
      <c r="H148" s="104">
        <v>0</v>
      </c>
      <c r="I148" s="104">
        <v>20.65</v>
      </c>
      <c r="J148" s="104">
        <v>0.87</v>
      </c>
      <c r="K148" s="104">
        <v>0.3</v>
      </c>
      <c r="L148" s="104">
        <v>0.44</v>
      </c>
      <c r="M148" s="104">
        <v>0.92</v>
      </c>
      <c r="N148" s="81">
        <v>0</v>
      </c>
      <c r="O148" s="81">
        <v>0</v>
      </c>
      <c r="P148" s="81">
        <v>2</v>
      </c>
      <c r="Q148" s="114">
        <v>2</v>
      </c>
      <c r="R148" s="106"/>
      <c r="S148" s="106"/>
      <c r="T148" s="106"/>
      <c r="U148" s="106"/>
      <c r="V148" s="106"/>
      <c r="W148" s="106"/>
      <c r="X148" s="107"/>
    </row>
    <row r="149" spans="1:24" ht="14.6">
      <c r="A149" s="1328"/>
      <c r="B149" s="56" t="s">
        <v>537</v>
      </c>
      <c r="C149" s="125">
        <v>24</v>
      </c>
      <c r="D149" s="104">
        <v>10.25</v>
      </c>
      <c r="E149" s="104">
        <v>1.1399999999999999</v>
      </c>
      <c r="F149" s="104">
        <v>0.76</v>
      </c>
      <c r="G149" s="104">
        <v>0.01</v>
      </c>
      <c r="H149" s="104">
        <v>0</v>
      </c>
      <c r="I149" s="104">
        <v>9.25</v>
      </c>
      <c r="J149" s="104">
        <v>2.92</v>
      </c>
      <c r="K149" s="104">
        <v>0.13</v>
      </c>
      <c r="L149" s="104">
        <v>2.6</v>
      </c>
      <c r="M149" s="104">
        <v>0.52</v>
      </c>
      <c r="N149" s="81">
        <v>0</v>
      </c>
      <c r="O149" s="81">
        <v>0</v>
      </c>
      <c r="P149" s="81">
        <v>0</v>
      </c>
      <c r="Q149" s="114">
        <v>0</v>
      </c>
      <c r="R149" s="106"/>
      <c r="S149" s="106"/>
      <c r="T149" s="106"/>
      <c r="U149" s="106"/>
      <c r="V149" s="106"/>
      <c r="W149" s="106"/>
      <c r="X149" s="107"/>
    </row>
    <row r="150" spans="1:24" ht="14.6">
      <c r="A150" s="1328"/>
      <c r="B150" s="56" t="s">
        <v>159</v>
      </c>
      <c r="C150" s="125">
        <v>20</v>
      </c>
      <c r="D150" s="104">
        <v>9.57</v>
      </c>
      <c r="E150" s="104">
        <v>1.06</v>
      </c>
      <c r="F150" s="104">
        <v>0.41</v>
      </c>
      <c r="G150" s="104">
        <v>0.02</v>
      </c>
      <c r="H150" s="104">
        <v>0</v>
      </c>
      <c r="I150" s="104">
        <v>10</v>
      </c>
      <c r="J150" s="104">
        <v>3</v>
      </c>
      <c r="K150" s="104">
        <v>0.1</v>
      </c>
      <c r="L150" s="104">
        <v>2.41</v>
      </c>
      <c r="M150" s="104">
        <v>0.39</v>
      </c>
      <c r="N150" s="81">
        <v>0</v>
      </c>
      <c r="O150" s="81">
        <v>0</v>
      </c>
      <c r="P150" s="81">
        <v>0</v>
      </c>
      <c r="Q150" s="114">
        <v>0</v>
      </c>
      <c r="R150" s="106"/>
      <c r="S150" s="106"/>
      <c r="T150" s="106"/>
      <c r="U150" s="106"/>
      <c r="V150" s="106"/>
      <c r="W150" s="106"/>
      <c r="X150" s="107"/>
    </row>
    <row r="151" spans="1:24" ht="14.6">
      <c r="A151" s="1328"/>
      <c r="B151" s="56" t="s">
        <v>161</v>
      </c>
      <c r="C151" s="125">
        <v>22.44</v>
      </c>
      <c r="D151" s="104">
        <v>8.0399999999999991</v>
      </c>
      <c r="E151" s="104">
        <v>0.89</v>
      </c>
      <c r="F151" s="104">
        <v>0.76</v>
      </c>
      <c r="G151" s="104">
        <v>0.01</v>
      </c>
      <c r="H151" s="104">
        <v>0.02</v>
      </c>
      <c r="I151" s="104">
        <v>0.4</v>
      </c>
      <c r="J151" s="104">
        <v>3.73</v>
      </c>
      <c r="K151" s="104">
        <v>0.01</v>
      </c>
      <c r="L151" s="104">
        <v>2.27</v>
      </c>
      <c r="M151" s="104">
        <v>0</v>
      </c>
      <c r="N151" s="81">
        <v>0</v>
      </c>
      <c r="O151" s="81">
        <v>10</v>
      </c>
      <c r="P151" s="81">
        <v>0</v>
      </c>
      <c r="Q151" s="114">
        <v>0</v>
      </c>
      <c r="R151" s="106"/>
      <c r="S151" s="106"/>
      <c r="T151" s="106"/>
      <c r="U151" s="106"/>
      <c r="V151" s="106"/>
      <c r="W151" s="106"/>
      <c r="X151" s="107"/>
    </row>
    <row r="152" spans="1:24" ht="14.6">
      <c r="A152" s="1328"/>
      <c r="B152" s="56" t="s">
        <v>162</v>
      </c>
      <c r="C152" s="125">
        <v>6.31</v>
      </c>
      <c r="D152" s="104">
        <v>0.03</v>
      </c>
      <c r="E152" s="104">
        <v>0</v>
      </c>
      <c r="F152" s="104">
        <v>0</v>
      </c>
      <c r="G152" s="104">
        <v>0</v>
      </c>
      <c r="H152" s="104">
        <v>0</v>
      </c>
      <c r="I152" s="104">
        <v>0.87</v>
      </c>
      <c r="J152" s="104">
        <v>1.73</v>
      </c>
      <c r="K152" s="104">
        <v>0.05</v>
      </c>
      <c r="L152" s="104">
        <v>1.46</v>
      </c>
      <c r="M152" s="104">
        <v>0.01</v>
      </c>
      <c r="N152" s="81">
        <v>0</v>
      </c>
      <c r="O152" s="81">
        <v>0</v>
      </c>
      <c r="P152" s="81">
        <v>2</v>
      </c>
      <c r="Q152" s="114">
        <v>2</v>
      </c>
      <c r="R152" s="106"/>
      <c r="S152" s="106"/>
      <c r="T152" s="106"/>
      <c r="U152" s="106"/>
      <c r="V152" s="106"/>
      <c r="W152" s="106"/>
      <c r="X152" s="107"/>
    </row>
    <row r="153" spans="1:24" ht="15" thickBot="1">
      <c r="A153" s="1328"/>
      <c r="B153" s="60" t="s">
        <v>163</v>
      </c>
      <c r="C153" s="126">
        <v>22.93</v>
      </c>
      <c r="D153" s="109">
        <v>13.17</v>
      </c>
      <c r="E153" s="109">
        <v>1.46</v>
      </c>
      <c r="F153" s="109">
        <v>0.11</v>
      </c>
      <c r="G153" s="109">
        <v>0</v>
      </c>
      <c r="H153" s="109">
        <v>0</v>
      </c>
      <c r="I153" s="109">
        <v>0.32</v>
      </c>
      <c r="J153" s="109">
        <v>2.09</v>
      </c>
      <c r="K153" s="109">
        <v>0.25</v>
      </c>
      <c r="L153" s="109">
        <v>1.63</v>
      </c>
      <c r="M153" s="109">
        <v>0.35</v>
      </c>
      <c r="N153" s="83">
        <v>0</v>
      </c>
      <c r="O153" s="83">
        <v>0</v>
      </c>
      <c r="P153" s="83">
        <v>0</v>
      </c>
      <c r="Q153" s="117">
        <v>0</v>
      </c>
      <c r="R153" s="111"/>
      <c r="S153" s="111"/>
      <c r="T153" s="111"/>
      <c r="U153" s="111"/>
      <c r="V153" s="111"/>
      <c r="W153" s="111"/>
      <c r="X153" s="112"/>
    </row>
    <row r="154" spans="1:24" ht="14.6">
      <c r="A154" s="18"/>
      <c r="B154" s="24"/>
      <c r="C154" s="18"/>
      <c r="D154" s="18"/>
      <c r="E154" s="18"/>
      <c r="F154" s="18"/>
      <c r="G154" s="18"/>
      <c r="H154" s="18"/>
      <c r="I154" s="18"/>
      <c r="J154" s="18"/>
      <c r="K154" s="18"/>
      <c r="L154" s="18"/>
      <c r="M154" s="18"/>
      <c r="N154" s="19"/>
      <c r="O154" s="19"/>
      <c r="P154" s="19"/>
      <c r="Q154" s="19"/>
    </row>
    <row r="155" spans="1:24" ht="18" customHeight="1" thickBot="1">
      <c r="A155" s="1226" t="s">
        <v>541</v>
      </c>
      <c r="B155" s="1226"/>
      <c r="C155" s="1226"/>
      <c r="D155" s="1226"/>
      <c r="E155" s="1226"/>
      <c r="F155" s="1226"/>
      <c r="G155" s="1226"/>
      <c r="H155" s="1226"/>
      <c r="I155" s="1226"/>
      <c r="J155" s="1226"/>
      <c r="K155" s="1226"/>
      <c r="L155" s="1226"/>
      <c r="M155" s="1226"/>
      <c r="N155" s="1226"/>
      <c r="O155" s="1226"/>
      <c r="P155" s="1226"/>
      <c r="Q155" s="1226"/>
      <c r="R155" s="1226"/>
      <c r="S155" s="1226"/>
      <c r="T155" s="1226"/>
      <c r="U155" s="1226"/>
      <c r="V155" s="1226"/>
      <c r="W155" s="1226"/>
      <c r="X155" s="1226"/>
    </row>
    <row r="156" spans="1:24" ht="37.5" customHeight="1" thickBot="1">
      <c r="A156" s="77"/>
      <c r="B156" s="38" t="s">
        <v>3</v>
      </c>
      <c r="C156" s="1" t="s">
        <v>4</v>
      </c>
      <c r="D156" s="1" t="s">
        <v>5</v>
      </c>
      <c r="E156" s="1" t="s">
        <v>6</v>
      </c>
      <c r="F156" s="1" t="s">
        <v>7</v>
      </c>
      <c r="G156" s="1" t="s">
        <v>8</v>
      </c>
      <c r="H156" s="1" t="s">
        <v>9</v>
      </c>
      <c r="I156" s="1" t="s">
        <v>10</v>
      </c>
      <c r="J156" s="1" t="s">
        <v>11</v>
      </c>
      <c r="K156" s="1" t="s">
        <v>12</v>
      </c>
      <c r="L156" s="1" t="s">
        <v>13</v>
      </c>
      <c r="M156" s="1" t="s">
        <v>14</v>
      </c>
      <c r="N156" s="1" t="s">
        <v>15</v>
      </c>
      <c r="O156" s="2" t="s">
        <v>16</v>
      </c>
      <c r="P156" s="2" t="s">
        <v>17</v>
      </c>
      <c r="Q156" s="2" t="s">
        <v>18</v>
      </c>
      <c r="R156" s="2" t="s">
        <v>19</v>
      </c>
      <c r="S156" s="2" t="s">
        <v>20</v>
      </c>
      <c r="T156" s="2" t="s">
        <v>21</v>
      </c>
      <c r="U156" s="2" t="s">
        <v>22</v>
      </c>
      <c r="V156" s="2" t="s">
        <v>23</v>
      </c>
      <c r="W156" s="2" t="s">
        <v>377</v>
      </c>
      <c r="X156" s="3" t="s">
        <v>378</v>
      </c>
    </row>
    <row r="157" spans="1:24" ht="14.6">
      <c r="A157" s="1329" t="s">
        <v>542</v>
      </c>
      <c r="B157" s="121" t="s">
        <v>144</v>
      </c>
      <c r="C157" s="124">
        <v>37.700000000000003</v>
      </c>
      <c r="D157" s="99">
        <v>19.350000000000001</v>
      </c>
      <c r="E157" s="99">
        <v>2.15</v>
      </c>
      <c r="F157" s="99">
        <v>1.28</v>
      </c>
      <c r="G157" s="99">
        <v>0</v>
      </c>
      <c r="H157" s="99">
        <v>0</v>
      </c>
      <c r="I157" s="99">
        <v>0.02</v>
      </c>
      <c r="J157" s="99">
        <v>5.55</v>
      </c>
      <c r="K157" s="99">
        <v>0.65</v>
      </c>
      <c r="L157" s="99">
        <v>4.4800000000000004</v>
      </c>
      <c r="M157" s="99">
        <v>0.41</v>
      </c>
      <c r="N157" s="79">
        <v>0</v>
      </c>
      <c r="O157" s="79">
        <v>0</v>
      </c>
      <c r="P157" s="79">
        <v>2</v>
      </c>
      <c r="Q157" s="113">
        <v>15</v>
      </c>
      <c r="R157" s="101"/>
      <c r="S157" s="101"/>
      <c r="T157" s="101"/>
      <c r="U157" s="101"/>
      <c r="V157" s="101"/>
      <c r="W157" s="101"/>
      <c r="X157" s="102"/>
    </row>
    <row r="158" spans="1:24" ht="14.6">
      <c r="A158" s="1330"/>
      <c r="B158" s="122" t="s">
        <v>534</v>
      </c>
      <c r="C158" s="125">
        <v>33.47</v>
      </c>
      <c r="D158" s="104">
        <v>7</v>
      </c>
      <c r="E158" s="104">
        <v>0.78</v>
      </c>
      <c r="F158" s="104">
        <v>0.4</v>
      </c>
      <c r="G158" s="104">
        <v>0</v>
      </c>
      <c r="H158" s="104">
        <v>0</v>
      </c>
      <c r="I158" s="104">
        <v>50.29</v>
      </c>
      <c r="J158" s="104">
        <v>6.6</v>
      </c>
      <c r="K158" s="104">
        <v>0.42</v>
      </c>
      <c r="L158" s="104">
        <v>2.56</v>
      </c>
      <c r="M158" s="104">
        <v>0.49</v>
      </c>
      <c r="N158" s="81">
        <v>0</v>
      </c>
      <c r="O158" s="81">
        <v>0</v>
      </c>
      <c r="P158" s="81">
        <v>15</v>
      </c>
      <c r="Q158" s="114">
        <v>0</v>
      </c>
      <c r="R158" s="106"/>
      <c r="S158" s="106"/>
      <c r="T158" s="106"/>
      <c r="U158" s="106"/>
      <c r="V158" s="106"/>
      <c r="W158" s="106"/>
      <c r="X158" s="107"/>
    </row>
    <row r="159" spans="1:24" ht="14.6">
      <c r="A159" s="1330"/>
      <c r="B159" s="122" t="s">
        <v>540</v>
      </c>
      <c r="C159" s="125">
        <v>40.14</v>
      </c>
      <c r="D159" s="104">
        <v>16</v>
      </c>
      <c r="E159" s="104">
        <v>1.78</v>
      </c>
      <c r="F159" s="104">
        <v>1.53</v>
      </c>
      <c r="G159" s="104">
        <v>0.02</v>
      </c>
      <c r="H159" s="104">
        <v>0.01</v>
      </c>
      <c r="I159" s="104">
        <v>8.26</v>
      </c>
      <c r="J159" s="104">
        <v>5.79</v>
      </c>
      <c r="K159" s="104">
        <v>0.31</v>
      </c>
      <c r="L159" s="104">
        <v>2.96</v>
      </c>
      <c r="M159" s="104">
        <v>0.25</v>
      </c>
      <c r="N159" s="81">
        <v>15</v>
      </c>
      <c r="O159" s="81">
        <v>10</v>
      </c>
      <c r="P159" s="81">
        <v>0</v>
      </c>
      <c r="Q159" s="114">
        <v>10</v>
      </c>
      <c r="R159" s="106"/>
      <c r="S159" s="106"/>
      <c r="T159" s="106"/>
      <c r="U159" s="106"/>
      <c r="V159" s="106"/>
      <c r="W159" s="106"/>
      <c r="X159" s="107"/>
    </row>
    <row r="160" spans="1:24" ht="14.6">
      <c r="A160" s="1330"/>
      <c r="B160" s="122" t="s">
        <v>147</v>
      </c>
      <c r="C160" s="125">
        <v>48.45</v>
      </c>
      <c r="D160" s="104">
        <v>36.96</v>
      </c>
      <c r="E160" s="104">
        <v>4.1100000000000003</v>
      </c>
      <c r="F160" s="104">
        <v>0.56999999999999995</v>
      </c>
      <c r="G160" s="104">
        <v>0</v>
      </c>
      <c r="H160" s="104">
        <v>0</v>
      </c>
      <c r="I160" s="104">
        <v>11.91</v>
      </c>
      <c r="J160" s="104">
        <v>1.77</v>
      </c>
      <c r="K160" s="104">
        <v>0.77</v>
      </c>
      <c r="L160" s="104">
        <v>0.35</v>
      </c>
      <c r="M160" s="104">
        <v>1.96</v>
      </c>
      <c r="N160" s="81">
        <v>2</v>
      </c>
      <c r="O160" s="81">
        <v>0</v>
      </c>
      <c r="P160" s="81">
        <v>2</v>
      </c>
      <c r="Q160" s="114">
        <v>0</v>
      </c>
      <c r="R160" s="106"/>
      <c r="S160" s="106"/>
      <c r="T160" s="106"/>
      <c r="U160" s="106"/>
      <c r="V160" s="106"/>
      <c r="W160" s="106"/>
      <c r="X160" s="107"/>
    </row>
    <row r="161" spans="1:24" ht="14.6">
      <c r="A161" s="1330"/>
      <c r="B161" s="122" t="s">
        <v>148</v>
      </c>
      <c r="C161" s="125">
        <v>33.69</v>
      </c>
      <c r="D161" s="104">
        <v>2.76</v>
      </c>
      <c r="E161" s="104">
        <v>0.31</v>
      </c>
      <c r="F161" s="104">
        <v>0.31</v>
      </c>
      <c r="G161" s="104">
        <v>0</v>
      </c>
      <c r="H161" s="104">
        <v>0</v>
      </c>
      <c r="I161" s="104">
        <v>52.06</v>
      </c>
      <c r="J161" s="104">
        <v>7.04</v>
      </c>
      <c r="K161" s="104">
        <v>0</v>
      </c>
      <c r="L161" s="104">
        <v>2.76</v>
      </c>
      <c r="M161" s="104">
        <v>0.31</v>
      </c>
      <c r="N161" s="81">
        <v>0</v>
      </c>
      <c r="O161" s="81">
        <v>0</v>
      </c>
      <c r="P161" s="81">
        <v>2</v>
      </c>
      <c r="Q161" s="114">
        <v>0</v>
      </c>
      <c r="R161" s="106"/>
      <c r="S161" s="106"/>
      <c r="T161" s="106"/>
      <c r="U161" s="106"/>
      <c r="V161" s="106"/>
      <c r="W161" s="106"/>
      <c r="X161" s="107"/>
    </row>
    <row r="162" spans="1:24" ht="14.6">
      <c r="A162" s="1330"/>
      <c r="B162" s="122" t="s">
        <v>306</v>
      </c>
      <c r="C162" s="125">
        <v>25.01</v>
      </c>
      <c r="D162" s="104">
        <v>0</v>
      </c>
      <c r="E162" s="104">
        <v>0</v>
      </c>
      <c r="F162" s="104">
        <v>0</v>
      </c>
      <c r="G162" s="104">
        <v>0</v>
      </c>
      <c r="H162" s="104">
        <v>0</v>
      </c>
      <c r="I162" s="104">
        <v>0</v>
      </c>
      <c r="J162" s="104">
        <v>6.12</v>
      </c>
      <c r="K162" s="104">
        <v>0</v>
      </c>
      <c r="L162" s="104">
        <v>4</v>
      </c>
      <c r="M162" s="104">
        <v>0.46</v>
      </c>
      <c r="N162" s="81">
        <v>0</v>
      </c>
      <c r="O162" s="81">
        <v>0</v>
      </c>
      <c r="P162" s="81">
        <v>0</v>
      </c>
      <c r="Q162" s="114">
        <v>0</v>
      </c>
      <c r="R162" s="106"/>
      <c r="S162" s="106"/>
      <c r="T162" s="106"/>
      <c r="U162" s="106"/>
      <c r="V162" s="106"/>
      <c r="W162" s="106"/>
      <c r="X162" s="107"/>
    </row>
    <row r="163" spans="1:24" ht="14.6">
      <c r="A163" s="1330"/>
      <c r="B163" s="122" t="s">
        <v>149</v>
      </c>
      <c r="C163" s="125">
        <v>43.58</v>
      </c>
      <c r="D163" s="104">
        <v>24.19</v>
      </c>
      <c r="E163" s="104">
        <v>2.69</v>
      </c>
      <c r="F163" s="104">
        <v>1.42</v>
      </c>
      <c r="G163" s="104">
        <v>0.03</v>
      </c>
      <c r="H163" s="104">
        <v>1.55</v>
      </c>
      <c r="I163" s="104">
        <v>28.72</v>
      </c>
      <c r="J163" s="104">
        <v>5.15</v>
      </c>
      <c r="K163" s="104">
        <v>0.11</v>
      </c>
      <c r="L163" s="104">
        <v>4.96</v>
      </c>
      <c r="M163" s="104">
        <v>0.26</v>
      </c>
      <c r="N163" s="81">
        <v>0</v>
      </c>
      <c r="O163" s="81">
        <v>0</v>
      </c>
      <c r="P163" s="81">
        <v>0</v>
      </c>
      <c r="Q163" s="114">
        <v>0</v>
      </c>
      <c r="R163" s="106"/>
      <c r="S163" s="106"/>
      <c r="T163" s="106"/>
      <c r="U163" s="106"/>
      <c r="V163" s="106"/>
      <c r="W163" s="106"/>
      <c r="X163" s="107"/>
    </row>
    <row r="164" spans="1:24" ht="14.6">
      <c r="A164" s="1330"/>
      <c r="B164" s="122" t="s">
        <v>150</v>
      </c>
      <c r="C164" s="125">
        <v>26.25</v>
      </c>
      <c r="D164" s="104">
        <v>1.4583333333333333</v>
      </c>
      <c r="E164" s="104">
        <v>0</v>
      </c>
      <c r="F164" s="104">
        <v>0</v>
      </c>
      <c r="G164" s="104">
        <v>0</v>
      </c>
      <c r="H164" s="104">
        <v>0</v>
      </c>
      <c r="I164" s="104">
        <v>14.583333333333334</v>
      </c>
      <c r="J164" s="104">
        <v>6.125</v>
      </c>
      <c r="K164" s="104">
        <v>0</v>
      </c>
      <c r="L164" s="104">
        <v>4.375</v>
      </c>
      <c r="M164" s="104">
        <v>0</v>
      </c>
      <c r="N164" s="81">
        <v>0</v>
      </c>
      <c r="O164" s="81">
        <v>0</v>
      </c>
      <c r="P164" s="81">
        <v>0</v>
      </c>
      <c r="Q164" s="114">
        <v>0</v>
      </c>
      <c r="R164" s="106"/>
      <c r="S164" s="106"/>
      <c r="T164" s="106"/>
      <c r="U164" s="106"/>
      <c r="V164" s="106"/>
      <c r="W164" s="106"/>
      <c r="X164" s="107"/>
    </row>
    <row r="165" spans="1:24" ht="14.6">
      <c r="A165" s="1330"/>
      <c r="B165" s="122" t="s">
        <v>151</v>
      </c>
      <c r="C165" s="127">
        <v>15</v>
      </c>
      <c r="D165" s="81">
        <v>5</v>
      </c>
      <c r="E165" s="115">
        <v>0.58333333333333337</v>
      </c>
      <c r="F165" s="115">
        <v>0.5</v>
      </c>
      <c r="G165" s="87">
        <v>0</v>
      </c>
      <c r="H165" s="87">
        <v>0</v>
      </c>
      <c r="I165" s="115">
        <v>7.5</v>
      </c>
      <c r="J165" s="115">
        <v>2.5</v>
      </c>
      <c r="K165" s="87">
        <v>0</v>
      </c>
      <c r="L165" s="115">
        <v>2.3333333333333335</v>
      </c>
      <c r="M165" s="115">
        <v>0.16666666666666666</v>
      </c>
      <c r="N165" s="87">
        <v>0</v>
      </c>
      <c r="O165" s="87">
        <v>0</v>
      </c>
      <c r="P165" s="115">
        <v>0.66666666666666663</v>
      </c>
      <c r="Q165" s="94">
        <v>0</v>
      </c>
      <c r="R165" s="106"/>
      <c r="S165" s="106"/>
      <c r="T165" s="106"/>
      <c r="U165" s="106"/>
      <c r="V165" s="106"/>
      <c r="W165" s="106"/>
      <c r="X165" s="107"/>
    </row>
    <row r="166" spans="1:24" ht="14.6">
      <c r="A166" s="1330"/>
      <c r="B166" s="122" t="s">
        <v>535</v>
      </c>
      <c r="C166" s="125">
        <v>35.700000000000003</v>
      </c>
      <c r="D166" s="104">
        <v>7.88</v>
      </c>
      <c r="E166" s="104">
        <v>0.88</v>
      </c>
      <c r="F166" s="104">
        <v>0.51</v>
      </c>
      <c r="G166" s="104">
        <v>0</v>
      </c>
      <c r="H166" s="104">
        <v>0</v>
      </c>
      <c r="I166" s="104">
        <v>18.260000000000002</v>
      </c>
      <c r="J166" s="104">
        <v>7.14</v>
      </c>
      <c r="K166" s="104">
        <v>0</v>
      </c>
      <c r="L166" s="104">
        <v>5.89</v>
      </c>
      <c r="M166" s="104">
        <v>0</v>
      </c>
      <c r="N166" s="81">
        <v>0</v>
      </c>
      <c r="O166" s="81">
        <v>0</v>
      </c>
      <c r="P166" s="81">
        <v>0</v>
      </c>
      <c r="Q166" s="114">
        <v>0</v>
      </c>
      <c r="R166" s="106"/>
      <c r="S166" s="106"/>
      <c r="T166" s="106"/>
      <c r="U166" s="106"/>
      <c r="V166" s="106"/>
      <c r="W166" s="106"/>
      <c r="X166" s="107"/>
    </row>
    <row r="167" spans="1:24" ht="14.6">
      <c r="A167" s="1330"/>
      <c r="B167" s="122" t="s">
        <v>152</v>
      </c>
      <c r="C167" s="125">
        <v>40</v>
      </c>
      <c r="D167" s="104">
        <v>15</v>
      </c>
      <c r="E167" s="104">
        <v>1.5</v>
      </c>
      <c r="F167" s="104">
        <v>1</v>
      </c>
      <c r="G167" s="104">
        <v>0</v>
      </c>
      <c r="H167" s="104">
        <v>0</v>
      </c>
      <c r="I167" s="104">
        <v>5</v>
      </c>
      <c r="J167" s="104">
        <v>6</v>
      </c>
      <c r="K167" s="104">
        <v>0</v>
      </c>
      <c r="L167" s="104">
        <v>5</v>
      </c>
      <c r="M167" s="104">
        <v>0</v>
      </c>
      <c r="N167" s="81">
        <v>0</v>
      </c>
      <c r="O167" s="81">
        <v>0</v>
      </c>
      <c r="P167" s="81">
        <v>2</v>
      </c>
      <c r="Q167" s="114">
        <v>0</v>
      </c>
      <c r="R167" s="106"/>
      <c r="S167" s="106"/>
      <c r="T167" s="106"/>
      <c r="U167" s="106"/>
      <c r="V167" s="106"/>
      <c r="W167" s="106"/>
      <c r="X167" s="107"/>
    </row>
    <row r="168" spans="1:24" ht="14.6">
      <c r="A168" s="1330"/>
      <c r="B168" s="122" t="s">
        <v>422</v>
      </c>
      <c r="C168" s="125">
        <v>16.54</v>
      </c>
      <c r="D168" s="104">
        <v>0</v>
      </c>
      <c r="E168" s="104">
        <v>0</v>
      </c>
      <c r="F168" s="104">
        <v>0</v>
      </c>
      <c r="G168" s="104">
        <v>0</v>
      </c>
      <c r="H168" s="104">
        <v>0</v>
      </c>
      <c r="I168" s="104">
        <v>0</v>
      </c>
      <c r="J168" s="104">
        <v>3.31</v>
      </c>
      <c r="K168" s="104">
        <v>0</v>
      </c>
      <c r="L168" s="104">
        <v>1.65</v>
      </c>
      <c r="M168" s="104">
        <v>0</v>
      </c>
      <c r="N168" s="81">
        <v>0</v>
      </c>
      <c r="O168" s="81">
        <v>0</v>
      </c>
      <c r="P168" s="81">
        <v>0</v>
      </c>
      <c r="Q168" s="114">
        <v>4</v>
      </c>
      <c r="R168" s="106"/>
      <c r="S168" s="106"/>
      <c r="T168" s="106"/>
      <c r="U168" s="106"/>
      <c r="V168" s="106"/>
      <c r="W168" s="106"/>
      <c r="X168" s="107"/>
    </row>
    <row r="169" spans="1:24" ht="14.6">
      <c r="A169" s="1330"/>
      <c r="B169" s="122" t="s">
        <v>536</v>
      </c>
      <c r="C169" s="125">
        <v>39.92</v>
      </c>
      <c r="D169" s="104">
        <v>15.4</v>
      </c>
      <c r="E169" s="104">
        <v>1.71</v>
      </c>
      <c r="F169" s="104">
        <v>0.56999999999999995</v>
      </c>
      <c r="G169" s="104">
        <v>0.04</v>
      </c>
      <c r="H169" s="104">
        <v>0</v>
      </c>
      <c r="I169" s="104">
        <v>32.79</v>
      </c>
      <c r="J169" s="104">
        <v>5.99</v>
      </c>
      <c r="K169" s="104">
        <v>0.28999999999999998</v>
      </c>
      <c r="L169" s="104">
        <v>3.42</v>
      </c>
      <c r="M169" s="104">
        <v>0.28999999999999998</v>
      </c>
      <c r="N169" s="81">
        <v>0</v>
      </c>
      <c r="O169" s="81">
        <v>0</v>
      </c>
      <c r="P169" s="81">
        <v>0</v>
      </c>
      <c r="Q169" s="114">
        <v>8</v>
      </c>
      <c r="R169" s="106"/>
      <c r="S169" s="106"/>
      <c r="T169" s="106"/>
      <c r="U169" s="106"/>
      <c r="V169" s="106"/>
      <c r="W169" s="106"/>
      <c r="X169" s="107"/>
    </row>
    <row r="170" spans="1:24" ht="14.6">
      <c r="A170" s="1330"/>
      <c r="B170" s="122" t="s">
        <v>154</v>
      </c>
      <c r="C170" s="125">
        <v>31.01</v>
      </c>
      <c r="D170" s="104">
        <v>0</v>
      </c>
      <c r="E170" s="104">
        <v>0</v>
      </c>
      <c r="F170" s="104">
        <v>0</v>
      </c>
      <c r="G170" s="104">
        <v>0</v>
      </c>
      <c r="H170" s="104">
        <v>0</v>
      </c>
      <c r="I170" s="104">
        <v>0.6</v>
      </c>
      <c r="J170" s="104">
        <v>7.74</v>
      </c>
      <c r="K170" s="104">
        <v>0</v>
      </c>
      <c r="L170" s="104">
        <v>7.58</v>
      </c>
      <c r="M170" s="104">
        <v>0</v>
      </c>
      <c r="N170" s="85">
        <v>0</v>
      </c>
      <c r="O170" s="85">
        <v>0</v>
      </c>
      <c r="P170" s="85">
        <v>2</v>
      </c>
      <c r="Q170" s="116">
        <v>6</v>
      </c>
      <c r="R170" s="106"/>
      <c r="S170" s="106"/>
      <c r="T170" s="106"/>
      <c r="U170" s="106"/>
      <c r="V170" s="106"/>
      <c r="W170" s="106"/>
      <c r="X170" s="107"/>
    </row>
    <row r="171" spans="1:24" ht="14.6">
      <c r="A171" s="1330"/>
      <c r="B171" s="122" t="s">
        <v>155</v>
      </c>
      <c r="C171" s="125">
        <v>35.83</v>
      </c>
      <c r="D171" s="104">
        <v>7.94</v>
      </c>
      <c r="E171" s="104">
        <v>0.88</v>
      </c>
      <c r="F171" s="104">
        <v>0.43</v>
      </c>
      <c r="G171" s="104">
        <v>0</v>
      </c>
      <c r="H171" s="104">
        <v>0.72</v>
      </c>
      <c r="I171" s="104">
        <v>44.3</v>
      </c>
      <c r="J171" s="104">
        <v>6.55</v>
      </c>
      <c r="K171" s="104">
        <v>0.12</v>
      </c>
      <c r="L171" s="104">
        <v>3.02</v>
      </c>
      <c r="M171" s="104">
        <v>0.42</v>
      </c>
      <c r="N171" s="81">
        <v>0</v>
      </c>
      <c r="O171" s="81">
        <v>0</v>
      </c>
      <c r="P171" s="81">
        <v>2</v>
      </c>
      <c r="Q171" s="114">
        <v>2</v>
      </c>
      <c r="R171" s="106"/>
      <c r="S171" s="106"/>
      <c r="T171" s="106"/>
      <c r="U171" s="106"/>
      <c r="V171" s="106"/>
      <c r="W171" s="106"/>
      <c r="X171" s="107"/>
    </row>
    <row r="172" spans="1:24" ht="14.6">
      <c r="A172" s="1330"/>
      <c r="B172" s="122" t="s">
        <v>156</v>
      </c>
      <c r="C172" s="125">
        <v>39.81</v>
      </c>
      <c r="D172" s="104">
        <v>13.78</v>
      </c>
      <c r="E172" s="104">
        <v>1.53</v>
      </c>
      <c r="F172" s="104">
        <v>0.46</v>
      </c>
      <c r="G172" s="104">
        <v>0</v>
      </c>
      <c r="H172" s="104">
        <v>0</v>
      </c>
      <c r="I172" s="104">
        <v>45.94</v>
      </c>
      <c r="J172" s="104">
        <v>5.82</v>
      </c>
      <c r="K172" s="104">
        <v>0.31</v>
      </c>
      <c r="L172" s="104">
        <v>3.37</v>
      </c>
      <c r="M172" s="104">
        <v>0.31</v>
      </c>
      <c r="N172" s="81">
        <v>0</v>
      </c>
      <c r="O172" s="81">
        <v>0</v>
      </c>
      <c r="P172" s="81">
        <v>2</v>
      </c>
      <c r="Q172" s="114">
        <v>6</v>
      </c>
      <c r="R172" s="106"/>
      <c r="S172" s="106"/>
      <c r="T172" s="106"/>
      <c r="U172" s="106"/>
      <c r="V172" s="106"/>
      <c r="W172" s="106"/>
      <c r="X172" s="107"/>
    </row>
    <row r="173" spans="1:24" ht="14.6">
      <c r="A173" s="1330"/>
      <c r="B173" s="122" t="s">
        <v>157</v>
      </c>
      <c r="C173" s="125">
        <v>41.67</v>
      </c>
      <c r="D173" s="104">
        <v>22.47</v>
      </c>
      <c r="E173" s="104">
        <v>2.5</v>
      </c>
      <c r="F173" s="104">
        <v>0.85</v>
      </c>
      <c r="G173" s="104">
        <v>0.01</v>
      </c>
      <c r="H173" s="104">
        <v>0.56000000000000005</v>
      </c>
      <c r="I173" s="104">
        <v>31.99</v>
      </c>
      <c r="J173" s="104">
        <v>4.5599999999999996</v>
      </c>
      <c r="K173" s="104">
        <v>0.32</v>
      </c>
      <c r="L173" s="104">
        <v>3.93</v>
      </c>
      <c r="M173" s="104">
        <v>0.95</v>
      </c>
      <c r="N173" s="81">
        <v>0</v>
      </c>
      <c r="O173" s="81">
        <v>0</v>
      </c>
      <c r="P173" s="81">
        <v>2</v>
      </c>
      <c r="Q173" s="114">
        <v>0</v>
      </c>
      <c r="R173" s="106"/>
      <c r="S173" s="106"/>
      <c r="T173" s="106"/>
      <c r="U173" s="106"/>
      <c r="V173" s="106"/>
      <c r="W173" s="106"/>
      <c r="X173" s="107"/>
    </row>
    <row r="174" spans="1:24" ht="14.6">
      <c r="A174" s="1330"/>
      <c r="B174" s="122" t="s">
        <v>158</v>
      </c>
      <c r="C174" s="125">
        <v>53.33</v>
      </c>
      <c r="D174" s="104">
        <v>43.89</v>
      </c>
      <c r="E174" s="104">
        <v>4.88</v>
      </c>
      <c r="F174" s="104">
        <v>0.81</v>
      </c>
      <c r="G174" s="104">
        <v>0</v>
      </c>
      <c r="H174" s="104">
        <v>0</v>
      </c>
      <c r="I174" s="104">
        <v>36.130000000000003</v>
      </c>
      <c r="J174" s="104">
        <v>1.52</v>
      </c>
      <c r="K174" s="104">
        <v>0.53</v>
      </c>
      <c r="L174" s="104">
        <v>0.77</v>
      </c>
      <c r="M174" s="104">
        <v>1.61</v>
      </c>
      <c r="N174" s="81">
        <v>0</v>
      </c>
      <c r="O174" s="81">
        <v>0</v>
      </c>
      <c r="P174" s="81">
        <v>2</v>
      </c>
      <c r="Q174" s="114">
        <v>2</v>
      </c>
      <c r="R174" s="106"/>
      <c r="S174" s="106"/>
      <c r="T174" s="106"/>
      <c r="U174" s="106"/>
      <c r="V174" s="106"/>
      <c r="W174" s="106"/>
      <c r="X174" s="107"/>
    </row>
    <row r="175" spans="1:24" ht="14.6">
      <c r="A175" s="1330"/>
      <c r="B175" s="122" t="s">
        <v>537</v>
      </c>
      <c r="C175" s="125">
        <v>42</v>
      </c>
      <c r="D175" s="104">
        <v>17.940000000000001</v>
      </c>
      <c r="E175" s="104">
        <v>1.99</v>
      </c>
      <c r="F175" s="104">
        <v>1.34</v>
      </c>
      <c r="G175" s="104">
        <v>0.02</v>
      </c>
      <c r="H175" s="104">
        <v>0</v>
      </c>
      <c r="I175" s="104">
        <v>16.18</v>
      </c>
      <c r="J175" s="104">
        <v>5.1100000000000003</v>
      </c>
      <c r="K175" s="104">
        <v>0.22</v>
      </c>
      <c r="L175" s="104">
        <v>4.55</v>
      </c>
      <c r="M175" s="104">
        <v>0.91</v>
      </c>
      <c r="N175" s="81">
        <v>0</v>
      </c>
      <c r="O175" s="81">
        <v>0</v>
      </c>
      <c r="P175" s="81">
        <v>0</v>
      </c>
      <c r="Q175" s="114">
        <v>0</v>
      </c>
      <c r="R175" s="106"/>
      <c r="S175" s="106"/>
      <c r="T175" s="106"/>
      <c r="U175" s="106"/>
      <c r="V175" s="106"/>
      <c r="W175" s="106"/>
      <c r="X175" s="107"/>
    </row>
    <row r="176" spans="1:24" ht="14.6">
      <c r="A176" s="1330"/>
      <c r="B176" s="122" t="s">
        <v>159</v>
      </c>
      <c r="C176" s="125">
        <v>40</v>
      </c>
      <c r="D176" s="104">
        <v>15</v>
      </c>
      <c r="E176" s="104">
        <v>2</v>
      </c>
      <c r="F176" s="104">
        <v>0.5</v>
      </c>
      <c r="G176" s="104">
        <v>0.04</v>
      </c>
      <c r="H176" s="104">
        <v>0</v>
      </c>
      <c r="I176" s="104">
        <v>20.059999999999999</v>
      </c>
      <c r="J176" s="104">
        <v>5.08</v>
      </c>
      <c r="K176" s="104">
        <v>0</v>
      </c>
      <c r="L176" s="104">
        <v>4</v>
      </c>
      <c r="M176" s="104">
        <v>1</v>
      </c>
      <c r="N176" s="81">
        <v>0</v>
      </c>
      <c r="O176" s="81">
        <v>0</v>
      </c>
      <c r="P176" s="81">
        <v>0</v>
      </c>
      <c r="Q176" s="114">
        <v>0</v>
      </c>
      <c r="R176" s="106"/>
      <c r="S176" s="106"/>
      <c r="T176" s="106"/>
      <c r="U176" s="106"/>
      <c r="V176" s="106"/>
      <c r="W176" s="106"/>
      <c r="X176" s="107"/>
    </row>
    <row r="177" spans="1:24" ht="14.6">
      <c r="A177" s="1330"/>
      <c r="B177" s="122" t="s">
        <v>161</v>
      </c>
      <c r="C177" s="125">
        <v>39.270000000000003</v>
      </c>
      <c r="D177" s="104">
        <v>14.06</v>
      </c>
      <c r="E177" s="104">
        <v>1.56</v>
      </c>
      <c r="F177" s="104">
        <v>1.32</v>
      </c>
      <c r="G177" s="104">
        <v>0.01</v>
      </c>
      <c r="H177" s="104">
        <v>0.04</v>
      </c>
      <c r="I177" s="104">
        <v>0.7</v>
      </c>
      <c r="J177" s="104">
        <v>6.52</v>
      </c>
      <c r="K177" s="104">
        <v>0.02</v>
      </c>
      <c r="L177" s="104">
        <v>3.98</v>
      </c>
      <c r="M177" s="104">
        <v>0</v>
      </c>
      <c r="N177" s="81">
        <v>0</v>
      </c>
      <c r="O177" s="81">
        <v>10</v>
      </c>
      <c r="P177" s="81">
        <v>0</v>
      </c>
      <c r="Q177" s="114">
        <v>0</v>
      </c>
      <c r="R177" s="106"/>
      <c r="S177" s="106"/>
      <c r="T177" s="106"/>
      <c r="U177" s="106"/>
      <c r="V177" s="106"/>
      <c r="W177" s="106"/>
      <c r="X177" s="107"/>
    </row>
    <row r="178" spans="1:24" ht="14.6">
      <c r="A178" s="1330"/>
      <c r="B178" s="122" t="s">
        <v>162</v>
      </c>
      <c r="C178" s="125">
        <v>11.05</v>
      </c>
      <c r="D178" s="104">
        <v>0.05</v>
      </c>
      <c r="E178" s="104">
        <v>0.01</v>
      </c>
      <c r="F178" s="104">
        <v>0</v>
      </c>
      <c r="G178" s="104">
        <v>0</v>
      </c>
      <c r="H178" s="104">
        <v>0</v>
      </c>
      <c r="I178" s="104">
        <v>1.53</v>
      </c>
      <c r="J178" s="104">
        <v>3.02</v>
      </c>
      <c r="K178" s="104">
        <v>0.1</v>
      </c>
      <c r="L178" s="104">
        <v>2.56</v>
      </c>
      <c r="M178" s="104">
        <v>0.03</v>
      </c>
      <c r="N178" s="81">
        <v>0</v>
      </c>
      <c r="O178" s="81">
        <v>0</v>
      </c>
      <c r="P178" s="81">
        <v>2</v>
      </c>
      <c r="Q178" s="114">
        <v>2</v>
      </c>
      <c r="R178" s="106"/>
      <c r="S178" s="106"/>
      <c r="T178" s="106"/>
      <c r="U178" s="106"/>
      <c r="V178" s="106"/>
      <c r="W178" s="106"/>
      <c r="X178" s="107"/>
    </row>
    <row r="179" spans="1:24" ht="15" thickBot="1">
      <c r="A179" s="1331"/>
      <c r="B179" s="123" t="s">
        <v>163</v>
      </c>
      <c r="C179" s="126">
        <v>40.119999999999997</v>
      </c>
      <c r="D179" s="109">
        <v>23.04</v>
      </c>
      <c r="E179" s="109">
        <v>2.56</v>
      </c>
      <c r="F179" s="109">
        <v>0.19</v>
      </c>
      <c r="G179" s="109">
        <v>0</v>
      </c>
      <c r="H179" s="109">
        <v>0</v>
      </c>
      <c r="I179" s="109">
        <v>0.55000000000000004</v>
      </c>
      <c r="J179" s="109">
        <v>3.65</v>
      </c>
      <c r="K179" s="109">
        <v>0.43</v>
      </c>
      <c r="L179" s="109">
        <v>2.86</v>
      </c>
      <c r="M179" s="109">
        <v>0.61</v>
      </c>
      <c r="N179" s="83">
        <v>0</v>
      </c>
      <c r="O179" s="83">
        <v>0</v>
      </c>
      <c r="P179" s="83">
        <v>0</v>
      </c>
      <c r="Q179" s="117">
        <v>0</v>
      </c>
      <c r="R179" s="111"/>
      <c r="S179" s="111"/>
      <c r="T179" s="111"/>
      <c r="U179" s="111"/>
      <c r="V179" s="111"/>
      <c r="W179" s="111"/>
      <c r="X179" s="112"/>
    </row>
    <row r="181" spans="1:24" ht="12.75" customHeight="1">
      <c r="B181" s="1227" t="s">
        <v>168</v>
      </c>
      <c r="C181" s="1227"/>
      <c r="D181" s="1227"/>
      <c r="E181" s="1227"/>
      <c r="F181" s="1227"/>
      <c r="G181" s="1227"/>
      <c r="H181" s="1227"/>
      <c r="I181" s="1227"/>
      <c r="J181" s="1227"/>
      <c r="K181" s="1227"/>
      <c r="L181" s="1227"/>
      <c r="M181" s="1227"/>
      <c r="N181" s="1227"/>
      <c r="O181" s="1227"/>
      <c r="P181" s="1227"/>
      <c r="Q181" s="1227"/>
      <c r="R181" s="1227"/>
      <c r="S181" s="1227"/>
      <c r="T181" s="1227"/>
      <c r="U181" s="1227"/>
      <c r="V181" s="1227"/>
      <c r="W181" s="1227"/>
      <c r="X181" s="1227"/>
    </row>
    <row r="182" spans="1:24" ht="12.75" customHeight="1">
      <c r="B182" s="1227"/>
      <c r="C182" s="1227"/>
      <c r="D182" s="1227"/>
      <c r="E182" s="1227"/>
      <c r="F182" s="1227"/>
      <c r="G182" s="1227"/>
      <c r="H182" s="1227"/>
      <c r="I182" s="1227"/>
      <c r="J182" s="1227"/>
      <c r="K182" s="1227"/>
      <c r="L182" s="1227"/>
      <c r="M182" s="1227"/>
      <c r="N182" s="1227"/>
      <c r="O182" s="1227"/>
      <c r="P182" s="1227"/>
      <c r="Q182" s="1227"/>
      <c r="R182" s="1227"/>
      <c r="S182" s="1227"/>
      <c r="T182" s="1227"/>
      <c r="U182" s="1227"/>
      <c r="V182" s="1227"/>
      <c r="W182" s="1227"/>
      <c r="X182" s="1227"/>
    </row>
    <row r="183" spans="1:24" ht="16.5" customHeight="1">
      <c r="B183" s="1227"/>
      <c r="C183" s="1227"/>
      <c r="D183" s="1227"/>
      <c r="E183" s="1227"/>
      <c r="F183" s="1227"/>
      <c r="G183" s="1227"/>
      <c r="H183" s="1227"/>
      <c r="I183" s="1227"/>
      <c r="J183" s="1227"/>
      <c r="K183" s="1227"/>
      <c r="L183" s="1227"/>
      <c r="M183" s="1227"/>
      <c r="N183" s="1227"/>
      <c r="O183" s="1227"/>
      <c r="P183" s="1227"/>
      <c r="Q183" s="1227"/>
      <c r="R183" s="1227"/>
      <c r="S183" s="1227"/>
      <c r="T183" s="1227"/>
      <c r="U183" s="1227"/>
      <c r="V183" s="1227"/>
      <c r="W183" s="1227"/>
      <c r="X183" s="1227"/>
    </row>
    <row r="185" spans="1:24" ht="29.15">
      <c r="B185" s="68" t="s">
        <v>565</v>
      </c>
      <c r="C185" s="4">
        <f t="shared" ref="C185" si="0">(AVERAGE(C5:C99)+AVERAGE(C103:C117)+AVERAGE(C121:C122)+AVERAGE(C126:C127)+AVERAGE(C131:C153)+AVERAGE(C157:C179))</f>
        <v>315.58841189931348</v>
      </c>
      <c r="D185" s="4">
        <f t="shared" ref="D185:X185" si="1">(AVERAGE(D5:D99)+AVERAGE(D103:D117)+AVERAGE(D121:D122)+AVERAGE(D126:D127)+AVERAGE(D131:D153)+AVERAGE(D157:D179))</f>
        <v>143.34957513348587</v>
      </c>
      <c r="E185" s="4">
        <f t="shared" si="1"/>
        <v>15.896727688787186</v>
      </c>
      <c r="F185" s="4">
        <f t="shared" si="1"/>
        <v>12.958967200610219</v>
      </c>
      <c r="G185" s="4">
        <f t="shared" si="1"/>
        <v>6.0869565217391307E-2</v>
      </c>
      <c r="H185" s="4">
        <f t="shared" si="1"/>
        <v>22.574753623188403</v>
      </c>
      <c r="I185" s="4">
        <f t="shared" si="1"/>
        <v>108.14769641495043</v>
      </c>
      <c r="J185" s="4">
        <f t="shared" si="1"/>
        <v>41.302191456903131</v>
      </c>
      <c r="K185" s="4">
        <f t="shared" si="1"/>
        <v>0.5517681159420289</v>
      </c>
      <c r="L185" s="4">
        <f t="shared" si="1"/>
        <v>33.995102212051869</v>
      </c>
      <c r="M185" s="4">
        <f t="shared" si="1"/>
        <v>10.61546147978642</v>
      </c>
      <c r="N185" s="4">
        <f t="shared" si="1"/>
        <v>6.5382608695652173</v>
      </c>
      <c r="O185" s="4">
        <f t="shared" si="1"/>
        <v>1.7391304347826086</v>
      </c>
      <c r="P185" s="4">
        <f t="shared" si="1"/>
        <v>10.81449275362319</v>
      </c>
      <c r="Q185" s="4">
        <f t="shared" si="1"/>
        <v>6.7063463798627003</v>
      </c>
      <c r="R185" s="4" t="e">
        <f t="shared" si="1"/>
        <v>#DIV/0!</v>
      </c>
      <c r="S185" s="4" t="e">
        <f t="shared" si="1"/>
        <v>#DIV/0!</v>
      </c>
      <c r="T185" s="4" t="e">
        <f t="shared" si="1"/>
        <v>#DIV/0!</v>
      </c>
      <c r="U185" s="4" t="e">
        <f t="shared" si="1"/>
        <v>#DIV/0!</v>
      </c>
      <c r="V185" s="4" t="e">
        <f t="shared" si="1"/>
        <v>#DIV/0!</v>
      </c>
      <c r="W185" s="4" t="e">
        <f t="shared" si="1"/>
        <v>#DIV/0!</v>
      </c>
      <c r="X185" s="4" t="e">
        <f t="shared" si="1"/>
        <v>#DIV/0!</v>
      </c>
    </row>
    <row r="186" spans="1:24" ht="29.15">
      <c r="B186" s="5" t="s">
        <v>566</v>
      </c>
      <c r="C186" s="5" t="str">
        <f t="shared" ref="C186" si="2">(ROUND((MIN(C5:C99)+MIN(C103:C117)+MIN(C121:C122)+MIN(C126:C127)+MIN(C131:C153)+MIN(C157:C179)),0)&amp;" - "&amp;ROUND((MAX(C5:C99)+MAX(C103:C117)+MAX(C121:C122)+MAX(C126:C127)+MAX(C131:C153)+MAX(C157:C179)),0))</f>
        <v>253 - 371</v>
      </c>
      <c r="D186" s="5" t="str">
        <f t="shared" ref="D186:X186" si="3">(ROUND((MIN(D5:D99)+MIN(D103:D117)+MIN(D121:D122)+MIN(D126:D127)+MIN(D131:D153)+MIN(D157:D179)),0)&amp;" - "&amp;ROUND((MAX(D5:D99)+MAX(D103:D117)+MAX(D121:D122)+MAX(D126:D127)+MAX(D131:D153)+MAX(D157:D179)),0))</f>
        <v>113 - 206</v>
      </c>
      <c r="E186" s="5" t="str">
        <f t="shared" si="3"/>
        <v>13 - 23</v>
      </c>
      <c r="F186" s="5" t="str">
        <f t="shared" si="3"/>
        <v>11 - 16</v>
      </c>
      <c r="G186" s="5" t="str">
        <f t="shared" si="3"/>
        <v>0 - 0</v>
      </c>
      <c r="H186" s="5" t="str">
        <f t="shared" si="3"/>
        <v>20 - 26</v>
      </c>
      <c r="I186" s="5" t="str">
        <f t="shared" si="3"/>
        <v>64 - 185</v>
      </c>
      <c r="J186" s="5" t="str">
        <f t="shared" si="3"/>
        <v>31 - 52</v>
      </c>
      <c r="K186" s="5" t="str">
        <f t="shared" si="3"/>
        <v>0 - 2</v>
      </c>
      <c r="L186" s="5" t="str">
        <f t="shared" si="3"/>
        <v>19 - 47</v>
      </c>
      <c r="M186" s="5" t="str">
        <f t="shared" si="3"/>
        <v>2 - 19</v>
      </c>
      <c r="N186" s="5" t="str">
        <f t="shared" si="3"/>
        <v>4 - 36</v>
      </c>
      <c r="O186" s="5" t="str">
        <f t="shared" si="3"/>
        <v>0 - 20</v>
      </c>
      <c r="P186" s="5" t="str">
        <f t="shared" si="3"/>
        <v>7 - 39</v>
      </c>
      <c r="Q186" s="5" t="str">
        <f t="shared" si="3"/>
        <v>1 - 36</v>
      </c>
      <c r="R186" s="5" t="str">
        <f t="shared" si="3"/>
        <v>0 - 0</v>
      </c>
      <c r="S186" s="5" t="str">
        <f t="shared" si="3"/>
        <v>0 - 0</v>
      </c>
      <c r="T186" s="5" t="str">
        <f t="shared" si="3"/>
        <v>0 - 0</v>
      </c>
      <c r="U186" s="5" t="str">
        <f t="shared" si="3"/>
        <v>0 - 41</v>
      </c>
      <c r="V186" s="5" t="str">
        <f t="shared" si="3"/>
        <v>0 - 0</v>
      </c>
      <c r="W186" s="5" t="str">
        <f t="shared" si="3"/>
        <v>0 - 0</v>
      </c>
      <c r="X186" s="5" t="str">
        <f t="shared" si="3"/>
        <v>0 - 40</v>
      </c>
    </row>
  </sheetData>
  <mergeCells count="18">
    <mergeCell ref="B181:X183"/>
    <mergeCell ref="A126:A127"/>
    <mergeCell ref="A131:A153"/>
    <mergeCell ref="A157:A179"/>
    <mergeCell ref="A103:A117"/>
    <mergeCell ref="A121:A122"/>
    <mergeCell ref="A124:X124"/>
    <mergeCell ref="A129:X129"/>
    <mergeCell ref="A155:X155"/>
    <mergeCell ref="A1:X1"/>
    <mergeCell ref="A2:X2"/>
    <mergeCell ref="A3:X3"/>
    <mergeCell ref="A101:X101"/>
    <mergeCell ref="A119:X119"/>
    <mergeCell ref="A5:A54"/>
    <mergeCell ref="A55:A66"/>
    <mergeCell ref="A67:A93"/>
    <mergeCell ref="A94:A99"/>
  </mergeCells>
  <pageMargins left="0.7" right="0.7" top="0.75" bottom="0.75" header="0.3" footer="0.3"/>
  <pageSetup scale="45" fitToHeight="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0000"/>
    <pageSetUpPr fitToPage="1"/>
  </sheetPr>
  <dimension ref="A1:X186"/>
  <sheetViews>
    <sheetView topLeftCell="A163" zoomScale="70" zoomScaleNormal="70" workbookViewId="0">
      <selection activeCell="E105" sqref="E105"/>
    </sheetView>
    <sheetView workbookViewId="1">
      <selection sqref="A1:X1"/>
    </sheetView>
    <sheetView workbookViewId="2">
      <selection sqref="A1:X1"/>
    </sheetView>
  </sheetViews>
  <sheetFormatPr defaultColWidth="9.15234375" defaultRowHeight="12.45"/>
  <cols>
    <col min="1" max="1" width="6.53515625" style="26" customWidth="1"/>
    <col min="2" max="2" width="42.84375" style="27" customWidth="1"/>
    <col min="3" max="4" width="10.53515625" style="26" customWidth="1"/>
    <col min="5" max="5" width="8.53515625" style="26" customWidth="1"/>
    <col min="6" max="6" width="11.53515625" style="26" customWidth="1"/>
    <col min="7" max="7" width="8.53515625" style="26" customWidth="1"/>
    <col min="8" max="8" width="13" style="26" customWidth="1"/>
    <col min="9" max="9" width="9" style="26" customWidth="1"/>
    <col min="10" max="10" width="16.84375" style="26" customWidth="1"/>
    <col min="11" max="11" width="9" style="26" customWidth="1"/>
    <col min="12" max="12" width="7.84375" style="26" customWidth="1"/>
    <col min="13" max="13" width="9" style="26" customWidth="1"/>
    <col min="14" max="16" width="11.53515625" style="26" customWidth="1"/>
    <col min="17" max="17" width="9" style="26" customWidth="1"/>
    <col min="18" max="16384" width="9.15234375" style="37"/>
  </cols>
  <sheetData>
    <row r="1" spans="1:24" ht="22.5" customHeight="1">
      <c r="A1" s="1313" t="s">
        <v>562</v>
      </c>
      <c r="B1" s="1225"/>
      <c r="C1" s="1225"/>
      <c r="D1" s="1225"/>
      <c r="E1" s="1225"/>
      <c r="F1" s="1225"/>
      <c r="G1" s="1225"/>
      <c r="H1" s="1225"/>
      <c r="I1" s="1225"/>
      <c r="J1" s="1225"/>
      <c r="K1" s="1225"/>
      <c r="L1" s="1225"/>
      <c r="M1" s="1225"/>
      <c r="N1" s="1225"/>
      <c r="O1" s="1225"/>
      <c r="P1" s="1225"/>
      <c r="Q1" s="1225"/>
      <c r="R1" s="1225"/>
      <c r="S1" s="1225"/>
      <c r="T1" s="1225"/>
      <c r="U1" s="1225"/>
      <c r="V1" s="1225"/>
      <c r="W1" s="1225"/>
      <c r="X1" s="1225"/>
    </row>
    <row r="2" spans="1:24" ht="18" customHeight="1">
      <c r="A2" s="1226" t="s">
        <v>567</v>
      </c>
      <c r="B2" s="1226"/>
      <c r="C2" s="1226"/>
      <c r="D2" s="1226"/>
      <c r="E2" s="1226"/>
      <c r="F2" s="1226"/>
      <c r="G2" s="1226"/>
      <c r="H2" s="1226"/>
      <c r="I2" s="1226"/>
      <c r="J2" s="1226"/>
      <c r="K2" s="1226"/>
      <c r="L2" s="1226"/>
      <c r="M2" s="1226"/>
      <c r="N2" s="1226"/>
      <c r="O2" s="1226"/>
      <c r="P2" s="1226"/>
      <c r="Q2" s="1226"/>
      <c r="R2" s="1226"/>
      <c r="S2" s="1226"/>
      <c r="T2" s="1226"/>
      <c r="U2" s="1226"/>
      <c r="V2" s="1226"/>
      <c r="W2" s="1226"/>
      <c r="X2" s="1226"/>
    </row>
    <row r="3" spans="1:24" ht="18" customHeight="1" thickBot="1">
      <c r="A3" s="1308" t="s">
        <v>405</v>
      </c>
      <c r="B3" s="1308"/>
      <c r="C3" s="1308"/>
      <c r="D3" s="1308"/>
      <c r="E3" s="1308"/>
      <c r="F3" s="1308"/>
      <c r="G3" s="1308"/>
      <c r="H3" s="1308"/>
      <c r="I3" s="1308"/>
      <c r="J3" s="1308"/>
      <c r="K3" s="1308"/>
      <c r="L3" s="1308"/>
      <c r="M3" s="1308"/>
      <c r="N3" s="1308"/>
      <c r="O3" s="1308"/>
      <c r="P3" s="1308"/>
      <c r="Q3" s="1308"/>
      <c r="R3" s="1308"/>
      <c r="S3" s="1308"/>
      <c r="T3" s="1308"/>
      <c r="U3" s="1308"/>
      <c r="V3" s="1308"/>
      <c r="W3" s="1308"/>
      <c r="X3" s="1308"/>
    </row>
    <row r="4" spans="1:24" ht="37.5" customHeight="1" thickBot="1">
      <c r="A4" s="77"/>
      <c r="B4" s="38" t="s">
        <v>3</v>
      </c>
      <c r="C4" s="44" t="s">
        <v>4</v>
      </c>
      <c r="D4" s="44" t="s">
        <v>5</v>
      </c>
      <c r="E4" s="44" t="s">
        <v>6</v>
      </c>
      <c r="F4" s="44" t="s">
        <v>7</v>
      </c>
      <c r="G4" s="44" t="s">
        <v>8</v>
      </c>
      <c r="H4" s="44" t="s">
        <v>9</v>
      </c>
      <c r="I4" s="44" t="s">
        <v>10</v>
      </c>
      <c r="J4" s="44" t="s">
        <v>11</v>
      </c>
      <c r="K4" s="44" t="s">
        <v>12</v>
      </c>
      <c r="L4" s="44" t="s">
        <v>13</v>
      </c>
      <c r="M4" s="44" t="s">
        <v>14</v>
      </c>
      <c r="N4" s="44" t="s">
        <v>15</v>
      </c>
      <c r="O4" s="45" t="s">
        <v>16</v>
      </c>
      <c r="P4" s="45" t="s">
        <v>17</v>
      </c>
      <c r="Q4" s="45" t="s">
        <v>18</v>
      </c>
      <c r="R4" s="45" t="s">
        <v>19</v>
      </c>
      <c r="S4" s="45" t="s">
        <v>20</v>
      </c>
      <c r="T4" s="45" t="s">
        <v>21</v>
      </c>
      <c r="U4" s="45" t="s">
        <v>22</v>
      </c>
      <c r="V4" s="45" t="s">
        <v>23</v>
      </c>
      <c r="W4" s="45" t="s">
        <v>377</v>
      </c>
      <c r="X4" s="46" t="s">
        <v>378</v>
      </c>
    </row>
    <row r="5" spans="1:24" ht="14.6">
      <c r="A5" s="1317" t="s">
        <v>24</v>
      </c>
      <c r="B5" s="53" t="s">
        <v>26</v>
      </c>
      <c r="C5" s="133">
        <f>'Blendini Custom Cake - Slice'!C5*12</f>
        <v>540</v>
      </c>
      <c r="D5" s="133">
        <f>'Blendini Custom Cake - Slice'!D5*12</f>
        <v>0</v>
      </c>
      <c r="E5" s="133">
        <f>'Blendini Custom Cake - Slice'!E5*12</f>
        <v>0</v>
      </c>
      <c r="F5" s="133">
        <f>'Blendini Custom Cake - Slice'!F5*12</f>
        <v>0</v>
      </c>
      <c r="G5" s="133">
        <f>'Blendini Custom Cake - Slice'!G5*12</f>
        <v>0</v>
      </c>
      <c r="H5" s="133">
        <f>'Blendini Custom Cake - Slice'!H5*12</f>
        <v>0</v>
      </c>
      <c r="I5" s="133">
        <f>'Blendini Custom Cake - Slice'!I5*12</f>
        <v>60</v>
      </c>
      <c r="J5" s="133">
        <f>'Blendini Custom Cake - Slice'!J5*12</f>
        <v>132</v>
      </c>
      <c r="K5" s="133">
        <f>'Blendini Custom Cake - Slice'!K5*12</f>
        <v>0</v>
      </c>
      <c r="L5" s="133">
        <f>'Blendini Custom Cake - Slice'!L5*12</f>
        <v>132</v>
      </c>
      <c r="M5" s="133">
        <f>'Blendini Custom Cake - Slice'!M5*12</f>
        <v>120</v>
      </c>
      <c r="N5" s="133">
        <f>'Blendini Custom Cake - Slice'!N5*12</f>
        <v>0</v>
      </c>
      <c r="O5" s="134">
        <f>'Blendini Custom Cake - Slice'!O5*12</f>
        <v>0</v>
      </c>
      <c r="P5" s="134">
        <f>'Blendini Custom Cake - Slice'!P5*12</f>
        <v>0</v>
      </c>
      <c r="Q5" s="134">
        <f>'Blendini Custom Cake - Slice'!Q5*12</f>
        <v>12</v>
      </c>
      <c r="R5" s="134">
        <f>'Blendini Custom Cake - Slice'!R5*12</f>
        <v>0</v>
      </c>
      <c r="S5" s="134">
        <f>'Blendini Custom Cake - Slice'!S5*12</f>
        <v>0</v>
      </c>
      <c r="T5" s="134">
        <f>'Blendini Custom Cake - Slice'!T5*12</f>
        <v>0</v>
      </c>
      <c r="U5" s="134">
        <f>'Blendini Custom Cake - Slice'!U5*12</f>
        <v>108</v>
      </c>
      <c r="V5" s="134">
        <f>'Blendini Custom Cake - Slice'!V5*12</f>
        <v>0</v>
      </c>
      <c r="W5" s="134">
        <f>'Blendini Custom Cake - Slice'!W5*12</f>
        <v>0</v>
      </c>
      <c r="X5" s="135">
        <f>'Blendini Custom Cake - Slice'!X5*12</f>
        <v>0</v>
      </c>
    </row>
    <row r="6" spans="1:24" ht="14.6">
      <c r="A6" s="1318"/>
      <c r="B6" s="54" t="s">
        <v>27</v>
      </c>
      <c r="C6" s="85">
        <f>'Blendini Custom Cake - Slice'!C6*12</f>
        <v>360</v>
      </c>
      <c r="D6" s="85">
        <f>'Blendini Custom Cake - Slice'!D6*12</f>
        <v>0</v>
      </c>
      <c r="E6" s="85">
        <f>'Blendini Custom Cake - Slice'!E6*12</f>
        <v>0</v>
      </c>
      <c r="F6" s="85">
        <f>'Blendini Custom Cake - Slice'!F6*12</f>
        <v>0</v>
      </c>
      <c r="G6" s="81">
        <f>'Blendini Custom Cake - Slice'!G6*12</f>
        <v>0</v>
      </c>
      <c r="H6" s="85">
        <f>'Blendini Custom Cake - Slice'!H6*12</f>
        <v>0</v>
      </c>
      <c r="I6" s="85">
        <f>'Blendini Custom Cake - Slice'!I6*12</f>
        <v>0</v>
      </c>
      <c r="J6" s="85">
        <f>'Blendini Custom Cake - Slice'!J6*12</f>
        <v>96</v>
      </c>
      <c r="K6" s="85">
        <f>'Blendini Custom Cake - Slice'!K6*12</f>
        <v>0</v>
      </c>
      <c r="L6" s="85">
        <f>'Blendini Custom Cake - Slice'!L6*12</f>
        <v>84</v>
      </c>
      <c r="M6" s="85">
        <f>'Blendini Custom Cake - Slice'!M6*12</f>
        <v>84</v>
      </c>
      <c r="N6" s="85">
        <f>'Blendini Custom Cake - Slice'!N6*12</f>
        <v>0</v>
      </c>
      <c r="O6" s="85">
        <f>'Blendini Custom Cake - Slice'!O6*12</f>
        <v>0</v>
      </c>
      <c r="P6" s="85">
        <f>'Blendini Custom Cake - Slice'!P6*12</f>
        <v>0</v>
      </c>
      <c r="Q6" s="85">
        <f>'Blendini Custom Cake - Slice'!Q6*12</f>
        <v>14.220959999999998</v>
      </c>
      <c r="R6" s="85">
        <f>'Blendini Custom Cake - Slice'!R6*12</f>
        <v>0</v>
      </c>
      <c r="S6" s="85">
        <f>'Blendini Custom Cake - Slice'!S6*12</f>
        <v>1.686E-2</v>
      </c>
      <c r="T6" s="85">
        <f>'Blendini Custom Cake - Slice'!T6*12</f>
        <v>0</v>
      </c>
      <c r="U6" s="85">
        <f>'Blendini Custom Cake - Slice'!U6*12</f>
        <v>0</v>
      </c>
      <c r="V6" s="85">
        <f>'Blendini Custom Cake - Slice'!V6*12</f>
        <v>0</v>
      </c>
      <c r="W6" s="85">
        <f>'Blendini Custom Cake - Slice'!W6*12</f>
        <v>0</v>
      </c>
      <c r="X6" s="86">
        <f>'Blendini Custom Cake - Slice'!X6*12</f>
        <v>0</v>
      </c>
    </row>
    <row r="7" spans="1:24" ht="14.6">
      <c r="A7" s="1318"/>
      <c r="B7" s="54" t="s">
        <v>28</v>
      </c>
      <c r="C7" s="136">
        <f>'Blendini Custom Cake - Slice'!C7*12</f>
        <v>420</v>
      </c>
      <c r="D7" s="136">
        <f>'Blendini Custom Cake - Slice'!D7*12</f>
        <v>0</v>
      </c>
      <c r="E7" s="136">
        <f>'Blendini Custom Cake - Slice'!E7*12</f>
        <v>0</v>
      </c>
      <c r="F7" s="136">
        <f>'Blendini Custom Cake - Slice'!F7*12</f>
        <v>0</v>
      </c>
      <c r="G7" s="136">
        <f>'Blendini Custom Cake - Slice'!G7*12</f>
        <v>0</v>
      </c>
      <c r="H7" s="136">
        <f>'Blendini Custom Cake - Slice'!H7*12</f>
        <v>0</v>
      </c>
      <c r="I7" s="136">
        <f>'Blendini Custom Cake - Slice'!I7*12</f>
        <v>0</v>
      </c>
      <c r="J7" s="136">
        <f>'Blendini Custom Cake - Slice'!J7*12</f>
        <v>108</v>
      </c>
      <c r="K7" s="136">
        <f>'Blendini Custom Cake - Slice'!K7*12</f>
        <v>0</v>
      </c>
      <c r="L7" s="136">
        <f>'Blendini Custom Cake - Slice'!L7*12</f>
        <v>108</v>
      </c>
      <c r="M7" s="136">
        <f>'Blendini Custom Cake - Slice'!M7*12</f>
        <v>108</v>
      </c>
      <c r="N7" s="136">
        <f>'Blendini Custom Cake - Slice'!N7*12</f>
        <v>0</v>
      </c>
      <c r="O7" s="137">
        <f>'Blendini Custom Cake - Slice'!O7*12</f>
        <v>0</v>
      </c>
      <c r="P7" s="137">
        <f>'Blendini Custom Cake - Slice'!P7*12</f>
        <v>0</v>
      </c>
      <c r="Q7" s="137">
        <f>'Blendini Custom Cake - Slice'!Q7*12</f>
        <v>12</v>
      </c>
      <c r="R7" s="137">
        <f>'Blendini Custom Cake - Slice'!R7*12</f>
        <v>0</v>
      </c>
      <c r="S7" s="137">
        <f>'Blendini Custom Cake - Slice'!S7*12</f>
        <v>0</v>
      </c>
      <c r="T7" s="137">
        <f>'Blendini Custom Cake - Slice'!T7*12</f>
        <v>0</v>
      </c>
      <c r="U7" s="137">
        <f>'Blendini Custom Cake - Slice'!U7*12</f>
        <v>24</v>
      </c>
      <c r="V7" s="137">
        <f>'Blendini Custom Cake - Slice'!V7*12</f>
        <v>0</v>
      </c>
      <c r="W7" s="137">
        <f>'Blendini Custom Cake - Slice'!W7*12</f>
        <v>0</v>
      </c>
      <c r="X7" s="138">
        <f>'Blendini Custom Cake - Slice'!X7*12</f>
        <v>0</v>
      </c>
    </row>
    <row r="8" spans="1:24" ht="14.6">
      <c r="A8" s="1318"/>
      <c r="B8" s="54" t="s">
        <v>29</v>
      </c>
      <c r="C8" s="136">
        <f>'Blendini Custom Cake - Slice'!C8*12</f>
        <v>480</v>
      </c>
      <c r="D8" s="136">
        <f>'Blendini Custom Cake - Slice'!D8*12</f>
        <v>0</v>
      </c>
      <c r="E8" s="136">
        <f>'Blendini Custom Cake - Slice'!E8*12</f>
        <v>0</v>
      </c>
      <c r="F8" s="136">
        <f>'Blendini Custom Cake - Slice'!F8*12</f>
        <v>0</v>
      </c>
      <c r="G8" s="136">
        <f>'Blendini Custom Cake - Slice'!G8*12</f>
        <v>0</v>
      </c>
      <c r="H8" s="136">
        <f>'Blendini Custom Cake - Slice'!H8*12</f>
        <v>0</v>
      </c>
      <c r="I8" s="136">
        <f>'Blendini Custom Cake - Slice'!I8*12</f>
        <v>60</v>
      </c>
      <c r="J8" s="136">
        <f>'Blendini Custom Cake - Slice'!J8*12</f>
        <v>120</v>
      </c>
      <c r="K8" s="136">
        <f>'Blendini Custom Cake - Slice'!K8*12</f>
        <v>0</v>
      </c>
      <c r="L8" s="136">
        <f>'Blendini Custom Cake - Slice'!L8*12</f>
        <v>120</v>
      </c>
      <c r="M8" s="136">
        <f>'Blendini Custom Cake - Slice'!M8*12</f>
        <v>120</v>
      </c>
      <c r="N8" s="136">
        <f>'Blendini Custom Cake - Slice'!N8*12</f>
        <v>0</v>
      </c>
      <c r="O8" s="137">
        <f>'Blendini Custom Cake - Slice'!O8*12</f>
        <v>0</v>
      </c>
      <c r="P8" s="137">
        <f>'Blendini Custom Cake - Slice'!P8*12</f>
        <v>0</v>
      </c>
      <c r="Q8" s="137">
        <f>'Blendini Custom Cake - Slice'!Q8*12</f>
        <v>12</v>
      </c>
      <c r="R8" s="137">
        <f>'Blendini Custom Cake - Slice'!R8*12</f>
        <v>0</v>
      </c>
      <c r="S8" s="137">
        <f>'Blendini Custom Cake - Slice'!S8*12</f>
        <v>0</v>
      </c>
      <c r="T8" s="137">
        <f>'Blendini Custom Cake - Slice'!T8*12</f>
        <v>0</v>
      </c>
      <c r="U8" s="137">
        <f>'Blendini Custom Cake - Slice'!U8*12</f>
        <v>0</v>
      </c>
      <c r="V8" s="137">
        <f>'Blendini Custom Cake - Slice'!V8*12</f>
        <v>0</v>
      </c>
      <c r="W8" s="137">
        <f>'Blendini Custom Cake - Slice'!W8*12</f>
        <v>0</v>
      </c>
      <c r="X8" s="138">
        <f>'Blendini Custom Cake - Slice'!X8*12</f>
        <v>0</v>
      </c>
    </row>
    <row r="9" spans="1:24" ht="14.6">
      <c r="A9" s="1318"/>
      <c r="B9" s="54" t="s">
        <v>30</v>
      </c>
      <c r="C9" s="136">
        <f>'Blendini Custom Cake - Slice'!C9*12</f>
        <v>720</v>
      </c>
      <c r="D9" s="136">
        <f>'Blendini Custom Cake - Slice'!D9*12</f>
        <v>0</v>
      </c>
      <c r="E9" s="136">
        <f>'Blendini Custom Cake - Slice'!E9*12</f>
        <v>0</v>
      </c>
      <c r="F9" s="136">
        <f>'Blendini Custom Cake - Slice'!F9*12</f>
        <v>0</v>
      </c>
      <c r="G9" s="136">
        <f>'Blendini Custom Cake - Slice'!G9*12</f>
        <v>0</v>
      </c>
      <c r="H9" s="136">
        <f>'Blendini Custom Cake - Slice'!H9*12</f>
        <v>0</v>
      </c>
      <c r="I9" s="136">
        <f>'Blendini Custom Cake - Slice'!I9*12</f>
        <v>60</v>
      </c>
      <c r="J9" s="136">
        <f>'Blendini Custom Cake - Slice'!J9*12</f>
        <v>180</v>
      </c>
      <c r="K9" s="136">
        <f>'Blendini Custom Cake - Slice'!K9*12</f>
        <v>0</v>
      </c>
      <c r="L9" s="136">
        <f>'Blendini Custom Cake - Slice'!L9*12</f>
        <v>168</v>
      </c>
      <c r="M9" s="136">
        <f>'Blendini Custom Cake - Slice'!M9*12</f>
        <v>168</v>
      </c>
      <c r="N9" s="136">
        <f>'Blendini Custom Cake - Slice'!N9*12</f>
        <v>0</v>
      </c>
      <c r="O9" s="137">
        <f>'Blendini Custom Cake - Slice'!O9*12</f>
        <v>0</v>
      </c>
      <c r="P9" s="137">
        <f>'Blendini Custom Cake - Slice'!P9*12</f>
        <v>0</v>
      </c>
      <c r="Q9" s="137">
        <f>'Blendini Custom Cake - Slice'!Q9*12</f>
        <v>12</v>
      </c>
      <c r="R9" s="137">
        <f>'Blendini Custom Cake - Slice'!R9*12</f>
        <v>0</v>
      </c>
      <c r="S9" s="137">
        <f>'Blendini Custom Cake - Slice'!S9*12</f>
        <v>0</v>
      </c>
      <c r="T9" s="137">
        <f>'Blendini Custom Cake - Slice'!T9*12</f>
        <v>0</v>
      </c>
      <c r="U9" s="137">
        <f>'Blendini Custom Cake - Slice'!U9*12</f>
        <v>0</v>
      </c>
      <c r="V9" s="137">
        <f>'Blendini Custom Cake - Slice'!V9*12</f>
        <v>0</v>
      </c>
      <c r="W9" s="137">
        <f>'Blendini Custom Cake - Slice'!W9*12</f>
        <v>0</v>
      </c>
      <c r="X9" s="138">
        <f>'Blendini Custom Cake - Slice'!X9*12</f>
        <v>0</v>
      </c>
    </row>
    <row r="10" spans="1:24" ht="14.6">
      <c r="A10" s="1318"/>
      <c r="B10" s="54" t="s">
        <v>31</v>
      </c>
      <c r="C10" s="136">
        <f>'Blendini Custom Cake - Slice'!C10*12</f>
        <v>360</v>
      </c>
      <c r="D10" s="136">
        <f>'Blendini Custom Cake - Slice'!D10*12</f>
        <v>0</v>
      </c>
      <c r="E10" s="136">
        <f>'Blendini Custom Cake - Slice'!E10*12</f>
        <v>0</v>
      </c>
      <c r="F10" s="136">
        <f>'Blendini Custom Cake - Slice'!F10*12</f>
        <v>0</v>
      </c>
      <c r="G10" s="136">
        <f>'Blendini Custom Cake - Slice'!G10*12</f>
        <v>0</v>
      </c>
      <c r="H10" s="136">
        <f>'Blendini Custom Cake - Slice'!H10*12</f>
        <v>0</v>
      </c>
      <c r="I10" s="136">
        <f>'Blendini Custom Cake - Slice'!I10*12</f>
        <v>60</v>
      </c>
      <c r="J10" s="136">
        <f>'Blendini Custom Cake - Slice'!J10*12</f>
        <v>96</v>
      </c>
      <c r="K10" s="136">
        <f>'Blendini Custom Cake - Slice'!K10*12</f>
        <v>0</v>
      </c>
      <c r="L10" s="136">
        <f>'Blendini Custom Cake - Slice'!L10*12</f>
        <v>96</v>
      </c>
      <c r="M10" s="136">
        <f>'Blendini Custom Cake - Slice'!M10*12</f>
        <v>84</v>
      </c>
      <c r="N10" s="136">
        <f>'Blendini Custom Cake - Slice'!N10*12</f>
        <v>0</v>
      </c>
      <c r="O10" s="137">
        <f>'Blendini Custom Cake - Slice'!O10*12</f>
        <v>0</v>
      </c>
      <c r="P10" s="137">
        <f>'Blendini Custom Cake - Slice'!P10*12</f>
        <v>0</v>
      </c>
      <c r="Q10" s="137">
        <f>'Blendini Custom Cake - Slice'!Q10*12</f>
        <v>24</v>
      </c>
      <c r="R10" s="137">
        <f>'Blendini Custom Cake - Slice'!R10*12</f>
        <v>0</v>
      </c>
      <c r="S10" s="137">
        <f>'Blendini Custom Cake - Slice'!S10*12</f>
        <v>0</v>
      </c>
      <c r="T10" s="137">
        <f>'Blendini Custom Cake - Slice'!T10*12</f>
        <v>0</v>
      </c>
      <c r="U10" s="137">
        <f>'Blendini Custom Cake - Slice'!U10*12</f>
        <v>0</v>
      </c>
      <c r="V10" s="137">
        <f>'Blendini Custom Cake - Slice'!V10*12</f>
        <v>0</v>
      </c>
      <c r="W10" s="137">
        <f>'Blendini Custom Cake - Slice'!W10*12</f>
        <v>0</v>
      </c>
      <c r="X10" s="138">
        <f>'Blendini Custom Cake - Slice'!X10*12</f>
        <v>0</v>
      </c>
    </row>
    <row r="11" spans="1:24" ht="14.6">
      <c r="A11" s="1318"/>
      <c r="B11" s="54" t="s">
        <v>32</v>
      </c>
      <c r="C11" s="136">
        <f>'Blendini Custom Cake - Slice'!C11*12</f>
        <v>420</v>
      </c>
      <c r="D11" s="136">
        <f>'Blendini Custom Cake - Slice'!D11*12</f>
        <v>0</v>
      </c>
      <c r="E11" s="136">
        <f>'Blendini Custom Cake - Slice'!E11*12</f>
        <v>0</v>
      </c>
      <c r="F11" s="136">
        <f>'Blendini Custom Cake - Slice'!F11*12</f>
        <v>0</v>
      </c>
      <c r="G11" s="136">
        <f>'Blendini Custom Cake - Slice'!G11*12</f>
        <v>0</v>
      </c>
      <c r="H11" s="136">
        <f>'Blendini Custom Cake - Slice'!H11*12</f>
        <v>0</v>
      </c>
      <c r="I11" s="136">
        <f>'Blendini Custom Cake - Slice'!I11*12</f>
        <v>60</v>
      </c>
      <c r="J11" s="136">
        <f>'Blendini Custom Cake - Slice'!J11*12</f>
        <v>108</v>
      </c>
      <c r="K11" s="136">
        <f>'Blendini Custom Cake - Slice'!K11*12</f>
        <v>0</v>
      </c>
      <c r="L11" s="136">
        <f>'Blendini Custom Cake - Slice'!L11*12</f>
        <v>108</v>
      </c>
      <c r="M11" s="136">
        <f>'Blendini Custom Cake - Slice'!M11*12</f>
        <v>96</v>
      </c>
      <c r="N11" s="136">
        <f>'Blendini Custom Cake - Slice'!N11*12</f>
        <v>0</v>
      </c>
      <c r="O11" s="137">
        <f>'Blendini Custom Cake - Slice'!O11*12</f>
        <v>0</v>
      </c>
      <c r="P11" s="137">
        <f>'Blendini Custom Cake - Slice'!P11*12</f>
        <v>0</v>
      </c>
      <c r="Q11" s="137">
        <f>'Blendini Custom Cake - Slice'!Q11*12</f>
        <v>12</v>
      </c>
      <c r="R11" s="137">
        <f>'Blendini Custom Cake - Slice'!R11*12</f>
        <v>0</v>
      </c>
      <c r="S11" s="137">
        <f>'Blendini Custom Cake - Slice'!S11*12</f>
        <v>0</v>
      </c>
      <c r="T11" s="137">
        <f>'Blendini Custom Cake - Slice'!T11*12</f>
        <v>0</v>
      </c>
      <c r="U11" s="137">
        <f>'Blendini Custom Cake - Slice'!U11*12</f>
        <v>36</v>
      </c>
      <c r="V11" s="137">
        <f>'Blendini Custom Cake - Slice'!V11*12</f>
        <v>0</v>
      </c>
      <c r="W11" s="137">
        <f>'Blendini Custom Cake - Slice'!W11*12</f>
        <v>0</v>
      </c>
      <c r="X11" s="138">
        <f>'Blendini Custom Cake - Slice'!X11*12</f>
        <v>24</v>
      </c>
    </row>
    <row r="12" spans="1:24" ht="14.6">
      <c r="A12" s="1318"/>
      <c r="B12" s="54" t="s">
        <v>33</v>
      </c>
      <c r="C12" s="136">
        <f>'Blendini Custom Cake - Slice'!C12*12</f>
        <v>480</v>
      </c>
      <c r="D12" s="136">
        <f>'Blendini Custom Cake - Slice'!D12*12</f>
        <v>0</v>
      </c>
      <c r="E12" s="136">
        <f>'Blendini Custom Cake - Slice'!E12*12</f>
        <v>0</v>
      </c>
      <c r="F12" s="136">
        <f>'Blendini Custom Cake - Slice'!F12*12</f>
        <v>0</v>
      </c>
      <c r="G12" s="136">
        <f>'Blendini Custom Cake - Slice'!G12*12</f>
        <v>0</v>
      </c>
      <c r="H12" s="136">
        <f>'Blendini Custom Cake - Slice'!H12*12</f>
        <v>0</v>
      </c>
      <c r="I12" s="136">
        <f>'Blendini Custom Cake - Slice'!I12*12</f>
        <v>60</v>
      </c>
      <c r="J12" s="136">
        <f>'Blendini Custom Cake - Slice'!J12*12</f>
        <v>120</v>
      </c>
      <c r="K12" s="136">
        <f>'Blendini Custom Cake - Slice'!K12*12</f>
        <v>0</v>
      </c>
      <c r="L12" s="136">
        <f>'Blendini Custom Cake - Slice'!L12*12</f>
        <v>120</v>
      </c>
      <c r="M12" s="136">
        <f>'Blendini Custom Cake - Slice'!M12*12</f>
        <v>120</v>
      </c>
      <c r="N12" s="136">
        <f>'Blendini Custom Cake - Slice'!N12*12</f>
        <v>0</v>
      </c>
      <c r="O12" s="137">
        <f>'Blendini Custom Cake - Slice'!O12*12</f>
        <v>0</v>
      </c>
      <c r="P12" s="137">
        <f>'Blendini Custom Cake - Slice'!P12*12</f>
        <v>0</v>
      </c>
      <c r="Q12" s="137">
        <f>'Blendini Custom Cake - Slice'!Q12*12</f>
        <v>12</v>
      </c>
      <c r="R12" s="137">
        <f>'Blendini Custom Cake - Slice'!R12*12</f>
        <v>0</v>
      </c>
      <c r="S12" s="137">
        <f>'Blendini Custom Cake - Slice'!S12*12</f>
        <v>0</v>
      </c>
      <c r="T12" s="137">
        <f>'Blendini Custom Cake - Slice'!T12*12</f>
        <v>0</v>
      </c>
      <c r="U12" s="137">
        <f>'Blendini Custom Cake - Slice'!U12*12</f>
        <v>12</v>
      </c>
      <c r="V12" s="137">
        <f>'Blendini Custom Cake - Slice'!V12*12</f>
        <v>0</v>
      </c>
      <c r="W12" s="137">
        <f>'Blendini Custom Cake - Slice'!W12*12</f>
        <v>0</v>
      </c>
      <c r="X12" s="138">
        <f>'Blendini Custom Cake - Slice'!X12*12</f>
        <v>0</v>
      </c>
    </row>
    <row r="13" spans="1:24" ht="14.6">
      <c r="A13" s="1318"/>
      <c r="B13" s="54" t="s">
        <v>34</v>
      </c>
      <c r="C13" s="136">
        <f>'Blendini Custom Cake - Slice'!C13*12</f>
        <v>540</v>
      </c>
      <c r="D13" s="136">
        <f>'Blendini Custom Cake - Slice'!D13*12</f>
        <v>0</v>
      </c>
      <c r="E13" s="136">
        <f>'Blendini Custom Cake - Slice'!E13*12</f>
        <v>0</v>
      </c>
      <c r="F13" s="136">
        <f>'Blendini Custom Cake - Slice'!F13*12</f>
        <v>0</v>
      </c>
      <c r="G13" s="136">
        <f>'Blendini Custom Cake - Slice'!G13*12</f>
        <v>0</v>
      </c>
      <c r="H13" s="136">
        <f>'Blendini Custom Cake - Slice'!H13*12</f>
        <v>0</v>
      </c>
      <c r="I13" s="136">
        <f>'Blendini Custom Cake - Slice'!I13*12</f>
        <v>120</v>
      </c>
      <c r="J13" s="136">
        <f>'Blendini Custom Cake - Slice'!J13*12</f>
        <v>144</v>
      </c>
      <c r="K13" s="136">
        <f>'Blendini Custom Cake - Slice'!K13*12</f>
        <v>0</v>
      </c>
      <c r="L13" s="136">
        <f>'Blendini Custom Cake - Slice'!L13*12</f>
        <v>132</v>
      </c>
      <c r="M13" s="136">
        <f>'Blendini Custom Cake - Slice'!M13*12</f>
        <v>132</v>
      </c>
      <c r="N13" s="136">
        <f>'Blendini Custom Cake - Slice'!N13*12</f>
        <v>0</v>
      </c>
      <c r="O13" s="137">
        <f>'Blendini Custom Cake - Slice'!O13*12</f>
        <v>0</v>
      </c>
      <c r="P13" s="137">
        <f>'Blendini Custom Cake - Slice'!P13*12</f>
        <v>0</v>
      </c>
      <c r="Q13" s="137">
        <f>'Blendini Custom Cake - Slice'!Q13*12</f>
        <v>24</v>
      </c>
      <c r="R13" s="137">
        <f>'Blendini Custom Cake - Slice'!R13*12</f>
        <v>0</v>
      </c>
      <c r="S13" s="137">
        <f>'Blendini Custom Cake - Slice'!S13*12</f>
        <v>0</v>
      </c>
      <c r="T13" s="137">
        <f>'Blendini Custom Cake - Slice'!T13*12</f>
        <v>0</v>
      </c>
      <c r="U13" s="137">
        <f>'Blendini Custom Cake - Slice'!U13*12</f>
        <v>144</v>
      </c>
      <c r="V13" s="137">
        <f>'Blendini Custom Cake - Slice'!V13*12</f>
        <v>0</v>
      </c>
      <c r="W13" s="137">
        <f>'Blendini Custom Cake - Slice'!W13*12</f>
        <v>0</v>
      </c>
      <c r="X13" s="138">
        <f>'Blendini Custom Cake - Slice'!X13*12</f>
        <v>0</v>
      </c>
    </row>
    <row r="14" spans="1:24" ht="14.6">
      <c r="A14" s="1318"/>
      <c r="B14" s="54" t="s">
        <v>35</v>
      </c>
      <c r="C14" s="87">
        <f>'Blendini Custom Cake - Slice'!C14*12</f>
        <v>600</v>
      </c>
      <c r="D14" s="87">
        <f>'Blendini Custom Cake - Slice'!D14*12</f>
        <v>60</v>
      </c>
      <c r="E14" s="87">
        <f>'Blendini Custom Cake - Slice'!E14*12</f>
        <v>0</v>
      </c>
      <c r="F14" s="87">
        <f>'Blendini Custom Cake - Slice'!F14*12</f>
        <v>0</v>
      </c>
      <c r="G14" s="87">
        <f>'Blendini Custom Cake - Slice'!G14*12</f>
        <v>0</v>
      </c>
      <c r="H14" s="87">
        <f>'Blendini Custom Cake - Slice'!H14*12</f>
        <v>0</v>
      </c>
      <c r="I14" s="87">
        <f>'Blendini Custom Cake - Slice'!I14*12</f>
        <v>120</v>
      </c>
      <c r="J14" s="87">
        <f>'Blendini Custom Cake - Slice'!J14*12</f>
        <v>144</v>
      </c>
      <c r="K14" s="87">
        <f>'Blendini Custom Cake - Slice'!K14*12</f>
        <v>0</v>
      </c>
      <c r="L14" s="87">
        <f>'Blendini Custom Cake - Slice'!L14*12</f>
        <v>144</v>
      </c>
      <c r="M14" s="87">
        <f>'Blendini Custom Cake - Slice'!M14*12</f>
        <v>132</v>
      </c>
      <c r="N14" s="87">
        <f>'Blendini Custom Cake - Slice'!N14*12</f>
        <v>0</v>
      </c>
      <c r="O14" s="85">
        <f>'Blendini Custom Cake - Slice'!O14*12</f>
        <v>0</v>
      </c>
      <c r="P14" s="85">
        <f>'Blendini Custom Cake - Slice'!P14*12</f>
        <v>0</v>
      </c>
      <c r="Q14" s="85">
        <f>'Blendini Custom Cake - Slice'!Q14*12</f>
        <v>36</v>
      </c>
      <c r="R14" s="85">
        <f>'Blendini Custom Cake - Slice'!R14*12</f>
        <v>0</v>
      </c>
      <c r="S14" s="85">
        <f>'Blendini Custom Cake - Slice'!S14*12</f>
        <v>0</v>
      </c>
      <c r="T14" s="85">
        <f>'Blendini Custom Cake - Slice'!T14*12</f>
        <v>0</v>
      </c>
      <c r="U14" s="85">
        <f>'Blendini Custom Cake - Slice'!U14*12</f>
        <v>144</v>
      </c>
      <c r="V14" s="85">
        <f>'Blendini Custom Cake - Slice'!V14*12</f>
        <v>0</v>
      </c>
      <c r="W14" s="85">
        <f>'Blendini Custom Cake - Slice'!W14*12</f>
        <v>0</v>
      </c>
      <c r="X14" s="86">
        <f>'Blendini Custom Cake - Slice'!X14*12</f>
        <v>0</v>
      </c>
    </row>
    <row r="15" spans="1:24" ht="14.6">
      <c r="A15" s="1318"/>
      <c r="B15" s="54" t="s">
        <v>36</v>
      </c>
      <c r="C15" s="136">
        <f>'Blendini Custom Cake - Slice'!C15*12</f>
        <v>480</v>
      </c>
      <c r="D15" s="136">
        <f>'Blendini Custom Cake - Slice'!D15*12</f>
        <v>0</v>
      </c>
      <c r="E15" s="136">
        <f>'Blendini Custom Cake - Slice'!E15*12</f>
        <v>0</v>
      </c>
      <c r="F15" s="136">
        <f>'Blendini Custom Cake - Slice'!F15*12</f>
        <v>0</v>
      </c>
      <c r="G15" s="136">
        <f>'Blendini Custom Cake - Slice'!G15*12</f>
        <v>0</v>
      </c>
      <c r="H15" s="136">
        <f>'Blendini Custom Cake - Slice'!H15*12</f>
        <v>0</v>
      </c>
      <c r="I15" s="136">
        <f>'Blendini Custom Cake - Slice'!I15*12</f>
        <v>0</v>
      </c>
      <c r="J15" s="136">
        <f>'Blendini Custom Cake - Slice'!J15*12</f>
        <v>120</v>
      </c>
      <c r="K15" s="136">
        <f>'Blendini Custom Cake - Slice'!K15*12</f>
        <v>0</v>
      </c>
      <c r="L15" s="136">
        <f>'Blendini Custom Cake - Slice'!L15*12</f>
        <v>120</v>
      </c>
      <c r="M15" s="136">
        <f>'Blendini Custom Cake - Slice'!M15*12</f>
        <v>48</v>
      </c>
      <c r="N15" s="136">
        <f>'Blendini Custom Cake - Slice'!N15*12</f>
        <v>0</v>
      </c>
      <c r="O15" s="137">
        <f>'Blendini Custom Cake - Slice'!O15*12</f>
        <v>0</v>
      </c>
      <c r="P15" s="137">
        <f>'Blendini Custom Cake - Slice'!P15*12</f>
        <v>0</v>
      </c>
      <c r="Q15" s="137">
        <f>'Blendini Custom Cake - Slice'!Q15*12</f>
        <v>12</v>
      </c>
      <c r="R15" s="137">
        <f>'Blendini Custom Cake - Slice'!R15*12</f>
        <v>0</v>
      </c>
      <c r="S15" s="137">
        <f>'Blendini Custom Cake - Slice'!S15*12</f>
        <v>0</v>
      </c>
      <c r="T15" s="137">
        <f>'Blendini Custom Cake - Slice'!T15*12</f>
        <v>0</v>
      </c>
      <c r="U15" s="137">
        <f>'Blendini Custom Cake - Slice'!U15*12</f>
        <v>0</v>
      </c>
      <c r="V15" s="137">
        <f>'Blendini Custom Cake - Slice'!V15*12</f>
        <v>0</v>
      </c>
      <c r="W15" s="137">
        <f>'Blendini Custom Cake - Slice'!W15*12</f>
        <v>0</v>
      </c>
      <c r="X15" s="138">
        <f>'Blendini Custom Cake - Slice'!X15*12</f>
        <v>0</v>
      </c>
    </row>
    <row r="16" spans="1:24" ht="14.6">
      <c r="A16" s="1318"/>
      <c r="B16" s="54" t="s">
        <v>37</v>
      </c>
      <c r="C16" s="87">
        <f>'Blendini Custom Cake - Slice'!C16*12</f>
        <v>480</v>
      </c>
      <c r="D16" s="87">
        <f>'Blendini Custom Cake - Slice'!D16*12</f>
        <v>0</v>
      </c>
      <c r="E16" s="87">
        <f>'Blendini Custom Cake - Slice'!E16*12</f>
        <v>0</v>
      </c>
      <c r="F16" s="87">
        <f>'Blendini Custom Cake - Slice'!F16*12</f>
        <v>0</v>
      </c>
      <c r="G16" s="87">
        <f>'Blendini Custom Cake - Slice'!G16*12</f>
        <v>0</v>
      </c>
      <c r="H16" s="87">
        <f>'Blendini Custom Cake - Slice'!H16*12</f>
        <v>0</v>
      </c>
      <c r="I16" s="87">
        <f>'Blendini Custom Cake - Slice'!I16*12</f>
        <v>0</v>
      </c>
      <c r="J16" s="87">
        <f>'Blendini Custom Cake - Slice'!J16*12</f>
        <v>132</v>
      </c>
      <c r="K16" s="87">
        <f>'Blendini Custom Cake - Slice'!K16*12</f>
        <v>0</v>
      </c>
      <c r="L16" s="87">
        <f>'Blendini Custom Cake - Slice'!L16*12</f>
        <v>132</v>
      </c>
      <c r="M16" s="87">
        <f>'Blendini Custom Cake - Slice'!M16*12</f>
        <v>48</v>
      </c>
      <c r="N16" s="87">
        <f>'Blendini Custom Cake - Slice'!N16*12</f>
        <v>0</v>
      </c>
      <c r="O16" s="85">
        <f>'Blendini Custom Cake - Slice'!O16*12</f>
        <v>0</v>
      </c>
      <c r="P16" s="85">
        <f>'Blendini Custom Cake - Slice'!P16*12</f>
        <v>0</v>
      </c>
      <c r="Q16" s="85">
        <f>'Blendini Custom Cake - Slice'!Q16*12</f>
        <v>12</v>
      </c>
      <c r="R16" s="85">
        <f>'Blendini Custom Cake - Slice'!R16*12</f>
        <v>0</v>
      </c>
      <c r="S16" s="85">
        <f>'Blendini Custom Cake - Slice'!S16*12</f>
        <v>0</v>
      </c>
      <c r="T16" s="85">
        <f>'Blendini Custom Cake - Slice'!T16*12</f>
        <v>0</v>
      </c>
      <c r="U16" s="85">
        <f>'Blendini Custom Cake - Slice'!U16*12</f>
        <v>0</v>
      </c>
      <c r="V16" s="85">
        <f>'Blendini Custom Cake - Slice'!V16*12</f>
        <v>0</v>
      </c>
      <c r="W16" s="85">
        <f>'Blendini Custom Cake - Slice'!W16*12</f>
        <v>0</v>
      </c>
      <c r="X16" s="86">
        <f>'Blendini Custom Cake - Slice'!X16*12</f>
        <v>0</v>
      </c>
    </row>
    <row r="17" spans="1:24" ht="14.6">
      <c r="A17" s="1318"/>
      <c r="B17" s="54" t="s">
        <v>38</v>
      </c>
      <c r="C17" s="136">
        <f>'Blendini Custom Cake - Slice'!C17*12</f>
        <v>420</v>
      </c>
      <c r="D17" s="136">
        <f>'Blendini Custom Cake - Slice'!D17*12</f>
        <v>0</v>
      </c>
      <c r="E17" s="136">
        <f>'Blendini Custom Cake - Slice'!E17*12</f>
        <v>0</v>
      </c>
      <c r="F17" s="136">
        <f>'Blendini Custom Cake - Slice'!F17*12</f>
        <v>0</v>
      </c>
      <c r="G17" s="136">
        <f>'Blendini Custom Cake - Slice'!G17*12</f>
        <v>0</v>
      </c>
      <c r="H17" s="136">
        <f>'Blendini Custom Cake - Slice'!H17*12</f>
        <v>0</v>
      </c>
      <c r="I17" s="136">
        <f>'Blendini Custom Cake - Slice'!I17*12</f>
        <v>60</v>
      </c>
      <c r="J17" s="136">
        <f>'Blendini Custom Cake - Slice'!J17*12</f>
        <v>108</v>
      </c>
      <c r="K17" s="136">
        <f>'Blendini Custom Cake - Slice'!K17*12</f>
        <v>0</v>
      </c>
      <c r="L17" s="136">
        <f>'Blendini Custom Cake - Slice'!L17*12</f>
        <v>108</v>
      </c>
      <c r="M17" s="136">
        <f>'Blendini Custom Cake - Slice'!M17*12</f>
        <v>96</v>
      </c>
      <c r="N17" s="136">
        <f>'Blendini Custom Cake - Slice'!N17*12</f>
        <v>0</v>
      </c>
      <c r="O17" s="137">
        <f>'Blendini Custom Cake - Slice'!O17*12</f>
        <v>0</v>
      </c>
      <c r="P17" s="137">
        <f>'Blendini Custom Cake - Slice'!P17*12</f>
        <v>0</v>
      </c>
      <c r="Q17" s="137">
        <f>'Blendini Custom Cake - Slice'!Q17*12</f>
        <v>24</v>
      </c>
      <c r="R17" s="137">
        <f>'Blendini Custom Cake - Slice'!R17*12</f>
        <v>0</v>
      </c>
      <c r="S17" s="137">
        <f>'Blendini Custom Cake - Slice'!S17*12</f>
        <v>0</v>
      </c>
      <c r="T17" s="137">
        <f>'Blendini Custom Cake - Slice'!T17*12</f>
        <v>0</v>
      </c>
      <c r="U17" s="137">
        <f>'Blendini Custom Cake - Slice'!U17*12</f>
        <v>84</v>
      </c>
      <c r="V17" s="137">
        <f>'Blendini Custom Cake - Slice'!V17*12</f>
        <v>0</v>
      </c>
      <c r="W17" s="137">
        <f>'Blendini Custom Cake - Slice'!W17*12</f>
        <v>0</v>
      </c>
      <c r="X17" s="138">
        <f>'Blendini Custom Cake - Slice'!X17*12</f>
        <v>24</v>
      </c>
    </row>
    <row r="18" spans="1:24" ht="14.6">
      <c r="A18" s="1318"/>
      <c r="B18" s="54" t="s">
        <v>39</v>
      </c>
      <c r="C18" s="136">
        <f>'Blendini Custom Cake - Slice'!C18*12</f>
        <v>480</v>
      </c>
      <c r="D18" s="136">
        <f>'Blendini Custom Cake - Slice'!D18*12</f>
        <v>0</v>
      </c>
      <c r="E18" s="136">
        <f>'Blendini Custom Cake - Slice'!E18*12</f>
        <v>0</v>
      </c>
      <c r="F18" s="136">
        <f>'Blendini Custom Cake - Slice'!F18*12</f>
        <v>0</v>
      </c>
      <c r="G18" s="136">
        <f>'Blendini Custom Cake - Slice'!G18*12</f>
        <v>0</v>
      </c>
      <c r="H18" s="136">
        <f>'Blendini Custom Cake - Slice'!H18*12</f>
        <v>0</v>
      </c>
      <c r="I18" s="136">
        <f>'Blendini Custom Cake - Slice'!I18*12</f>
        <v>60</v>
      </c>
      <c r="J18" s="136">
        <f>'Blendini Custom Cake - Slice'!J18*12</f>
        <v>120</v>
      </c>
      <c r="K18" s="136">
        <f>'Blendini Custom Cake - Slice'!K18*12</f>
        <v>0</v>
      </c>
      <c r="L18" s="136">
        <f>'Blendini Custom Cake - Slice'!L18*12</f>
        <v>108</v>
      </c>
      <c r="M18" s="136">
        <f>'Blendini Custom Cake - Slice'!M18*12</f>
        <v>108</v>
      </c>
      <c r="N18" s="136">
        <f>'Blendini Custom Cake - Slice'!N18*12</f>
        <v>0</v>
      </c>
      <c r="O18" s="137">
        <f>'Blendini Custom Cake - Slice'!O18*12</f>
        <v>0</v>
      </c>
      <c r="P18" s="137">
        <f>'Blendini Custom Cake - Slice'!P18*12</f>
        <v>0</v>
      </c>
      <c r="Q18" s="137">
        <f>'Blendini Custom Cake - Slice'!Q18*12</f>
        <v>12</v>
      </c>
      <c r="R18" s="137">
        <f>'Blendini Custom Cake - Slice'!R18*12</f>
        <v>0</v>
      </c>
      <c r="S18" s="137">
        <f>'Blendini Custom Cake - Slice'!S18*12</f>
        <v>0</v>
      </c>
      <c r="T18" s="137">
        <f>'Blendini Custom Cake - Slice'!T18*12</f>
        <v>0</v>
      </c>
      <c r="U18" s="137">
        <f>'Blendini Custom Cake - Slice'!U18*12</f>
        <v>0</v>
      </c>
      <c r="V18" s="137">
        <f>'Blendini Custom Cake - Slice'!V18*12</f>
        <v>0</v>
      </c>
      <c r="W18" s="137">
        <f>'Blendini Custom Cake - Slice'!W18*12</f>
        <v>0</v>
      </c>
      <c r="X18" s="138">
        <f>'Blendini Custom Cake - Slice'!X18*12</f>
        <v>48</v>
      </c>
    </row>
    <row r="19" spans="1:24" ht="14.6">
      <c r="A19" s="1318"/>
      <c r="B19" s="54" t="s">
        <v>40</v>
      </c>
      <c r="C19" s="136">
        <f>'Blendini Custom Cake - Slice'!C19*12</f>
        <v>480</v>
      </c>
      <c r="D19" s="136">
        <f>'Blendini Custom Cake - Slice'!D19*12</f>
        <v>0</v>
      </c>
      <c r="E19" s="136">
        <f>'Blendini Custom Cake - Slice'!E19*12</f>
        <v>0</v>
      </c>
      <c r="F19" s="136">
        <f>'Blendini Custom Cake - Slice'!F19*12</f>
        <v>0</v>
      </c>
      <c r="G19" s="136">
        <f>'Blendini Custom Cake - Slice'!G19*12</f>
        <v>0</v>
      </c>
      <c r="H19" s="136">
        <f>'Blendini Custom Cake - Slice'!H19*12</f>
        <v>0</v>
      </c>
      <c r="I19" s="136">
        <f>'Blendini Custom Cake - Slice'!I19*12</f>
        <v>60</v>
      </c>
      <c r="J19" s="136">
        <f>'Blendini Custom Cake - Slice'!J19*12</f>
        <v>120</v>
      </c>
      <c r="K19" s="136">
        <f>'Blendini Custom Cake - Slice'!K19*12</f>
        <v>0</v>
      </c>
      <c r="L19" s="136">
        <f>'Blendini Custom Cake - Slice'!L19*12</f>
        <v>120</v>
      </c>
      <c r="M19" s="136">
        <f>'Blendini Custom Cake - Slice'!M19*12</f>
        <v>108</v>
      </c>
      <c r="N19" s="136">
        <f>'Blendini Custom Cake - Slice'!N19*12</f>
        <v>0</v>
      </c>
      <c r="O19" s="137">
        <f>'Blendini Custom Cake - Slice'!O19*12</f>
        <v>0</v>
      </c>
      <c r="P19" s="137">
        <f>'Blendini Custom Cake - Slice'!P19*12</f>
        <v>0</v>
      </c>
      <c r="Q19" s="137">
        <f>'Blendini Custom Cake - Slice'!Q19*12</f>
        <v>24</v>
      </c>
      <c r="R19" s="137">
        <f>'Blendini Custom Cake - Slice'!R19*12</f>
        <v>0</v>
      </c>
      <c r="S19" s="137">
        <f>'Blendini Custom Cake - Slice'!S19*12</f>
        <v>0</v>
      </c>
      <c r="T19" s="137">
        <f>'Blendini Custom Cake - Slice'!T19*12</f>
        <v>0</v>
      </c>
      <c r="U19" s="137">
        <f>'Blendini Custom Cake - Slice'!U19*12</f>
        <v>72</v>
      </c>
      <c r="V19" s="137">
        <f>'Blendini Custom Cake - Slice'!V19*12</f>
        <v>0</v>
      </c>
      <c r="W19" s="137">
        <f>'Blendini Custom Cake - Slice'!W19*12</f>
        <v>0</v>
      </c>
      <c r="X19" s="138">
        <f>'Blendini Custom Cake - Slice'!X19*12</f>
        <v>0</v>
      </c>
    </row>
    <row r="20" spans="1:24" ht="14.6">
      <c r="A20" s="1318"/>
      <c r="B20" s="54" t="s">
        <v>41</v>
      </c>
      <c r="C20" s="81">
        <f>'Blendini Custom Cake - Slice'!C20*12</f>
        <v>480</v>
      </c>
      <c r="D20" s="81">
        <f>'Blendini Custom Cake - Slice'!D20*12</f>
        <v>0</v>
      </c>
      <c r="E20" s="81">
        <f>'Blendini Custom Cake - Slice'!E20*12</f>
        <v>0</v>
      </c>
      <c r="F20" s="81">
        <f>'Blendini Custom Cake - Slice'!F20*12</f>
        <v>0</v>
      </c>
      <c r="G20" s="81">
        <f>'Blendini Custom Cake - Slice'!G20*12</f>
        <v>0</v>
      </c>
      <c r="H20" s="81">
        <f>'Blendini Custom Cake - Slice'!H20*12</f>
        <v>0</v>
      </c>
      <c r="I20" s="81">
        <f>'Blendini Custom Cake - Slice'!I20*12</f>
        <v>0</v>
      </c>
      <c r="J20" s="81">
        <f>'Blendini Custom Cake - Slice'!J20*12</f>
        <v>132</v>
      </c>
      <c r="K20" s="81">
        <f>'Blendini Custom Cake - Slice'!K20*12</f>
        <v>0</v>
      </c>
      <c r="L20" s="81">
        <f>'Blendini Custom Cake - Slice'!L20*12</f>
        <v>120</v>
      </c>
      <c r="M20" s="81">
        <f>'Blendini Custom Cake - Slice'!M20*12</f>
        <v>36</v>
      </c>
      <c r="N20" s="81">
        <f>'Blendini Custom Cake - Slice'!N20*12</f>
        <v>0</v>
      </c>
      <c r="O20" s="85">
        <f>'Blendini Custom Cake - Slice'!O20*12</f>
        <v>0</v>
      </c>
      <c r="P20" s="85">
        <f>'Blendini Custom Cake - Slice'!P20*12</f>
        <v>0</v>
      </c>
      <c r="Q20" s="85">
        <f>'Blendini Custom Cake - Slice'!Q20*12</f>
        <v>12</v>
      </c>
      <c r="R20" s="85">
        <f>'Blendini Custom Cake - Slice'!R20*12</f>
        <v>0</v>
      </c>
      <c r="S20" s="85">
        <f>'Blendini Custom Cake - Slice'!S20*12</f>
        <v>0</v>
      </c>
      <c r="T20" s="85">
        <f>'Blendini Custom Cake - Slice'!T20*12</f>
        <v>0</v>
      </c>
      <c r="U20" s="85">
        <f>'Blendini Custom Cake - Slice'!U20*12</f>
        <v>0</v>
      </c>
      <c r="V20" s="85">
        <f>'Blendini Custom Cake - Slice'!V20*12</f>
        <v>0</v>
      </c>
      <c r="W20" s="85">
        <f>'Blendini Custom Cake - Slice'!W20*12</f>
        <v>0</v>
      </c>
      <c r="X20" s="86">
        <f>'Blendini Custom Cake - Slice'!X20*12</f>
        <v>24</v>
      </c>
    </row>
    <row r="21" spans="1:24" ht="14.6">
      <c r="A21" s="1318"/>
      <c r="B21" s="54" t="s">
        <v>42</v>
      </c>
      <c r="C21" s="136">
        <f>'Blendini Custom Cake - Slice'!C21*12</f>
        <v>480</v>
      </c>
      <c r="D21" s="136">
        <f>'Blendini Custom Cake - Slice'!D21*12</f>
        <v>0</v>
      </c>
      <c r="E21" s="136">
        <f>'Blendini Custom Cake - Slice'!E21*12</f>
        <v>0</v>
      </c>
      <c r="F21" s="136">
        <f>'Blendini Custom Cake - Slice'!F21*12</f>
        <v>0</v>
      </c>
      <c r="G21" s="136">
        <f>'Blendini Custom Cake - Slice'!G21*12</f>
        <v>0</v>
      </c>
      <c r="H21" s="136">
        <f>'Blendini Custom Cake - Slice'!H21*12</f>
        <v>0</v>
      </c>
      <c r="I21" s="136">
        <f>'Blendini Custom Cake - Slice'!I21*12</f>
        <v>60</v>
      </c>
      <c r="J21" s="136">
        <f>'Blendini Custom Cake - Slice'!J21*12</f>
        <v>132</v>
      </c>
      <c r="K21" s="136">
        <f>'Blendini Custom Cake - Slice'!K21*12</f>
        <v>0</v>
      </c>
      <c r="L21" s="136">
        <f>'Blendini Custom Cake - Slice'!L21*12</f>
        <v>120</v>
      </c>
      <c r="M21" s="136">
        <f>'Blendini Custom Cake - Slice'!M21*12</f>
        <v>120</v>
      </c>
      <c r="N21" s="136">
        <f>'Blendini Custom Cake - Slice'!N21*12</f>
        <v>0</v>
      </c>
      <c r="O21" s="137">
        <f>'Blendini Custom Cake - Slice'!O21*12</f>
        <v>0</v>
      </c>
      <c r="P21" s="137">
        <f>'Blendini Custom Cake - Slice'!P21*12</f>
        <v>0</v>
      </c>
      <c r="Q21" s="137">
        <f>'Blendini Custom Cake - Slice'!Q21*12</f>
        <v>12</v>
      </c>
      <c r="R21" s="137">
        <f>'Blendini Custom Cake - Slice'!R21*12</f>
        <v>0</v>
      </c>
      <c r="S21" s="137">
        <f>'Blendini Custom Cake - Slice'!S21*12</f>
        <v>0</v>
      </c>
      <c r="T21" s="137">
        <f>'Blendini Custom Cake - Slice'!T21*12</f>
        <v>0</v>
      </c>
      <c r="U21" s="137">
        <f>'Blendini Custom Cake - Slice'!U21*12</f>
        <v>72</v>
      </c>
      <c r="V21" s="137">
        <f>'Blendini Custom Cake - Slice'!V21*12</f>
        <v>0</v>
      </c>
      <c r="W21" s="137">
        <f>'Blendini Custom Cake - Slice'!W21*12</f>
        <v>0</v>
      </c>
      <c r="X21" s="138">
        <f>'Blendini Custom Cake - Slice'!X21*12</f>
        <v>0</v>
      </c>
    </row>
    <row r="22" spans="1:24" ht="14.6">
      <c r="A22" s="1318"/>
      <c r="B22" s="54" t="s">
        <v>43</v>
      </c>
      <c r="C22" s="136">
        <f>'Blendini Custom Cake - Slice'!C22*12</f>
        <v>420</v>
      </c>
      <c r="D22" s="136">
        <f>'Blendini Custom Cake - Slice'!D22*12</f>
        <v>0</v>
      </c>
      <c r="E22" s="136">
        <f>'Blendini Custom Cake - Slice'!E22*12</f>
        <v>0</v>
      </c>
      <c r="F22" s="136">
        <f>'Blendini Custom Cake - Slice'!F22*12</f>
        <v>0</v>
      </c>
      <c r="G22" s="136">
        <f>'Blendini Custom Cake - Slice'!G22*12</f>
        <v>0</v>
      </c>
      <c r="H22" s="136">
        <f>'Blendini Custom Cake - Slice'!H22*12</f>
        <v>0</v>
      </c>
      <c r="I22" s="136">
        <f>'Blendini Custom Cake - Slice'!I22*12</f>
        <v>60</v>
      </c>
      <c r="J22" s="136">
        <f>'Blendini Custom Cake - Slice'!J22*12</f>
        <v>108</v>
      </c>
      <c r="K22" s="136">
        <f>'Blendini Custom Cake - Slice'!K22*12</f>
        <v>0</v>
      </c>
      <c r="L22" s="136">
        <f>'Blendini Custom Cake - Slice'!L22*12</f>
        <v>108</v>
      </c>
      <c r="M22" s="136">
        <f>'Blendini Custom Cake - Slice'!M22*12</f>
        <v>108</v>
      </c>
      <c r="N22" s="136">
        <f>'Blendini Custom Cake - Slice'!N22*12</f>
        <v>0</v>
      </c>
      <c r="O22" s="137">
        <f>'Blendini Custom Cake - Slice'!O22*12</f>
        <v>0</v>
      </c>
      <c r="P22" s="137">
        <f>'Blendini Custom Cake - Slice'!P22*12</f>
        <v>0</v>
      </c>
      <c r="Q22" s="137">
        <f>'Blendini Custom Cake - Slice'!Q22*12</f>
        <v>12</v>
      </c>
      <c r="R22" s="137">
        <f>'Blendini Custom Cake - Slice'!R22*12</f>
        <v>0</v>
      </c>
      <c r="S22" s="137">
        <f>'Blendini Custom Cake - Slice'!S22*12</f>
        <v>0</v>
      </c>
      <c r="T22" s="137">
        <f>'Blendini Custom Cake - Slice'!T22*12</f>
        <v>0</v>
      </c>
      <c r="U22" s="137">
        <f>'Blendini Custom Cake - Slice'!U22*12</f>
        <v>0</v>
      </c>
      <c r="V22" s="137">
        <f>'Blendini Custom Cake - Slice'!V22*12</f>
        <v>0</v>
      </c>
      <c r="W22" s="137">
        <f>'Blendini Custom Cake - Slice'!W22*12</f>
        <v>0</v>
      </c>
      <c r="X22" s="138">
        <f>'Blendini Custom Cake - Slice'!X22*12</f>
        <v>0</v>
      </c>
    </row>
    <row r="23" spans="1:24" ht="14.6">
      <c r="A23" s="1318"/>
      <c r="B23" s="54" t="s">
        <v>44</v>
      </c>
      <c r="C23" s="136">
        <f>'Blendini Custom Cake - Slice'!C23*12</f>
        <v>300</v>
      </c>
      <c r="D23" s="136">
        <f>'Blendini Custom Cake - Slice'!D23*12</f>
        <v>0</v>
      </c>
      <c r="E23" s="136">
        <f>'Blendini Custom Cake - Slice'!E23*12</f>
        <v>0</v>
      </c>
      <c r="F23" s="136">
        <f>'Blendini Custom Cake - Slice'!F23*12</f>
        <v>0</v>
      </c>
      <c r="G23" s="136">
        <f>'Blendini Custom Cake - Slice'!G23*12</f>
        <v>0</v>
      </c>
      <c r="H23" s="136">
        <f>'Blendini Custom Cake - Slice'!H23*12</f>
        <v>0</v>
      </c>
      <c r="I23" s="136">
        <f>'Blendini Custom Cake - Slice'!I23*12</f>
        <v>60</v>
      </c>
      <c r="J23" s="136">
        <f>'Blendini Custom Cake - Slice'!J23*12</f>
        <v>84</v>
      </c>
      <c r="K23" s="136">
        <f>'Blendini Custom Cake - Slice'!K23*12</f>
        <v>0</v>
      </c>
      <c r="L23" s="136">
        <f>'Blendini Custom Cake - Slice'!L23*12</f>
        <v>72</v>
      </c>
      <c r="M23" s="136">
        <f>'Blendini Custom Cake - Slice'!M23*12</f>
        <v>72</v>
      </c>
      <c r="N23" s="136">
        <f>'Blendini Custom Cake - Slice'!N23*12</f>
        <v>0</v>
      </c>
      <c r="O23" s="137">
        <f>'Blendini Custom Cake - Slice'!O23*12</f>
        <v>0</v>
      </c>
      <c r="P23" s="137">
        <f>'Blendini Custom Cake - Slice'!P23*12</f>
        <v>0</v>
      </c>
      <c r="Q23" s="137">
        <f>'Blendini Custom Cake - Slice'!Q23*12</f>
        <v>12</v>
      </c>
      <c r="R23" s="137">
        <f>'Blendini Custom Cake - Slice'!R23*12</f>
        <v>0</v>
      </c>
      <c r="S23" s="137">
        <f>'Blendini Custom Cake - Slice'!S23*12</f>
        <v>0</v>
      </c>
      <c r="T23" s="137">
        <f>'Blendini Custom Cake - Slice'!T23*12</f>
        <v>0</v>
      </c>
      <c r="U23" s="137">
        <f>'Blendini Custom Cake - Slice'!U23*12</f>
        <v>0</v>
      </c>
      <c r="V23" s="137">
        <f>'Blendini Custom Cake - Slice'!V23*12</f>
        <v>0</v>
      </c>
      <c r="W23" s="137">
        <f>'Blendini Custom Cake - Slice'!W23*12</f>
        <v>0</v>
      </c>
      <c r="X23" s="138">
        <f>'Blendini Custom Cake - Slice'!X23*12</f>
        <v>0</v>
      </c>
    </row>
    <row r="24" spans="1:24" ht="14.6">
      <c r="A24" s="1318"/>
      <c r="B24" s="54" t="s">
        <v>45</v>
      </c>
      <c r="C24" s="137">
        <f>'Blendini Custom Cake - Slice'!C24*12</f>
        <v>420</v>
      </c>
      <c r="D24" s="137">
        <f>'Blendini Custom Cake - Slice'!D24*12</f>
        <v>0</v>
      </c>
      <c r="E24" s="137">
        <f>'Blendini Custom Cake - Slice'!E24*12</f>
        <v>0</v>
      </c>
      <c r="F24" s="137">
        <f>'Blendini Custom Cake - Slice'!F24*12</f>
        <v>0</v>
      </c>
      <c r="G24" s="139">
        <f>'Blendini Custom Cake - Slice'!G24*12</f>
        <v>0</v>
      </c>
      <c r="H24" s="137">
        <f>'Blendini Custom Cake - Slice'!H24*12</f>
        <v>0</v>
      </c>
      <c r="I24" s="137">
        <f>'Blendini Custom Cake - Slice'!I24*12</f>
        <v>60</v>
      </c>
      <c r="J24" s="137">
        <f>'Blendini Custom Cake - Slice'!J24*12</f>
        <v>108</v>
      </c>
      <c r="K24" s="137">
        <f>'Blendini Custom Cake - Slice'!K24*12</f>
        <v>0</v>
      </c>
      <c r="L24" s="137">
        <f>'Blendini Custom Cake - Slice'!L24*12</f>
        <v>108</v>
      </c>
      <c r="M24" s="137">
        <f>'Blendini Custom Cake - Slice'!M24*12</f>
        <v>108</v>
      </c>
      <c r="N24" s="137">
        <f>'Blendini Custom Cake - Slice'!N24*12</f>
        <v>0</v>
      </c>
      <c r="O24" s="137">
        <f>'Blendini Custom Cake - Slice'!O24*12</f>
        <v>0</v>
      </c>
      <c r="P24" s="137">
        <f>'Blendini Custom Cake - Slice'!P24*12</f>
        <v>0</v>
      </c>
      <c r="Q24" s="137">
        <f>'Blendini Custom Cake - Slice'!Q24*12</f>
        <v>12</v>
      </c>
      <c r="R24" s="137">
        <f>'Blendini Custom Cake - Slice'!R24*12</f>
        <v>0</v>
      </c>
      <c r="S24" s="137">
        <f>'Blendini Custom Cake - Slice'!S24*12</f>
        <v>0</v>
      </c>
      <c r="T24" s="137">
        <f>'Blendini Custom Cake - Slice'!T24*12</f>
        <v>0</v>
      </c>
      <c r="U24" s="137">
        <f>'Blendini Custom Cake - Slice'!U24*12</f>
        <v>0</v>
      </c>
      <c r="V24" s="137">
        <f>'Blendini Custom Cake - Slice'!V24*12</f>
        <v>0</v>
      </c>
      <c r="W24" s="137">
        <f>'Blendini Custom Cake - Slice'!W24*12</f>
        <v>0</v>
      </c>
      <c r="X24" s="138">
        <f>'Blendini Custom Cake - Slice'!X24*12</f>
        <v>0</v>
      </c>
    </row>
    <row r="25" spans="1:24" ht="14.6">
      <c r="A25" s="1318"/>
      <c r="B25" s="54" t="s">
        <v>46</v>
      </c>
      <c r="C25" s="136">
        <f>'Blendini Custom Cake - Slice'!C25*12</f>
        <v>480</v>
      </c>
      <c r="D25" s="136">
        <f>'Blendini Custom Cake - Slice'!D25*12</f>
        <v>0</v>
      </c>
      <c r="E25" s="136">
        <f>'Blendini Custom Cake - Slice'!E25*12</f>
        <v>0</v>
      </c>
      <c r="F25" s="136">
        <f>'Blendini Custom Cake - Slice'!F25*12</f>
        <v>0</v>
      </c>
      <c r="G25" s="136">
        <f>'Blendini Custom Cake - Slice'!G25*12</f>
        <v>0</v>
      </c>
      <c r="H25" s="136">
        <f>'Blendini Custom Cake - Slice'!H25*12</f>
        <v>0</v>
      </c>
      <c r="I25" s="136">
        <f>'Blendini Custom Cake - Slice'!I25*12</f>
        <v>120</v>
      </c>
      <c r="J25" s="136">
        <f>'Blendini Custom Cake - Slice'!J25*12</f>
        <v>120</v>
      </c>
      <c r="K25" s="136">
        <f>'Blendini Custom Cake - Slice'!K25*12</f>
        <v>0</v>
      </c>
      <c r="L25" s="136">
        <f>'Blendini Custom Cake - Slice'!L25*12</f>
        <v>108</v>
      </c>
      <c r="M25" s="136">
        <f>'Blendini Custom Cake - Slice'!M25*12</f>
        <v>108</v>
      </c>
      <c r="N25" s="136">
        <f>'Blendini Custom Cake - Slice'!N25*12</f>
        <v>0</v>
      </c>
      <c r="O25" s="137">
        <f>'Blendini Custom Cake - Slice'!O25*12</f>
        <v>0</v>
      </c>
      <c r="P25" s="137">
        <f>'Blendini Custom Cake - Slice'!P25*12</f>
        <v>0</v>
      </c>
      <c r="Q25" s="137">
        <f>'Blendini Custom Cake - Slice'!Q25*12</f>
        <v>12</v>
      </c>
      <c r="R25" s="137">
        <f>'Blendini Custom Cake - Slice'!R25*12</f>
        <v>0</v>
      </c>
      <c r="S25" s="137">
        <f>'Blendini Custom Cake - Slice'!S25*12</f>
        <v>0</v>
      </c>
      <c r="T25" s="137">
        <f>'Blendini Custom Cake - Slice'!T25*12</f>
        <v>0</v>
      </c>
      <c r="U25" s="137">
        <f>'Blendini Custom Cake - Slice'!U25*12</f>
        <v>0</v>
      </c>
      <c r="V25" s="137">
        <f>'Blendini Custom Cake - Slice'!V25*12</f>
        <v>0</v>
      </c>
      <c r="W25" s="137">
        <f>'Blendini Custom Cake - Slice'!W25*12</f>
        <v>0</v>
      </c>
      <c r="X25" s="138">
        <f>'Blendini Custom Cake - Slice'!X25*12</f>
        <v>0</v>
      </c>
    </row>
    <row r="26" spans="1:24" ht="14.6">
      <c r="A26" s="1318"/>
      <c r="B26" s="54" t="s">
        <v>47</v>
      </c>
      <c r="C26" s="136">
        <f>'Blendini Custom Cake - Slice'!C26*12</f>
        <v>420</v>
      </c>
      <c r="D26" s="136">
        <f>'Blendini Custom Cake - Slice'!D26*12</f>
        <v>0</v>
      </c>
      <c r="E26" s="136">
        <f>'Blendini Custom Cake - Slice'!E26*12</f>
        <v>0</v>
      </c>
      <c r="F26" s="136">
        <f>'Blendini Custom Cake - Slice'!F26*12</f>
        <v>0</v>
      </c>
      <c r="G26" s="136">
        <f>'Blendini Custom Cake - Slice'!G26*12</f>
        <v>0</v>
      </c>
      <c r="H26" s="136">
        <f>'Blendini Custom Cake - Slice'!H26*12</f>
        <v>0</v>
      </c>
      <c r="I26" s="136">
        <f>'Blendini Custom Cake - Slice'!I26*12</f>
        <v>60</v>
      </c>
      <c r="J26" s="136">
        <f>'Blendini Custom Cake - Slice'!J26*12</f>
        <v>108</v>
      </c>
      <c r="K26" s="136">
        <f>'Blendini Custom Cake - Slice'!K26*12</f>
        <v>0</v>
      </c>
      <c r="L26" s="136">
        <f>'Blendini Custom Cake - Slice'!L26*12</f>
        <v>108</v>
      </c>
      <c r="M26" s="136">
        <f>'Blendini Custom Cake - Slice'!M26*12</f>
        <v>108</v>
      </c>
      <c r="N26" s="136">
        <f>'Blendini Custom Cake - Slice'!N26*12</f>
        <v>0</v>
      </c>
      <c r="O26" s="137">
        <f>'Blendini Custom Cake - Slice'!O26*12</f>
        <v>0</v>
      </c>
      <c r="P26" s="137">
        <f>'Blendini Custom Cake - Slice'!P26*12</f>
        <v>0</v>
      </c>
      <c r="Q26" s="137">
        <f>'Blendini Custom Cake - Slice'!Q26*12</f>
        <v>12</v>
      </c>
      <c r="R26" s="137">
        <f>'Blendini Custom Cake - Slice'!R26*12</f>
        <v>0</v>
      </c>
      <c r="S26" s="137">
        <f>'Blendini Custom Cake - Slice'!S26*12</f>
        <v>0</v>
      </c>
      <c r="T26" s="137">
        <f>'Blendini Custom Cake - Slice'!T26*12</f>
        <v>0</v>
      </c>
      <c r="U26" s="137">
        <f>'Blendini Custom Cake - Slice'!U26*12</f>
        <v>12</v>
      </c>
      <c r="V26" s="137">
        <f>'Blendini Custom Cake - Slice'!V26*12</f>
        <v>0</v>
      </c>
      <c r="W26" s="137">
        <f>'Blendini Custom Cake - Slice'!W26*12</f>
        <v>0</v>
      </c>
      <c r="X26" s="138">
        <f>'Blendini Custom Cake - Slice'!X26*12</f>
        <v>0</v>
      </c>
    </row>
    <row r="27" spans="1:24" ht="14.6">
      <c r="A27" s="1318"/>
      <c r="B27" s="54" t="s">
        <v>48</v>
      </c>
      <c r="C27" s="136">
        <f>'Blendini Custom Cake - Slice'!C27*12</f>
        <v>360</v>
      </c>
      <c r="D27" s="136">
        <f>'Blendini Custom Cake - Slice'!D27*12</f>
        <v>0</v>
      </c>
      <c r="E27" s="136">
        <f>'Blendini Custom Cake - Slice'!E27*12</f>
        <v>0</v>
      </c>
      <c r="F27" s="136">
        <f>'Blendini Custom Cake - Slice'!F27*12</f>
        <v>0</v>
      </c>
      <c r="G27" s="136">
        <f>'Blendini Custom Cake - Slice'!G27*12</f>
        <v>0</v>
      </c>
      <c r="H27" s="136">
        <f>'Blendini Custom Cake - Slice'!H27*12</f>
        <v>0</v>
      </c>
      <c r="I27" s="136">
        <f>'Blendini Custom Cake - Slice'!I27*12</f>
        <v>0</v>
      </c>
      <c r="J27" s="136">
        <f>'Blendini Custom Cake - Slice'!J27*12</f>
        <v>96</v>
      </c>
      <c r="K27" s="136">
        <f>'Blendini Custom Cake - Slice'!K27*12</f>
        <v>0</v>
      </c>
      <c r="L27" s="136">
        <f>'Blendini Custom Cake - Slice'!L27*12</f>
        <v>96</v>
      </c>
      <c r="M27" s="136">
        <f>'Blendini Custom Cake - Slice'!M27*12</f>
        <v>96</v>
      </c>
      <c r="N27" s="136">
        <f>'Blendini Custom Cake - Slice'!N27*12</f>
        <v>0</v>
      </c>
      <c r="O27" s="137">
        <f>'Blendini Custom Cake - Slice'!O27*12</f>
        <v>0</v>
      </c>
      <c r="P27" s="137">
        <f>'Blendini Custom Cake - Slice'!P27*12</f>
        <v>0</v>
      </c>
      <c r="Q27" s="137">
        <f>'Blendini Custom Cake - Slice'!Q27*12</f>
        <v>24</v>
      </c>
      <c r="R27" s="137">
        <f>'Blendini Custom Cake - Slice'!R27*12</f>
        <v>0</v>
      </c>
      <c r="S27" s="137">
        <f>'Blendini Custom Cake - Slice'!S27*12</f>
        <v>0</v>
      </c>
      <c r="T27" s="137">
        <f>'Blendini Custom Cake - Slice'!T27*12</f>
        <v>0</v>
      </c>
      <c r="U27" s="137">
        <f>'Blendini Custom Cake - Slice'!U27*12</f>
        <v>12</v>
      </c>
      <c r="V27" s="137">
        <f>'Blendini Custom Cake - Slice'!V27*12</f>
        <v>0</v>
      </c>
      <c r="W27" s="137">
        <f>'Blendini Custom Cake - Slice'!W27*12</f>
        <v>0</v>
      </c>
      <c r="X27" s="138">
        <f>'Blendini Custom Cake - Slice'!X27*12</f>
        <v>0</v>
      </c>
    </row>
    <row r="28" spans="1:24" ht="14.6">
      <c r="A28" s="1318"/>
      <c r="B28" s="54" t="s">
        <v>49</v>
      </c>
      <c r="C28" s="136">
        <f>'Blendini Custom Cake - Slice'!C28*12</f>
        <v>360</v>
      </c>
      <c r="D28" s="136">
        <f>'Blendini Custom Cake - Slice'!D28*12</f>
        <v>0</v>
      </c>
      <c r="E28" s="136">
        <f>'Blendini Custom Cake - Slice'!E28*12</f>
        <v>0</v>
      </c>
      <c r="F28" s="136">
        <f>'Blendini Custom Cake - Slice'!F28*12</f>
        <v>0</v>
      </c>
      <c r="G28" s="136">
        <f>'Blendini Custom Cake - Slice'!G28*12</f>
        <v>0</v>
      </c>
      <c r="H28" s="136">
        <f>'Blendini Custom Cake - Slice'!H28*12</f>
        <v>0</v>
      </c>
      <c r="I28" s="136">
        <f>'Blendini Custom Cake - Slice'!I28*12</f>
        <v>60</v>
      </c>
      <c r="J28" s="136">
        <f>'Blendini Custom Cake - Slice'!J28*12</f>
        <v>84</v>
      </c>
      <c r="K28" s="136">
        <f>'Blendini Custom Cake - Slice'!K28*12</f>
        <v>0</v>
      </c>
      <c r="L28" s="136">
        <f>'Blendini Custom Cake - Slice'!L28*12</f>
        <v>84</v>
      </c>
      <c r="M28" s="136">
        <f>'Blendini Custom Cake - Slice'!M28*12</f>
        <v>84</v>
      </c>
      <c r="N28" s="136">
        <f>'Blendini Custom Cake - Slice'!N28*12</f>
        <v>0</v>
      </c>
      <c r="O28" s="137">
        <f>'Blendini Custom Cake - Slice'!O28*12</f>
        <v>0</v>
      </c>
      <c r="P28" s="137">
        <f>'Blendini Custom Cake - Slice'!P28*12</f>
        <v>0</v>
      </c>
      <c r="Q28" s="137">
        <f>'Blendini Custom Cake - Slice'!Q28*12</f>
        <v>12</v>
      </c>
      <c r="R28" s="137">
        <f>'Blendini Custom Cake - Slice'!R28*12</f>
        <v>0</v>
      </c>
      <c r="S28" s="137">
        <f>'Blendini Custom Cake - Slice'!S28*12</f>
        <v>0</v>
      </c>
      <c r="T28" s="137">
        <f>'Blendini Custom Cake - Slice'!T28*12</f>
        <v>0</v>
      </c>
      <c r="U28" s="137">
        <f>'Blendini Custom Cake - Slice'!U28*12</f>
        <v>0</v>
      </c>
      <c r="V28" s="137">
        <f>'Blendini Custom Cake - Slice'!V28*12</f>
        <v>0</v>
      </c>
      <c r="W28" s="137">
        <f>'Blendini Custom Cake - Slice'!W28*12</f>
        <v>0</v>
      </c>
      <c r="X28" s="138">
        <f>'Blendini Custom Cake - Slice'!X28*12</f>
        <v>0</v>
      </c>
    </row>
    <row r="29" spans="1:24" ht="14.6">
      <c r="A29" s="1318"/>
      <c r="B29" s="54" t="s">
        <v>50</v>
      </c>
      <c r="C29" s="136">
        <f>'Blendini Custom Cake - Slice'!C29*12</f>
        <v>480</v>
      </c>
      <c r="D29" s="136">
        <f>'Blendini Custom Cake - Slice'!D29*12</f>
        <v>0</v>
      </c>
      <c r="E29" s="136">
        <f>'Blendini Custom Cake - Slice'!E29*12</f>
        <v>0</v>
      </c>
      <c r="F29" s="136">
        <f>'Blendini Custom Cake - Slice'!F29*12</f>
        <v>0</v>
      </c>
      <c r="G29" s="136">
        <f>'Blendini Custom Cake - Slice'!G29*12</f>
        <v>0</v>
      </c>
      <c r="H29" s="136">
        <f>'Blendini Custom Cake - Slice'!H29*12</f>
        <v>0</v>
      </c>
      <c r="I29" s="136">
        <f>'Blendini Custom Cake - Slice'!I29*12</f>
        <v>60</v>
      </c>
      <c r="J29" s="136">
        <f>'Blendini Custom Cake - Slice'!J29*12</f>
        <v>120</v>
      </c>
      <c r="K29" s="136">
        <f>'Blendini Custom Cake - Slice'!K29*12</f>
        <v>0</v>
      </c>
      <c r="L29" s="136">
        <f>'Blendini Custom Cake - Slice'!L29*12</f>
        <v>120</v>
      </c>
      <c r="M29" s="136">
        <f>'Blendini Custom Cake - Slice'!M29*12</f>
        <v>120</v>
      </c>
      <c r="N29" s="136">
        <f>'Blendini Custom Cake - Slice'!N29*12</f>
        <v>0</v>
      </c>
      <c r="O29" s="137">
        <f>'Blendini Custom Cake - Slice'!O29*12</f>
        <v>0</v>
      </c>
      <c r="P29" s="137">
        <f>'Blendini Custom Cake - Slice'!P29*12</f>
        <v>0</v>
      </c>
      <c r="Q29" s="137">
        <f>'Blendini Custom Cake - Slice'!Q29*12</f>
        <v>12</v>
      </c>
      <c r="R29" s="137">
        <f>'Blendini Custom Cake - Slice'!R29*12</f>
        <v>0</v>
      </c>
      <c r="S29" s="137">
        <f>'Blendini Custom Cake - Slice'!S29*12</f>
        <v>0</v>
      </c>
      <c r="T29" s="137">
        <f>'Blendini Custom Cake - Slice'!T29*12</f>
        <v>0</v>
      </c>
      <c r="U29" s="137">
        <f>'Blendini Custom Cake - Slice'!U29*12</f>
        <v>36</v>
      </c>
      <c r="V29" s="137">
        <f>'Blendini Custom Cake - Slice'!V29*12</f>
        <v>0</v>
      </c>
      <c r="W29" s="137">
        <f>'Blendini Custom Cake - Slice'!W29*12</f>
        <v>0</v>
      </c>
      <c r="X29" s="138">
        <f>'Blendini Custom Cake - Slice'!X29*12</f>
        <v>0</v>
      </c>
    </row>
    <row r="30" spans="1:24" ht="14.6">
      <c r="A30" s="1318"/>
      <c r="B30" s="54" t="s">
        <v>51</v>
      </c>
      <c r="C30" s="136">
        <f>'Blendini Custom Cake - Slice'!C30*12</f>
        <v>480</v>
      </c>
      <c r="D30" s="136">
        <f>'Blendini Custom Cake - Slice'!D30*12</f>
        <v>0</v>
      </c>
      <c r="E30" s="136">
        <f>'Blendini Custom Cake - Slice'!E30*12</f>
        <v>0</v>
      </c>
      <c r="F30" s="136">
        <f>'Blendini Custom Cake - Slice'!F30*12</f>
        <v>0</v>
      </c>
      <c r="G30" s="136">
        <f>'Blendini Custom Cake - Slice'!G30*12</f>
        <v>0</v>
      </c>
      <c r="H30" s="136">
        <f>'Blendini Custom Cake - Slice'!H30*12</f>
        <v>0</v>
      </c>
      <c r="I30" s="136">
        <f>'Blendini Custom Cake - Slice'!I30*12</f>
        <v>60</v>
      </c>
      <c r="J30" s="136">
        <f>'Blendini Custom Cake - Slice'!J30*12</f>
        <v>120</v>
      </c>
      <c r="K30" s="136">
        <f>'Blendini Custom Cake - Slice'!K30*12</f>
        <v>0</v>
      </c>
      <c r="L30" s="136">
        <f>'Blendini Custom Cake - Slice'!L30*12</f>
        <v>108</v>
      </c>
      <c r="M30" s="136">
        <f>'Blendini Custom Cake - Slice'!M30*12</f>
        <v>84</v>
      </c>
      <c r="N30" s="136">
        <f>'Blendini Custom Cake - Slice'!N30*12</f>
        <v>0</v>
      </c>
      <c r="O30" s="140">
        <f>'Blendini Custom Cake - Slice'!O30*12</f>
        <v>0</v>
      </c>
      <c r="P30" s="140">
        <f>'Blendini Custom Cake - Slice'!P30*12</f>
        <v>0</v>
      </c>
      <c r="Q30" s="140">
        <f>'Blendini Custom Cake - Slice'!Q30*12</f>
        <v>12</v>
      </c>
      <c r="R30" s="140">
        <f>'Blendini Custom Cake - Slice'!R30*12</f>
        <v>0</v>
      </c>
      <c r="S30" s="140">
        <f>'Blendini Custom Cake - Slice'!S30*12</f>
        <v>0</v>
      </c>
      <c r="T30" s="140">
        <f>'Blendini Custom Cake - Slice'!T30*12</f>
        <v>0</v>
      </c>
      <c r="U30" s="140">
        <f>'Blendini Custom Cake - Slice'!U30*12</f>
        <v>24</v>
      </c>
      <c r="V30" s="140">
        <f>'Blendini Custom Cake - Slice'!V30*12</f>
        <v>0</v>
      </c>
      <c r="W30" s="140">
        <f>'Blendini Custom Cake - Slice'!W30*12</f>
        <v>0</v>
      </c>
      <c r="X30" s="141">
        <f>'Blendini Custom Cake - Slice'!X30*12</f>
        <v>0</v>
      </c>
    </row>
    <row r="31" spans="1:24" ht="14.6">
      <c r="A31" s="1318"/>
      <c r="B31" s="54" t="s">
        <v>53</v>
      </c>
      <c r="C31" s="136">
        <f>'Blendini Custom Cake - Slice'!C31*12</f>
        <v>480</v>
      </c>
      <c r="D31" s="136">
        <f>'Blendini Custom Cake - Slice'!D31*12</f>
        <v>0</v>
      </c>
      <c r="E31" s="136">
        <f>'Blendini Custom Cake - Slice'!E31*12</f>
        <v>0</v>
      </c>
      <c r="F31" s="136">
        <f>'Blendini Custom Cake - Slice'!F31*12</f>
        <v>0</v>
      </c>
      <c r="G31" s="136">
        <f>'Blendini Custom Cake - Slice'!G31*12</f>
        <v>0</v>
      </c>
      <c r="H31" s="136">
        <f>'Blendini Custom Cake - Slice'!H31*12</f>
        <v>0</v>
      </c>
      <c r="I31" s="136">
        <f>'Blendini Custom Cake - Slice'!I31*12</f>
        <v>60</v>
      </c>
      <c r="J31" s="136">
        <f>'Blendini Custom Cake - Slice'!J31*12</f>
        <v>120</v>
      </c>
      <c r="K31" s="136">
        <f>'Blendini Custom Cake - Slice'!K31*12</f>
        <v>0</v>
      </c>
      <c r="L31" s="136">
        <f>'Blendini Custom Cake - Slice'!L31*12</f>
        <v>120</v>
      </c>
      <c r="M31" s="136">
        <f>'Blendini Custom Cake - Slice'!M31*12</f>
        <v>120</v>
      </c>
      <c r="N31" s="136">
        <f>'Blendini Custom Cake - Slice'!N31*12</f>
        <v>0</v>
      </c>
      <c r="O31" s="139">
        <f>'Blendini Custom Cake - Slice'!O31*12</f>
        <v>0</v>
      </c>
      <c r="P31" s="139">
        <f>'Blendini Custom Cake - Slice'!P31*12</f>
        <v>0</v>
      </c>
      <c r="Q31" s="139">
        <f>'Blendini Custom Cake - Slice'!Q31*12</f>
        <v>12</v>
      </c>
      <c r="R31" s="139">
        <f>'Blendini Custom Cake - Slice'!R31*12</f>
        <v>0</v>
      </c>
      <c r="S31" s="139">
        <f>'Blendini Custom Cake - Slice'!S31*12</f>
        <v>0</v>
      </c>
      <c r="T31" s="139">
        <f>'Blendini Custom Cake - Slice'!T31*12</f>
        <v>0</v>
      </c>
      <c r="U31" s="139">
        <f>'Blendini Custom Cake - Slice'!U31*12</f>
        <v>24</v>
      </c>
      <c r="V31" s="139">
        <f>'Blendini Custom Cake - Slice'!V31*12</f>
        <v>0</v>
      </c>
      <c r="W31" s="139">
        <f>'Blendini Custom Cake - Slice'!W31*12</f>
        <v>0</v>
      </c>
      <c r="X31" s="142">
        <f>'Blendini Custom Cake - Slice'!X31*12</f>
        <v>0</v>
      </c>
    </row>
    <row r="32" spans="1:24" ht="14.6">
      <c r="A32" s="1318"/>
      <c r="B32" s="54" t="s">
        <v>54</v>
      </c>
      <c r="C32" s="136">
        <f>'Blendini Custom Cake - Slice'!C32*12</f>
        <v>480</v>
      </c>
      <c r="D32" s="136">
        <f>'Blendini Custom Cake - Slice'!D32*12</f>
        <v>0</v>
      </c>
      <c r="E32" s="136">
        <f>'Blendini Custom Cake - Slice'!E32*12</f>
        <v>0</v>
      </c>
      <c r="F32" s="136">
        <f>'Blendini Custom Cake - Slice'!F32*12</f>
        <v>0</v>
      </c>
      <c r="G32" s="136">
        <f>'Blendini Custom Cake - Slice'!G32*12</f>
        <v>0</v>
      </c>
      <c r="H32" s="136">
        <f>'Blendini Custom Cake - Slice'!H32*12</f>
        <v>0</v>
      </c>
      <c r="I32" s="136">
        <f>'Blendini Custom Cake - Slice'!I32*12</f>
        <v>60</v>
      </c>
      <c r="J32" s="136">
        <f>'Blendini Custom Cake - Slice'!J32*12</f>
        <v>120</v>
      </c>
      <c r="K32" s="136">
        <f>'Blendini Custom Cake - Slice'!K32*12</f>
        <v>0</v>
      </c>
      <c r="L32" s="136">
        <f>'Blendini Custom Cake - Slice'!L32*12</f>
        <v>120</v>
      </c>
      <c r="M32" s="136">
        <f>'Blendini Custom Cake - Slice'!M32*12</f>
        <v>120</v>
      </c>
      <c r="N32" s="136">
        <f>'Blendini Custom Cake - Slice'!N32*12</f>
        <v>0</v>
      </c>
      <c r="O32" s="137">
        <f>'Blendini Custom Cake - Slice'!O32*12</f>
        <v>0</v>
      </c>
      <c r="P32" s="137">
        <f>'Blendini Custom Cake - Slice'!P32*12</f>
        <v>0</v>
      </c>
      <c r="Q32" s="137">
        <f>'Blendini Custom Cake - Slice'!Q32*12</f>
        <v>12</v>
      </c>
      <c r="R32" s="137">
        <f>'Blendini Custom Cake - Slice'!R32*12</f>
        <v>0</v>
      </c>
      <c r="S32" s="137">
        <f>'Blendini Custom Cake - Slice'!S32*12</f>
        <v>0</v>
      </c>
      <c r="T32" s="137">
        <f>'Blendini Custom Cake - Slice'!T32*12</f>
        <v>0</v>
      </c>
      <c r="U32" s="137">
        <f>'Blendini Custom Cake - Slice'!U32*12</f>
        <v>24</v>
      </c>
      <c r="V32" s="137">
        <f>'Blendini Custom Cake - Slice'!V32*12</f>
        <v>0</v>
      </c>
      <c r="W32" s="137">
        <f>'Blendini Custom Cake - Slice'!W32*12</f>
        <v>0</v>
      </c>
      <c r="X32" s="138">
        <f>'Blendini Custom Cake - Slice'!X32*12</f>
        <v>0</v>
      </c>
    </row>
    <row r="33" spans="1:24" ht="14.6">
      <c r="A33" s="1318"/>
      <c r="B33" s="54" t="s">
        <v>55</v>
      </c>
      <c r="C33" s="136">
        <f>'Blendini Custom Cake - Slice'!C33*12</f>
        <v>420</v>
      </c>
      <c r="D33" s="136">
        <f>'Blendini Custom Cake - Slice'!D33*12</f>
        <v>0</v>
      </c>
      <c r="E33" s="136">
        <f>'Blendini Custom Cake - Slice'!E33*12</f>
        <v>0</v>
      </c>
      <c r="F33" s="136">
        <f>'Blendini Custom Cake - Slice'!F33*12</f>
        <v>0</v>
      </c>
      <c r="G33" s="136">
        <f>'Blendini Custom Cake - Slice'!G33*12</f>
        <v>0</v>
      </c>
      <c r="H33" s="136">
        <f>'Blendini Custom Cake - Slice'!H33*12</f>
        <v>0</v>
      </c>
      <c r="I33" s="136">
        <f>'Blendini Custom Cake - Slice'!I33*12</f>
        <v>60</v>
      </c>
      <c r="J33" s="136">
        <f>'Blendini Custom Cake - Slice'!J33*12</f>
        <v>108</v>
      </c>
      <c r="K33" s="136">
        <f>'Blendini Custom Cake - Slice'!K33*12</f>
        <v>0</v>
      </c>
      <c r="L33" s="136">
        <f>'Blendini Custom Cake - Slice'!L33*12</f>
        <v>96</v>
      </c>
      <c r="M33" s="136">
        <f>'Blendini Custom Cake - Slice'!M33*12</f>
        <v>96</v>
      </c>
      <c r="N33" s="136">
        <f>'Blendini Custom Cake - Slice'!N33*12</f>
        <v>0</v>
      </c>
      <c r="O33" s="137">
        <f>'Blendini Custom Cake - Slice'!O33*12</f>
        <v>0</v>
      </c>
      <c r="P33" s="137">
        <f>'Blendini Custom Cake - Slice'!P33*12</f>
        <v>0</v>
      </c>
      <c r="Q33" s="137">
        <f>'Blendini Custom Cake - Slice'!Q33*12</f>
        <v>24</v>
      </c>
      <c r="R33" s="137">
        <f>'Blendini Custom Cake - Slice'!R33*12</f>
        <v>0</v>
      </c>
      <c r="S33" s="137">
        <f>'Blendini Custom Cake - Slice'!S33*12</f>
        <v>0</v>
      </c>
      <c r="T33" s="137">
        <f>'Blendini Custom Cake - Slice'!T33*12</f>
        <v>0</v>
      </c>
      <c r="U33" s="137">
        <f>'Blendini Custom Cake - Slice'!U33*12</f>
        <v>24</v>
      </c>
      <c r="V33" s="137">
        <f>'Blendini Custom Cake - Slice'!V33*12</f>
        <v>0</v>
      </c>
      <c r="W33" s="137">
        <f>'Blendini Custom Cake - Slice'!W33*12</f>
        <v>0</v>
      </c>
      <c r="X33" s="138">
        <f>'Blendini Custom Cake - Slice'!X33*12</f>
        <v>24</v>
      </c>
    </row>
    <row r="34" spans="1:24" ht="14.6">
      <c r="A34" s="1318"/>
      <c r="B34" s="54" t="s">
        <v>57</v>
      </c>
      <c r="C34" s="136">
        <f>'Blendini Custom Cake - Slice'!C34*12</f>
        <v>600</v>
      </c>
      <c r="D34" s="136">
        <f>'Blendini Custom Cake - Slice'!D34*12</f>
        <v>0</v>
      </c>
      <c r="E34" s="136">
        <f>'Blendini Custom Cake - Slice'!E34*12</f>
        <v>0</v>
      </c>
      <c r="F34" s="136">
        <f>'Blendini Custom Cake - Slice'!F34*12</f>
        <v>0</v>
      </c>
      <c r="G34" s="136">
        <f>'Blendini Custom Cake - Slice'!G34*12</f>
        <v>0</v>
      </c>
      <c r="H34" s="136">
        <f>'Blendini Custom Cake - Slice'!H34*12</f>
        <v>0</v>
      </c>
      <c r="I34" s="136">
        <f>'Blendini Custom Cake - Slice'!I34*12</f>
        <v>60</v>
      </c>
      <c r="J34" s="136">
        <f>'Blendini Custom Cake - Slice'!J34*12</f>
        <v>168</v>
      </c>
      <c r="K34" s="136">
        <f>'Blendini Custom Cake - Slice'!K34*12</f>
        <v>0</v>
      </c>
      <c r="L34" s="136">
        <f>'Blendini Custom Cake - Slice'!L34*12</f>
        <v>156</v>
      </c>
      <c r="M34" s="136">
        <f>'Blendini Custom Cake - Slice'!M34*12</f>
        <v>156</v>
      </c>
      <c r="N34" s="136">
        <f>'Blendini Custom Cake - Slice'!N34*12</f>
        <v>0</v>
      </c>
      <c r="O34" s="137">
        <f>'Blendini Custom Cake - Slice'!O34*12</f>
        <v>0</v>
      </c>
      <c r="P34" s="137">
        <f>'Blendini Custom Cake - Slice'!P34*12</f>
        <v>0</v>
      </c>
      <c r="Q34" s="137">
        <f>'Blendini Custom Cake - Slice'!Q34*12</f>
        <v>12</v>
      </c>
      <c r="R34" s="137">
        <f>'Blendini Custom Cake - Slice'!R34*12</f>
        <v>0</v>
      </c>
      <c r="S34" s="137">
        <f>'Blendini Custom Cake - Slice'!S34*12</f>
        <v>0</v>
      </c>
      <c r="T34" s="137">
        <f>'Blendini Custom Cake - Slice'!T34*12</f>
        <v>0</v>
      </c>
      <c r="U34" s="137">
        <f>'Blendini Custom Cake - Slice'!U34*12</f>
        <v>96</v>
      </c>
      <c r="V34" s="137">
        <f>'Blendini Custom Cake - Slice'!V34*12</f>
        <v>0</v>
      </c>
      <c r="W34" s="137">
        <f>'Blendini Custom Cake - Slice'!W34*12</f>
        <v>0</v>
      </c>
      <c r="X34" s="138">
        <f>'Blendini Custom Cake - Slice'!X34*12</f>
        <v>0</v>
      </c>
    </row>
    <row r="35" spans="1:24" ht="14.6">
      <c r="A35" s="1318"/>
      <c r="B35" s="54" t="s">
        <v>58</v>
      </c>
      <c r="C35" s="136">
        <f>'Blendini Custom Cake - Slice'!C35*12</f>
        <v>480</v>
      </c>
      <c r="D35" s="136">
        <f>'Blendini Custom Cake - Slice'!D35*12</f>
        <v>0</v>
      </c>
      <c r="E35" s="136">
        <f>'Blendini Custom Cake - Slice'!E35*12</f>
        <v>0</v>
      </c>
      <c r="F35" s="136">
        <f>'Blendini Custom Cake - Slice'!F35*12</f>
        <v>0</v>
      </c>
      <c r="G35" s="136">
        <f>'Blendini Custom Cake - Slice'!G35*12</f>
        <v>0</v>
      </c>
      <c r="H35" s="136">
        <f>'Blendini Custom Cake - Slice'!H35*12</f>
        <v>0</v>
      </c>
      <c r="I35" s="136">
        <f>'Blendini Custom Cake - Slice'!I35*12</f>
        <v>60</v>
      </c>
      <c r="J35" s="136">
        <f>'Blendini Custom Cake - Slice'!J35*12</f>
        <v>120</v>
      </c>
      <c r="K35" s="136">
        <f>'Blendini Custom Cake - Slice'!K35*12</f>
        <v>0</v>
      </c>
      <c r="L35" s="136">
        <f>'Blendini Custom Cake - Slice'!L35*12</f>
        <v>120</v>
      </c>
      <c r="M35" s="136">
        <f>'Blendini Custom Cake - Slice'!M35*12</f>
        <v>120</v>
      </c>
      <c r="N35" s="136">
        <f>'Blendini Custom Cake - Slice'!N35*12</f>
        <v>0</v>
      </c>
      <c r="O35" s="137">
        <f>'Blendini Custom Cake - Slice'!O35*12</f>
        <v>0</v>
      </c>
      <c r="P35" s="137">
        <f>'Blendini Custom Cake - Slice'!P35*12</f>
        <v>0</v>
      </c>
      <c r="Q35" s="137">
        <f>'Blendini Custom Cake - Slice'!Q35*12</f>
        <v>24</v>
      </c>
      <c r="R35" s="137">
        <f>'Blendini Custom Cake - Slice'!R35*12</f>
        <v>0</v>
      </c>
      <c r="S35" s="137">
        <f>'Blendini Custom Cake - Slice'!S35*12</f>
        <v>0</v>
      </c>
      <c r="T35" s="137">
        <f>'Blendini Custom Cake - Slice'!T35*12</f>
        <v>0</v>
      </c>
      <c r="U35" s="137">
        <f>'Blendini Custom Cake - Slice'!U35*12</f>
        <v>0</v>
      </c>
      <c r="V35" s="137">
        <f>'Blendini Custom Cake - Slice'!V35*12</f>
        <v>0</v>
      </c>
      <c r="W35" s="137">
        <f>'Blendini Custom Cake - Slice'!W35*12</f>
        <v>0</v>
      </c>
      <c r="X35" s="138">
        <f>'Blendini Custom Cake - Slice'!X35*12</f>
        <v>0</v>
      </c>
    </row>
    <row r="36" spans="1:24" ht="14.6">
      <c r="A36" s="1318"/>
      <c r="B36" s="54" t="s">
        <v>59</v>
      </c>
      <c r="C36" s="136">
        <f>'Blendini Custom Cake - Slice'!C36*12</f>
        <v>420</v>
      </c>
      <c r="D36" s="136">
        <f>'Blendini Custom Cake - Slice'!D36*12</f>
        <v>0</v>
      </c>
      <c r="E36" s="136">
        <f>'Blendini Custom Cake - Slice'!E36*12</f>
        <v>0</v>
      </c>
      <c r="F36" s="136">
        <f>'Blendini Custom Cake - Slice'!F36*12</f>
        <v>0</v>
      </c>
      <c r="G36" s="136">
        <f>'Blendini Custom Cake - Slice'!G36*12</f>
        <v>0</v>
      </c>
      <c r="H36" s="136">
        <f>'Blendini Custom Cake - Slice'!H36*12</f>
        <v>0</v>
      </c>
      <c r="I36" s="136">
        <f>'Blendini Custom Cake - Slice'!I36*12</f>
        <v>60</v>
      </c>
      <c r="J36" s="136">
        <f>'Blendini Custom Cake - Slice'!J36*12</f>
        <v>108</v>
      </c>
      <c r="K36" s="136">
        <f>'Blendini Custom Cake - Slice'!K36*12</f>
        <v>0</v>
      </c>
      <c r="L36" s="136">
        <f>'Blendini Custom Cake - Slice'!L36*12</f>
        <v>108</v>
      </c>
      <c r="M36" s="136">
        <f>'Blendini Custom Cake - Slice'!M36*12</f>
        <v>108</v>
      </c>
      <c r="N36" s="136">
        <f>'Blendini Custom Cake - Slice'!N36*12</f>
        <v>0</v>
      </c>
      <c r="O36" s="137">
        <f>'Blendini Custom Cake - Slice'!O36*12</f>
        <v>0</v>
      </c>
      <c r="P36" s="137">
        <f>'Blendini Custom Cake - Slice'!P36*12</f>
        <v>0</v>
      </c>
      <c r="Q36" s="137">
        <f>'Blendini Custom Cake - Slice'!Q36*12</f>
        <v>12</v>
      </c>
      <c r="R36" s="137">
        <f>'Blendini Custom Cake - Slice'!R36*12</f>
        <v>0</v>
      </c>
      <c r="S36" s="137">
        <f>'Blendini Custom Cake - Slice'!S36*12</f>
        <v>0</v>
      </c>
      <c r="T36" s="137">
        <f>'Blendini Custom Cake - Slice'!T36*12</f>
        <v>0</v>
      </c>
      <c r="U36" s="137">
        <f>'Blendini Custom Cake - Slice'!U36*12</f>
        <v>24</v>
      </c>
      <c r="V36" s="137">
        <f>'Blendini Custom Cake - Slice'!V36*12</f>
        <v>0</v>
      </c>
      <c r="W36" s="137">
        <f>'Blendini Custom Cake - Slice'!W36*12</f>
        <v>0</v>
      </c>
      <c r="X36" s="138">
        <f>'Blendini Custom Cake - Slice'!X36*12</f>
        <v>0</v>
      </c>
    </row>
    <row r="37" spans="1:24" ht="14.6">
      <c r="A37" s="1318"/>
      <c r="B37" s="54" t="s">
        <v>60</v>
      </c>
      <c r="C37" s="136">
        <f>'Blendini Custom Cake - Slice'!C37*12</f>
        <v>480</v>
      </c>
      <c r="D37" s="136">
        <f>'Blendini Custom Cake - Slice'!D37*12</f>
        <v>0</v>
      </c>
      <c r="E37" s="136">
        <f>'Blendini Custom Cake - Slice'!E37*12</f>
        <v>0</v>
      </c>
      <c r="F37" s="136">
        <f>'Blendini Custom Cake - Slice'!F37*12</f>
        <v>0</v>
      </c>
      <c r="G37" s="136">
        <f>'Blendini Custom Cake - Slice'!G37*12</f>
        <v>0</v>
      </c>
      <c r="H37" s="136">
        <f>'Blendini Custom Cake - Slice'!H37*12</f>
        <v>0</v>
      </c>
      <c r="I37" s="136">
        <f>'Blendini Custom Cake - Slice'!I37*12</f>
        <v>60</v>
      </c>
      <c r="J37" s="136">
        <f>'Blendini Custom Cake - Slice'!J37*12</f>
        <v>120</v>
      </c>
      <c r="K37" s="136">
        <f>'Blendini Custom Cake - Slice'!K37*12</f>
        <v>0</v>
      </c>
      <c r="L37" s="136">
        <f>'Blendini Custom Cake - Slice'!L37*12</f>
        <v>108</v>
      </c>
      <c r="M37" s="136">
        <f>'Blendini Custom Cake - Slice'!M37*12</f>
        <v>108</v>
      </c>
      <c r="N37" s="136">
        <f>'Blendini Custom Cake - Slice'!N37*12</f>
        <v>0</v>
      </c>
      <c r="O37" s="137">
        <f>'Blendini Custom Cake - Slice'!O37*12</f>
        <v>0</v>
      </c>
      <c r="P37" s="137">
        <f>'Blendini Custom Cake - Slice'!P37*12</f>
        <v>0</v>
      </c>
      <c r="Q37" s="137">
        <f>'Blendini Custom Cake - Slice'!Q37*12</f>
        <v>24</v>
      </c>
      <c r="R37" s="137">
        <f>'Blendini Custom Cake - Slice'!R37*12</f>
        <v>0</v>
      </c>
      <c r="S37" s="137">
        <f>'Blendini Custom Cake - Slice'!S37*12</f>
        <v>0</v>
      </c>
      <c r="T37" s="137">
        <f>'Blendini Custom Cake - Slice'!T37*12</f>
        <v>0</v>
      </c>
      <c r="U37" s="137">
        <f>'Blendini Custom Cake - Slice'!U37*12</f>
        <v>48</v>
      </c>
      <c r="V37" s="137">
        <f>'Blendini Custom Cake - Slice'!V37*12</f>
        <v>0</v>
      </c>
      <c r="W37" s="137">
        <f>'Blendini Custom Cake - Slice'!W37*12</f>
        <v>0</v>
      </c>
      <c r="X37" s="138">
        <f>'Blendini Custom Cake - Slice'!X37*12</f>
        <v>0</v>
      </c>
    </row>
    <row r="38" spans="1:24" ht="14.6">
      <c r="A38" s="1318"/>
      <c r="B38" s="54" t="s">
        <v>61</v>
      </c>
      <c r="C38" s="136">
        <f>'Blendini Custom Cake - Slice'!C38*12</f>
        <v>600</v>
      </c>
      <c r="D38" s="136">
        <f>'Blendini Custom Cake - Slice'!D38*12</f>
        <v>0</v>
      </c>
      <c r="E38" s="136">
        <f>'Blendini Custom Cake - Slice'!E38*12</f>
        <v>0</v>
      </c>
      <c r="F38" s="136">
        <f>'Blendini Custom Cake - Slice'!F38*12</f>
        <v>0</v>
      </c>
      <c r="G38" s="136">
        <f>'Blendini Custom Cake - Slice'!G38*12</f>
        <v>0</v>
      </c>
      <c r="H38" s="136">
        <f>'Blendini Custom Cake - Slice'!H38*12</f>
        <v>0</v>
      </c>
      <c r="I38" s="136">
        <f>'Blendini Custom Cake - Slice'!I38*12</f>
        <v>60</v>
      </c>
      <c r="J38" s="136">
        <f>'Blendini Custom Cake - Slice'!J38*12</f>
        <v>144</v>
      </c>
      <c r="K38" s="136">
        <f>'Blendini Custom Cake - Slice'!K38*12</f>
        <v>0</v>
      </c>
      <c r="L38" s="136">
        <f>'Blendini Custom Cake - Slice'!L38*12</f>
        <v>144</v>
      </c>
      <c r="M38" s="136">
        <f>'Blendini Custom Cake - Slice'!M38*12</f>
        <v>132</v>
      </c>
      <c r="N38" s="136">
        <f>'Blendini Custom Cake - Slice'!N38*12</f>
        <v>0</v>
      </c>
      <c r="O38" s="137">
        <f>'Blendini Custom Cake - Slice'!O38*12</f>
        <v>0</v>
      </c>
      <c r="P38" s="137">
        <f>'Blendini Custom Cake - Slice'!P38*12</f>
        <v>0</v>
      </c>
      <c r="Q38" s="137">
        <f>'Blendini Custom Cake - Slice'!Q38*12</f>
        <v>24</v>
      </c>
      <c r="R38" s="137">
        <f>'Blendini Custom Cake - Slice'!R38*12</f>
        <v>0</v>
      </c>
      <c r="S38" s="137">
        <f>'Blendini Custom Cake - Slice'!S38*12</f>
        <v>0</v>
      </c>
      <c r="T38" s="137">
        <f>'Blendini Custom Cake - Slice'!T38*12</f>
        <v>0</v>
      </c>
      <c r="U38" s="137">
        <f>'Blendini Custom Cake - Slice'!U38*12</f>
        <v>12</v>
      </c>
      <c r="V38" s="137">
        <f>'Blendini Custom Cake - Slice'!V38*12</f>
        <v>0</v>
      </c>
      <c r="W38" s="137">
        <f>'Blendini Custom Cake - Slice'!W38*12</f>
        <v>0</v>
      </c>
      <c r="X38" s="138">
        <f>'Blendini Custom Cake - Slice'!X38*12</f>
        <v>0</v>
      </c>
    </row>
    <row r="39" spans="1:24" ht="14.6">
      <c r="A39" s="1318"/>
      <c r="B39" s="54" t="s">
        <v>62</v>
      </c>
      <c r="C39" s="136">
        <f>'Blendini Custom Cake - Slice'!C39*12</f>
        <v>720</v>
      </c>
      <c r="D39" s="136">
        <f>'Blendini Custom Cake - Slice'!D39*12</f>
        <v>120</v>
      </c>
      <c r="E39" s="136">
        <f>'Blendini Custom Cake - Slice'!E39*12</f>
        <v>12</v>
      </c>
      <c r="F39" s="136">
        <f>'Blendini Custom Cake - Slice'!F39*12</f>
        <v>0</v>
      </c>
      <c r="G39" s="136">
        <f>'Blendini Custom Cake - Slice'!G39*12</f>
        <v>0</v>
      </c>
      <c r="H39" s="136">
        <f>'Blendini Custom Cake - Slice'!H39*12</f>
        <v>0</v>
      </c>
      <c r="I39" s="136">
        <f>'Blendini Custom Cake - Slice'!I39*12</f>
        <v>180</v>
      </c>
      <c r="J39" s="136">
        <f>'Blendini Custom Cake - Slice'!J39*12</f>
        <v>144</v>
      </c>
      <c r="K39" s="136">
        <f>'Blendini Custom Cake - Slice'!K39*12</f>
        <v>0</v>
      </c>
      <c r="L39" s="136">
        <f>'Blendini Custom Cake - Slice'!L39*12</f>
        <v>132</v>
      </c>
      <c r="M39" s="136">
        <f>'Blendini Custom Cake - Slice'!M39*12</f>
        <v>132</v>
      </c>
      <c r="N39" s="136">
        <f>'Blendini Custom Cake - Slice'!N39*12</f>
        <v>0</v>
      </c>
      <c r="O39" s="137">
        <f>'Blendini Custom Cake - Slice'!O39*12</f>
        <v>0</v>
      </c>
      <c r="P39" s="137">
        <f>'Blendini Custom Cake - Slice'!P39*12</f>
        <v>0</v>
      </c>
      <c r="Q39" s="137">
        <f>'Blendini Custom Cake - Slice'!Q39*12</f>
        <v>36</v>
      </c>
      <c r="R39" s="137">
        <f>'Blendini Custom Cake - Slice'!R39*12</f>
        <v>0</v>
      </c>
      <c r="S39" s="137">
        <f>'Blendini Custom Cake - Slice'!S39*12</f>
        <v>0</v>
      </c>
      <c r="T39" s="137">
        <f>'Blendini Custom Cake - Slice'!T39*12</f>
        <v>0</v>
      </c>
      <c r="U39" s="137">
        <f>'Blendini Custom Cake - Slice'!U39*12</f>
        <v>144</v>
      </c>
      <c r="V39" s="137">
        <f>'Blendini Custom Cake - Slice'!V39*12</f>
        <v>0</v>
      </c>
      <c r="W39" s="137">
        <f>'Blendini Custom Cake - Slice'!W39*12</f>
        <v>0</v>
      </c>
      <c r="X39" s="138">
        <f>'Blendini Custom Cake - Slice'!X39*12</f>
        <v>0</v>
      </c>
    </row>
    <row r="40" spans="1:24" ht="14.6">
      <c r="A40" s="1318"/>
      <c r="B40" s="54" t="s">
        <v>63</v>
      </c>
      <c r="C40" s="136">
        <f>'Blendini Custom Cake - Slice'!C40*12</f>
        <v>600</v>
      </c>
      <c r="D40" s="136">
        <f>'Blendini Custom Cake - Slice'!D40*12</f>
        <v>120</v>
      </c>
      <c r="E40" s="136">
        <f>'Blendini Custom Cake - Slice'!E40*12</f>
        <v>18</v>
      </c>
      <c r="F40" s="136">
        <f>'Blendini Custom Cake - Slice'!F40*12</f>
        <v>0</v>
      </c>
      <c r="G40" s="136">
        <f>'Blendini Custom Cake - Slice'!G40*12</f>
        <v>0</v>
      </c>
      <c r="H40" s="136">
        <f>'Blendini Custom Cake - Slice'!H40*12</f>
        <v>0</v>
      </c>
      <c r="I40" s="136">
        <f>'Blendini Custom Cake - Slice'!I40*12</f>
        <v>180</v>
      </c>
      <c r="J40" s="136">
        <f>'Blendini Custom Cake - Slice'!J40*12</f>
        <v>120</v>
      </c>
      <c r="K40" s="136">
        <f>'Blendini Custom Cake - Slice'!K40*12</f>
        <v>0</v>
      </c>
      <c r="L40" s="136">
        <f>'Blendini Custom Cake - Slice'!L40*12</f>
        <v>120</v>
      </c>
      <c r="M40" s="136">
        <f>'Blendini Custom Cake - Slice'!M40*12</f>
        <v>120</v>
      </c>
      <c r="N40" s="136">
        <f>'Blendini Custom Cake - Slice'!N40*12</f>
        <v>0</v>
      </c>
      <c r="O40" s="137">
        <f>'Blendini Custom Cake - Slice'!O40*12</f>
        <v>0</v>
      </c>
      <c r="P40" s="137">
        <f>'Blendini Custom Cake - Slice'!P40*12</f>
        <v>0</v>
      </c>
      <c r="Q40" s="137">
        <f>'Blendini Custom Cake - Slice'!Q40*12</f>
        <v>36</v>
      </c>
      <c r="R40" s="137">
        <f>'Blendini Custom Cake - Slice'!R40*12</f>
        <v>0</v>
      </c>
      <c r="S40" s="137">
        <f>'Blendini Custom Cake - Slice'!S40*12</f>
        <v>0</v>
      </c>
      <c r="T40" s="137">
        <f>'Blendini Custom Cake - Slice'!T40*12</f>
        <v>0</v>
      </c>
      <c r="U40" s="137">
        <f>'Blendini Custom Cake - Slice'!U40*12</f>
        <v>12</v>
      </c>
      <c r="V40" s="137">
        <f>'Blendini Custom Cake - Slice'!V40*12</f>
        <v>0</v>
      </c>
      <c r="W40" s="137">
        <f>'Blendini Custom Cake - Slice'!W40*12</f>
        <v>0</v>
      </c>
      <c r="X40" s="138">
        <f>'Blendini Custom Cake - Slice'!X40*12</f>
        <v>0</v>
      </c>
    </row>
    <row r="41" spans="1:24" ht="14.6">
      <c r="A41" s="1318"/>
      <c r="B41" s="54" t="s">
        <v>64</v>
      </c>
      <c r="C41" s="136">
        <f>'Blendini Custom Cake - Slice'!C41*12</f>
        <v>480</v>
      </c>
      <c r="D41" s="136">
        <f>'Blendini Custom Cake - Slice'!D41*12</f>
        <v>0</v>
      </c>
      <c r="E41" s="136">
        <f>'Blendini Custom Cake - Slice'!E41*12</f>
        <v>0</v>
      </c>
      <c r="F41" s="136">
        <f>'Blendini Custom Cake - Slice'!F41*12</f>
        <v>0</v>
      </c>
      <c r="G41" s="136">
        <f>'Blendini Custom Cake - Slice'!G41*12</f>
        <v>0</v>
      </c>
      <c r="H41" s="136">
        <f>'Blendini Custom Cake - Slice'!H41*12</f>
        <v>0</v>
      </c>
      <c r="I41" s="136">
        <f>'Blendini Custom Cake - Slice'!I41*12</f>
        <v>60</v>
      </c>
      <c r="J41" s="136">
        <f>'Blendini Custom Cake - Slice'!J41*12</f>
        <v>120</v>
      </c>
      <c r="K41" s="136">
        <f>'Blendini Custom Cake - Slice'!K41*12</f>
        <v>0</v>
      </c>
      <c r="L41" s="136">
        <f>'Blendini Custom Cake - Slice'!L41*12</f>
        <v>108</v>
      </c>
      <c r="M41" s="136">
        <f>'Blendini Custom Cake - Slice'!M41*12</f>
        <v>108</v>
      </c>
      <c r="N41" s="136">
        <f>'Blendini Custom Cake - Slice'!N41*12</f>
        <v>0</v>
      </c>
      <c r="O41" s="137">
        <f>'Blendini Custom Cake - Slice'!O41*12</f>
        <v>0</v>
      </c>
      <c r="P41" s="137">
        <f>'Blendini Custom Cake - Slice'!P41*12</f>
        <v>0</v>
      </c>
      <c r="Q41" s="137">
        <f>'Blendini Custom Cake - Slice'!Q41*12</f>
        <v>12</v>
      </c>
      <c r="R41" s="137">
        <f>'Blendini Custom Cake - Slice'!R41*12</f>
        <v>0</v>
      </c>
      <c r="S41" s="137">
        <f>'Blendini Custom Cake - Slice'!S41*12</f>
        <v>0</v>
      </c>
      <c r="T41" s="137">
        <f>'Blendini Custom Cake - Slice'!T41*12</f>
        <v>0</v>
      </c>
      <c r="U41" s="137">
        <f>'Blendini Custom Cake - Slice'!U41*12</f>
        <v>36</v>
      </c>
      <c r="V41" s="137">
        <f>'Blendini Custom Cake - Slice'!V41*12</f>
        <v>0</v>
      </c>
      <c r="W41" s="137">
        <f>'Blendini Custom Cake - Slice'!W41*12</f>
        <v>0</v>
      </c>
      <c r="X41" s="138">
        <f>'Blendini Custom Cake - Slice'!X41*12</f>
        <v>0</v>
      </c>
    </row>
    <row r="42" spans="1:24" ht="14.6">
      <c r="A42" s="1318"/>
      <c r="B42" s="54" t="s">
        <v>65</v>
      </c>
      <c r="C42" s="136">
        <f>'Blendini Custom Cake - Slice'!C42*12</f>
        <v>420</v>
      </c>
      <c r="D42" s="136">
        <f>'Blendini Custom Cake - Slice'!D42*12</f>
        <v>0</v>
      </c>
      <c r="E42" s="136">
        <f>'Blendini Custom Cake - Slice'!E42*12</f>
        <v>0</v>
      </c>
      <c r="F42" s="136">
        <f>'Blendini Custom Cake - Slice'!F42*12</f>
        <v>0</v>
      </c>
      <c r="G42" s="136">
        <f>'Blendini Custom Cake - Slice'!G42*12</f>
        <v>0</v>
      </c>
      <c r="H42" s="136">
        <f>'Blendini Custom Cake - Slice'!H42*12</f>
        <v>0</v>
      </c>
      <c r="I42" s="136">
        <f>'Blendini Custom Cake - Slice'!I42*12</f>
        <v>60</v>
      </c>
      <c r="J42" s="136">
        <f>'Blendini Custom Cake - Slice'!J42*12</f>
        <v>120</v>
      </c>
      <c r="K42" s="136">
        <f>'Blendini Custom Cake - Slice'!K42*12</f>
        <v>0</v>
      </c>
      <c r="L42" s="136">
        <f>'Blendini Custom Cake - Slice'!L42*12</f>
        <v>120</v>
      </c>
      <c r="M42" s="136">
        <f>'Blendini Custom Cake - Slice'!M42*12</f>
        <v>120</v>
      </c>
      <c r="N42" s="136">
        <f>'Blendini Custom Cake - Slice'!N42*12</f>
        <v>0</v>
      </c>
      <c r="O42" s="137">
        <f>'Blendini Custom Cake - Slice'!O42*12</f>
        <v>0</v>
      </c>
      <c r="P42" s="137">
        <f>'Blendini Custom Cake - Slice'!P42*12</f>
        <v>0</v>
      </c>
      <c r="Q42" s="137">
        <f>'Blendini Custom Cake - Slice'!Q42*12</f>
        <v>12</v>
      </c>
      <c r="R42" s="137">
        <f>'Blendini Custom Cake - Slice'!R42*12</f>
        <v>0</v>
      </c>
      <c r="S42" s="137">
        <f>'Blendini Custom Cake - Slice'!S42*12</f>
        <v>0</v>
      </c>
      <c r="T42" s="137">
        <f>'Blendini Custom Cake - Slice'!T42*12</f>
        <v>0</v>
      </c>
      <c r="U42" s="137">
        <f>'Blendini Custom Cake - Slice'!U42*12</f>
        <v>0</v>
      </c>
      <c r="V42" s="137">
        <f>'Blendini Custom Cake - Slice'!V42*12</f>
        <v>0</v>
      </c>
      <c r="W42" s="137">
        <f>'Blendini Custom Cake - Slice'!W42*12</f>
        <v>0</v>
      </c>
      <c r="X42" s="138">
        <f>'Blendini Custom Cake - Slice'!X42*12</f>
        <v>0</v>
      </c>
    </row>
    <row r="43" spans="1:24" ht="14.6">
      <c r="A43" s="1318"/>
      <c r="B43" s="54" t="s">
        <v>67</v>
      </c>
      <c r="C43" s="136">
        <f>'Blendini Custom Cake - Slice'!C43*12</f>
        <v>480</v>
      </c>
      <c r="D43" s="136">
        <f>'Blendini Custom Cake - Slice'!D43*12</f>
        <v>0</v>
      </c>
      <c r="E43" s="136">
        <f>'Blendini Custom Cake - Slice'!E43*12</f>
        <v>0</v>
      </c>
      <c r="F43" s="136">
        <f>'Blendini Custom Cake - Slice'!F43*12</f>
        <v>0</v>
      </c>
      <c r="G43" s="136">
        <f>'Blendini Custom Cake - Slice'!G43*12</f>
        <v>0</v>
      </c>
      <c r="H43" s="136">
        <f>'Blendini Custom Cake - Slice'!H43*12</f>
        <v>0</v>
      </c>
      <c r="I43" s="136">
        <f>'Blendini Custom Cake - Slice'!I43*12</f>
        <v>60</v>
      </c>
      <c r="J43" s="136">
        <f>'Blendini Custom Cake - Slice'!J43*12</f>
        <v>120</v>
      </c>
      <c r="K43" s="136">
        <f>'Blendini Custom Cake - Slice'!K43*12</f>
        <v>0</v>
      </c>
      <c r="L43" s="136">
        <f>'Blendini Custom Cake - Slice'!L43*12</f>
        <v>120</v>
      </c>
      <c r="M43" s="136">
        <f>'Blendini Custom Cake - Slice'!M43*12</f>
        <v>120</v>
      </c>
      <c r="N43" s="136">
        <f>'Blendini Custom Cake - Slice'!N43*12</f>
        <v>0</v>
      </c>
      <c r="O43" s="137">
        <f>'Blendini Custom Cake - Slice'!O43*12</f>
        <v>0</v>
      </c>
      <c r="P43" s="137">
        <f>'Blendini Custom Cake - Slice'!P43*12</f>
        <v>0</v>
      </c>
      <c r="Q43" s="137">
        <f>'Blendini Custom Cake - Slice'!Q43*12</f>
        <v>12</v>
      </c>
      <c r="R43" s="137">
        <f>'Blendini Custom Cake - Slice'!R43*12</f>
        <v>0</v>
      </c>
      <c r="S43" s="137">
        <f>'Blendini Custom Cake - Slice'!S43*12</f>
        <v>0</v>
      </c>
      <c r="T43" s="137">
        <f>'Blendini Custom Cake - Slice'!T43*12</f>
        <v>0</v>
      </c>
      <c r="U43" s="137">
        <f>'Blendini Custom Cake - Slice'!U43*12</f>
        <v>0</v>
      </c>
      <c r="V43" s="137">
        <f>'Blendini Custom Cake - Slice'!V43*12</f>
        <v>0</v>
      </c>
      <c r="W43" s="137">
        <f>'Blendini Custom Cake - Slice'!W43*12</f>
        <v>0</v>
      </c>
      <c r="X43" s="138">
        <f>'Blendini Custom Cake - Slice'!X43*12</f>
        <v>0</v>
      </c>
    </row>
    <row r="44" spans="1:24" ht="14.6">
      <c r="A44" s="1318"/>
      <c r="B44" s="54" t="s">
        <v>66</v>
      </c>
      <c r="C44" s="136">
        <f>'Blendini Custom Cake - Slice'!C44*12</f>
        <v>480</v>
      </c>
      <c r="D44" s="136">
        <f>'Blendini Custom Cake - Slice'!D44*12</f>
        <v>0</v>
      </c>
      <c r="E44" s="136">
        <f>'Blendini Custom Cake - Slice'!E44*12</f>
        <v>0</v>
      </c>
      <c r="F44" s="136">
        <f>'Blendini Custom Cake - Slice'!F44*12</f>
        <v>0</v>
      </c>
      <c r="G44" s="136">
        <f>'Blendini Custom Cake - Slice'!G44*12</f>
        <v>0</v>
      </c>
      <c r="H44" s="136">
        <f>'Blendini Custom Cake - Slice'!H44*12</f>
        <v>0</v>
      </c>
      <c r="I44" s="136">
        <f>'Blendini Custom Cake - Slice'!I44*12</f>
        <v>60</v>
      </c>
      <c r="J44" s="136">
        <f>'Blendini Custom Cake - Slice'!J44*12</f>
        <v>120</v>
      </c>
      <c r="K44" s="136">
        <f>'Blendini Custom Cake - Slice'!K44*12</f>
        <v>0</v>
      </c>
      <c r="L44" s="136">
        <f>'Blendini Custom Cake - Slice'!L44*12</f>
        <v>108</v>
      </c>
      <c r="M44" s="136">
        <f>'Blendini Custom Cake - Slice'!M44*12</f>
        <v>108</v>
      </c>
      <c r="N44" s="136">
        <f>'Blendini Custom Cake - Slice'!N44*12</f>
        <v>0</v>
      </c>
      <c r="O44" s="137">
        <f>'Blendini Custom Cake - Slice'!O44*12</f>
        <v>0</v>
      </c>
      <c r="P44" s="137">
        <f>'Blendini Custom Cake - Slice'!P44*12</f>
        <v>0</v>
      </c>
      <c r="Q44" s="137">
        <f>'Blendini Custom Cake - Slice'!Q44*12</f>
        <v>12</v>
      </c>
      <c r="R44" s="137">
        <f>'Blendini Custom Cake - Slice'!R44*12</f>
        <v>0</v>
      </c>
      <c r="S44" s="137">
        <f>'Blendini Custom Cake - Slice'!S44*12</f>
        <v>0</v>
      </c>
      <c r="T44" s="137">
        <f>'Blendini Custom Cake - Slice'!T44*12</f>
        <v>0</v>
      </c>
      <c r="U44" s="137">
        <f>'Blendini Custom Cake - Slice'!U44*12</f>
        <v>12</v>
      </c>
      <c r="V44" s="137">
        <f>'Blendini Custom Cake - Slice'!V44*12</f>
        <v>0</v>
      </c>
      <c r="W44" s="137">
        <f>'Blendini Custom Cake - Slice'!W44*12</f>
        <v>0</v>
      </c>
      <c r="X44" s="138">
        <f>'Blendini Custom Cake - Slice'!X44*12</f>
        <v>0</v>
      </c>
    </row>
    <row r="45" spans="1:24" ht="14.6">
      <c r="A45" s="1318"/>
      <c r="B45" s="54" t="s">
        <v>68</v>
      </c>
      <c r="C45" s="136">
        <f>'Blendini Custom Cake - Slice'!C45*12</f>
        <v>420</v>
      </c>
      <c r="D45" s="136">
        <f>'Blendini Custom Cake - Slice'!D45*12</f>
        <v>0</v>
      </c>
      <c r="E45" s="136">
        <f>'Blendini Custom Cake - Slice'!E45*12</f>
        <v>0</v>
      </c>
      <c r="F45" s="136">
        <f>'Blendini Custom Cake - Slice'!F45*12</f>
        <v>0</v>
      </c>
      <c r="G45" s="136">
        <f>'Blendini Custom Cake - Slice'!G45*12</f>
        <v>0</v>
      </c>
      <c r="H45" s="136">
        <f>'Blendini Custom Cake - Slice'!H45*12</f>
        <v>0</v>
      </c>
      <c r="I45" s="136">
        <f>'Blendini Custom Cake - Slice'!I45*12</f>
        <v>60</v>
      </c>
      <c r="J45" s="136">
        <f>'Blendini Custom Cake - Slice'!J45*12</f>
        <v>108</v>
      </c>
      <c r="K45" s="136">
        <f>'Blendini Custom Cake - Slice'!K45*12</f>
        <v>0</v>
      </c>
      <c r="L45" s="136">
        <f>'Blendini Custom Cake - Slice'!L45*12</f>
        <v>108</v>
      </c>
      <c r="M45" s="136">
        <f>'Blendini Custom Cake - Slice'!M45*12</f>
        <v>108</v>
      </c>
      <c r="N45" s="136">
        <f>'Blendini Custom Cake - Slice'!N45*12</f>
        <v>0</v>
      </c>
      <c r="O45" s="140">
        <f>'Blendini Custom Cake - Slice'!O45*12</f>
        <v>0</v>
      </c>
      <c r="P45" s="140">
        <f>'Blendini Custom Cake - Slice'!P45*12</f>
        <v>0</v>
      </c>
      <c r="Q45" s="140">
        <f>'Blendini Custom Cake - Slice'!Q45*12</f>
        <v>24</v>
      </c>
      <c r="R45" s="140">
        <f>'Blendini Custom Cake - Slice'!R45*12</f>
        <v>0</v>
      </c>
      <c r="S45" s="140">
        <f>'Blendini Custom Cake - Slice'!S45*12</f>
        <v>0</v>
      </c>
      <c r="T45" s="140">
        <f>'Blendini Custom Cake - Slice'!T45*12</f>
        <v>0</v>
      </c>
      <c r="U45" s="140">
        <f>'Blendini Custom Cake - Slice'!U45*12</f>
        <v>48</v>
      </c>
      <c r="V45" s="140">
        <f>'Blendini Custom Cake - Slice'!V45*12</f>
        <v>0</v>
      </c>
      <c r="W45" s="140">
        <f>'Blendini Custom Cake - Slice'!W45*12</f>
        <v>0</v>
      </c>
      <c r="X45" s="141">
        <f>'Blendini Custom Cake - Slice'!X45*12</f>
        <v>24</v>
      </c>
    </row>
    <row r="46" spans="1:24" ht="14.6">
      <c r="A46" s="1318"/>
      <c r="B46" s="54" t="s">
        <v>69</v>
      </c>
      <c r="C46" s="136">
        <f>'Blendini Custom Cake - Slice'!C46*12</f>
        <v>480</v>
      </c>
      <c r="D46" s="136">
        <f>'Blendini Custom Cake - Slice'!D46*12</f>
        <v>0</v>
      </c>
      <c r="E46" s="136">
        <f>'Blendini Custom Cake - Slice'!E46*12</f>
        <v>0</v>
      </c>
      <c r="F46" s="136">
        <f>'Blendini Custom Cake - Slice'!F46*12</f>
        <v>0</v>
      </c>
      <c r="G46" s="136">
        <f>'Blendini Custom Cake - Slice'!G46*12</f>
        <v>0</v>
      </c>
      <c r="H46" s="136">
        <f>'Blendini Custom Cake - Slice'!H46*12</f>
        <v>0</v>
      </c>
      <c r="I46" s="136">
        <f>'Blendini Custom Cake - Slice'!I46*12</f>
        <v>60</v>
      </c>
      <c r="J46" s="136">
        <f>'Blendini Custom Cake - Slice'!J46*12</f>
        <v>120</v>
      </c>
      <c r="K46" s="136">
        <f>'Blendini Custom Cake - Slice'!K46*12</f>
        <v>0</v>
      </c>
      <c r="L46" s="136">
        <f>'Blendini Custom Cake - Slice'!L46*12</f>
        <v>120</v>
      </c>
      <c r="M46" s="136">
        <f>'Blendini Custom Cake - Slice'!M46*12</f>
        <v>108</v>
      </c>
      <c r="N46" s="136">
        <f>'Blendini Custom Cake - Slice'!N46*12</f>
        <v>0</v>
      </c>
      <c r="O46" s="137">
        <f>'Blendini Custom Cake - Slice'!O46*12</f>
        <v>0</v>
      </c>
      <c r="P46" s="137">
        <f>'Blendini Custom Cake - Slice'!P46*12</f>
        <v>0</v>
      </c>
      <c r="Q46" s="137">
        <f>'Blendini Custom Cake - Slice'!Q46*12</f>
        <v>24</v>
      </c>
      <c r="R46" s="137">
        <f>'Blendini Custom Cake - Slice'!R46*12</f>
        <v>0</v>
      </c>
      <c r="S46" s="137">
        <f>'Blendini Custom Cake - Slice'!S46*12</f>
        <v>0</v>
      </c>
      <c r="T46" s="137">
        <f>'Blendini Custom Cake - Slice'!T46*12</f>
        <v>0</v>
      </c>
      <c r="U46" s="137">
        <f>'Blendini Custom Cake - Slice'!U46*12</f>
        <v>36</v>
      </c>
      <c r="V46" s="137">
        <f>'Blendini Custom Cake - Slice'!V46*12</f>
        <v>0</v>
      </c>
      <c r="W46" s="137">
        <f>'Blendini Custom Cake - Slice'!W46*12</f>
        <v>0</v>
      </c>
      <c r="X46" s="138">
        <f>'Blendini Custom Cake - Slice'!X46*12</f>
        <v>24</v>
      </c>
    </row>
    <row r="47" spans="1:24" ht="14.6">
      <c r="A47" s="1318"/>
      <c r="B47" s="54" t="s">
        <v>70</v>
      </c>
      <c r="C47" s="136">
        <f>'Blendini Custom Cake - Slice'!C47*12</f>
        <v>360</v>
      </c>
      <c r="D47" s="136">
        <f>'Blendini Custom Cake - Slice'!D47*12</f>
        <v>0</v>
      </c>
      <c r="E47" s="136">
        <f>'Blendini Custom Cake - Slice'!E47*12</f>
        <v>0</v>
      </c>
      <c r="F47" s="136">
        <f>'Blendini Custom Cake - Slice'!F47*12</f>
        <v>0</v>
      </c>
      <c r="G47" s="136">
        <f>'Blendini Custom Cake - Slice'!G47*12</f>
        <v>0</v>
      </c>
      <c r="H47" s="136">
        <f>'Blendini Custom Cake - Slice'!H47*12</f>
        <v>0</v>
      </c>
      <c r="I47" s="136">
        <f>'Blendini Custom Cake - Slice'!I47*12</f>
        <v>60</v>
      </c>
      <c r="J47" s="136">
        <f>'Blendini Custom Cake - Slice'!J47*12</f>
        <v>84</v>
      </c>
      <c r="K47" s="136">
        <f>'Blendini Custom Cake - Slice'!K47*12</f>
        <v>0</v>
      </c>
      <c r="L47" s="136">
        <f>'Blendini Custom Cake - Slice'!L47*12</f>
        <v>84</v>
      </c>
      <c r="M47" s="136">
        <f>'Blendini Custom Cake - Slice'!M47*12</f>
        <v>84</v>
      </c>
      <c r="N47" s="136">
        <f>'Blendini Custom Cake - Slice'!N47*12</f>
        <v>0</v>
      </c>
      <c r="O47" s="136">
        <f>'Blendini Custom Cake - Slice'!O47*12</f>
        <v>0</v>
      </c>
      <c r="P47" s="136">
        <f>'Blendini Custom Cake - Slice'!P47*12</f>
        <v>0</v>
      </c>
      <c r="Q47" s="136">
        <f>'Blendini Custom Cake - Slice'!Q47*12</f>
        <v>12</v>
      </c>
      <c r="R47" s="136">
        <f>'Blendini Custom Cake - Slice'!R47*12</f>
        <v>0</v>
      </c>
      <c r="S47" s="136">
        <f>'Blendini Custom Cake - Slice'!S47*12</f>
        <v>0</v>
      </c>
      <c r="T47" s="136">
        <f>'Blendini Custom Cake - Slice'!T47*12</f>
        <v>0</v>
      </c>
      <c r="U47" s="136">
        <f>'Blendini Custom Cake - Slice'!U47*12</f>
        <v>0</v>
      </c>
      <c r="V47" s="136">
        <f>'Blendini Custom Cake - Slice'!V47*12</f>
        <v>0</v>
      </c>
      <c r="W47" s="136">
        <f>'Blendini Custom Cake - Slice'!W47*12</f>
        <v>0</v>
      </c>
      <c r="X47" s="143">
        <f>'Blendini Custom Cake - Slice'!X47*12</f>
        <v>0</v>
      </c>
    </row>
    <row r="48" spans="1:24" ht="14.6">
      <c r="A48" s="1318"/>
      <c r="B48" s="54" t="s">
        <v>71</v>
      </c>
      <c r="C48" s="136">
        <f>'Blendini Custom Cake - Slice'!C48*12</f>
        <v>480</v>
      </c>
      <c r="D48" s="136">
        <f>'Blendini Custom Cake - Slice'!D48*12</f>
        <v>0</v>
      </c>
      <c r="E48" s="136">
        <f>'Blendini Custom Cake - Slice'!E48*12</f>
        <v>0</v>
      </c>
      <c r="F48" s="136">
        <f>'Blendini Custom Cake - Slice'!F48*12</f>
        <v>0</v>
      </c>
      <c r="G48" s="136">
        <f>'Blendini Custom Cake - Slice'!G48*12</f>
        <v>0</v>
      </c>
      <c r="H48" s="136">
        <f>'Blendini Custom Cake - Slice'!H48*12</f>
        <v>0</v>
      </c>
      <c r="I48" s="136">
        <f>'Blendini Custom Cake - Slice'!I48*12</f>
        <v>60</v>
      </c>
      <c r="J48" s="136">
        <f>'Blendini Custom Cake - Slice'!J48*12</f>
        <v>120</v>
      </c>
      <c r="K48" s="136">
        <f>'Blendini Custom Cake - Slice'!K48*12</f>
        <v>0</v>
      </c>
      <c r="L48" s="136">
        <f>'Blendini Custom Cake - Slice'!L48*12</f>
        <v>108</v>
      </c>
      <c r="M48" s="136">
        <f>'Blendini Custom Cake - Slice'!M48*12</f>
        <v>108</v>
      </c>
      <c r="N48" s="136">
        <f>'Blendini Custom Cake - Slice'!N48*12</f>
        <v>0</v>
      </c>
      <c r="O48" s="137">
        <f>'Blendini Custom Cake - Slice'!O48*12</f>
        <v>0</v>
      </c>
      <c r="P48" s="137">
        <f>'Blendini Custom Cake - Slice'!P48*12</f>
        <v>0</v>
      </c>
      <c r="Q48" s="137">
        <f>'Blendini Custom Cake - Slice'!Q48*12</f>
        <v>12</v>
      </c>
      <c r="R48" s="137">
        <f>'Blendini Custom Cake - Slice'!R48*12</f>
        <v>0</v>
      </c>
      <c r="S48" s="137">
        <f>'Blendini Custom Cake - Slice'!S48*12</f>
        <v>0</v>
      </c>
      <c r="T48" s="137">
        <f>'Blendini Custom Cake - Slice'!T48*12</f>
        <v>0</v>
      </c>
      <c r="U48" s="137">
        <f>'Blendini Custom Cake - Slice'!U48*12</f>
        <v>36</v>
      </c>
      <c r="V48" s="137">
        <f>'Blendini Custom Cake - Slice'!V48*12</f>
        <v>0</v>
      </c>
      <c r="W48" s="137">
        <f>'Blendini Custom Cake - Slice'!W48*12</f>
        <v>0</v>
      </c>
      <c r="X48" s="138">
        <f>'Blendini Custom Cake - Slice'!X48*12</f>
        <v>0</v>
      </c>
    </row>
    <row r="49" spans="1:24" ht="14.6">
      <c r="A49" s="1318"/>
      <c r="B49" s="54" t="s">
        <v>72</v>
      </c>
      <c r="C49" s="136">
        <f>'Blendini Custom Cake - Slice'!C49*12</f>
        <v>540</v>
      </c>
      <c r="D49" s="136">
        <f>'Blendini Custom Cake - Slice'!D49*12</f>
        <v>0</v>
      </c>
      <c r="E49" s="136">
        <f>'Blendini Custom Cake - Slice'!E49*12</f>
        <v>0</v>
      </c>
      <c r="F49" s="136">
        <f>'Blendini Custom Cake - Slice'!F49*12</f>
        <v>0</v>
      </c>
      <c r="G49" s="136">
        <f>'Blendini Custom Cake - Slice'!G49*12</f>
        <v>0</v>
      </c>
      <c r="H49" s="136">
        <f>'Blendini Custom Cake - Slice'!H49*12</f>
        <v>0</v>
      </c>
      <c r="I49" s="136">
        <f>'Blendini Custom Cake - Slice'!I49*12</f>
        <v>120</v>
      </c>
      <c r="J49" s="136">
        <f>'Blendini Custom Cake - Slice'!J49*12</f>
        <v>144</v>
      </c>
      <c r="K49" s="136">
        <f>'Blendini Custom Cake - Slice'!K49*12</f>
        <v>0</v>
      </c>
      <c r="L49" s="136">
        <f>'Blendini Custom Cake - Slice'!L49*12</f>
        <v>132</v>
      </c>
      <c r="M49" s="136">
        <f>'Blendini Custom Cake - Slice'!M49*12</f>
        <v>132</v>
      </c>
      <c r="N49" s="136">
        <f>'Blendini Custom Cake - Slice'!N49*12</f>
        <v>0</v>
      </c>
      <c r="O49" s="137">
        <f>'Blendini Custom Cake - Slice'!O49*12</f>
        <v>0</v>
      </c>
      <c r="P49" s="137">
        <f>'Blendini Custom Cake - Slice'!P49*12</f>
        <v>0</v>
      </c>
      <c r="Q49" s="137">
        <f>'Blendini Custom Cake - Slice'!Q49*12</f>
        <v>12</v>
      </c>
      <c r="R49" s="137">
        <f>'Blendini Custom Cake - Slice'!R49*12</f>
        <v>0</v>
      </c>
      <c r="S49" s="137">
        <f>'Blendini Custom Cake - Slice'!S49*12</f>
        <v>0</v>
      </c>
      <c r="T49" s="137">
        <f>'Blendini Custom Cake - Slice'!T49*12</f>
        <v>0</v>
      </c>
      <c r="U49" s="137">
        <f>'Blendini Custom Cake - Slice'!U49*12</f>
        <v>0</v>
      </c>
      <c r="V49" s="137">
        <f>'Blendini Custom Cake - Slice'!V49*12</f>
        <v>0</v>
      </c>
      <c r="W49" s="137">
        <f>'Blendini Custom Cake - Slice'!W49*12</f>
        <v>0</v>
      </c>
      <c r="X49" s="138">
        <f>'Blendini Custom Cake - Slice'!X49*12</f>
        <v>0</v>
      </c>
    </row>
    <row r="50" spans="1:24" ht="14.6">
      <c r="A50" s="1318"/>
      <c r="B50" s="54" t="s">
        <v>74</v>
      </c>
      <c r="C50" s="136">
        <f>'Blendini Custom Cake - Slice'!C50*12</f>
        <v>420</v>
      </c>
      <c r="D50" s="136">
        <f>'Blendini Custom Cake - Slice'!D50*12</f>
        <v>0</v>
      </c>
      <c r="E50" s="136">
        <f>'Blendini Custom Cake - Slice'!E50*12</f>
        <v>0</v>
      </c>
      <c r="F50" s="136">
        <f>'Blendini Custom Cake - Slice'!F50*12</f>
        <v>0</v>
      </c>
      <c r="G50" s="136">
        <f>'Blendini Custom Cake - Slice'!G50*12</f>
        <v>0</v>
      </c>
      <c r="H50" s="136">
        <f>'Blendini Custom Cake - Slice'!H50*12</f>
        <v>0</v>
      </c>
      <c r="I50" s="136">
        <f>'Blendini Custom Cake - Slice'!I50*12</f>
        <v>60</v>
      </c>
      <c r="J50" s="136">
        <f>'Blendini Custom Cake - Slice'!J50*12</f>
        <v>120</v>
      </c>
      <c r="K50" s="136">
        <f>'Blendini Custom Cake - Slice'!K50*12</f>
        <v>0</v>
      </c>
      <c r="L50" s="136">
        <f>'Blendini Custom Cake - Slice'!L50*12</f>
        <v>108</v>
      </c>
      <c r="M50" s="136">
        <f>'Blendini Custom Cake - Slice'!M50*12</f>
        <v>108</v>
      </c>
      <c r="N50" s="136">
        <f>'Blendini Custom Cake - Slice'!N50*12</f>
        <v>0</v>
      </c>
      <c r="O50" s="137">
        <f>'Blendini Custom Cake - Slice'!O50*12</f>
        <v>0</v>
      </c>
      <c r="P50" s="137">
        <f>'Blendini Custom Cake - Slice'!P50*12</f>
        <v>0</v>
      </c>
      <c r="Q50" s="137">
        <f>'Blendini Custom Cake - Slice'!Q50*12</f>
        <v>12</v>
      </c>
      <c r="R50" s="137">
        <f>'Blendini Custom Cake - Slice'!R50*12</f>
        <v>0</v>
      </c>
      <c r="S50" s="137">
        <f>'Blendini Custom Cake - Slice'!S50*12</f>
        <v>0</v>
      </c>
      <c r="T50" s="137">
        <f>'Blendini Custom Cake - Slice'!T50*12</f>
        <v>0</v>
      </c>
      <c r="U50" s="137">
        <f>'Blendini Custom Cake - Slice'!U50*12</f>
        <v>0</v>
      </c>
      <c r="V50" s="137">
        <f>'Blendini Custom Cake - Slice'!V50*12</f>
        <v>0</v>
      </c>
      <c r="W50" s="137">
        <f>'Blendini Custom Cake - Slice'!W50*12</f>
        <v>0</v>
      </c>
      <c r="X50" s="138">
        <f>'Blendini Custom Cake - Slice'!X50*12</f>
        <v>0</v>
      </c>
    </row>
    <row r="51" spans="1:24" ht="14.6">
      <c r="A51" s="1318"/>
      <c r="B51" s="54" t="s">
        <v>75</v>
      </c>
      <c r="C51" s="136">
        <f>'Blendini Custom Cake - Slice'!C51*12</f>
        <v>420</v>
      </c>
      <c r="D51" s="136">
        <f>'Blendini Custom Cake - Slice'!D51*12</f>
        <v>0</v>
      </c>
      <c r="E51" s="136">
        <f>'Blendini Custom Cake - Slice'!E51*12</f>
        <v>0</v>
      </c>
      <c r="F51" s="136">
        <f>'Blendini Custom Cake - Slice'!F51*12</f>
        <v>0</v>
      </c>
      <c r="G51" s="136">
        <f>'Blendini Custom Cake - Slice'!G51*12</f>
        <v>0</v>
      </c>
      <c r="H51" s="136">
        <f>'Blendini Custom Cake - Slice'!H51*12</f>
        <v>0</v>
      </c>
      <c r="I51" s="136">
        <f>'Blendini Custom Cake - Slice'!I51*12</f>
        <v>60</v>
      </c>
      <c r="J51" s="136">
        <f>'Blendini Custom Cake - Slice'!J51*12</f>
        <v>108</v>
      </c>
      <c r="K51" s="136">
        <f>'Blendini Custom Cake - Slice'!K51*12</f>
        <v>0</v>
      </c>
      <c r="L51" s="136">
        <f>'Blendini Custom Cake - Slice'!L51*12</f>
        <v>108</v>
      </c>
      <c r="M51" s="136">
        <f>'Blendini Custom Cake - Slice'!M51*12</f>
        <v>108</v>
      </c>
      <c r="N51" s="136">
        <f>'Blendini Custom Cake - Slice'!N51*12</f>
        <v>0</v>
      </c>
      <c r="O51" s="137">
        <f>'Blendini Custom Cake - Slice'!O51*12</f>
        <v>0</v>
      </c>
      <c r="P51" s="137">
        <f>'Blendini Custom Cake - Slice'!P51*12</f>
        <v>0</v>
      </c>
      <c r="Q51" s="137">
        <f>'Blendini Custom Cake - Slice'!Q51*12</f>
        <v>12</v>
      </c>
      <c r="R51" s="137">
        <f>'Blendini Custom Cake - Slice'!R51*12</f>
        <v>0</v>
      </c>
      <c r="S51" s="137">
        <f>'Blendini Custom Cake - Slice'!S51*12</f>
        <v>0</v>
      </c>
      <c r="T51" s="137">
        <f>'Blendini Custom Cake - Slice'!T51*12</f>
        <v>0</v>
      </c>
      <c r="U51" s="137">
        <f>'Blendini Custom Cake - Slice'!U51*12</f>
        <v>36</v>
      </c>
      <c r="V51" s="137">
        <f>'Blendini Custom Cake - Slice'!V51*12</f>
        <v>0</v>
      </c>
      <c r="W51" s="137">
        <f>'Blendini Custom Cake - Slice'!W51*12</f>
        <v>0</v>
      </c>
      <c r="X51" s="138">
        <f>'Blendini Custom Cake - Slice'!X51*12</f>
        <v>0</v>
      </c>
    </row>
    <row r="52" spans="1:24" ht="14.6">
      <c r="A52" s="1318"/>
      <c r="B52" s="54" t="s">
        <v>76</v>
      </c>
      <c r="C52" s="136">
        <f>'Blendini Custom Cake - Slice'!C52*12</f>
        <v>480</v>
      </c>
      <c r="D52" s="136">
        <f>'Blendini Custom Cake - Slice'!D52*12</f>
        <v>0</v>
      </c>
      <c r="E52" s="136">
        <f>'Blendini Custom Cake - Slice'!E52*12</f>
        <v>0</v>
      </c>
      <c r="F52" s="136">
        <f>'Blendini Custom Cake - Slice'!F52*12</f>
        <v>0</v>
      </c>
      <c r="G52" s="136">
        <f>'Blendini Custom Cake - Slice'!G52*12</f>
        <v>0</v>
      </c>
      <c r="H52" s="136">
        <f>'Blendini Custom Cake - Slice'!H52*12</f>
        <v>0</v>
      </c>
      <c r="I52" s="136">
        <f>'Blendini Custom Cake - Slice'!I52*12</f>
        <v>60</v>
      </c>
      <c r="J52" s="136">
        <f>'Blendini Custom Cake - Slice'!J52*12</f>
        <v>132</v>
      </c>
      <c r="K52" s="136">
        <f>'Blendini Custom Cake - Slice'!K52*12</f>
        <v>0</v>
      </c>
      <c r="L52" s="136">
        <f>'Blendini Custom Cake - Slice'!L52*12</f>
        <v>120</v>
      </c>
      <c r="M52" s="136">
        <f>'Blendini Custom Cake - Slice'!M52*12</f>
        <v>120</v>
      </c>
      <c r="N52" s="136">
        <f>'Blendini Custom Cake - Slice'!N52*12</f>
        <v>0</v>
      </c>
      <c r="O52" s="139">
        <f>'Blendini Custom Cake - Slice'!O52*12</f>
        <v>0</v>
      </c>
      <c r="P52" s="139">
        <f>'Blendini Custom Cake - Slice'!P52*12</f>
        <v>0</v>
      </c>
      <c r="Q52" s="139">
        <f>'Blendini Custom Cake - Slice'!Q52*12</f>
        <v>12</v>
      </c>
      <c r="R52" s="139">
        <f>'Blendini Custom Cake - Slice'!R52*12</f>
        <v>0</v>
      </c>
      <c r="S52" s="139">
        <f>'Blendini Custom Cake - Slice'!S52*12</f>
        <v>0</v>
      </c>
      <c r="T52" s="139">
        <f>'Blendini Custom Cake - Slice'!T52*12</f>
        <v>0</v>
      </c>
      <c r="U52" s="139">
        <f>'Blendini Custom Cake - Slice'!U52*12</f>
        <v>12</v>
      </c>
      <c r="V52" s="139">
        <f>'Blendini Custom Cake - Slice'!V52*12</f>
        <v>0</v>
      </c>
      <c r="W52" s="139">
        <f>'Blendini Custom Cake - Slice'!W52*12</f>
        <v>0</v>
      </c>
      <c r="X52" s="142">
        <f>'Blendini Custom Cake - Slice'!X52*12</f>
        <v>0</v>
      </c>
    </row>
    <row r="53" spans="1:24" ht="14.6">
      <c r="A53" s="1318"/>
      <c r="B53" s="54" t="s">
        <v>77</v>
      </c>
      <c r="C53" s="136">
        <f>'Blendini Custom Cake - Slice'!C53*12</f>
        <v>480</v>
      </c>
      <c r="D53" s="136">
        <f>'Blendini Custom Cake - Slice'!D53*12</f>
        <v>0</v>
      </c>
      <c r="E53" s="136">
        <f>'Blendini Custom Cake - Slice'!E53*12</f>
        <v>0</v>
      </c>
      <c r="F53" s="136">
        <f>'Blendini Custom Cake - Slice'!F53*12</f>
        <v>0</v>
      </c>
      <c r="G53" s="136">
        <f>'Blendini Custom Cake - Slice'!G53*12</f>
        <v>0</v>
      </c>
      <c r="H53" s="136">
        <f>'Blendini Custom Cake - Slice'!H53*12</f>
        <v>0</v>
      </c>
      <c r="I53" s="136">
        <f>'Blendini Custom Cake - Slice'!I53*12</f>
        <v>60</v>
      </c>
      <c r="J53" s="136">
        <f>'Blendini Custom Cake - Slice'!J53*12</f>
        <v>120</v>
      </c>
      <c r="K53" s="136">
        <f>'Blendini Custom Cake - Slice'!K53*12</f>
        <v>0</v>
      </c>
      <c r="L53" s="136">
        <f>'Blendini Custom Cake - Slice'!L53*12</f>
        <v>120</v>
      </c>
      <c r="M53" s="136">
        <f>'Blendini Custom Cake - Slice'!M53*12</f>
        <v>120</v>
      </c>
      <c r="N53" s="136">
        <f>'Blendini Custom Cake - Slice'!N53*12</f>
        <v>0</v>
      </c>
      <c r="O53" s="137">
        <f>'Blendini Custom Cake - Slice'!O53*12</f>
        <v>0</v>
      </c>
      <c r="P53" s="137">
        <f>'Blendini Custom Cake - Slice'!P53*12</f>
        <v>0</v>
      </c>
      <c r="Q53" s="137">
        <f>'Blendini Custom Cake - Slice'!Q53*12</f>
        <v>24</v>
      </c>
      <c r="R53" s="137">
        <f>'Blendini Custom Cake - Slice'!R53*12</f>
        <v>0</v>
      </c>
      <c r="S53" s="137">
        <f>'Blendini Custom Cake - Slice'!S53*12</f>
        <v>0</v>
      </c>
      <c r="T53" s="137">
        <f>'Blendini Custom Cake - Slice'!T53*12</f>
        <v>0</v>
      </c>
      <c r="U53" s="137">
        <f>'Blendini Custom Cake - Slice'!U53*12</f>
        <v>24</v>
      </c>
      <c r="V53" s="137">
        <f>'Blendini Custom Cake - Slice'!V53*12</f>
        <v>0</v>
      </c>
      <c r="W53" s="137">
        <f>'Blendini Custom Cake - Slice'!W53*12</f>
        <v>0</v>
      </c>
      <c r="X53" s="138">
        <f>'Blendini Custom Cake - Slice'!X53*12</f>
        <v>0</v>
      </c>
    </row>
    <row r="54" spans="1:24" ht="15" thickBot="1">
      <c r="A54" s="1319"/>
      <c r="B54" s="55" t="s">
        <v>78</v>
      </c>
      <c r="C54" s="144">
        <f>'Blendini Custom Cake - Slice'!C54*12</f>
        <v>480</v>
      </c>
      <c r="D54" s="144">
        <f>'Blendini Custom Cake - Slice'!D54*12</f>
        <v>0</v>
      </c>
      <c r="E54" s="144">
        <f>'Blendini Custom Cake - Slice'!E54*12</f>
        <v>0</v>
      </c>
      <c r="F54" s="144">
        <f>'Blendini Custom Cake - Slice'!F54*12</f>
        <v>0</v>
      </c>
      <c r="G54" s="144">
        <f>'Blendini Custom Cake - Slice'!G54*12</f>
        <v>0</v>
      </c>
      <c r="H54" s="144">
        <f>'Blendini Custom Cake - Slice'!H54*12</f>
        <v>0</v>
      </c>
      <c r="I54" s="144">
        <f>'Blendini Custom Cake - Slice'!I54*12</f>
        <v>0</v>
      </c>
      <c r="J54" s="144">
        <f>'Blendini Custom Cake - Slice'!J54*12</f>
        <v>108</v>
      </c>
      <c r="K54" s="144">
        <f>'Blendini Custom Cake - Slice'!K54*12</f>
        <v>0</v>
      </c>
      <c r="L54" s="144">
        <f>'Blendini Custom Cake - Slice'!L54*12</f>
        <v>108</v>
      </c>
      <c r="M54" s="144">
        <f>'Blendini Custom Cake - Slice'!M54*12</f>
        <v>108</v>
      </c>
      <c r="N54" s="144">
        <f>'Blendini Custom Cake - Slice'!N54*12</f>
        <v>0</v>
      </c>
      <c r="O54" s="144">
        <f>'Blendini Custom Cake - Slice'!O54*12</f>
        <v>0</v>
      </c>
      <c r="P54" s="144">
        <f>'Blendini Custom Cake - Slice'!P54*12</f>
        <v>0</v>
      </c>
      <c r="Q54" s="144">
        <f>'Blendini Custom Cake - Slice'!Q54*12</f>
        <v>24</v>
      </c>
      <c r="R54" s="144">
        <f>'Blendini Custom Cake - Slice'!R54*12</f>
        <v>0</v>
      </c>
      <c r="S54" s="144">
        <f>'Blendini Custom Cake - Slice'!S54*12</f>
        <v>0</v>
      </c>
      <c r="T54" s="144">
        <f>'Blendini Custom Cake - Slice'!T54*12</f>
        <v>0</v>
      </c>
      <c r="U54" s="144">
        <f>'Blendini Custom Cake - Slice'!U54*12</f>
        <v>36</v>
      </c>
      <c r="V54" s="144">
        <f>'Blendini Custom Cake - Slice'!V54*12</f>
        <v>0</v>
      </c>
      <c r="W54" s="144">
        <f>'Blendini Custom Cake - Slice'!W54*12</f>
        <v>0</v>
      </c>
      <c r="X54" s="145">
        <f>'Blendini Custom Cake - Slice'!X54*12</f>
        <v>0</v>
      </c>
    </row>
    <row r="55" spans="1:24" ht="14.6">
      <c r="A55" s="1317" t="s">
        <v>79</v>
      </c>
      <c r="B55" s="53" t="s">
        <v>80</v>
      </c>
      <c r="C55" s="133">
        <f>'Blendini Custom Cake - Slice'!C55*12</f>
        <v>480</v>
      </c>
      <c r="D55" s="133">
        <f>'Blendini Custom Cake - Slice'!D55*12</f>
        <v>0</v>
      </c>
      <c r="E55" s="133">
        <f>'Blendini Custom Cake - Slice'!E55*12</f>
        <v>0</v>
      </c>
      <c r="F55" s="133">
        <f>'Blendini Custom Cake - Slice'!F55*12</f>
        <v>0</v>
      </c>
      <c r="G55" s="133">
        <f>'Blendini Custom Cake - Slice'!G55*12</f>
        <v>0</v>
      </c>
      <c r="H55" s="133">
        <f>'Blendini Custom Cake - Slice'!H55*12</f>
        <v>0</v>
      </c>
      <c r="I55" s="133">
        <f>'Blendini Custom Cake - Slice'!I55*12</f>
        <v>0</v>
      </c>
      <c r="J55" s="133">
        <f>'Blendini Custom Cake - Slice'!J55*12</f>
        <v>96</v>
      </c>
      <c r="K55" s="133">
        <f>'Blendini Custom Cake - Slice'!K55*12</f>
        <v>0</v>
      </c>
      <c r="L55" s="133">
        <f>'Blendini Custom Cake - Slice'!L55*12</f>
        <v>96</v>
      </c>
      <c r="M55" s="133">
        <f>'Blendini Custom Cake - Slice'!M55*12</f>
        <v>84</v>
      </c>
      <c r="N55" s="133">
        <f>'Blendini Custom Cake - Slice'!N55*12</f>
        <v>0</v>
      </c>
      <c r="O55" s="134">
        <f>'Blendini Custom Cake - Slice'!O55*12</f>
        <v>0</v>
      </c>
      <c r="P55" s="134">
        <f>'Blendini Custom Cake - Slice'!P55*12</f>
        <v>0</v>
      </c>
      <c r="Q55" s="134">
        <f>'Blendini Custom Cake - Slice'!Q55*12</f>
        <v>36</v>
      </c>
      <c r="R55" s="134">
        <f>'Blendini Custom Cake - Slice'!R55*12</f>
        <v>0</v>
      </c>
      <c r="S55" s="134">
        <f>'Blendini Custom Cake - Slice'!S55*12</f>
        <v>0</v>
      </c>
      <c r="T55" s="134">
        <f>'Blendini Custom Cake - Slice'!T55*12</f>
        <v>0</v>
      </c>
      <c r="U55" s="134">
        <f>'Blendini Custom Cake - Slice'!U55*12</f>
        <v>360</v>
      </c>
      <c r="V55" s="134">
        <f>'Blendini Custom Cake - Slice'!V55*12</f>
        <v>0</v>
      </c>
      <c r="W55" s="134">
        <f>'Blendini Custom Cake - Slice'!W55*12</f>
        <v>0</v>
      </c>
      <c r="X55" s="135">
        <f>'Blendini Custom Cake - Slice'!X55*12</f>
        <v>0</v>
      </c>
    </row>
    <row r="56" spans="1:24" ht="14.6">
      <c r="A56" s="1318"/>
      <c r="B56" s="54" t="s">
        <v>81</v>
      </c>
      <c r="C56" s="136">
        <f>'Blendini Custom Cake - Slice'!C56*12</f>
        <v>360</v>
      </c>
      <c r="D56" s="136">
        <f>'Blendini Custom Cake - Slice'!D56*12</f>
        <v>0</v>
      </c>
      <c r="E56" s="136">
        <f>'Blendini Custom Cake - Slice'!E56*12</f>
        <v>0</v>
      </c>
      <c r="F56" s="136">
        <f>'Blendini Custom Cake - Slice'!F56*12</f>
        <v>0</v>
      </c>
      <c r="G56" s="136">
        <f>'Blendini Custom Cake - Slice'!G56*12</f>
        <v>0</v>
      </c>
      <c r="H56" s="136">
        <f>'Blendini Custom Cake - Slice'!H56*12</f>
        <v>0</v>
      </c>
      <c r="I56" s="136">
        <f>'Blendini Custom Cake - Slice'!I56*12</f>
        <v>0</v>
      </c>
      <c r="J56" s="136">
        <f>'Blendini Custom Cake - Slice'!J56*12</f>
        <v>84</v>
      </c>
      <c r="K56" s="136">
        <f>'Blendini Custom Cake - Slice'!K56*12</f>
        <v>0</v>
      </c>
      <c r="L56" s="136">
        <f>'Blendini Custom Cake - Slice'!L56*12</f>
        <v>84</v>
      </c>
      <c r="M56" s="136">
        <f>'Blendini Custom Cake - Slice'!M56*12</f>
        <v>72</v>
      </c>
      <c r="N56" s="136">
        <f>'Blendini Custom Cake - Slice'!N56*12</f>
        <v>0</v>
      </c>
      <c r="O56" s="136">
        <f>'Blendini Custom Cake - Slice'!O56*12</f>
        <v>0</v>
      </c>
      <c r="P56" s="136">
        <f>'Blendini Custom Cake - Slice'!P56*12</f>
        <v>0</v>
      </c>
      <c r="Q56" s="136">
        <f>'Blendini Custom Cake - Slice'!Q56*12</f>
        <v>24</v>
      </c>
      <c r="R56" s="136">
        <f>'Blendini Custom Cake - Slice'!R56*12</f>
        <v>0</v>
      </c>
      <c r="S56" s="136">
        <f>'Blendini Custom Cake - Slice'!S56*12</f>
        <v>0</v>
      </c>
      <c r="T56" s="136">
        <f>'Blendini Custom Cake - Slice'!T56*12</f>
        <v>0</v>
      </c>
      <c r="U56" s="136">
        <f>'Blendini Custom Cake - Slice'!U56*12</f>
        <v>12</v>
      </c>
      <c r="V56" s="136">
        <f>'Blendini Custom Cake - Slice'!V56*12</f>
        <v>0</v>
      </c>
      <c r="W56" s="136">
        <f>'Blendini Custom Cake - Slice'!W56*12</f>
        <v>0</v>
      </c>
      <c r="X56" s="143">
        <f>'Blendini Custom Cake - Slice'!X56*12</f>
        <v>0</v>
      </c>
    </row>
    <row r="57" spans="1:24" ht="14.6">
      <c r="A57" s="1318"/>
      <c r="B57" s="54" t="s">
        <v>82</v>
      </c>
      <c r="C57" s="136">
        <f>'Blendini Custom Cake - Slice'!C57*12</f>
        <v>360</v>
      </c>
      <c r="D57" s="136">
        <f>'Blendini Custom Cake - Slice'!D57*12</f>
        <v>0</v>
      </c>
      <c r="E57" s="136">
        <f>'Blendini Custom Cake - Slice'!E57*12</f>
        <v>0</v>
      </c>
      <c r="F57" s="136">
        <f>'Blendini Custom Cake - Slice'!F57*12</f>
        <v>0</v>
      </c>
      <c r="G57" s="136">
        <f>'Blendini Custom Cake - Slice'!G57*12</f>
        <v>0</v>
      </c>
      <c r="H57" s="136">
        <f>'Blendini Custom Cake - Slice'!H57*12</f>
        <v>0</v>
      </c>
      <c r="I57" s="136">
        <f>'Blendini Custom Cake - Slice'!I57*12</f>
        <v>0</v>
      </c>
      <c r="J57" s="136">
        <f>'Blendini Custom Cake - Slice'!J57*12</f>
        <v>96</v>
      </c>
      <c r="K57" s="136">
        <f>'Blendini Custom Cake - Slice'!K57*12</f>
        <v>0</v>
      </c>
      <c r="L57" s="136">
        <f>'Blendini Custom Cake - Slice'!L57*12</f>
        <v>96</v>
      </c>
      <c r="M57" s="136">
        <f>'Blendini Custom Cake - Slice'!M57*12</f>
        <v>96</v>
      </c>
      <c r="N57" s="136">
        <f>'Blendini Custom Cake - Slice'!N57*12</f>
        <v>0</v>
      </c>
      <c r="O57" s="136">
        <f>'Blendini Custom Cake - Slice'!O57*12</f>
        <v>0</v>
      </c>
      <c r="P57" s="136">
        <f>'Blendini Custom Cake - Slice'!P57*12</f>
        <v>0</v>
      </c>
      <c r="Q57" s="136">
        <f>'Blendini Custom Cake - Slice'!Q57*12</f>
        <v>24</v>
      </c>
      <c r="R57" s="136">
        <f>'Blendini Custom Cake - Slice'!R57*12</f>
        <v>0</v>
      </c>
      <c r="S57" s="136">
        <f>'Blendini Custom Cake - Slice'!S57*12</f>
        <v>0</v>
      </c>
      <c r="T57" s="136">
        <f>'Blendini Custom Cake - Slice'!T57*12</f>
        <v>0</v>
      </c>
      <c r="U57" s="136">
        <f>'Blendini Custom Cake - Slice'!U57*12</f>
        <v>12</v>
      </c>
      <c r="V57" s="136">
        <f>'Blendini Custom Cake - Slice'!V57*12</f>
        <v>0</v>
      </c>
      <c r="W57" s="136">
        <f>'Blendini Custom Cake - Slice'!W57*12</f>
        <v>0</v>
      </c>
      <c r="X57" s="143">
        <f>'Blendini Custom Cake - Slice'!X57*12</f>
        <v>0</v>
      </c>
    </row>
    <row r="58" spans="1:24" ht="14.6">
      <c r="A58" s="1318"/>
      <c r="B58" s="54" t="s">
        <v>83</v>
      </c>
      <c r="C58" s="137">
        <f>'Blendini Custom Cake - Slice'!C58*12</f>
        <v>360</v>
      </c>
      <c r="D58" s="137">
        <f>'Blendini Custom Cake - Slice'!D58*12</f>
        <v>0</v>
      </c>
      <c r="E58" s="137">
        <f>'Blendini Custom Cake - Slice'!E58*12</f>
        <v>0</v>
      </c>
      <c r="F58" s="137">
        <f>'Blendini Custom Cake - Slice'!F58*12</f>
        <v>0</v>
      </c>
      <c r="G58" s="137">
        <f>'Blendini Custom Cake - Slice'!G58*12</f>
        <v>0</v>
      </c>
      <c r="H58" s="137">
        <f>'Blendini Custom Cake - Slice'!H58*12</f>
        <v>0</v>
      </c>
      <c r="I58" s="137">
        <f>'Blendini Custom Cake - Slice'!I58*12</f>
        <v>0</v>
      </c>
      <c r="J58" s="137">
        <f>'Blendini Custom Cake - Slice'!J58*12</f>
        <v>96</v>
      </c>
      <c r="K58" s="137">
        <f>'Blendini Custom Cake - Slice'!K58*12</f>
        <v>0</v>
      </c>
      <c r="L58" s="137">
        <f>'Blendini Custom Cake - Slice'!L58*12</f>
        <v>96</v>
      </c>
      <c r="M58" s="137">
        <f>'Blendini Custom Cake - Slice'!M58*12</f>
        <v>96</v>
      </c>
      <c r="N58" s="137">
        <f>'Blendini Custom Cake - Slice'!N58*12</f>
        <v>0</v>
      </c>
      <c r="O58" s="137">
        <f>'Blendini Custom Cake - Slice'!O58*12</f>
        <v>0</v>
      </c>
      <c r="P58" s="137">
        <f>'Blendini Custom Cake - Slice'!P58*12</f>
        <v>0</v>
      </c>
      <c r="Q58" s="137">
        <f>'Blendini Custom Cake - Slice'!Q58*12</f>
        <v>24</v>
      </c>
      <c r="R58" s="137">
        <f>'Blendini Custom Cake - Slice'!R58*12</f>
        <v>0</v>
      </c>
      <c r="S58" s="137">
        <f>'Blendini Custom Cake - Slice'!S58*12</f>
        <v>0</v>
      </c>
      <c r="T58" s="137">
        <f>'Blendini Custom Cake - Slice'!T58*12</f>
        <v>0</v>
      </c>
      <c r="U58" s="137">
        <f>'Blendini Custom Cake - Slice'!U58*12</f>
        <v>36</v>
      </c>
      <c r="V58" s="137">
        <f>'Blendini Custom Cake - Slice'!V58*12</f>
        <v>0</v>
      </c>
      <c r="W58" s="137">
        <f>'Blendini Custom Cake - Slice'!W58*12</f>
        <v>0</v>
      </c>
      <c r="X58" s="138">
        <f>'Blendini Custom Cake - Slice'!X58*12</f>
        <v>72</v>
      </c>
    </row>
    <row r="59" spans="1:24" ht="14.6">
      <c r="A59" s="1318"/>
      <c r="B59" s="54" t="s">
        <v>84</v>
      </c>
      <c r="C59" s="136">
        <f>'Blendini Custom Cake - Slice'!C59*12</f>
        <v>480</v>
      </c>
      <c r="D59" s="136">
        <f>'Blendini Custom Cake - Slice'!D59*12</f>
        <v>0</v>
      </c>
      <c r="E59" s="136">
        <f>'Blendini Custom Cake - Slice'!E59*12</f>
        <v>0</v>
      </c>
      <c r="F59" s="136">
        <f>'Blendini Custom Cake - Slice'!F59*12</f>
        <v>0</v>
      </c>
      <c r="G59" s="136">
        <f>'Blendini Custom Cake - Slice'!G59*12</f>
        <v>0</v>
      </c>
      <c r="H59" s="136">
        <f>'Blendini Custom Cake - Slice'!H59*12</f>
        <v>0</v>
      </c>
      <c r="I59" s="136">
        <f>'Blendini Custom Cake - Slice'!I59*12</f>
        <v>0</v>
      </c>
      <c r="J59" s="136">
        <f>'Blendini Custom Cake - Slice'!J59*12</f>
        <v>96</v>
      </c>
      <c r="K59" s="136">
        <f>'Blendini Custom Cake - Slice'!K59*12</f>
        <v>0</v>
      </c>
      <c r="L59" s="136">
        <f>'Blendini Custom Cake - Slice'!L59*12</f>
        <v>84</v>
      </c>
      <c r="M59" s="136">
        <f>'Blendini Custom Cake - Slice'!M59*12</f>
        <v>84</v>
      </c>
      <c r="N59" s="136">
        <f>'Blendini Custom Cake - Slice'!N59*12</f>
        <v>0</v>
      </c>
      <c r="O59" s="136">
        <f>'Blendini Custom Cake - Slice'!O59*12</f>
        <v>0</v>
      </c>
      <c r="P59" s="136">
        <f>'Blendini Custom Cake - Slice'!P59*12</f>
        <v>0</v>
      </c>
      <c r="Q59" s="136">
        <f>'Blendini Custom Cake - Slice'!Q59*12</f>
        <v>48</v>
      </c>
      <c r="R59" s="136">
        <f>'Blendini Custom Cake - Slice'!R59*12</f>
        <v>0</v>
      </c>
      <c r="S59" s="136">
        <f>'Blendini Custom Cake - Slice'!S59*12</f>
        <v>0</v>
      </c>
      <c r="T59" s="136">
        <f>'Blendini Custom Cake - Slice'!T59*12</f>
        <v>0</v>
      </c>
      <c r="U59" s="136">
        <f>'Blendini Custom Cake - Slice'!U59*12</f>
        <v>276</v>
      </c>
      <c r="V59" s="136">
        <f>'Blendini Custom Cake - Slice'!V59*12</f>
        <v>0</v>
      </c>
      <c r="W59" s="136">
        <f>'Blendini Custom Cake - Slice'!W59*12</f>
        <v>0</v>
      </c>
      <c r="X59" s="143">
        <f>'Blendini Custom Cake - Slice'!X59*12</f>
        <v>24</v>
      </c>
    </row>
    <row r="60" spans="1:24" ht="14.6">
      <c r="A60" s="1318"/>
      <c r="B60" s="54" t="s">
        <v>85</v>
      </c>
      <c r="C60" s="136">
        <f>'Blendini Custom Cake - Slice'!C60*12</f>
        <v>420</v>
      </c>
      <c r="D60" s="136">
        <f>'Blendini Custom Cake - Slice'!D60*12</f>
        <v>0</v>
      </c>
      <c r="E60" s="136">
        <f>'Blendini Custom Cake - Slice'!E60*12</f>
        <v>0</v>
      </c>
      <c r="F60" s="136">
        <f>'Blendini Custom Cake - Slice'!F60*12</f>
        <v>0</v>
      </c>
      <c r="G60" s="136">
        <f>'Blendini Custom Cake - Slice'!G60*12</f>
        <v>0</v>
      </c>
      <c r="H60" s="136">
        <f>'Blendini Custom Cake - Slice'!H60*12</f>
        <v>0</v>
      </c>
      <c r="I60" s="136">
        <f>'Blendini Custom Cake - Slice'!I60*12</f>
        <v>0</v>
      </c>
      <c r="J60" s="136">
        <f>'Blendini Custom Cake - Slice'!J60*12</f>
        <v>96</v>
      </c>
      <c r="K60" s="136">
        <f>'Blendini Custom Cake - Slice'!K60*12</f>
        <v>0</v>
      </c>
      <c r="L60" s="136">
        <f>'Blendini Custom Cake - Slice'!L60*12</f>
        <v>96</v>
      </c>
      <c r="M60" s="136">
        <f>'Blendini Custom Cake - Slice'!M60*12</f>
        <v>84</v>
      </c>
      <c r="N60" s="136">
        <f>'Blendini Custom Cake - Slice'!N60*12</f>
        <v>0</v>
      </c>
      <c r="O60" s="137">
        <f>'Blendini Custom Cake - Slice'!O60*12</f>
        <v>0</v>
      </c>
      <c r="P60" s="137">
        <f>'Blendini Custom Cake - Slice'!P60*12</f>
        <v>0</v>
      </c>
      <c r="Q60" s="137">
        <f>'Blendini Custom Cake - Slice'!Q60*12</f>
        <v>36</v>
      </c>
      <c r="R60" s="137">
        <f>'Blendini Custom Cake - Slice'!R60*12</f>
        <v>0</v>
      </c>
      <c r="S60" s="137">
        <f>'Blendini Custom Cake - Slice'!S60*12</f>
        <v>0</v>
      </c>
      <c r="T60" s="137">
        <f>'Blendini Custom Cake - Slice'!T60*12</f>
        <v>0</v>
      </c>
      <c r="U60" s="137">
        <f>'Blendini Custom Cake - Slice'!U60*12</f>
        <v>168</v>
      </c>
      <c r="V60" s="137">
        <f>'Blendini Custom Cake - Slice'!V60*12</f>
        <v>0</v>
      </c>
      <c r="W60" s="137">
        <f>'Blendini Custom Cake - Slice'!W60*12</f>
        <v>0</v>
      </c>
      <c r="X60" s="138">
        <f>'Blendini Custom Cake - Slice'!X60*12</f>
        <v>480</v>
      </c>
    </row>
    <row r="61" spans="1:24" ht="14.6">
      <c r="A61" s="1318"/>
      <c r="B61" s="54" t="s">
        <v>379</v>
      </c>
      <c r="C61" s="136">
        <f>'Blendini Custom Cake - Slice'!C61*12</f>
        <v>420</v>
      </c>
      <c r="D61" s="136">
        <f>'Blendini Custom Cake - Slice'!D61*12</f>
        <v>0</v>
      </c>
      <c r="E61" s="136">
        <f>'Blendini Custom Cake - Slice'!E61*12</f>
        <v>0</v>
      </c>
      <c r="F61" s="136">
        <f>'Blendini Custom Cake - Slice'!F61*12</f>
        <v>0</v>
      </c>
      <c r="G61" s="136">
        <f>'Blendini Custom Cake - Slice'!G61*12</f>
        <v>0</v>
      </c>
      <c r="H61" s="136">
        <f>'Blendini Custom Cake - Slice'!H61*12</f>
        <v>0</v>
      </c>
      <c r="I61" s="136">
        <f>'Blendini Custom Cake - Slice'!I61*12</f>
        <v>0</v>
      </c>
      <c r="J61" s="136">
        <f>'Blendini Custom Cake - Slice'!J61*12</f>
        <v>96</v>
      </c>
      <c r="K61" s="136">
        <f>'Blendini Custom Cake - Slice'!K61*12</f>
        <v>0</v>
      </c>
      <c r="L61" s="136">
        <f>'Blendini Custom Cake - Slice'!L61*12</f>
        <v>96</v>
      </c>
      <c r="M61" s="136">
        <f>'Blendini Custom Cake - Slice'!M61*12</f>
        <v>84</v>
      </c>
      <c r="N61" s="136">
        <f>'Blendini Custom Cake - Slice'!N61*12</f>
        <v>0</v>
      </c>
      <c r="O61" s="137">
        <f>'Blendini Custom Cake - Slice'!O61*12</f>
        <v>0</v>
      </c>
      <c r="P61" s="137">
        <f>'Blendini Custom Cake - Slice'!P61*12</f>
        <v>0</v>
      </c>
      <c r="Q61" s="137">
        <f>'Blendini Custom Cake - Slice'!Q61*12</f>
        <v>24</v>
      </c>
      <c r="R61" s="137">
        <f>'Blendini Custom Cake - Slice'!R61*12</f>
        <v>0</v>
      </c>
      <c r="S61" s="137">
        <f>'Blendini Custom Cake - Slice'!S61*12</f>
        <v>0</v>
      </c>
      <c r="T61" s="137">
        <f>'Blendini Custom Cake - Slice'!T61*12</f>
        <v>0</v>
      </c>
      <c r="U61" s="137">
        <f>'Blendini Custom Cake - Slice'!U61*12</f>
        <v>132</v>
      </c>
      <c r="V61" s="137">
        <f>'Blendini Custom Cake - Slice'!V61*12</f>
        <v>0</v>
      </c>
      <c r="W61" s="137">
        <f>'Blendini Custom Cake - Slice'!W61*12</f>
        <v>0</v>
      </c>
      <c r="X61" s="138">
        <f>'Blendini Custom Cake - Slice'!X61*12</f>
        <v>360</v>
      </c>
    </row>
    <row r="62" spans="1:24" ht="14.6">
      <c r="A62" s="1318"/>
      <c r="B62" s="54" t="s">
        <v>88</v>
      </c>
      <c r="C62" s="136">
        <f>'Blendini Custom Cake - Slice'!C62*12</f>
        <v>420</v>
      </c>
      <c r="D62" s="136">
        <f>'Blendini Custom Cake - Slice'!D62*12</f>
        <v>0</v>
      </c>
      <c r="E62" s="136">
        <f>'Blendini Custom Cake - Slice'!E62*12</f>
        <v>0</v>
      </c>
      <c r="F62" s="136">
        <f>'Blendini Custom Cake - Slice'!F62*12</f>
        <v>0</v>
      </c>
      <c r="G62" s="136">
        <f>'Blendini Custom Cake - Slice'!G62*12</f>
        <v>0</v>
      </c>
      <c r="H62" s="136">
        <f>'Blendini Custom Cake - Slice'!H62*12</f>
        <v>0</v>
      </c>
      <c r="I62" s="136">
        <f>'Blendini Custom Cake - Slice'!I62*12</f>
        <v>0</v>
      </c>
      <c r="J62" s="136">
        <f>'Blendini Custom Cake - Slice'!J62*12</f>
        <v>108</v>
      </c>
      <c r="K62" s="136">
        <f>'Blendini Custom Cake - Slice'!K62*12</f>
        <v>0</v>
      </c>
      <c r="L62" s="136">
        <f>'Blendini Custom Cake - Slice'!L62*12</f>
        <v>96</v>
      </c>
      <c r="M62" s="136">
        <f>'Blendini Custom Cake - Slice'!M62*12</f>
        <v>96</v>
      </c>
      <c r="N62" s="136">
        <f>'Blendini Custom Cake - Slice'!N62*12</f>
        <v>0</v>
      </c>
      <c r="O62" s="136">
        <f>'Blendini Custom Cake - Slice'!O62*12</f>
        <v>0</v>
      </c>
      <c r="P62" s="136">
        <f>'Blendini Custom Cake - Slice'!P62*12</f>
        <v>0</v>
      </c>
      <c r="Q62" s="136">
        <f>'Blendini Custom Cake - Slice'!Q62*12</f>
        <v>24</v>
      </c>
      <c r="R62" s="136">
        <f>'Blendini Custom Cake - Slice'!R62*12</f>
        <v>0</v>
      </c>
      <c r="S62" s="136">
        <f>'Blendini Custom Cake - Slice'!S62*12</f>
        <v>0</v>
      </c>
      <c r="T62" s="136">
        <f>'Blendini Custom Cake - Slice'!T62*12</f>
        <v>0</v>
      </c>
      <c r="U62" s="136">
        <f>'Blendini Custom Cake - Slice'!U62*12</f>
        <v>96</v>
      </c>
      <c r="V62" s="136">
        <f>'Blendini Custom Cake - Slice'!V62*12</f>
        <v>0</v>
      </c>
      <c r="W62" s="136">
        <f>'Blendini Custom Cake - Slice'!W62*12</f>
        <v>0</v>
      </c>
      <c r="X62" s="143">
        <f>'Blendini Custom Cake - Slice'!X62*12</f>
        <v>240</v>
      </c>
    </row>
    <row r="63" spans="1:24" ht="14.6">
      <c r="A63" s="1318"/>
      <c r="B63" s="54" t="s">
        <v>87</v>
      </c>
      <c r="C63" s="136">
        <f>'Blendini Custom Cake - Slice'!C63*12</f>
        <v>360</v>
      </c>
      <c r="D63" s="136">
        <f>'Blendini Custom Cake - Slice'!D63*12</f>
        <v>0</v>
      </c>
      <c r="E63" s="136">
        <f>'Blendini Custom Cake - Slice'!E63*12</f>
        <v>0</v>
      </c>
      <c r="F63" s="136">
        <f>'Blendini Custom Cake - Slice'!F63*12</f>
        <v>0</v>
      </c>
      <c r="G63" s="136">
        <f>'Blendini Custom Cake - Slice'!G63*12</f>
        <v>0</v>
      </c>
      <c r="H63" s="136">
        <f>'Blendini Custom Cake - Slice'!H63*12</f>
        <v>0</v>
      </c>
      <c r="I63" s="136">
        <f>'Blendini Custom Cake - Slice'!I63*12</f>
        <v>0</v>
      </c>
      <c r="J63" s="136">
        <f>'Blendini Custom Cake - Slice'!J63*12</f>
        <v>96</v>
      </c>
      <c r="K63" s="136">
        <f>'Blendini Custom Cake - Slice'!K63*12</f>
        <v>0</v>
      </c>
      <c r="L63" s="136">
        <f>'Blendini Custom Cake - Slice'!L63*12</f>
        <v>84</v>
      </c>
      <c r="M63" s="136">
        <f>'Blendini Custom Cake - Slice'!M63*12</f>
        <v>84</v>
      </c>
      <c r="N63" s="136">
        <f>'Blendini Custom Cake - Slice'!N63*12</f>
        <v>0</v>
      </c>
      <c r="O63" s="137">
        <f>'Blendini Custom Cake - Slice'!O63*12</f>
        <v>0</v>
      </c>
      <c r="P63" s="137">
        <f>'Blendini Custom Cake - Slice'!P63*12</f>
        <v>0</v>
      </c>
      <c r="Q63" s="137">
        <f>'Blendini Custom Cake - Slice'!Q63*12</f>
        <v>24</v>
      </c>
      <c r="R63" s="137">
        <f>'Blendini Custom Cake - Slice'!R63*12</f>
        <v>0</v>
      </c>
      <c r="S63" s="137">
        <f>'Blendini Custom Cake - Slice'!S63*12</f>
        <v>0</v>
      </c>
      <c r="T63" s="137">
        <f>'Blendini Custom Cake - Slice'!T63*12</f>
        <v>0</v>
      </c>
      <c r="U63" s="137">
        <f>'Blendini Custom Cake - Slice'!U63*12</f>
        <v>24</v>
      </c>
      <c r="V63" s="137">
        <f>'Blendini Custom Cake - Slice'!V63*12</f>
        <v>0</v>
      </c>
      <c r="W63" s="137">
        <f>'Blendini Custom Cake - Slice'!W63*12</f>
        <v>0</v>
      </c>
      <c r="X63" s="138">
        <f>'Blendini Custom Cake - Slice'!X63*12</f>
        <v>72</v>
      </c>
    </row>
    <row r="64" spans="1:24" ht="14.6">
      <c r="A64" s="1318"/>
      <c r="B64" s="54" t="s">
        <v>89</v>
      </c>
      <c r="C64" s="137">
        <f>'Blendini Custom Cake - Slice'!C64*12</f>
        <v>540</v>
      </c>
      <c r="D64" s="137">
        <f>'Blendini Custom Cake - Slice'!D64*12</f>
        <v>0</v>
      </c>
      <c r="E64" s="137">
        <f>'Blendini Custom Cake - Slice'!E64*12</f>
        <v>0</v>
      </c>
      <c r="F64" s="137">
        <f>'Blendini Custom Cake - Slice'!F64*12</f>
        <v>0</v>
      </c>
      <c r="G64" s="137">
        <f>'Blendini Custom Cake - Slice'!G64*12</f>
        <v>0</v>
      </c>
      <c r="H64" s="137">
        <f>'Blendini Custom Cake - Slice'!H64*12</f>
        <v>0</v>
      </c>
      <c r="I64" s="137">
        <f>'Blendini Custom Cake - Slice'!I64*12</f>
        <v>0</v>
      </c>
      <c r="J64" s="137">
        <f>'Blendini Custom Cake - Slice'!J64*12</f>
        <v>84</v>
      </c>
      <c r="K64" s="137">
        <f>'Blendini Custom Cake - Slice'!K64*12</f>
        <v>0</v>
      </c>
      <c r="L64" s="137">
        <f>'Blendini Custom Cake - Slice'!L64*12</f>
        <v>72</v>
      </c>
      <c r="M64" s="137">
        <f>'Blendini Custom Cake - Slice'!M64*12</f>
        <v>72</v>
      </c>
      <c r="N64" s="137">
        <f>'Blendini Custom Cake - Slice'!N64*12</f>
        <v>0</v>
      </c>
      <c r="O64" s="137">
        <f>'Blendini Custom Cake - Slice'!O64*12</f>
        <v>0</v>
      </c>
      <c r="P64" s="137">
        <f>'Blendini Custom Cake - Slice'!P64*12</f>
        <v>0</v>
      </c>
      <c r="Q64" s="137">
        <f>'Blendini Custom Cake - Slice'!Q64*12</f>
        <v>60</v>
      </c>
      <c r="R64" s="137">
        <f>'Blendini Custom Cake - Slice'!R64*12</f>
        <v>0</v>
      </c>
      <c r="S64" s="137">
        <f>'Blendini Custom Cake - Slice'!S64*12</f>
        <v>0</v>
      </c>
      <c r="T64" s="137">
        <f>'Blendini Custom Cake - Slice'!T64*12</f>
        <v>0</v>
      </c>
      <c r="U64" s="137">
        <f>'Blendini Custom Cake - Slice'!U64*12</f>
        <v>492</v>
      </c>
      <c r="V64" s="137">
        <f>'Blendini Custom Cake - Slice'!V64*12</f>
        <v>0</v>
      </c>
      <c r="W64" s="137">
        <f>'Blendini Custom Cake - Slice'!W64*12</f>
        <v>0</v>
      </c>
      <c r="X64" s="138">
        <f>'Blendini Custom Cake - Slice'!X64*12</f>
        <v>0</v>
      </c>
    </row>
    <row r="65" spans="1:24" ht="14.6">
      <c r="A65" s="1318"/>
      <c r="B65" s="54" t="s">
        <v>90</v>
      </c>
      <c r="C65" s="137">
        <f>'Blendini Custom Cake - Slice'!C65*12</f>
        <v>480</v>
      </c>
      <c r="D65" s="137">
        <f>'Blendini Custom Cake - Slice'!D65*12</f>
        <v>0</v>
      </c>
      <c r="E65" s="137">
        <f>'Blendini Custom Cake - Slice'!E65*12</f>
        <v>0</v>
      </c>
      <c r="F65" s="137">
        <f>'Blendini Custom Cake - Slice'!F65*12</f>
        <v>0</v>
      </c>
      <c r="G65" s="137">
        <f>'Blendini Custom Cake - Slice'!G65*12</f>
        <v>0</v>
      </c>
      <c r="H65" s="137">
        <f>'Blendini Custom Cake - Slice'!H65*12</f>
        <v>0</v>
      </c>
      <c r="I65" s="137">
        <f>'Blendini Custom Cake - Slice'!I65*12</f>
        <v>0</v>
      </c>
      <c r="J65" s="137">
        <f>'Blendini Custom Cake - Slice'!J65*12</f>
        <v>84</v>
      </c>
      <c r="K65" s="137">
        <f>'Blendini Custom Cake - Slice'!K65*12</f>
        <v>0</v>
      </c>
      <c r="L65" s="137">
        <f>'Blendini Custom Cake - Slice'!L65*12</f>
        <v>84</v>
      </c>
      <c r="M65" s="137">
        <f>'Blendini Custom Cake - Slice'!M65*12</f>
        <v>84</v>
      </c>
      <c r="N65" s="137">
        <f>'Blendini Custom Cake - Slice'!N65*12</f>
        <v>0</v>
      </c>
      <c r="O65" s="137">
        <f>'Blendini Custom Cake - Slice'!O65*12</f>
        <v>0</v>
      </c>
      <c r="P65" s="137">
        <f>'Blendini Custom Cake - Slice'!P65*12</f>
        <v>0</v>
      </c>
      <c r="Q65" s="137">
        <f>'Blendini Custom Cake - Slice'!Q65*12</f>
        <v>48</v>
      </c>
      <c r="R65" s="137">
        <f>'Blendini Custom Cake - Slice'!R65*12</f>
        <v>0</v>
      </c>
      <c r="S65" s="137">
        <f>'Blendini Custom Cake - Slice'!S65*12</f>
        <v>0</v>
      </c>
      <c r="T65" s="137">
        <f>'Blendini Custom Cake - Slice'!T65*12</f>
        <v>0</v>
      </c>
      <c r="U65" s="137">
        <f>'Blendini Custom Cake - Slice'!U65*12</f>
        <v>324</v>
      </c>
      <c r="V65" s="137">
        <f>'Blendini Custom Cake - Slice'!V65*12</f>
        <v>0</v>
      </c>
      <c r="W65" s="137">
        <f>'Blendini Custom Cake - Slice'!W65*12</f>
        <v>0</v>
      </c>
      <c r="X65" s="138">
        <f>'Blendini Custom Cake - Slice'!X65*12</f>
        <v>24</v>
      </c>
    </row>
    <row r="66" spans="1:24" ht="15" thickBot="1">
      <c r="A66" s="1319"/>
      <c r="B66" s="55" t="s">
        <v>91</v>
      </c>
      <c r="C66" s="144">
        <f>'Blendini Custom Cake - Slice'!C66*12</f>
        <v>420</v>
      </c>
      <c r="D66" s="144">
        <f>'Blendini Custom Cake - Slice'!D66*12</f>
        <v>0</v>
      </c>
      <c r="E66" s="144">
        <f>'Blendini Custom Cake - Slice'!E66*12</f>
        <v>0</v>
      </c>
      <c r="F66" s="144">
        <f>'Blendini Custom Cake - Slice'!F66*12</f>
        <v>0</v>
      </c>
      <c r="G66" s="144">
        <f>'Blendini Custom Cake - Slice'!G66*12</f>
        <v>0</v>
      </c>
      <c r="H66" s="144">
        <f>'Blendini Custom Cake - Slice'!H66*12</f>
        <v>0</v>
      </c>
      <c r="I66" s="144">
        <f>'Blendini Custom Cake - Slice'!I66*12</f>
        <v>0</v>
      </c>
      <c r="J66" s="144">
        <f>'Blendini Custom Cake - Slice'!J66*12</f>
        <v>84</v>
      </c>
      <c r="K66" s="144">
        <f>'Blendini Custom Cake - Slice'!K66*12</f>
        <v>0</v>
      </c>
      <c r="L66" s="144">
        <f>'Blendini Custom Cake - Slice'!L66*12</f>
        <v>72</v>
      </c>
      <c r="M66" s="144">
        <f>'Blendini Custom Cake - Slice'!M66*12</f>
        <v>72</v>
      </c>
      <c r="N66" s="144">
        <f>'Blendini Custom Cake - Slice'!N66*12</f>
        <v>0</v>
      </c>
      <c r="O66" s="144">
        <f>'Blendini Custom Cake - Slice'!O66*12</f>
        <v>0</v>
      </c>
      <c r="P66" s="144">
        <f>'Blendini Custom Cake - Slice'!P66*12</f>
        <v>0</v>
      </c>
      <c r="Q66" s="144">
        <f>'Blendini Custom Cake - Slice'!Q66*12</f>
        <v>48</v>
      </c>
      <c r="R66" s="144">
        <f>'Blendini Custom Cake - Slice'!R66*12</f>
        <v>0</v>
      </c>
      <c r="S66" s="144">
        <f>'Blendini Custom Cake - Slice'!S66*12</f>
        <v>0</v>
      </c>
      <c r="T66" s="144">
        <f>'Blendini Custom Cake - Slice'!T66*12</f>
        <v>0</v>
      </c>
      <c r="U66" s="144">
        <f>'Blendini Custom Cake - Slice'!U66*12</f>
        <v>300</v>
      </c>
      <c r="V66" s="144">
        <f>'Blendini Custom Cake - Slice'!V66*12</f>
        <v>0</v>
      </c>
      <c r="W66" s="144">
        <f>'Blendini Custom Cake - Slice'!W66*12</f>
        <v>0</v>
      </c>
      <c r="X66" s="145">
        <f>'Blendini Custom Cake - Slice'!X66*12</f>
        <v>72</v>
      </c>
    </row>
    <row r="67" spans="1:24" ht="14.6">
      <c r="A67" s="1317" t="s">
        <v>92</v>
      </c>
      <c r="B67" s="53" t="s">
        <v>94</v>
      </c>
      <c r="C67" s="133">
        <f>'Blendini Custom Cake - Slice'!C67*12</f>
        <v>600</v>
      </c>
      <c r="D67" s="133">
        <f>'Blendini Custom Cake - Slice'!D67*12</f>
        <v>60</v>
      </c>
      <c r="E67" s="133">
        <f>'Blendini Custom Cake - Slice'!E67*12</f>
        <v>6</v>
      </c>
      <c r="F67" s="133">
        <f>'Blendini Custom Cake - Slice'!F67*12</f>
        <v>0</v>
      </c>
      <c r="G67" s="133">
        <f>'Blendini Custom Cake - Slice'!G67*12</f>
        <v>0</v>
      </c>
      <c r="H67" s="133">
        <f>'Blendini Custom Cake - Slice'!H67*12</f>
        <v>0</v>
      </c>
      <c r="I67" s="133">
        <f>'Blendini Custom Cake - Slice'!I67*12</f>
        <v>300</v>
      </c>
      <c r="J67" s="133">
        <f>'Blendini Custom Cake - Slice'!J67*12</f>
        <v>132</v>
      </c>
      <c r="K67" s="133">
        <f>'Blendini Custom Cake - Slice'!K67*12</f>
        <v>0</v>
      </c>
      <c r="L67" s="133">
        <f>'Blendini Custom Cake - Slice'!L67*12</f>
        <v>120</v>
      </c>
      <c r="M67" s="133">
        <f>'Blendini Custom Cake - Slice'!M67*12</f>
        <v>96</v>
      </c>
      <c r="N67" s="133">
        <f>'Blendini Custom Cake - Slice'!N67*12</f>
        <v>0</v>
      </c>
      <c r="O67" s="134">
        <f>'Blendini Custom Cake - Slice'!O67*12</f>
        <v>0</v>
      </c>
      <c r="P67" s="134">
        <f>'Blendini Custom Cake - Slice'!P67*12</f>
        <v>0</v>
      </c>
      <c r="Q67" s="134">
        <f>'Blendini Custom Cake - Slice'!Q67*12</f>
        <v>60</v>
      </c>
      <c r="R67" s="134">
        <f>'Blendini Custom Cake - Slice'!R67*12</f>
        <v>0</v>
      </c>
      <c r="S67" s="134">
        <f>'Blendini Custom Cake - Slice'!S67*12</f>
        <v>0</v>
      </c>
      <c r="T67" s="134">
        <f>'Blendini Custom Cake - Slice'!T67*12</f>
        <v>0</v>
      </c>
      <c r="U67" s="134">
        <f>'Blendini Custom Cake - Slice'!U67*12</f>
        <v>12</v>
      </c>
      <c r="V67" s="134">
        <f>'Blendini Custom Cake - Slice'!V67*12</f>
        <v>0</v>
      </c>
      <c r="W67" s="134">
        <f>'Blendini Custom Cake - Slice'!W67*12</f>
        <v>0</v>
      </c>
      <c r="X67" s="135">
        <f>'Blendini Custom Cake - Slice'!X67*12</f>
        <v>0</v>
      </c>
    </row>
    <row r="68" spans="1:24" ht="14.6">
      <c r="A68" s="1318"/>
      <c r="B68" s="54" t="s">
        <v>93</v>
      </c>
      <c r="C68" s="87">
        <f>'Blendini Custom Cake - Slice'!C68*12</f>
        <v>600</v>
      </c>
      <c r="D68" s="87">
        <f>'Blendini Custom Cake - Slice'!D68*12</f>
        <v>60</v>
      </c>
      <c r="E68" s="87">
        <f>'Blendini Custom Cake - Slice'!E68*12</f>
        <v>6</v>
      </c>
      <c r="F68" s="87">
        <f>'Blendini Custom Cake - Slice'!F68*12</f>
        <v>6</v>
      </c>
      <c r="G68" s="87">
        <f>'Blendini Custom Cake - Slice'!G68*12</f>
        <v>0</v>
      </c>
      <c r="H68" s="87">
        <f>'Blendini Custom Cake - Slice'!H68*12</f>
        <v>0</v>
      </c>
      <c r="I68" s="87">
        <f>'Blendini Custom Cake - Slice'!I68*12</f>
        <v>60</v>
      </c>
      <c r="J68" s="87">
        <f>'Blendini Custom Cake - Slice'!J68*12</f>
        <v>132</v>
      </c>
      <c r="K68" s="87">
        <f>'Blendini Custom Cake - Slice'!K68*12</f>
        <v>0</v>
      </c>
      <c r="L68" s="87">
        <f>'Blendini Custom Cake - Slice'!L68*12</f>
        <v>120</v>
      </c>
      <c r="M68" s="87">
        <f>'Blendini Custom Cake - Slice'!M68*12</f>
        <v>48</v>
      </c>
      <c r="N68" s="87">
        <f>'Blendini Custom Cake - Slice'!N68*12</f>
        <v>0</v>
      </c>
      <c r="O68" s="88">
        <f>'Blendini Custom Cake - Slice'!O68*12</f>
        <v>0</v>
      </c>
      <c r="P68" s="88">
        <f>'Blendini Custom Cake - Slice'!P68*12</f>
        <v>0</v>
      </c>
      <c r="Q68" s="88">
        <f>'Blendini Custom Cake - Slice'!Q68*12</f>
        <v>24</v>
      </c>
      <c r="R68" s="88">
        <f>'Blendini Custom Cake - Slice'!R68*12</f>
        <v>0</v>
      </c>
      <c r="S68" s="88">
        <f>'Blendini Custom Cake - Slice'!S68*12</f>
        <v>0</v>
      </c>
      <c r="T68" s="88">
        <f>'Blendini Custom Cake - Slice'!T68*12</f>
        <v>0</v>
      </c>
      <c r="U68" s="88">
        <f>'Blendini Custom Cake - Slice'!U68*12</f>
        <v>12</v>
      </c>
      <c r="V68" s="88">
        <f>'Blendini Custom Cake - Slice'!V68*12</f>
        <v>0</v>
      </c>
      <c r="W68" s="88">
        <f>'Blendini Custom Cake - Slice'!W68*12</f>
        <v>0</v>
      </c>
      <c r="X68" s="89">
        <f>'Blendini Custom Cake - Slice'!X68*12</f>
        <v>0</v>
      </c>
    </row>
    <row r="69" spans="1:24" ht="14.6">
      <c r="A69" s="1318"/>
      <c r="B69" s="54" t="s">
        <v>95</v>
      </c>
      <c r="C69" s="136">
        <f>'Blendini Custom Cake - Slice'!C69*12</f>
        <v>540</v>
      </c>
      <c r="D69" s="136">
        <f>'Blendini Custom Cake - Slice'!D69*12</f>
        <v>60</v>
      </c>
      <c r="E69" s="136">
        <f>'Blendini Custom Cake - Slice'!E69*12</f>
        <v>6</v>
      </c>
      <c r="F69" s="136">
        <f>'Blendini Custom Cake - Slice'!F69*12</f>
        <v>0</v>
      </c>
      <c r="G69" s="136">
        <f>'Blendini Custom Cake - Slice'!G69*12</f>
        <v>0</v>
      </c>
      <c r="H69" s="136">
        <f>'Blendini Custom Cake - Slice'!H69*12</f>
        <v>0</v>
      </c>
      <c r="I69" s="136">
        <f>'Blendini Custom Cake - Slice'!I69*12</f>
        <v>120</v>
      </c>
      <c r="J69" s="136">
        <f>'Blendini Custom Cake - Slice'!J69*12</f>
        <v>132</v>
      </c>
      <c r="K69" s="136">
        <f>'Blendini Custom Cake - Slice'!K69*12</f>
        <v>0</v>
      </c>
      <c r="L69" s="136">
        <f>'Blendini Custom Cake - Slice'!L69*12</f>
        <v>120</v>
      </c>
      <c r="M69" s="136">
        <f>'Blendini Custom Cake - Slice'!M69*12</f>
        <v>48</v>
      </c>
      <c r="N69" s="136">
        <f>'Blendini Custom Cake - Slice'!N69*12</f>
        <v>0</v>
      </c>
      <c r="O69" s="137">
        <f>'Blendini Custom Cake - Slice'!O69*12</f>
        <v>0</v>
      </c>
      <c r="P69" s="137">
        <f>'Blendini Custom Cake - Slice'!P69*12</f>
        <v>0</v>
      </c>
      <c r="Q69" s="137">
        <f>'Blendini Custom Cake - Slice'!Q69*12</f>
        <v>24</v>
      </c>
      <c r="R69" s="137">
        <f>'Blendini Custom Cake - Slice'!R69*12</f>
        <v>0</v>
      </c>
      <c r="S69" s="137">
        <f>'Blendini Custom Cake - Slice'!S69*12</f>
        <v>0</v>
      </c>
      <c r="T69" s="137">
        <f>'Blendini Custom Cake - Slice'!T69*12</f>
        <v>0</v>
      </c>
      <c r="U69" s="137">
        <f>'Blendini Custom Cake - Slice'!U69*12</f>
        <v>12</v>
      </c>
      <c r="V69" s="137">
        <f>'Blendini Custom Cake - Slice'!V69*12</f>
        <v>0</v>
      </c>
      <c r="W69" s="137">
        <f>'Blendini Custom Cake - Slice'!W69*12</f>
        <v>0</v>
      </c>
      <c r="X69" s="138">
        <f>'Blendini Custom Cake - Slice'!X69*12</f>
        <v>0</v>
      </c>
    </row>
    <row r="70" spans="1:24" ht="14.6">
      <c r="A70" s="1318"/>
      <c r="B70" s="54" t="s">
        <v>97</v>
      </c>
      <c r="C70" s="136">
        <f>'Blendini Custom Cake - Slice'!C70*12</f>
        <v>600</v>
      </c>
      <c r="D70" s="136">
        <f>'Blendini Custom Cake - Slice'!D70*12</f>
        <v>60</v>
      </c>
      <c r="E70" s="136">
        <f>'Blendini Custom Cake - Slice'!E70*12</f>
        <v>6</v>
      </c>
      <c r="F70" s="136">
        <f>'Blendini Custom Cake - Slice'!F70*12</f>
        <v>0</v>
      </c>
      <c r="G70" s="136">
        <f>'Blendini Custom Cake - Slice'!G70*12</f>
        <v>0</v>
      </c>
      <c r="H70" s="136">
        <f>'Blendini Custom Cake - Slice'!H70*12</f>
        <v>0</v>
      </c>
      <c r="I70" s="136">
        <f>'Blendini Custom Cake - Slice'!I70*12</f>
        <v>240</v>
      </c>
      <c r="J70" s="136">
        <f>'Blendini Custom Cake - Slice'!J70*12</f>
        <v>144</v>
      </c>
      <c r="K70" s="136">
        <f>'Blendini Custom Cake - Slice'!K70*12</f>
        <v>0</v>
      </c>
      <c r="L70" s="136">
        <f>'Blendini Custom Cake - Slice'!L70*12</f>
        <v>132</v>
      </c>
      <c r="M70" s="136">
        <f>'Blendini Custom Cake - Slice'!M70*12</f>
        <v>96</v>
      </c>
      <c r="N70" s="136">
        <f>'Blendini Custom Cake - Slice'!N70*12</f>
        <v>0</v>
      </c>
      <c r="O70" s="140">
        <f>'Blendini Custom Cake - Slice'!O70*12</f>
        <v>0</v>
      </c>
      <c r="P70" s="140">
        <f>'Blendini Custom Cake - Slice'!P70*12</f>
        <v>0</v>
      </c>
      <c r="Q70" s="140">
        <f>'Blendini Custom Cake - Slice'!Q70*12</f>
        <v>24</v>
      </c>
      <c r="R70" s="140">
        <f>'Blendini Custom Cake - Slice'!R70*12</f>
        <v>0</v>
      </c>
      <c r="S70" s="140">
        <f>'Blendini Custom Cake - Slice'!S70*12</f>
        <v>0</v>
      </c>
      <c r="T70" s="140">
        <f>'Blendini Custom Cake - Slice'!T70*12</f>
        <v>0</v>
      </c>
      <c r="U70" s="140">
        <f>'Blendini Custom Cake - Slice'!U70*12</f>
        <v>48</v>
      </c>
      <c r="V70" s="140">
        <f>'Blendini Custom Cake - Slice'!V70*12</f>
        <v>0</v>
      </c>
      <c r="W70" s="140">
        <f>'Blendini Custom Cake - Slice'!W70*12</f>
        <v>0</v>
      </c>
      <c r="X70" s="141">
        <f>'Blendini Custom Cake - Slice'!X70*12</f>
        <v>0</v>
      </c>
    </row>
    <row r="71" spans="1:24" ht="14.6">
      <c r="A71" s="1318"/>
      <c r="B71" s="54" t="s">
        <v>98</v>
      </c>
      <c r="C71" s="136">
        <f>'Blendini Custom Cake - Slice'!C71*12</f>
        <v>540</v>
      </c>
      <c r="D71" s="136">
        <f>'Blendini Custom Cake - Slice'!D71*12</f>
        <v>60</v>
      </c>
      <c r="E71" s="136">
        <f>'Blendini Custom Cake - Slice'!E71*12</f>
        <v>6</v>
      </c>
      <c r="F71" s="136">
        <f>'Blendini Custom Cake - Slice'!F71*12</f>
        <v>0</v>
      </c>
      <c r="G71" s="136">
        <f>'Blendini Custom Cake - Slice'!G71*12</f>
        <v>0</v>
      </c>
      <c r="H71" s="136">
        <f>'Blendini Custom Cake - Slice'!H71*12</f>
        <v>0</v>
      </c>
      <c r="I71" s="136">
        <f>'Blendini Custom Cake - Slice'!I71*12</f>
        <v>120</v>
      </c>
      <c r="J71" s="136">
        <f>'Blendini Custom Cake - Slice'!J71*12</f>
        <v>120</v>
      </c>
      <c r="K71" s="136">
        <f>'Blendini Custom Cake - Slice'!K71*12</f>
        <v>0</v>
      </c>
      <c r="L71" s="136">
        <f>'Blendini Custom Cake - Slice'!L71*12</f>
        <v>120</v>
      </c>
      <c r="M71" s="136">
        <f>'Blendini Custom Cake - Slice'!M71*12</f>
        <v>48</v>
      </c>
      <c r="N71" s="136">
        <f>'Blendini Custom Cake - Slice'!N71*12</f>
        <v>0</v>
      </c>
      <c r="O71" s="137">
        <f>'Blendini Custom Cake - Slice'!O71*12</f>
        <v>0</v>
      </c>
      <c r="P71" s="137">
        <f>'Blendini Custom Cake - Slice'!P71*12</f>
        <v>0</v>
      </c>
      <c r="Q71" s="137">
        <f>'Blendini Custom Cake - Slice'!Q71*12</f>
        <v>12</v>
      </c>
      <c r="R71" s="137">
        <f>'Blendini Custom Cake - Slice'!R71*12</f>
        <v>0</v>
      </c>
      <c r="S71" s="137">
        <f>'Blendini Custom Cake - Slice'!S71*12</f>
        <v>0</v>
      </c>
      <c r="T71" s="137">
        <f>'Blendini Custom Cake - Slice'!T71*12</f>
        <v>0</v>
      </c>
      <c r="U71" s="137">
        <f>'Blendini Custom Cake - Slice'!U71*12</f>
        <v>12</v>
      </c>
      <c r="V71" s="137">
        <f>'Blendini Custom Cake - Slice'!V71*12</f>
        <v>0</v>
      </c>
      <c r="W71" s="137">
        <f>'Blendini Custom Cake - Slice'!W71*12</f>
        <v>0</v>
      </c>
      <c r="X71" s="138">
        <f>'Blendini Custom Cake - Slice'!X71*12</f>
        <v>0</v>
      </c>
    </row>
    <row r="72" spans="1:24" ht="14.6">
      <c r="A72" s="1318"/>
      <c r="B72" s="54" t="s">
        <v>99</v>
      </c>
      <c r="C72" s="87">
        <f>'Blendini Custom Cake - Slice'!C72*12</f>
        <v>600</v>
      </c>
      <c r="D72" s="87">
        <f>'Blendini Custom Cake - Slice'!D72*12</f>
        <v>120</v>
      </c>
      <c r="E72" s="87">
        <f>'Blendini Custom Cake - Slice'!E72*12</f>
        <v>12</v>
      </c>
      <c r="F72" s="87">
        <f>'Blendini Custom Cake - Slice'!F72*12</f>
        <v>6</v>
      </c>
      <c r="G72" s="87">
        <f>'Blendini Custom Cake - Slice'!G72*12</f>
        <v>0</v>
      </c>
      <c r="H72" s="87">
        <f>'Blendini Custom Cake - Slice'!H72*12</f>
        <v>0</v>
      </c>
      <c r="I72" s="87">
        <f>'Blendini Custom Cake - Slice'!I72*12</f>
        <v>120</v>
      </c>
      <c r="J72" s="87">
        <f>'Blendini Custom Cake - Slice'!J72*12</f>
        <v>132</v>
      </c>
      <c r="K72" s="87">
        <f>'Blendini Custom Cake - Slice'!K72*12</f>
        <v>0</v>
      </c>
      <c r="L72" s="87">
        <f>'Blendini Custom Cake - Slice'!L72*12</f>
        <v>120</v>
      </c>
      <c r="M72" s="87">
        <f>'Blendini Custom Cake - Slice'!M72*12</f>
        <v>48</v>
      </c>
      <c r="N72" s="87">
        <f>'Blendini Custom Cake - Slice'!N72*12</f>
        <v>0</v>
      </c>
      <c r="O72" s="85">
        <f>'Blendini Custom Cake - Slice'!O72*12</f>
        <v>0</v>
      </c>
      <c r="P72" s="85">
        <f>'Blendini Custom Cake - Slice'!P72*12</f>
        <v>0</v>
      </c>
      <c r="Q72" s="85">
        <f>'Blendini Custom Cake - Slice'!Q72*12</f>
        <v>24</v>
      </c>
      <c r="R72" s="85">
        <f>'Blendini Custom Cake - Slice'!R72*12</f>
        <v>0</v>
      </c>
      <c r="S72" s="85">
        <f>'Blendini Custom Cake - Slice'!S72*12</f>
        <v>0</v>
      </c>
      <c r="T72" s="85">
        <f>'Blendini Custom Cake - Slice'!T72*12</f>
        <v>0</v>
      </c>
      <c r="U72" s="85">
        <f>'Blendini Custom Cake - Slice'!U72*12</f>
        <v>12</v>
      </c>
      <c r="V72" s="85">
        <f>'Blendini Custom Cake - Slice'!V72*12</f>
        <v>0</v>
      </c>
      <c r="W72" s="85">
        <f>'Blendini Custom Cake - Slice'!W72*12</f>
        <v>0</v>
      </c>
      <c r="X72" s="86">
        <f>'Blendini Custom Cake - Slice'!X72*12</f>
        <v>0</v>
      </c>
    </row>
    <row r="73" spans="1:24" ht="14.6">
      <c r="A73" s="1318"/>
      <c r="B73" s="54" t="s">
        <v>101</v>
      </c>
      <c r="C73" s="87">
        <f>'Blendini Custom Cake - Slice'!C73*12</f>
        <v>600</v>
      </c>
      <c r="D73" s="87">
        <f>'Blendini Custom Cake - Slice'!D73*12</f>
        <v>120</v>
      </c>
      <c r="E73" s="87">
        <f>'Blendini Custom Cake - Slice'!E73*12</f>
        <v>12</v>
      </c>
      <c r="F73" s="87">
        <f>'Blendini Custom Cake - Slice'!F73*12</f>
        <v>6</v>
      </c>
      <c r="G73" s="87">
        <f>'Blendini Custom Cake - Slice'!G73*12</f>
        <v>0</v>
      </c>
      <c r="H73" s="87">
        <f>'Blendini Custom Cake - Slice'!H73*12</f>
        <v>0</v>
      </c>
      <c r="I73" s="87">
        <f>'Blendini Custom Cake - Slice'!I73*12</f>
        <v>120</v>
      </c>
      <c r="J73" s="87">
        <f>'Blendini Custom Cake - Slice'!J73*12</f>
        <v>132</v>
      </c>
      <c r="K73" s="87">
        <f>'Blendini Custom Cake - Slice'!K73*12</f>
        <v>0</v>
      </c>
      <c r="L73" s="87">
        <f>'Blendini Custom Cake - Slice'!L73*12</f>
        <v>120</v>
      </c>
      <c r="M73" s="87">
        <f>'Blendini Custom Cake - Slice'!M73*12</f>
        <v>108</v>
      </c>
      <c r="N73" s="87">
        <f>'Blendini Custom Cake - Slice'!N73*12</f>
        <v>0</v>
      </c>
      <c r="O73" s="85">
        <f>'Blendini Custom Cake - Slice'!O73*12</f>
        <v>0</v>
      </c>
      <c r="P73" s="85">
        <f>'Blendini Custom Cake - Slice'!P73*12</f>
        <v>0</v>
      </c>
      <c r="Q73" s="85">
        <f>'Blendini Custom Cake - Slice'!Q73*12</f>
        <v>36</v>
      </c>
      <c r="R73" s="85">
        <f>'Blendini Custom Cake - Slice'!R73*12</f>
        <v>0</v>
      </c>
      <c r="S73" s="85">
        <f>'Blendini Custom Cake - Slice'!S73*12</f>
        <v>0</v>
      </c>
      <c r="T73" s="85">
        <f>'Blendini Custom Cake - Slice'!T73*12</f>
        <v>0</v>
      </c>
      <c r="U73" s="85">
        <f>'Blendini Custom Cake - Slice'!U73*12</f>
        <v>12</v>
      </c>
      <c r="V73" s="85">
        <f>'Blendini Custom Cake - Slice'!V73*12</f>
        <v>0</v>
      </c>
      <c r="W73" s="85">
        <f>'Blendini Custom Cake - Slice'!W73*12</f>
        <v>0</v>
      </c>
      <c r="X73" s="86">
        <f>'Blendini Custom Cake - Slice'!X73*12</f>
        <v>0</v>
      </c>
    </row>
    <row r="74" spans="1:24" ht="14.6">
      <c r="A74" s="1318"/>
      <c r="B74" s="54" t="s">
        <v>102</v>
      </c>
      <c r="C74" s="136">
        <f>'Blendini Custom Cake - Slice'!C74*12</f>
        <v>540</v>
      </c>
      <c r="D74" s="136">
        <f>'Blendini Custom Cake - Slice'!D74*12</f>
        <v>60</v>
      </c>
      <c r="E74" s="136">
        <f>'Blendini Custom Cake - Slice'!E74*12</f>
        <v>6</v>
      </c>
      <c r="F74" s="136">
        <f>'Blendini Custom Cake - Slice'!F74*12</f>
        <v>6</v>
      </c>
      <c r="G74" s="136">
        <f>'Blendini Custom Cake - Slice'!G74*12</f>
        <v>0</v>
      </c>
      <c r="H74" s="136">
        <f>'Blendini Custom Cake - Slice'!H74*12</f>
        <v>0</v>
      </c>
      <c r="I74" s="136">
        <f>'Blendini Custom Cake - Slice'!I74*12</f>
        <v>120</v>
      </c>
      <c r="J74" s="136">
        <f>'Blendini Custom Cake - Slice'!J74*12</f>
        <v>120</v>
      </c>
      <c r="K74" s="136">
        <f>'Blendini Custom Cake - Slice'!K74*12</f>
        <v>0</v>
      </c>
      <c r="L74" s="136">
        <f>'Blendini Custom Cake - Slice'!L74*12</f>
        <v>108</v>
      </c>
      <c r="M74" s="136">
        <f>'Blendini Custom Cake - Slice'!M74*12</f>
        <v>108</v>
      </c>
      <c r="N74" s="136">
        <f>'Blendini Custom Cake - Slice'!N74*12</f>
        <v>0</v>
      </c>
      <c r="O74" s="137">
        <f>'Blendini Custom Cake - Slice'!O74*12</f>
        <v>0</v>
      </c>
      <c r="P74" s="137">
        <f>'Blendini Custom Cake - Slice'!P74*12</f>
        <v>0</v>
      </c>
      <c r="Q74" s="137">
        <f>'Blendini Custom Cake - Slice'!Q74*12</f>
        <v>12</v>
      </c>
      <c r="R74" s="137">
        <f>'Blendini Custom Cake - Slice'!R74*12</f>
        <v>0</v>
      </c>
      <c r="S74" s="137">
        <f>'Blendini Custom Cake - Slice'!S74*12</f>
        <v>0</v>
      </c>
      <c r="T74" s="137">
        <f>'Blendini Custom Cake - Slice'!T74*12</f>
        <v>0</v>
      </c>
      <c r="U74" s="137">
        <f>'Blendini Custom Cake - Slice'!U74*12</f>
        <v>12</v>
      </c>
      <c r="V74" s="137">
        <f>'Blendini Custom Cake - Slice'!V74*12</f>
        <v>0</v>
      </c>
      <c r="W74" s="137">
        <f>'Blendini Custom Cake - Slice'!W74*12</f>
        <v>0</v>
      </c>
      <c r="X74" s="138">
        <f>'Blendini Custom Cake - Slice'!X74*12</f>
        <v>0</v>
      </c>
    </row>
    <row r="75" spans="1:24" ht="14.6">
      <c r="A75" s="1318"/>
      <c r="B75" s="54" t="s">
        <v>104</v>
      </c>
      <c r="C75" s="87">
        <f>'Blendini Custom Cake - Slice'!C75*12</f>
        <v>600</v>
      </c>
      <c r="D75" s="87">
        <f>'Blendini Custom Cake - Slice'!D75*12</f>
        <v>60</v>
      </c>
      <c r="E75" s="87">
        <f>'Blendini Custom Cake - Slice'!E75*12</f>
        <v>12</v>
      </c>
      <c r="F75" s="87">
        <f>'Blendini Custom Cake - Slice'!F75*12</f>
        <v>6</v>
      </c>
      <c r="G75" s="87">
        <f>'Blendini Custom Cake - Slice'!G75*12</f>
        <v>0</v>
      </c>
      <c r="H75" s="87">
        <f>'Blendini Custom Cake - Slice'!H75*12</f>
        <v>0</v>
      </c>
      <c r="I75" s="87">
        <f>'Blendini Custom Cake - Slice'!I75*12</f>
        <v>180</v>
      </c>
      <c r="J75" s="87">
        <f>'Blendini Custom Cake - Slice'!J75*12</f>
        <v>132</v>
      </c>
      <c r="K75" s="87">
        <f>'Blendini Custom Cake - Slice'!K75*12</f>
        <v>0</v>
      </c>
      <c r="L75" s="87">
        <f>'Blendini Custom Cake - Slice'!L75*12</f>
        <v>108</v>
      </c>
      <c r="M75" s="87">
        <f>'Blendini Custom Cake - Slice'!M75*12</f>
        <v>108</v>
      </c>
      <c r="N75" s="87">
        <f>'Blendini Custom Cake - Slice'!N75*12</f>
        <v>0</v>
      </c>
      <c r="O75" s="88">
        <f>'Blendini Custom Cake - Slice'!O75*12</f>
        <v>0</v>
      </c>
      <c r="P75" s="88">
        <f>'Blendini Custom Cake - Slice'!P75*12</f>
        <v>0</v>
      </c>
      <c r="Q75" s="88">
        <f>'Blendini Custom Cake - Slice'!Q75*12</f>
        <v>24</v>
      </c>
      <c r="R75" s="88">
        <f>'Blendini Custom Cake - Slice'!R75*12</f>
        <v>0</v>
      </c>
      <c r="S75" s="88">
        <f>'Blendini Custom Cake - Slice'!S75*12</f>
        <v>0</v>
      </c>
      <c r="T75" s="88">
        <f>'Blendini Custom Cake - Slice'!T75*12</f>
        <v>0</v>
      </c>
      <c r="U75" s="88">
        <f>'Blendini Custom Cake - Slice'!U75*12</f>
        <v>60</v>
      </c>
      <c r="V75" s="88">
        <f>'Blendini Custom Cake - Slice'!V75*12</f>
        <v>0</v>
      </c>
      <c r="W75" s="88">
        <f>'Blendini Custom Cake - Slice'!W75*12</f>
        <v>0</v>
      </c>
      <c r="X75" s="89">
        <f>'Blendini Custom Cake - Slice'!X75*12</f>
        <v>0</v>
      </c>
    </row>
    <row r="76" spans="1:24" ht="14.6">
      <c r="A76" s="1318"/>
      <c r="B76" s="54" t="s">
        <v>103</v>
      </c>
      <c r="C76" s="136">
        <f>'Blendini Custom Cake - Slice'!C76*12</f>
        <v>720</v>
      </c>
      <c r="D76" s="136">
        <f>'Blendini Custom Cake - Slice'!D76*12</f>
        <v>60</v>
      </c>
      <c r="E76" s="136">
        <f>'Blendini Custom Cake - Slice'!E76*12</f>
        <v>6</v>
      </c>
      <c r="F76" s="136">
        <f>'Blendini Custom Cake - Slice'!F76*12</f>
        <v>0</v>
      </c>
      <c r="G76" s="136">
        <f>'Blendini Custom Cake - Slice'!G76*12</f>
        <v>0</v>
      </c>
      <c r="H76" s="136">
        <f>'Blendini Custom Cake - Slice'!H76*12</f>
        <v>0</v>
      </c>
      <c r="I76" s="136">
        <f>'Blendini Custom Cake - Slice'!I76*12</f>
        <v>180</v>
      </c>
      <c r="J76" s="136">
        <f>'Blendini Custom Cake - Slice'!J76*12</f>
        <v>156</v>
      </c>
      <c r="K76" s="136">
        <f>'Blendini Custom Cake - Slice'!K76*12</f>
        <v>0</v>
      </c>
      <c r="L76" s="136">
        <f>'Blendini Custom Cake - Slice'!L76*12</f>
        <v>144</v>
      </c>
      <c r="M76" s="136">
        <f>'Blendini Custom Cake - Slice'!M76*12</f>
        <v>144</v>
      </c>
      <c r="N76" s="136">
        <f>'Blendini Custom Cake - Slice'!N76*12</f>
        <v>0</v>
      </c>
      <c r="O76" s="137">
        <f>'Blendini Custom Cake - Slice'!O76*12</f>
        <v>0</v>
      </c>
      <c r="P76" s="137">
        <f>'Blendini Custom Cake - Slice'!P76*12</f>
        <v>0</v>
      </c>
      <c r="Q76" s="137">
        <f>'Blendini Custom Cake - Slice'!Q76*12</f>
        <v>12</v>
      </c>
      <c r="R76" s="137">
        <f>'Blendini Custom Cake - Slice'!R76*12</f>
        <v>0</v>
      </c>
      <c r="S76" s="137">
        <f>'Blendini Custom Cake - Slice'!S76*12</f>
        <v>0</v>
      </c>
      <c r="T76" s="137">
        <f>'Blendini Custom Cake - Slice'!T76*12</f>
        <v>0</v>
      </c>
      <c r="U76" s="137">
        <f>'Blendini Custom Cake - Slice'!U76*12</f>
        <v>36</v>
      </c>
      <c r="V76" s="137">
        <f>'Blendini Custom Cake - Slice'!V76*12</f>
        <v>0</v>
      </c>
      <c r="W76" s="137">
        <f>'Blendini Custom Cake - Slice'!W76*12</f>
        <v>0</v>
      </c>
      <c r="X76" s="138">
        <f>'Blendini Custom Cake - Slice'!X76*12</f>
        <v>0</v>
      </c>
    </row>
    <row r="77" spans="1:24" ht="14.6">
      <c r="A77" s="1318"/>
      <c r="B77" s="54" t="s">
        <v>105</v>
      </c>
      <c r="C77" s="87">
        <f>'Blendini Custom Cake - Slice'!C77*12</f>
        <v>600</v>
      </c>
      <c r="D77" s="87">
        <f>'Blendini Custom Cake - Slice'!D77*12</f>
        <v>60</v>
      </c>
      <c r="E77" s="87">
        <f>'Blendini Custom Cake - Slice'!E77*12</f>
        <v>12</v>
      </c>
      <c r="F77" s="87">
        <f>'Blendini Custom Cake - Slice'!F77*12</f>
        <v>6</v>
      </c>
      <c r="G77" s="87">
        <f>'Blendini Custom Cake - Slice'!G77*12</f>
        <v>0</v>
      </c>
      <c r="H77" s="87">
        <f>'Blendini Custom Cake - Slice'!H77*12</f>
        <v>0</v>
      </c>
      <c r="I77" s="87">
        <f>'Blendini Custom Cake - Slice'!I77*12</f>
        <v>180</v>
      </c>
      <c r="J77" s="87">
        <f>'Blendini Custom Cake - Slice'!J77*12</f>
        <v>144</v>
      </c>
      <c r="K77" s="87">
        <f>'Blendini Custom Cake - Slice'!K77*12</f>
        <v>0</v>
      </c>
      <c r="L77" s="87">
        <f>'Blendini Custom Cake - Slice'!L77*12</f>
        <v>132</v>
      </c>
      <c r="M77" s="87">
        <f>'Blendini Custom Cake - Slice'!M77*12</f>
        <v>120</v>
      </c>
      <c r="N77" s="87">
        <f>'Blendini Custom Cake - Slice'!N77*12</f>
        <v>0</v>
      </c>
      <c r="O77" s="85">
        <f>'Blendini Custom Cake - Slice'!O77*12</f>
        <v>0</v>
      </c>
      <c r="P77" s="85">
        <f>'Blendini Custom Cake - Slice'!P77*12</f>
        <v>0</v>
      </c>
      <c r="Q77" s="85">
        <f>'Blendini Custom Cake - Slice'!Q77*12</f>
        <v>36</v>
      </c>
      <c r="R77" s="85">
        <f>'Blendini Custom Cake - Slice'!R77*12</f>
        <v>0</v>
      </c>
      <c r="S77" s="85">
        <f>'Blendini Custom Cake - Slice'!S77*12</f>
        <v>0</v>
      </c>
      <c r="T77" s="85">
        <f>'Blendini Custom Cake - Slice'!T77*12</f>
        <v>0</v>
      </c>
      <c r="U77" s="85">
        <f>'Blendini Custom Cake - Slice'!U77*12</f>
        <v>408</v>
      </c>
      <c r="V77" s="85">
        <f>'Blendini Custom Cake - Slice'!V77*12</f>
        <v>0</v>
      </c>
      <c r="W77" s="85">
        <f>'Blendini Custom Cake - Slice'!W77*12</f>
        <v>0</v>
      </c>
      <c r="X77" s="86">
        <f>'Blendini Custom Cake - Slice'!X77*12</f>
        <v>0</v>
      </c>
    </row>
    <row r="78" spans="1:24" ht="14.6">
      <c r="A78" s="1318"/>
      <c r="B78" s="54" t="s">
        <v>106</v>
      </c>
      <c r="C78" s="136">
        <f>'Blendini Custom Cake - Slice'!C78*12</f>
        <v>480</v>
      </c>
      <c r="D78" s="136">
        <f>'Blendini Custom Cake - Slice'!D78*12</f>
        <v>60</v>
      </c>
      <c r="E78" s="136">
        <f>'Blendini Custom Cake - Slice'!E78*12</f>
        <v>0</v>
      </c>
      <c r="F78" s="136">
        <f>'Blendini Custom Cake - Slice'!F78*12</f>
        <v>0</v>
      </c>
      <c r="G78" s="136">
        <f>'Blendini Custom Cake - Slice'!G78*12</f>
        <v>0</v>
      </c>
      <c r="H78" s="136">
        <f>'Blendini Custom Cake - Slice'!H78*12</f>
        <v>0</v>
      </c>
      <c r="I78" s="136">
        <f>'Blendini Custom Cake - Slice'!I78*12</f>
        <v>120</v>
      </c>
      <c r="J78" s="136">
        <f>'Blendini Custom Cake - Slice'!J78*12</f>
        <v>108</v>
      </c>
      <c r="K78" s="136">
        <f>'Blendini Custom Cake - Slice'!K78*12</f>
        <v>0</v>
      </c>
      <c r="L78" s="136">
        <f>'Blendini Custom Cake - Slice'!L78*12</f>
        <v>108</v>
      </c>
      <c r="M78" s="136">
        <f>'Blendini Custom Cake - Slice'!M78*12</f>
        <v>108</v>
      </c>
      <c r="N78" s="136">
        <f>'Blendini Custom Cake - Slice'!N78*12</f>
        <v>0</v>
      </c>
      <c r="O78" s="139">
        <f>'Blendini Custom Cake - Slice'!O78*12</f>
        <v>0</v>
      </c>
      <c r="P78" s="139">
        <f>'Blendini Custom Cake - Slice'!P78*12</f>
        <v>0</v>
      </c>
      <c r="Q78" s="139">
        <f>'Blendini Custom Cake - Slice'!Q78*12</f>
        <v>12</v>
      </c>
      <c r="R78" s="139">
        <f>'Blendini Custom Cake - Slice'!R78*12</f>
        <v>0</v>
      </c>
      <c r="S78" s="139">
        <f>'Blendini Custom Cake - Slice'!S78*12</f>
        <v>0</v>
      </c>
      <c r="T78" s="139">
        <f>'Blendini Custom Cake - Slice'!T78*12</f>
        <v>0</v>
      </c>
      <c r="U78" s="139">
        <f>'Blendini Custom Cake - Slice'!U78*12</f>
        <v>24</v>
      </c>
      <c r="V78" s="139">
        <f>'Blendini Custom Cake - Slice'!V78*12</f>
        <v>0</v>
      </c>
      <c r="W78" s="139">
        <f>'Blendini Custom Cake - Slice'!W78*12</f>
        <v>0</v>
      </c>
      <c r="X78" s="142">
        <f>'Blendini Custom Cake - Slice'!X78*12</f>
        <v>0</v>
      </c>
    </row>
    <row r="79" spans="1:24" ht="14.6">
      <c r="A79" s="1318"/>
      <c r="B79" s="54" t="s">
        <v>107</v>
      </c>
      <c r="C79" s="136">
        <f>'Blendini Custom Cake - Slice'!C79*12</f>
        <v>480</v>
      </c>
      <c r="D79" s="136">
        <f>'Blendini Custom Cake - Slice'!D79*12</f>
        <v>60</v>
      </c>
      <c r="E79" s="136">
        <f>'Blendini Custom Cake - Slice'!E79*12</f>
        <v>0</v>
      </c>
      <c r="F79" s="136">
        <f>'Blendini Custom Cake - Slice'!F79*12</f>
        <v>0</v>
      </c>
      <c r="G79" s="136">
        <f>'Blendini Custom Cake - Slice'!G79*12</f>
        <v>0</v>
      </c>
      <c r="H79" s="136">
        <f>'Blendini Custom Cake - Slice'!H79*12</f>
        <v>0</v>
      </c>
      <c r="I79" s="136">
        <f>'Blendini Custom Cake - Slice'!I79*12</f>
        <v>300</v>
      </c>
      <c r="J79" s="136">
        <f>'Blendini Custom Cake - Slice'!J79*12</f>
        <v>120</v>
      </c>
      <c r="K79" s="136">
        <f>'Blendini Custom Cake - Slice'!K79*12</f>
        <v>0</v>
      </c>
      <c r="L79" s="136">
        <f>'Blendini Custom Cake - Slice'!L79*12</f>
        <v>108</v>
      </c>
      <c r="M79" s="136">
        <f>'Blendini Custom Cake - Slice'!M79*12</f>
        <v>108</v>
      </c>
      <c r="N79" s="136">
        <f>'Blendini Custom Cake - Slice'!N79*12</f>
        <v>0</v>
      </c>
      <c r="O79" s="137">
        <f>'Blendini Custom Cake - Slice'!O79*12</f>
        <v>0</v>
      </c>
      <c r="P79" s="137">
        <f>'Blendini Custom Cake - Slice'!P79*12</f>
        <v>0</v>
      </c>
      <c r="Q79" s="137">
        <f>'Blendini Custom Cake - Slice'!Q79*12</f>
        <v>24</v>
      </c>
      <c r="R79" s="137">
        <f>'Blendini Custom Cake - Slice'!R79*12</f>
        <v>0</v>
      </c>
      <c r="S79" s="137">
        <f>'Blendini Custom Cake - Slice'!S79*12</f>
        <v>0</v>
      </c>
      <c r="T79" s="137">
        <f>'Blendini Custom Cake - Slice'!T79*12</f>
        <v>0</v>
      </c>
      <c r="U79" s="137">
        <f>'Blendini Custom Cake - Slice'!U79*12</f>
        <v>216</v>
      </c>
      <c r="V79" s="137">
        <f>'Blendini Custom Cake - Slice'!V79*12</f>
        <v>0</v>
      </c>
      <c r="W79" s="137">
        <f>'Blendini Custom Cake - Slice'!W79*12</f>
        <v>0</v>
      </c>
      <c r="X79" s="138">
        <f>'Blendini Custom Cake - Slice'!X79*12</f>
        <v>0</v>
      </c>
    </row>
    <row r="80" spans="1:24" ht="14.6">
      <c r="A80" s="1318"/>
      <c r="B80" s="54" t="s">
        <v>108</v>
      </c>
      <c r="C80" s="87">
        <f>'Blendini Custom Cake - Slice'!C80*12</f>
        <v>600</v>
      </c>
      <c r="D80" s="87">
        <f>'Blendini Custom Cake - Slice'!D80*12</f>
        <v>60</v>
      </c>
      <c r="E80" s="87">
        <f>'Blendini Custom Cake - Slice'!E80*12</f>
        <v>12</v>
      </c>
      <c r="F80" s="87">
        <f>'Blendini Custom Cake - Slice'!F80*12</f>
        <v>6</v>
      </c>
      <c r="G80" s="87">
        <f>'Blendini Custom Cake - Slice'!G80*12</f>
        <v>0</v>
      </c>
      <c r="H80" s="87">
        <f>'Blendini Custom Cake - Slice'!H80*12</f>
        <v>0</v>
      </c>
      <c r="I80" s="87">
        <f>'Blendini Custom Cake - Slice'!I80*12</f>
        <v>120</v>
      </c>
      <c r="J80" s="87">
        <f>'Blendini Custom Cake - Slice'!J80*12</f>
        <v>132</v>
      </c>
      <c r="K80" s="87">
        <f>'Blendini Custom Cake - Slice'!K80*12</f>
        <v>0</v>
      </c>
      <c r="L80" s="87">
        <f>'Blendini Custom Cake - Slice'!L80*12</f>
        <v>120</v>
      </c>
      <c r="M80" s="87">
        <f>'Blendini Custom Cake - Slice'!M80*12</f>
        <v>108</v>
      </c>
      <c r="N80" s="87">
        <f>'Blendini Custom Cake - Slice'!N80*12</f>
        <v>0</v>
      </c>
      <c r="O80" s="85">
        <f>'Blendini Custom Cake - Slice'!O80*12</f>
        <v>0</v>
      </c>
      <c r="P80" s="85">
        <f>'Blendini Custom Cake - Slice'!P80*12</f>
        <v>0</v>
      </c>
      <c r="Q80" s="85">
        <f>'Blendini Custom Cake - Slice'!Q80*12</f>
        <v>24</v>
      </c>
      <c r="R80" s="85">
        <f>'Blendini Custom Cake - Slice'!R80*12</f>
        <v>0</v>
      </c>
      <c r="S80" s="85">
        <f>'Blendini Custom Cake - Slice'!S80*12</f>
        <v>0</v>
      </c>
      <c r="T80" s="85">
        <f>'Blendini Custom Cake - Slice'!T80*12</f>
        <v>0</v>
      </c>
      <c r="U80" s="85">
        <f>'Blendini Custom Cake - Slice'!U80*12</f>
        <v>24</v>
      </c>
      <c r="V80" s="85">
        <f>'Blendini Custom Cake - Slice'!V80*12</f>
        <v>0</v>
      </c>
      <c r="W80" s="85">
        <f>'Blendini Custom Cake - Slice'!W80*12</f>
        <v>0</v>
      </c>
      <c r="X80" s="86">
        <f>'Blendini Custom Cake - Slice'!X80*12</f>
        <v>0</v>
      </c>
    </row>
    <row r="81" spans="1:24" ht="14.6">
      <c r="A81" s="1318"/>
      <c r="B81" s="54" t="s">
        <v>109</v>
      </c>
      <c r="C81" s="136">
        <f>'Blendini Custom Cake - Slice'!C81*12</f>
        <v>540</v>
      </c>
      <c r="D81" s="136">
        <f>'Blendini Custom Cake - Slice'!D81*12</f>
        <v>60</v>
      </c>
      <c r="E81" s="136">
        <f>'Blendini Custom Cake - Slice'!E81*12</f>
        <v>6</v>
      </c>
      <c r="F81" s="136">
        <f>'Blendini Custom Cake - Slice'!F81*12</f>
        <v>0</v>
      </c>
      <c r="G81" s="136">
        <f>'Blendini Custom Cake - Slice'!G81*12</f>
        <v>0</v>
      </c>
      <c r="H81" s="136">
        <f>'Blendini Custom Cake - Slice'!H81*12</f>
        <v>0</v>
      </c>
      <c r="I81" s="136">
        <f>'Blendini Custom Cake - Slice'!I81*12</f>
        <v>180</v>
      </c>
      <c r="J81" s="136">
        <f>'Blendini Custom Cake - Slice'!J81*12</f>
        <v>132</v>
      </c>
      <c r="K81" s="136">
        <f>'Blendini Custom Cake - Slice'!K81*12</f>
        <v>0</v>
      </c>
      <c r="L81" s="136">
        <f>'Blendini Custom Cake - Slice'!L81*12</f>
        <v>120</v>
      </c>
      <c r="M81" s="136">
        <f>'Blendini Custom Cake - Slice'!M81*12</f>
        <v>84</v>
      </c>
      <c r="N81" s="136">
        <f>'Blendini Custom Cake - Slice'!N81*12</f>
        <v>0</v>
      </c>
      <c r="O81" s="137">
        <f>'Blendini Custom Cake - Slice'!O81*12</f>
        <v>0</v>
      </c>
      <c r="P81" s="137">
        <f>'Blendini Custom Cake - Slice'!P81*12</f>
        <v>0</v>
      </c>
      <c r="Q81" s="137">
        <f>'Blendini Custom Cake - Slice'!Q81*12</f>
        <v>12</v>
      </c>
      <c r="R81" s="137">
        <f>'Blendini Custom Cake - Slice'!R81*12</f>
        <v>0</v>
      </c>
      <c r="S81" s="137">
        <f>'Blendini Custom Cake - Slice'!S81*12</f>
        <v>0</v>
      </c>
      <c r="T81" s="137">
        <f>'Blendini Custom Cake - Slice'!T81*12</f>
        <v>0</v>
      </c>
      <c r="U81" s="137">
        <f>'Blendini Custom Cake - Slice'!U81*12</f>
        <v>12</v>
      </c>
      <c r="V81" s="137">
        <f>'Blendini Custom Cake - Slice'!V81*12</f>
        <v>0</v>
      </c>
      <c r="W81" s="137">
        <f>'Blendini Custom Cake - Slice'!W81*12</f>
        <v>0</v>
      </c>
      <c r="X81" s="138">
        <f>'Blendini Custom Cake - Slice'!X81*12</f>
        <v>0</v>
      </c>
    </row>
    <row r="82" spans="1:24" ht="14.6">
      <c r="A82" s="1318"/>
      <c r="B82" s="54" t="s">
        <v>110</v>
      </c>
      <c r="C82" s="136">
        <f>'Blendini Custom Cake - Slice'!C82*12</f>
        <v>540</v>
      </c>
      <c r="D82" s="136">
        <f>'Blendini Custom Cake - Slice'!D82*12</f>
        <v>60</v>
      </c>
      <c r="E82" s="136">
        <f>'Blendini Custom Cake - Slice'!E82*12</f>
        <v>0</v>
      </c>
      <c r="F82" s="136">
        <f>'Blendini Custom Cake - Slice'!F82*12</f>
        <v>0</v>
      </c>
      <c r="G82" s="136">
        <f>'Blendini Custom Cake - Slice'!G82*12</f>
        <v>0</v>
      </c>
      <c r="H82" s="136">
        <f>'Blendini Custom Cake - Slice'!H82*12</f>
        <v>0</v>
      </c>
      <c r="I82" s="136">
        <f>'Blendini Custom Cake - Slice'!I82*12</f>
        <v>240</v>
      </c>
      <c r="J82" s="136">
        <f>'Blendini Custom Cake - Slice'!J82*12</f>
        <v>120</v>
      </c>
      <c r="K82" s="136">
        <f>'Blendini Custom Cake - Slice'!K82*12</f>
        <v>0</v>
      </c>
      <c r="L82" s="136">
        <f>'Blendini Custom Cake - Slice'!L82*12</f>
        <v>108</v>
      </c>
      <c r="M82" s="136">
        <f>'Blendini Custom Cake - Slice'!M82*12</f>
        <v>108</v>
      </c>
      <c r="N82" s="136">
        <f>'Blendini Custom Cake - Slice'!N82*12</f>
        <v>0</v>
      </c>
      <c r="O82" s="139">
        <f>'Blendini Custom Cake - Slice'!O82*12</f>
        <v>0</v>
      </c>
      <c r="P82" s="139">
        <f>'Blendini Custom Cake - Slice'!P82*12</f>
        <v>0</v>
      </c>
      <c r="Q82" s="139">
        <f>'Blendini Custom Cake - Slice'!Q82*12</f>
        <v>24</v>
      </c>
      <c r="R82" s="139">
        <f>'Blendini Custom Cake - Slice'!R82*12</f>
        <v>0</v>
      </c>
      <c r="S82" s="139">
        <f>'Blendini Custom Cake - Slice'!S82*12</f>
        <v>0</v>
      </c>
      <c r="T82" s="139">
        <f>'Blendini Custom Cake - Slice'!T82*12</f>
        <v>0</v>
      </c>
      <c r="U82" s="139">
        <f>'Blendini Custom Cake - Slice'!U82*12</f>
        <v>180</v>
      </c>
      <c r="V82" s="139">
        <f>'Blendini Custom Cake - Slice'!V82*12</f>
        <v>0</v>
      </c>
      <c r="W82" s="139">
        <f>'Blendini Custom Cake - Slice'!W82*12</f>
        <v>0</v>
      </c>
      <c r="X82" s="142">
        <f>'Blendini Custom Cake - Slice'!X82*12</f>
        <v>0</v>
      </c>
    </row>
    <row r="83" spans="1:24" ht="14.6">
      <c r="A83" s="1318"/>
      <c r="B83" s="54" t="s">
        <v>555</v>
      </c>
      <c r="C83" s="87">
        <f>'Blendini Custom Cake - Slice'!C83*12</f>
        <v>600</v>
      </c>
      <c r="D83" s="87">
        <f>'Blendini Custom Cake - Slice'!D83*12</f>
        <v>60</v>
      </c>
      <c r="E83" s="87">
        <f>'Blendini Custom Cake - Slice'!E83*12</f>
        <v>12</v>
      </c>
      <c r="F83" s="87">
        <f>'Blendini Custom Cake - Slice'!F83*12</f>
        <v>6</v>
      </c>
      <c r="G83" s="87">
        <f>'Blendini Custom Cake - Slice'!G83*12</f>
        <v>0</v>
      </c>
      <c r="H83" s="87">
        <f>'Blendini Custom Cake - Slice'!H83*12</f>
        <v>0</v>
      </c>
      <c r="I83" s="87">
        <f>'Blendini Custom Cake - Slice'!I83*12</f>
        <v>120</v>
      </c>
      <c r="J83" s="87">
        <f>'Blendini Custom Cake - Slice'!J83*12</f>
        <v>132</v>
      </c>
      <c r="K83" s="87">
        <f>'Blendini Custom Cake - Slice'!K83*12</f>
        <v>0</v>
      </c>
      <c r="L83" s="87">
        <f>'Blendini Custom Cake - Slice'!L83*12</f>
        <v>120</v>
      </c>
      <c r="M83" s="87">
        <f>'Blendini Custom Cake - Slice'!M83*12</f>
        <v>120</v>
      </c>
      <c r="N83" s="87">
        <f>'Blendini Custom Cake - Slice'!N83*12</f>
        <v>0</v>
      </c>
      <c r="O83" s="85">
        <f>'Blendini Custom Cake - Slice'!O83*12</f>
        <v>0</v>
      </c>
      <c r="P83" s="85">
        <f>'Blendini Custom Cake - Slice'!P83*12</f>
        <v>0</v>
      </c>
      <c r="Q83" s="85">
        <f>'Blendini Custom Cake - Slice'!Q83*12</f>
        <v>24</v>
      </c>
      <c r="R83" s="85">
        <f>'Blendini Custom Cake - Slice'!R83*12</f>
        <v>0</v>
      </c>
      <c r="S83" s="85">
        <f>'Blendini Custom Cake - Slice'!S83*12</f>
        <v>0</v>
      </c>
      <c r="T83" s="85">
        <f>'Blendini Custom Cake - Slice'!T83*12</f>
        <v>0</v>
      </c>
      <c r="U83" s="85">
        <f>'Blendini Custom Cake - Slice'!U83*12</f>
        <v>36</v>
      </c>
      <c r="V83" s="85">
        <f>'Blendini Custom Cake - Slice'!V83*12</f>
        <v>0</v>
      </c>
      <c r="W83" s="85">
        <f>'Blendini Custom Cake - Slice'!W83*12</f>
        <v>0</v>
      </c>
      <c r="X83" s="86">
        <f>'Blendini Custom Cake - Slice'!X83*12</f>
        <v>0</v>
      </c>
    </row>
    <row r="84" spans="1:24" ht="14.6">
      <c r="A84" s="1318"/>
      <c r="B84" s="54" t="s">
        <v>111</v>
      </c>
      <c r="C84" s="136">
        <f>'Blendini Custom Cake - Slice'!C84*12</f>
        <v>480</v>
      </c>
      <c r="D84" s="136">
        <f>'Blendini Custom Cake - Slice'!D84*12</f>
        <v>60</v>
      </c>
      <c r="E84" s="136">
        <f>'Blendini Custom Cake - Slice'!E84*12</f>
        <v>0</v>
      </c>
      <c r="F84" s="136">
        <f>'Blendini Custom Cake - Slice'!F84*12</f>
        <v>0</v>
      </c>
      <c r="G84" s="136">
        <f>'Blendini Custom Cake - Slice'!G84*12</f>
        <v>0</v>
      </c>
      <c r="H84" s="136">
        <f>'Blendini Custom Cake - Slice'!H84*12</f>
        <v>0</v>
      </c>
      <c r="I84" s="136">
        <f>'Blendini Custom Cake - Slice'!I84*12</f>
        <v>60</v>
      </c>
      <c r="J84" s="136">
        <f>'Blendini Custom Cake - Slice'!J84*12</f>
        <v>108</v>
      </c>
      <c r="K84" s="136">
        <f>'Blendini Custom Cake - Slice'!K84*12</f>
        <v>0</v>
      </c>
      <c r="L84" s="136">
        <f>'Blendini Custom Cake - Slice'!L84*12</f>
        <v>108</v>
      </c>
      <c r="M84" s="136">
        <f>'Blendini Custom Cake - Slice'!M84*12</f>
        <v>48</v>
      </c>
      <c r="N84" s="136">
        <f>'Blendini Custom Cake - Slice'!N84*12</f>
        <v>0</v>
      </c>
      <c r="O84" s="137">
        <f>'Blendini Custom Cake - Slice'!O84*12</f>
        <v>0</v>
      </c>
      <c r="P84" s="137">
        <f>'Blendini Custom Cake - Slice'!P84*12</f>
        <v>0</v>
      </c>
      <c r="Q84" s="137">
        <f>'Blendini Custom Cake - Slice'!Q84*12</f>
        <v>24</v>
      </c>
      <c r="R84" s="137">
        <f>'Blendini Custom Cake - Slice'!R84*12</f>
        <v>0</v>
      </c>
      <c r="S84" s="137">
        <f>'Blendini Custom Cake - Slice'!S84*12</f>
        <v>0</v>
      </c>
      <c r="T84" s="137">
        <f>'Blendini Custom Cake - Slice'!T84*12</f>
        <v>0</v>
      </c>
      <c r="U84" s="137">
        <f>'Blendini Custom Cake - Slice'!U84*12</f>
        <v>24</v>
      </c>
      <c r="V84" s="137">
        <f>'Blendini Custom Cake - Slice'!V84*12</f>
        <v>0</v>
      </c>
      <c r="W84" s="137">
        <f>'Blendini Custom Cake - Slice'!W84*12</f>
        <v>0</v>
      </c>
      <c r="X84" s="138">
        <f>'Blendini Custom Cake - Slice'!X84*12</f>
        <v>0</v>
      </c>
    </row>
    <row r="85" spans="1:24" ht="14.6">
      <c r="A85" s="1318"/>
      <c r="B85" s="54" t="s">
        <v>112</v>
      </c>
      <c r="C85" s="136">
        <f>'Blendini Custom Cake - Slice'!C85*12</f>
        <v>480</v>
      </c>
      <c r="D85" s="136">
        <f>'Blendini Custom Cake - Slice'!D85*12</f>
        <v>60</v>
      </c>
      <c r="E85" s="136">
        <f>'Blendini Custom Cake - Slice'!E85*12</f>
        <v>0</v>
      </c>
      <c r="F85" s="136">
        <f>'Blendini Custom Cake - Slice'!F85*12</f>
        <v>0</v>
      </c>
      <c r="G85" s="136">
        <f>'Blendini Custom Cake - Slice'!G85*12</f>
        <v>0</v>
      </c>
      <c r="H85" s="136">
        <f>'Blendini Custom Cake - Slice'!H85*12</f>
        <v>0</v>
      </c>
      <c r="I85" s="136">
        <f>'Blendini Custom Cake - Slice'!I85*12</f>
        <v>120</v>
      </c>
      <c r="J85" s="136">
        <f>'Blendini Custom Cake - Slice'!J85*12</f>
        <v>96</v>
      </c>
      <c r="K85" s="136">
        <f>'Blendini Custom Cake - Slice'!K85*12</f>
        <v>0</v>
      </c>
      <c r="L85" s="136">
        <f>'Blendini Custom Cake - Slice'!L85*12</f>
        <v>96</v>
      </c>
      <c r="M85" s="136">
        <f>'Blendini Custom Cake - Slice'!M85*12</f>
        <v>96</v>
      </c>
      <c r="N85" s="136">
        <f>'Blendini Custom Cake - Slice'!N85*12</f>
        <v>0</v>
      </c>
      <c r="O85" s="140">
        <f>'Blendini Custom Cake - Slice'!O85*12</f>
        <v>0</v>
      </c>
      <c r="P85" s="140">
        <f>'Blendini Custom Cake - Slice'!P85*12</f>
        <v>0</v>
      </c>
      <c r="Q85" s="140">
        <f>'Blendini Custom Cake - Slice'!Q85*12</f>
        <v>24</v>
      </c>
      <c r="R85" s="140">
        <f>'Blendini Custom Cake - Slice'!R85*12</f>
        <v>0</v>
      </c>
      <c r="S85" s="140">
        <f>'Blendini Custom Cake - Slice'!S85*12</f>
        <v>0</v>
      </c>
      <c r="T85" s="140">
        <f>'Blendini Custom Cake - Slice'!T85*12</f>
        <v>0</v>
      </c>
      <c r="U85" s="140">
        <f>'Blendini Custom Cake - Slice'!U85*12</f>
        <v>48</v>
      </c>
      <c r="V85" s="140">
        <f>'Blendini Custom Cake - Slice'!V85*12</f>
        <v>0</v>
      </c>
      <c r="W85" s="140">
        <f>'Blendini Custom Cake - Slice'!W85*12</f>
        <v>0</v>
      </c>
      <c r="X85" s="141">
        <f>'Blendini Custom Cake - Slice'!X85*12</f>
        <v>0</v>
      </c>
    </row>
    <row r="86" spans="1:24" ht="14.6">
      <c r="A86" s="1318"/>
      <c r="B86" s="54" t="s">
        <v>113</v>
      </c>
      <c r="C86" s="136">
        <f>'Blendini Custom Cake - Slice'!C86*12</f>
        <v>480</v>
      </c>
      <c r="D86" s="136">
        <f>'Blendini Custom Cake - Slice'!D86*12</f>
        <v>60</v>
      </c>
      <c r="E86" s="136">
        <f>'Blendini Custom Cake - Slice'!E86*12</f>
        <v>6</v>
      </c>
      <c r="F86" s="136">
        <f>'Blendini Custom Cake - Slice'!F86*12</f>
        <v>0</v>
      </c>
      <c r="G86" s="136">
        <f>'Blendini Custom Cake - Slice'!G86*12</f>
        <v>0</v>
      </c>
      <c r="H86" s="136">
        <f>'Blendini Custom Cake - Slice'!H86*12</f>
        <v>0</v>
      </c>
      <c r="I86" s="136">
        <f>'Blendini Custom Cake - Slice'!I86*12</f>
        <v>180</v>
      </c>
      <c r="J86" s="136">
        <f>'Blendini Custom Cake - Slice'!J86*12</f>
        <v>108</v>
      </c>
      <c r="K86" s="136">
        <f>'Blendini Custom Cake - Slice'!K86*12</f>
        <v>0</v>
      </c>
      <c r="L86" s="136">
        <f>'Blendini Custom Cake - Slice'!L86*12</f>
        <v>96</v>
      </c>
      <c r="M86" s="136">
        <f>'Blendini Custom Cake - Slice'!M86*12</f>
        <v>96</v>
      </c>
      <c r="N86" s="136">
        <f>'Blendini Custom Cake - Slice'!N86*12</f>
        <v>0</v>
      </c>
      <c r="O86" s="137">
        <f>'Blendini Custom Cake - Slice'!O86*12</f>
        <v>0</v>
      </c>
      <c r="P86" s="137">
        <f>'Blendini Custom Cake - Slice'!P86*12</f>
        <v>0</v>
      </c>
      <c r="Q86" s="137">
        <f>'Blendini Custom Cake - Slice'!Q86*12</f>
        <v>24</v>
      </c>
      <c r="R86" s="137">
        <f>'Blendini Custom Cake - Slice'!R86*12</f>
        <v>0</v>
      </c>
      <c r="S86" s="137">
        <f>'Blendini Custom Cake - Slice'!S86*12</f>
        <v>0</v>
      </c>
      <c r="T86" s="137">
        <f>'Blendini Custom Cake - Slice'!T86*12</f>
        <v>0</v>
      </c>
      <c r="U86" s="137">
        <f>'Blendini Custom Cake - Slice'!U86*12</f>
        <v>144</v>
      </c>
      <c r="V86" s="137">
        <f>'Blendini Custom Cake - Slice'!V86*12</f>
        <v>0</v>
      </c>
      <c r="W86" s="137">
        <f>'Blendini Custom Cake - Slice'!W86*12</f>
        <v>0</v>
      </c>
      <c r="X86" s="138">
        <f>'Blendini Custom Cake - Slice'!X86*12</f>
        <v>0</v>
      </c>
    </row>
    <row r="87" spans="1:24" ht="14.6">
      <c r="A87" s="1318"/>
      <c r="B87" s="54" t="s">
        <v>114</v>
      </c>
      <c r="C87" s="136">
        <f>'Blendini Custom Cake - Slice'!C87*12</f>
        <v>720</v>
      </c>
      <c r="D87" s="136">
        <f>'Blendini Custom Cake - Slice'!D87*12</f>
        <v>120</v>
      </c>
      <c r="E87" s="136">
        <f>'Blendini Custom Cake - Slice'!E87*12</f>
        <v>18</v>
      </c>
      <c r="F87" s="136">
        <f>'Blendini Custom Cake - Slice'!F87*12</f>
        <v>6</v>
      </c>
      <c r="G87" s="136">
        <f>'Blendini Custom Cake - Slice'!G87*12</f>
        <v>0</v>
      </c>
      <c r="H87" s="136">
        <f>'Blendini Custom Cake - Slice'!H87*12</f>
        <v>0</v>
      </c>
      <c r="I87" s="136">
        <f>'Blendini Custom Cake - Slice'!I87*12</f>
        <v>180</v>
      </c>
      <c r="J87" s="136">
        <f>'Blendini Custom Cake - Slice'!J87*12</f>
        <v>144</v>
      </c>
      <c r="K87" s="136">
        <f>'Blendini Custom Cake - Slice'!K87*12</f>
        <v>0</v>
      </c>
      <c r="L87" s="136">
        <f>'Blendini Custom Cake - Slice'!L87*12</f>
        <v>132</v>
      </c>
      <c r="M87" s="136">
        <f>'Blendini Custom Cake - Slice'!M87*12</f>
        <v>132</v>
      </c>
      <c r="N87" s="136">
        <f>'Blendini Custom Cake - Slice'!N87*12</f>
        <v>0</v>
      </c>
      <c r="O87" s="140">
        <f>'Blendini Custom Cake - Slice'!O87*12</f>
        <v>0</v>
      </c>
      <c r="P87" s="140">
        <f>'Blendini Custom Cake - Slice'!P87*12</f>
        <v>0</v>
      </c>
      <c r="Q87" s="140">
        <f>'Blendini Custom Cake - Slice'!Q87*12</f>
        <v>24</v>
      </c>
      <c r="R87" s="140">
        <f>'Blendini Custom Cake - Slice'!R87*12</f>
        <v>0</v>
      </c>
      <c r="S87" s="140">
        <f>'Blendini Custom Cake - Slice'!S87*12</f>
        <v>0</v>
      </c>
      <c r="T87" s="140">
        <f>'Blendini Custom Cake - Slice'!T87*12</f>
        <v>0</v>
      </c>
      <c r="U87" s="140">
        <f>'Blendini Custom Cake - Slice'!U87*12</f>
        <v>36</v>
      </c>
      <c r="V87" s="140">
        <f>'Blendini Custom Cake - Slice'!V87*12</f>
        <v>0</v>
      </c>
      <c r="W87" s="140">
        <f>'Blendini Custom Cake - Slice'!W87*12</f>
        <v>0</v>
      </c>
      <c r="X87" s="141">
        <f>'Blendini Custom Cake - Slice'!X87*12</f>
        <v>0</v>
      </c>
    </row>
    <row r="88" spans="1:24" ht="14.6">
      <c r="A88" s="1318"/>
      <c r="B88" s="54" t="s">
        <v>115</v>
      </c>
      <c r="C88" s="136">
        <f>'Blendini Custom Cake - Slice'!C88*12</f>
        <v>480</v>
      </c>
      <c r="D88" s="136">
        <f>'Blendini Custom Cake - Slice'!D88*12</f>
        <v>0</v>
      </c>
      <c r="E88" s="136">
        <f>'Blendini Custom Cake - Slice'!E88*12</f>
        <v>0</v>
      </c>
      <c r="F88" s="136">
        <f>'Blendini Custom Cake - Slice'!F88*12</f>
        <v>0</v>
      </c>
      <c r="G88" s="136">
        <f>'Blendini Custom Cake - Slice'!G88*12</f>
        <v>0</v>
      </c>
      <c r="H88" s="136">
        <f>'Blendini Custom Cake - Slice'!H88*12</f>
        <v>0</v>
      </c>
      <c r="I88" s="136">
        <f>'Blendini Custom Cake - Slice'!I88*12</f>
        <v>120</v>
      </c>
      <c r="J88" s="136">
        <f>'Blendini Custom Cake - Slice'!J88*12</f>
        <v>120</v>
      </c>
      <c r="K88" s="136">
        <f>'Blendini Custom Cake - Slice'!K88*12</f>
        <v>0</v>
      </c>
      <c r="L88" s="136">
        <f>'Blendini Custom Cake - Slice'!L88*12</f>
        <v>108</v>
      </c>
      <c r="M88" s="136">
        <f>'Blendini Custom Cake - Slice'!M88*12</f>
        <v>84</v>
      </c>
      <c r="N88" s="136">
        <f>'Blendini Custom Cake - Slice'!N88*12</f>
        <v>0</v>
      </c>
      <c r="O88" s="137">
        <f>'Blendini Custom Cake - Slice'!O88*12</f>
        <v>0</v>
      </c>
      <c r="P88" s="137">
        <f>'Blendini Custom Cake - Slice'!P88*12</f>
        <v>0</v>
      </c>
      <c r="Q88" s="137">
        <f>'Blendini Custom Cake - Slice'!Q88*12</f>
        <v>12</v>
      </c>
      <c r="R88" s="137">
        <f>'Blendini Custom Cake - Slice'!R88*12</f>
        <v>0</v>
      </c>
      <c r="S88" s="137">
        <f>'Blendini Custom Cake - Slice'!S88*12</f>
        <v>0</v>
      </c>
      <c r="T88" s="137">
        <f>'Blendini Custom Cake - Slice'!T88*12</f>
        <v>0</v>
      </c>
      <c r="U88" s="137">
        <f>'Blendini Custom Cake - Slice'!U88*12</f>
        <v>24</v>
      </c>
      <c r="V88" s="137">
        <f>'Blendini Custom Cake - Slice'!V88*12</f>
        <v>0</v>
      </c>
      <c r="W88" s="137">
        <f>'Blendini Custom Cake - Slice'!W88*12</f>
        <v>0</v>
      </c>
      <c r="X88" s="138">
        <f>'Blendini Custom Cake - Slice'!X88*12</f>
        <v>0</v>
      </c>
    </row>
    <row r="89" spans="1:24" ht="14.6">
      <c r="A89" s="1318"/>
      <c r="B89" s="54" t="s">
        <v>116</v>
      </c>
      <c r="C89" s="87">
        <f>'Blendini Custom Cake - Slice'!C89*12</f>
        <v>600</v>
      </c>
      <c r="D89" s="87">
        <f>'Blendini Custom Cake - Slice'!D89*12</f>
        <v>60</v>
      </c>
      <c r="E89" s="87">
        <f>'Blendini Custom Cake - Slice'!E89*12</f>
        <v>6</v>
      </c>
      <c r="F89" s="87">
        <f>'Blendini Custom Cake - Slice'!F89*12</f>
        <v>6</v>
      </c>
      <c r="G89" s="87">
        <f>'Blendini Custom Cake - Slice'!G89*12</f>
        <v>0</v>
      </c>
      <c r="H89" s="87">
        <f>'Blendini Custom Cake - Slice'!H89*12</f>
        <v>0</v>
      </c>
      <c r="I89" s="87">
        <f>'Blendini Custom Cake - Slice'!I89*12</f>
        <v>120</v>
      </c>
      <c r="J89" s="87">
        <f>'Blendini Custom Cake - Slice'!J89*12</f>
        <v>144</v>
      </c>
      <c r="K89" s="87">
        <f>'Blendini Custom Cake - Slice'!K89*12</f>
        <v>0</v>
      </c>
      <c r="L89" s="87">
        <f>'Blendini Custom Cake - Slice'!L89*12</f>
        <v>144</v>
      </c>
      <c r="M89" s="87">
        <f>'Blendini Custom Cake - Slice'!M89*12</f>
        <v>132</v>
      </c>
      <c r="N89" s="87">
        <f>'Blendini Custom Cake - Slice'!N89*12</f>
        <v>0</v>
      </c>
      <c r="O89" s="85">
        <f>'Blendini Custom Cake - Slice'!O89*12</f>
        <v>0</v>
      </c>
      <c r="P89" s="85">
        <f>'Blendini Custom Cake - Slice'!P89*12</f>
        <v>0</v>
      </c>
      <c r="Q89" s="85">
        <f>'Blendini Custom Cake - Slice'!Q89*12</f>
        <v>24</v>
      </c>
      <c r="R89" s="85">
        <f>'Blendini Custom Cake - Slice'!R89*12</f>
        <v>0</v>
      </c>
      <c r="S89" s="85">
        <f>'Blendini Custom Cake - Slice'!S89*12</f>
        <v>0</v>
      </c>
      <c r="T89" s="85">
        <f>'Blendini Custom Cake - Slice'!T89*12</f>
        <v>0</v>
      </c>
      <c r="U89" s="85">
        <f>'Blendini Custom Cake - Slice'!U89*12</f>
        <v>36</v>
      </c>
      <c r="V89" s="85">
        <f>'Blendini Custom Cake - Slice'!V89*12</f>
        <v>0</v>
      </c>
      <c r="W89" s="85">
        <f>'Blendini Custom Cake - Slice'!W89*12</f>
        <v>0</v>
      </c>
      <c r="X89" s="86">
        <f>'Blendini Custom Cake - Slice'!X89*12</f>
        <v>0</v>
      </c>
    </row>
    <row r="90" spans="1:24" ht="14.6">
      <c r="A90" s="1318"/>
      <c r="B90" s="54" t="s">
        <v>117</v>
      </c>
      <c r="C90" s="136">
        <f>'Blendini Custom Cake - Slice'!C90*12</f>
        <v>600</v>
      </c>
      <c r="D90" s="136">
        <f>'Blendini Custom Cake - Slice'!D90*12</f>
        <v>60</v>
      </c>
      <c r="E90" s="136">
        <f>'Blendini Custom Cake - Slice'!E90*12</f>
        <v>0</v>
      </c>
      <c r="F90" s="136">
        <f>'Blendini Custom Cake - Slice'!F90*12</f>
        <v>0</v>
      </c>
      <c r="G90" s="136">
        <f>'Blendini Custom Cake - Slice'!G90*12</f>
        <v>0</v>
      </c>
      <c r="H90" s="136">
        <f>'Blendini Custom Cake - Slice'!H90*12</f>
        <v>0</v>
      </c>
      <c r="I90" s="136">
        <f>'Blendini Custom Cake - Slice'!I90*12</f>
        <v>120</v>
      </c>
      <c r="J90" s="136">
        <f>'Blendini Custom Cake - Slice'!J90*12</f>
        <v>132</v>
      </c>
      <c r="K90" s="136">
        <f>'Blendini Custom Cake - Slice'!K90*12</f>
        <v>0</v>
      </c>
      <c r="L90" s="136">
        <f>'Blendini Custom Cake - Slice'!L90*12</f>
        <v>120</v>
      </c>
      <c r="M90" s="136">
        <f>'Blendini Custom Cake - Slice'!M90*12</f>
        <v>120</v>
      </c>
      <c r="N90" s="136">
        <f>'Blendini Custom Cake - Slice'!N90*12</f>
        <v>0</v>
      </c>
      <c r="O90" s="139">
        <f>'Blendini Custom Cake - Slice'!O90*12</f>
        <v>0</v>
      </c>
      <c r="P90" s="139">
        <f>'Blendini Custom Cake - Slice'!P90*12</f>
        <v>0</v>
      </c>
      <c r="Q90" s="139">
        <f>'Blendini Custom Cake - Slice'!Q90*12</f>
        <v>12</v>
      </c>
      <c r="R90" s="139">
        <f>'Blendini Custom Cake - Slice'!R90*12</f>
        <v>0</v>
      </c>
      <c r="S90" s="139">
        <f>'Blendini Custom Cake - Slice'!S90*12</f>
        <v>0</v>
      </c>
      <c r="T90" s="139">
        <f>'Blendini Custom Cake - Slice'!T90*12</f>
        <v>0</v>
      </c>
      <c r="U90" s="139">
        <f>'Blendini Custom Cake - Slice'!U90*12</f>
        <v>72</v>
      </c>
      <c r="V90" s="139">
        <f>'Blendini Custom Cake - Slice'!V90*12</f>
        <v>0</v>
      </c>
      <c r="W90" s="139">
        <f>'Blendini Custom Cake - Slice'!W90*12</f>
        <v>0</v>
      </c>
      <c r="X90" s="142">
        <f>'Blendini Custom Cake - Slice'!X90*12</f>
        <v>0</v>
      </c>
    </row>
    <row r="91" spans="1:24" ht="14.6">
      <c r="A91" s="1318"/>
      <c r="B91" s="54" t="s">
        <v>118</v>
      </c>
      <c r="C91" s="136">
        <f>'Blendini Custom Cake - Slice'!C91*12</f>
        <v>600</v>
      </c>
      <c r="D91" s="136">
        <f>'Blendini Custom Cake - Slice'!D91*12</f>
        <v>60</v>
      </c>
      <c r="E91" s="136">
        <f>'Blendini Custom Cake - Slice'!E91*12</f>
        <v>6</v>
      </c>
      <c r="F91" s="136">
        <f>'Blendini Custom Cake - Slice'!F91*12</f>
        <v>0</v>
      </c>
      <c r="G91" s="136">
        <f>'Blendini Custom Cake - Slice'!G91*12</f>
        <v>0</v>
      </c>
      <c r="H91" s="136">
        <f>'Blendini Custom Cake - Slice'!H91*12</f>
        <v>0</v>
      </c>
      <c r="I91" s="136">
        <f>'Blendini Custom Cake - Slice'!I91*12</f>
        <v>120</v>
      </c>
      <c r="J91" s="136">
        <f>'Blendini Custom Cake - Slice'!J91*12</f>
        <v>132</v>
      </c>
      <c r="K91" s="136">
        <f>'Blendini Custom Cake - Slice'!K91*12</f>
        <v>0</v>
      </c>
      <c r="L91" s="136">
        <f>'Blendini Custom Cake - Slice'!L91*12</f>
        <v>120</v>
      </c>
      <c r="M91" s="136">
        <f>'Blendini Custom Cake - Slice'!M91*12</f>
        <v>60</v>
      </c>
      <c r="N91" s="136">
        <f>'Blendini Custom Cake - Slice'!N91*12</f>
        <v>0</v>
      </c>
      <c r="O91" s="137">
        <f>'Blendini Custom Cake - Slice'!O91*12</f>
        <v>0</v>
      </c>
      <c r="P91" s="137">
        <f>'Blendini Custom Cake - Slice'!P91*12</f>
        <v>0</v>
      </c>
      <c r="Q91" s="137">
        <f>'Blendini Custom Cake - Slice'!Q91*12</f>
        <v>12</v>
      </c>
      <c r="R91" s="137">
        <f>'Blendini Custom Cake - Slice'!R91*12</f>
        <v>0</v>
      </c>
      <c r="S91" s="137">
        <f>'Blendini Custom Cake - Slice'!S91*12</f>
        <v>0</v>
      </c>
      <c r="T91" s="137">
        <f>'Blendini Custom Cake - Slice'!T91*12</f>
        <v>0</v>
      </c>
      <c r="U91" s="137">
        <f>'Blendini Custom Cake - Slice'!U91*12</f>
        <v>36</v>
      </c>
      <c r="V91" s="137">
        <f>'Blendini Custom Cake - Slice'!V91*12</f>
        <v>0</v>
      </c>
      <c r="W91" s="137">
        <f>'Blendini Custom Cake - Slice'!W91*12</f>
        <v>0</v>
      </c>
      <c r="X91" s="138">
        <f>'Blendini Custom Cake - Slice'!X91*12</f>
        <v>0</v>
      </c>
    </row>
    <row r="92" spans="1:24" ht="14.6">
      <c r="A92" s="1318"/>
      <c r="B92" s="54" t="s">
        <v>119</v>
      </c>
      <c r="C92" s="136">
        <f>'Blendini Custom Cake - Slice'!C92*12</f>
        <v>480</v>
      </c>
      <c r="D92" s="136">
        <f>'Blendini Custom Cake - Slice'!D92*12</f>
        <v>60</v>
      </c>
      <c r="E92" s="136">
        <f>'Blendini Custom Cake - Slice'!E92*12</f>
        <v>0</v>
      </c>
      <c r="F92" s="136">
        <f>'Blendini Custom Cake - Slice'!F92*12</f>
        <v>0</v>
      </c>
      <c r="G92" s="136">
        <f>'Blendini Custom Cake - Slice'!G92*12</f>
        <v>0</v>
      </c>
      <c r="H92" s="136">
        <f>'Blendini Custom Cake - Slice'!H92*12</f>
        <v>0</v>
      </c>
      <c r="I92" s="136">
        <f>'Blendini Custom Cake - Slice'!I92*12</f>
        <v>120</v>
      </c>
      <c r="J92" s="136">
        <f>'Blendini Custom Cake - Slice'!J92*12</f>
        <v>120</v>
      </c>
      <c r="K92" s="136">
        <f>'Blendini Custom Cake - Slice'!K92*12</f>
        <v>0</v>
      </c>
      <c r="L92" s="136">
        <f>'Blendini Custom Cake - Slice'!L92*12</f>
        <v>108</v>
      </c>
      <c r="M92" s="136">
        <f>'Blendini Custom Cake - Slice'!M92*12</f>
        <v>108</v>
      </c>
      <c r="N92" s="136">
        <f>'Blendini Custom Cake - Slice'!N92*12</f>
        <v>0</v>
      </c>
      <c r="O92" s="140">
        <f>'Blendini Custom Cake - Slice'!O92*12</f>
        <v>0</v>
      </c>
      <c r="P92" s="140">
        <f>'Blendini Custom Cake - Slice'!P92*12</f>
        <v>0</v>
      </c>
      <c r="Q92" s="140">
        <f>'Blendini Custom Cake - Slice'!Q92*12</f>
        <v>12</v>
      </c>
      <c r="R92" s="140">
        <f>'Blendini Custom Cake - Slice'!R92*12</f>
        <v>0</v>
      </c>
      <c r="S92" s="140">
        <f>'Blendini Custom Cake - Slice'!S92*12</f>
        <v>0</v>
      </c>
      <c r="T92" s="140">
        <f>'Blendini Custom Cake - Slice'!T92*12</f>
        <v>0</v>
      </c>
      <c r="U92" s="140">
        <f>'Blendini Custom Cake - Slice'!U92*12</f>
        <v>48</v>
      </c>
      <c r="V92" s="140">
        <f>'Blendini Custom Cake - Slice'!V92*12</f>
        <v>0</v>
      </c>
      <c r="W92" s="140">
        <f>'Blendini Custom Cake - Slice'!W92*12</f>
        <v>0</v>
      </c>
      <c r="X92" s="141">
        <f>'Blendini Custom Cake - Slice'!X92*12</f>
        <v>0</v>
      </c>
    </row>
    <row r="93" spans="1:24" ht="15" thickBot="1">
      <c r="A93" s="1319"/>
      <c r="B93" s="55" t="s">
        <v>120</v>
      </c>
      <c r="C93" s="90">
        <f>'Blendini Custom Cake - Slice'!C93*12</f>
        <v>600</v>
      </c>
      <c r="D93" s="90">
        <f>'Blendini Custom Cake - Slice'!D93*12</f>
        <v>60</v>
      </c>
      <c r="E93" s="90">
        <f>'Blendini Custom Cake - Slice'!E93*12</f>
        <v>12</v>
      </c>
      <c r="F93" s="90">
        <f>'Blendini Custom Cake - Slice'!F93*12</f>
        <v>6</v>
      </c>
      <c r="G93" s="90">
        <f>'Blendini Custom Cake - Slice'!G93*12</f>
        <v>0</v>
      </c>
      <c r="H93" s="90">
        <f>'Blendini Custom Cake - Slice'!H93*12</f>
        <v>0</v>
      </c>
      <c r="I93" s="90">
        <f>'Blendini Custom Cake - Slice'!I93*12</f>
        <v>120</v>
      </c>
      <c r="J93" s="90">
        <f>'Blendini Custom Cake - Slice'!J93*12</f>
        <v>144</v>
      </c>
      <c r="K93" s="90">
        <f>'Blendini Custom Cake - Slice'!K93*12</f>
        <v>0</v>
      </c>
      <c r="L93" s="90">
        <f>'Blendini Custom Cake - Slice'!L93*12</f>
        <v>132</v>
      </c>
      <c r="M93" s="90">
        <f>'Blendini Custom Cake - Slice'!M93*12</f>
        <v>120</v>
      </c>
      <c r="N93" s="90">
        <f>'Blendini Custom Cake - Slice'!N93*12</f>
        <v>0</v>
      </c>
      <c r="O93" s="91">
        <f>'Blendini Custom Cake - Slice'!O93*12</f>
        <v>0</v>
      </c>
      <c r="P93" s="91">
        <f>'Blendini Custom Cake - Slice'!P93*12</f>
        <v>0</v>
      </c>
      <c r="Q93" s="91">
        <f>'Blendini Custom Cake - Slice'!Q93*12</f>
        <v>24</v>
      </c>
      <c r="R93" s="91">
        <f>'Blendini Custom Cake - Slice'!R93*12</f>
        <v>0</v>
      </c>
      <c r="S93" s="91">
        <f>'Blendini Custom Cake - Slice'!S93*12</f>
        <v>0</v>
      </c>
      <c r="T93" s="91">
        <f>'Blendini Custom Cake - Slice'!T93*12</f>
        <v>0</v>
      </c>
      <c r="U93" s="91">
        <f>'Blendini Custom Cake - Slice'!U93*12</f>
        <v>36</v>
      </c>
      <c r="V93" s="91">
        <f>'Blendini Custom Cake - Slice'!V93*12</f>
        <v>0</v>
      </c>
      <c r="W93" s="91">
        <f>'Blendini Custom Cake - Slice'!W93*12</f>
        <v>0</v>
      </c>
      <c r="X93" s="92">
        <f>'Blendini Custom Cake - Slice'!X93*12</f>
        <v>0</v>
      </c>
    </row>
    <row r="94" spans="1:24" ht="14.6">
      <c r="A94" s="1317" t="s">
        <v>121</v>
      </c>
      <c r="B94" s="53" t="s">
        <v>122</v>
      </c>
      <c r="C94" s="146">
        <f>'Blendini Custom Cake - Slice'!C94*12</f>
        <v>240</v>
      </c>
      <c r="D94" s="146">
        <f>'Blendini Custom Cake - Slice'!D94*12</f>
        <v>0</v>
      </c>
      <c r="E94" s="146">
        <f>'Blendini Custom Cake - Slice'!E94*12</f>
        <v>0</v>
      </c>
      <c r="F94" s="146">
        <f>'Blendini Custom Cake - Slice'!F94*12</f>
        <v>0</v>
      </c>
      <c r="G94" s="146">
        <f>'Blendini Custom Cake - Slice'!G94*12</f>
        <v>0</v>
      </c>
      <c r="H94" s="146">
        <f>'Blendini Custom Cake - Slice'!H94*12</f>
        <v>0</v>
      </c>
      <c r="I94" s="146">
        <f>'Blendini Custom Cake - Slice'!I94*12</f>
        <v>0</v>
      </c>
      <c r="J94" s="146">
        <f>'Blendini Custom Cake - Slice'!J94*12</f>
        <v>72</v>
      </c>
      <c r="K94" s="146">
        <f>'Blendini Custom Cake - Slice'!K94*12</f>
        <v>0</v>
      </c>
      <c r="L94" s="146">
        <f>'Blendini Custom Cake - Slice'!L94*12</f>
        <v>0</v>
      </c>
      <c r="M94" s="146">
        <f>'Blendini Custom Cake - Slice'!M94*12</f>
        <v>0</v>
      </c>
      <c r="N94" s="146">
        <f>'Blendini Custom Cake - Slice'!N94*12</f>
        <v>0</v>
      </c>
      <c r="O94" s="147">
        <f>'Blendini Custom Cake - Slice'!O94*12</f>
        <v>0</v>
      </c>
      <c r="P94" s="147">
        <f>'Blendini Custom Cake - Slice'!P94*12</f>
        <v>0</v>
      </c>
      <c r="Q94" s="147">
        <f>'Blendini Custom Cake - Slice'!Q94*12</f>
        <v>24</v>
      </c>
      <c r="R94" s="147">
        <f>'Blendini Custom Cake - Slice'!R94*12</f>
        <v>0</v>
      </c>
      <c r="S94" s="147">
        <f>'Blendini Custom Cake - Slice'!S94*12</f>
        <v>0</v>
      </c>
      <c r="T94" s="147">
        <f>'Blendini Custom Cake - Slice'!T94*12</f>
        <v>0</v>
      </c>
      <c r="U94" s="147">
        <f>'Blendini Custom Cake - Slice'!U94*12</f>
        <v>36</v>
      </c>
      <c r="V94" s="147">
        <f>'Blendini Custom Cake - Slice'!V94*12</f>
        <v>0</v>
      </c>
      <c r="W94" s="147">
        <f>'Blendini Custom Cake - Slice'!W94*12</f>
        <v>0</v>
      </c>
      <c r="X94" s="148">
        <f>'Blendini Custom Cake - Slice'!X94*12</f>
        <v>0</v>
      </c>
    </row>
    <row r="95" spans="1:24" ht="14.6">
      <c r="A95" s="1318"/>
      <c r="B95" s="54" t="s">
        <v>123</v>
      </c>
      <c r="C95" s="136">
        <f>'Blendini Custom Cake - Slice'!C95*12</f>
        <v>300</v>
      </c>
      <c r="D95" s="136">
        <f>'Blendini Custom Cake - Slice'!D95*12</f>
        <v>0</v>
      </c>
      <c r="E95" s="136">
        <f>'Blendini Custom Cake - Slice'!E95*12</f>
        <v>0</v>
      </c>
      <c r="F95" s="136">
        <f>'Blendini Custom Cake - Slice'!F95*12</f>
        <v>0</v>
      </c>
      <c r="G95" s="136">
        <f>'Blendini Custom Cake - Slice'!G95*12</f>
        <v>0</v>
      </c>
      <c r="H95" s="136">
        <f>'Blendini Custom Cake - Slice'!H95*12</f>
        <v>0</v>
      </c>
      <c r="I95" s="136">
        <f>'Blendini Custom Cake - Slice'!I95*12</f>
        <v>0</v>
      </c>
      <c r="J95" s="136">
        <f>'Blendini Custom Cake - Slice'!J95*12</f>
        <v>108</v>
      </c>
      <c r="K95" s="136">
        <f>'Blendini Custom Cake - Slice'!K95*12</f>
        <v>0</v>
      </c>
      <c r="L95" s="136">
        <f>'Blendini Custom Cake - Slice'!L95*12</f>
        <v>0</v>
      </c>
      <c r="M95" s="136">
        <f>'Blendini Custom Cake - Slice'!M95*12</f>
        <v>0</v>
      </c>
      <c r="N95" s="136">
        <f>'Blendini Custom Cake - Slice'!N95*12</f>
        <v>0</v>
      </c>
      <c r="O95" s="137">
        <f>'Blendini Custom Cake - Slice'!O95*12</f>
        <v>0</v>
      </c>
      <c r="P95" s="137">
        <f>'Blendini Custom Cake - Slice'!P95*12</f>
        <v>0</v>
      </c>
      <c r="Q95" s="137">
        <f>'Blendini Custom Cake - Slice'!Q95*12</f>
        <v>24</v>
      </c>
      <c r="R95" s="137">
        <f>'Blendini Custom Cake - Slice'!R95*12</f>
        <v>0</v>
      </c>
      <c r="S95" s="137">
        <f>'Blendini Custom Cake - Slice'!S95*12</f>
        <v>0</v>
      </c>
      <c r="T95" s="137">
        <f>'Blendini Custom Cake - Slice'!T95*12</f>
        <v>0</v>
      </c>
      <c r="U95" s="137">
        <f>'Blendini Custom Cake - Slice'!U95*12</f>
        <v>60</v>
      </c>
      <c r="V95" s="137">
        <f>'Blendini Custom Cake - Slice'!V95*12</f>
        <v>0</v>
      </c>
      <c r="W95" s="137">
        <f>'Blendini Custom Cake - Slice'!W95*12</f>
        <v>0</v>
      </c>
      <c r="X95" s="138">
        <f>'Blendini Custom Cake - Slice'!X95*12</f>
        <v>0</v>
      </c>
    </row>
    <row r="96" spans="1:24" ht="14.6">
      <c r="A96" s="1318"/>
      <c r="B96" s="54" t="s">
        <v>124</v>
      </c>
      <c r="C96" s="136">
        <f>'Blendini Custom Cake - Slice'!C96*12</f>
        <v>240</v>
      </c>
      <c r="D96" s="136">
        <f>'Blendini Custom Cake - Slice'!D96*12</f>
        <v>0</v>
      </c>
      <c r="E96" s="136">
        <f>'Blendini Custom Cake - Slice'!E96*12</f>
        <v>0</v>
      </c>
      <c r="F96" s="136">
        <f>'Blendini Custom Cake - Slice'!F96*12</f>
        <v>0</v>
      </c>
      <c r="G96" s="136">
        <f>'Blendini Custom Cake - Slice'!G96*12</f>
        <v>0</v>
      </c>
      <c r="H96" s="136">
        <f>'Blendini Custom Cake - Slice'!H96*12</f>
        <v>0</v>
      </c>
      <c r="I96" s="136">
        <f>'Blendini Custom Cake - Slice'!I96*12</f>
        <v>0</v>
      </c>
      <c r="J96" s="136">
        <f>'Blendini Custom Cake - Slice'!J96*12</f>
        <v>72</v>
      </c>
      <c r="K96" s="136">
        <f>'Blendini Custom Cake - Slice'!K96*12</f>
        <v>0</v>
      </c>
      <c r="L96" s="136">
        <f>'Blendini Custom Cake - Slice'!L96*12</f>
        <v>0</v>
      </c>
      <c r="M96" s="136">
        <f>'Blendini Custom Cake - Slice'!M96*12</f>
        <v>0</v>
      </c>
      <c r="N96" s="136">
        <f>'Blendini Custom Cake - Slice'!N96*12</f>
        <v>0</v>
      </c>
      <c r="O96" s="137">
        <f>'Blendini Custom Cake - Slice'!O96*12</f>
        <v>0</v>
      </c>
      <c r="P96" s="137">
        <f>'Blendini Custom Cake - Slice'!P96*12</f>
        <v>0</v>
      </c>
      <c r="Q96" s="137">
        <f>'Blendini Custom Cake - Slice'!Q96*12</f>
        <v>24</v>
      </c>
      <c r="R96" s="137">
        <f>'Blendini Custom Cake - Slice'!R96*12</f>
        <v>0</v>
      </c>
      <c r="S96" s="137">
        <f>'Blendini Custom Cake - Slice'!S96*12</f>
        <v>0</v>
      </c>
      <c r="T96" s="137">
        <f>'Blendini Custom Cake - Slice'!T96*12</f>
        <v>0</v>
      </c>
      <c r="U96" s="137">
        <f>'Blendini Custom Cake - Slice'!U96*12</f>
        <v>36</v>
      </c>
      <c r="V96" s="137">
        <f>'Blendini Custom Cake - Slice'!V96*12</f>
        <v>0</v>
      </c>
      <c r="W96" s="137">
        <f>'Blendini Custom Cake - Slice'!W96*12</f>
        <v>0</v>
      </c>
      <c r="X96" s="138">
        <f>'Blendini Custom Cake - Slice'!X96*12</f>
        <v>0</v>
      </c>
    </row>
    <row r="97" spans="1:24" ht="14.6">
      <c r="A97" s="1318"/>
      <c r="B97" s="54" t="s">
        <v>125</v>
      </c>
      <c r="C97" s="136">
        <f>'Blendini Custom Cake - Slice'!C97*12</f>
        <v>240</v>
      </c>
      <c r="D97" s="136">
        <f>'Blendini Custom Cake - Slice'!D97*12</f>
        <v>0</v>
      </c>
      <c r="E97" s="136">
        <f>'Blendini Custom Cake - Slice'!E97*12</f>
        <v>0</v>
      </c>
      <c r="F97" s="136">
        <f>'Blendini Custom Cake - Slice'!F97*12</f>
        <v>0</v>
      </c>
      <c r="G97" s="136">
        <f>'Blendini Custom Cake - Slice'!G97*12</f>
        <v>0</v>
      </c>
      <c r="H97" s="136">
        <f>'Blendini Custom Cake - Slice'!H97*12</f>
        <v>0</v>
      </c>
      <c r="I97" s="136">
        <f>'Blendini Custom Cake - Slice'!I97*12</f>
        <v>0</v>
      </c>
      <c r="J97" s="136">
        <f>'Blendini Custom Cake - Slice'!J97*12</f>
        <v>72</v>
      </c>
      <c r="K97" s="136">
        <f>'Blendini Custom Cake - Slice'!K97*12</f>
        <v>0</v>
      </c>
      <c r="L97" s="136">
        <f>'Blendini Custom Cake - Slice'!L97*12</f>
        <v>0</v>
      </c>
      <c r="M97" s="136">
        <f>'Blendini Custom Cake - Slice'!M97*12</f>
        <v>0</v>
      </c>
      <c r="N97" s="136">
        <f>'Blendini Custom Cake - Slice'!N97*12</f>
        <v>0</v>
      </c>
      <c r="O97" s="137">
        <f>'Blendini Custom Cake - Slice'!O97*12</f>
        <v>0</v>
      </c>
      <c r="P97" s="137">
        <f>'Blendini Custom Cake - Slice'!P97*12</f>
        <v>0</v>
      </c>
      <c r="Q97" s="137">
        <f>'Blendini Custom Cake - Slice'!Q97*12</f>
        <v>12</v>
      </c>
      <c r="R97" s="137">
        <f>'Blendini Custom Cake - Slice'!R97*12</f>
        <v>0</v>
      </c>
      <c r="S97" s="137">
        <f>'Blendini Custom Cake - Slice'!S97*12</f>
        <v>0</v>
      </c>
      <c r="T97" s="137">
        <f>'Blendini Custom Cake - Slice'!T97*12</f>
        <v>0</v>
      </c>
      <c r="U97" s="137">
        <f>'Blendini Custom Cake - Slice'!U97*12</f>
        <v>36</v>
      </c>
      <c r="V97" s="137">
        <f>'Blendini Custom Cake - Slice'!V97*12</f>
        <v>0</v>
      </c>
      <c r="W97" s="137">
        <f>'Blendini Custom Cake - Slice'!W97*12</f>
        <v>0</v>
      </c>
      <c r="X97" s="138">
        <f>'Blendini Custom Cake - Slice'!X97*12</f>
        <v>0</v>
      </c>
    </row>
    <row r="98" spans="1:24" ht="14.6">
      <c r="A98" s="1318"/>
      <c r="B98" s="54" t="s">
        <v>126</v>
      </c>
      <c r="C98" s="136">
        <f>'Blendini Custom Cake - Slice'!C98*12</f>
        <v>240</v>
      </c>
      <c r="D98" s="136">
        <f>'Blendini Custom Cake - Slice'!D98*12</f>
        <v>0</v>
      </c>
      <c r="E98" s="136">
        <f>'Blendini Custom Cake - Slice'!E98*12</f>
        <v>0</v>
      </c>
      <c r="F98" s="136">
        <f>'Blendini Custom Cake - Slice'!F98*12</f>
        <v>0</v>
      </c>
      <c r="G98" s="136">
        <f>'Blendini Custom Cake - Slice'!G98*12</f>
        <v>0</v>
      </c>
      <c r="H98" s="136">
        <f>'Blendini Custom Cake - Slice'!H98*12</f>
        <v>0</v>
      </c>
      <c r="I98" s="136">
        <f>'Blendini Custom Cake - Slice'!I98*12</f>
        <v>60</v>
      </c>
      <c r="J98" s="136">
        <f>'Blendini Custom Cake - Slice'!J98*12</f>
        <v>72</v>
      </c>
      <c r="K98" s="136">
        <f>'Blendini Custom Cake - Slice'!K98*12</f>
        <v>0</v>
      </c>
      <c r="L98" s="136">
        <f>'Blendini Custom Cake - Slice'!L98*12</f>
        <v>0</v>
      </c>
      <c r="M98" s="136">
        <f>'Blendini Custom Cake - Slice'!M98*12</f>
        <v>0</v>
      </c>
      <c r="N98" s="136">
        <f>'Blendini Custom Cake - Slice'!N98*12</f>
        <v>0</v>
      </c>
      <c r="O98" s="137">
        <f>'Blendini Custom Cake - Slice'!O98*12</f>
        <v>0</v>
      </c>
      <c r="P98" s="137">
        <f>'Blendini Custom Cake - Slice'!P98*12</f>
        <v>0</v>
      </c>
      <c r="Q98" s="137">
        <f>'Blendini Custom Cake - Slice'!Q98*12</f>
        <v>12</v>
      </c>
      <c r="R98" s="137">
        <f>'Blendini Custom Cake - Slice'!R98*12</f>
        <v>0</v>
      </c>
      <c r="S98" s="137">
        <f>'Blendini Custom Cake - Slice'!S98*12</f>
        <v>0</v>
      </c>
      <c r="T98" s="137">
        <f>'Blendini Custom Cake - Slice'!T98*12</f>
        <v>0</v>
      </c>
      <c r="U98" s="137">
        <f>'Blendini Custom Cake - Slice'!U98*12</f>
        <v>36</v>
      </c>
      <c r="V98" s="137">
        <f>'Blendini Custom Cake - Slice'!V98*12</f>
        <v>0</v>
      </c>
      <c r="W98" s="137">
        <f>'Blendini Custom Cake - Slice'!W98*12</f>
        <v>0</v>
      </c>
      <c r="X98" s="138">
        <f>'Blendini Custom Cake - Slice'!X98*12</f>
        <v>0</v>
      </c>
    </row>
    <row r="99" spans="1:24" ht="15" thickBot="1">
      <c r="A99" s="1319"/>
      <c r="B99" s="55" t="s">
        <v>127</v>
      </c>
      <c r="C99" s="149">
        <f>'Blendini Custom Cake - Slice'!C99*12</f>
        <v>240</v>
      </c>
      <c r="D99" s="149">
        <f>'Blendini Custom Cake - Slice'!D99*12</f>
        <v>0</v>
      </c>
      <c r="E99" s="149">
        <f>'Blendini Custom Cake - Slice'!E99*12</f>
        <v>0</v>
      </c>
      <c r="F99" s="149">
        <f>'Blendini Custom Cake - Slice'!F99*12</f>
        <v>0</v>
      </c>
      <c r="G99" s="149">
        <f>'Blendini Custom Cake - Slice'!G99*12</f>
        <v>0</v>
      </c>
      <c r="H99" s="149">
        <f>'Blendini Custom Cake - Slice'!H99*12</f>
        <v>0</v>
      </c>
      <c r="I99" s="149">
        <f>'Blendini Custom Cake - Slice'!I99*12</f>
        <v>60</v>
      </c>
      <c r="J99" s="149">
        <f>'Blendini Custom Cake - Slice'!J99*12</f>
        <v>72</v>
      </c>
      <c r="K99" s="149">
        <f>'Blendini Custom Cake - Slice'!K99*12</f>
        <v>0</v>
      </c>
      <c r="L99" s="149">
        <f>'Blendini Custom Cake - Slice'!L99*12</f>
        <v>0</v>
      </c>
      <c r="M99" s="149">
        <f>'Blendini Custom Cake - Slice'!M99*12</f>
        <v>0</v>
      </c>
      <c r="N99" s="149">
        <f>'Blendini Custom Cake - Slice'!N99*12</f>
        <v>0</v>
      </c>
      <c r="O99" s="144">
        <f>'Blendini Custom Cake - Slice'!O99*12</f>
        <v>0</v>
      </c>
      <c r="P99" s="144">
        <f>'Blendini Custom Cake - Slice'!P99*12</f>
        <v>0</v>
      </c>
      <c r="Q99" s="144">
        <f>'Blendini Custom Cake - Slice'!Q99*12</f>
        <v>12</v>
      </c>
      <c r="R99" s="144">
        <f>'Blendini Custom Cake - Slice'!R99*12</f>
        <v>0</v>
      </c>
      <c r="S99" s="144">
        <f>'Blendini Custom Cake - Slice'!S99*12</f>
        <v>0</v>
      </c>
      <c r="T99" s="144">
        <f>'Blendini Custom Cake - Slice'!T99*12</f>
        <v>0</v>
      </c>
      <c r="U99" s="144">
        <f>'Blendini Custom Cake - Slice'!U99*12</f>
        <v>48</v>
      </c>
      <c r="V99" s="144">
        <f>'Blendini Custom Cake - Slice'!V99*12</f>
        <v>0</v>
      </c>
      <c r="W99" s="144">
        <f>'Blendini Custom Cake - Slice'!W99*12</f>
        <v>0</v>
      </c>
      <c r="X99" s="145">
        <f>'Blendini Custom Cake - Slice'!X99*12</f>
        <v>0</v>
      </c>
    </row>
    <row r="100" spans="1:24" ht="14.6">
      <c r="A100" s="6"/>
      <c r="B100" s="22"/>
      <c r="C100" s="15"/>
      <c r="D100" s="15"/>
      <c r="E100" s="15"/>
      <c r="F100" s="15"/>
      <c r="G100" s="15"/>
      <c r="H100" s="15"/>
      <c r="I100" s="15"/>
      <c r="J100" s="15"/>
      <c r="K100" s="15"/>
      <c r="L100" s="15"/>
      <c r="M100" s="15"/>
      <c r="N100" s="15"/>
      <c r="O100" s="15"/>
      <c r="P100" s="15"/>
      <c r="Q100" s="15"/>
    </row>
    <row r="101" spans="1:24" ht="18" customHeight="1" thickBot="1">
      <c r="A101" s="1307" t="s">
        <v>564</v>
      </c>
      <c r="B101" s="1308"/>
      <c r="C101" s="1308"/>
      <c r="D101" s="1308"/>
      <c r="E101" s="1308"/>
      <c r="F101" s="1308"/>
      <c r="G101" s="1308"/>
      <c r="H101" s="1308"/>
      <c r="I101" s="1308"/>
      <c r="J101" s="1308"/>
      <c r="K101" s="1308"/>
      <c r="L101" s="1308"/>
      <c r="M101" s="1308"/>
      <c r="N101" s="1308"/>
      <c r="O101" s="1308"/>
      <c r="P101" s="1308"/>
      <c r="Q101" s="1308"/>
      <c r="R101" s="1308"/>
      <c r="S101" s="1308"/>
      <c r="T101" s="1308"/>
      <c r="U101" s="1308"/>
      <c r="V101" s="1308"/>
      <c r="W101" s="1308"/>
      <c r="X101" s="1308"/>
    </row>
    <row r="102" spans="1:24" ht="37.5" customHeight="1" thickBot="1">
      <c r="A102" s="77"/>
      <c r="B102" s="48" t="s">
        <v>3</v>
      </c>
      <c r="C102" s="1" t="s">
        <v>4</v>
      </c>
      <c r="D102" s="1" t="s">
        <v>5</v>
      </c>
      <c r="E102" s="1" t="s">
        <v>6</v>
      </c>
      <c r="F102" s="1" t="s">
        <v>7</v>
      </c>
      <c r="G102" s="1" t="s">
        <v>8</v>
      </c>
      <c r="H102" s="1" t="s">
        <v>9</v>
      </c>
      <c r="I102" s="1" t="s">
        <v>10</v>
      </c>
      <c r="J102" s="1" t="s">
        <v>11</v>
      </c>
      <c r="K102" s="1" t="s">
        <v>12</v>
      </c>
      <c r="L102" s="1" t="s">
        <v>13</v>
      </c>
      <c r="M102" s="1" t="s">
        <v>14</v>
      </c>
      <c r="N102" s="1" t="s">
        <v>15</v>
      </c>
      <c r="O102" s="2" t="s">
        <v>16</v>
      </c>
      <c r="P102" s="2" t="s">
        <v>17</v>
      </c>
      <c r="Q102" s="2" t="s">
        <v>18</v>
      </c>
      <c r="R102" s="2" t="s">
        <v>19</v>
      </c>
      <c r="S102" s="2" t="s">
        <v>20</v>
      </c>
      <c r="T102" s="2" t="s">
        <v>21</v>
      </c>
      <c r="U102" s="2" t="s">
        <v>22</v>
      </c>
      <c r="V102" s="2" t="s">
        <v>23</v>
      </c>
      <c r="W102" s="2" t="s">
        <v>377</v>
      </c>
      <c r="X102" s="3" t="s">
        <v>378</v>
      </c>
    </row>
    <row r="103" spans="1:24" ht="14.6">
      <c r="A103" s="1317" t="s">
        <v>396</v>
      </c>
      <c r="B103" s="61" t="s">
        <v>26</v>
      </c>
      <c r="C103" s="98">
        <f>'Blendini Custom Cake - Slice'!C103*12</f>
        <v>852.48</v>
      </c>
      <c r="D103" s="99">
        <f>'Blendini Custom Cake - Slice'!D103*12</f>
        <v>404.52</v>
      </c>
      <c r="E103" s="99">
        <f>'Blendini Custom Cake - Slice'!E103*12</f>
        <v>45</v>
      </c>
      <c r="F103" s="99">
        <f>'Blendini Custom Cake - Slice'!F103*12</f>
        <v>28.56</v>
      </c>
      <c r="G103" s="99">
        <f>'Blendini Custom Cake - Slice'!G103*12</f>
        <v>0</v>
      </c>
      <c r="H103" s="99">
        <f>'Blendini Custom Cake - Slice'!H103*12</f>
        <v>265.68</v>
      </c>
      <c r="I103" s="99">
        <f>'Blendini Custom Cake - Slice'!I103*12</f>
        <v>579.84</v>
      </c>
      <c r="J103" s="99">
        <f>'Blendini Custom Cake - Slice'!J103*12</f>
        <v>102.72</v>
      </c>
      <c r="K103" s="99">
        <f>'Blendini Custom Cake - Slice'!K103*12</f>
        <v>0</v>
      </c>
      <c r="L103" s="99">
        <f>'Blendini Custom Cake - Slice'!L103*12</f>
        <v>81.72</v>
      </c>
      <c r="M103" s="99">
        <f>'Blendini Custom Cake - Slice'!M103*12</f>
        <v>16.32</v>
      </c>
      <c r="N103" s="99">
        <f>'Blendini Custom Cake - Slice'!N103*12</f>
        <v>48</v>
      </c>
      <c r="O103" s="99">
        <f>'Blendini Custom Cake - Slice'!O103*12</f>
        <v>0</v>
      </c>
      <c r="P103" s="99">
        <f>'Blendini Custom Cake - Slice'!P103*12</f>
        <v>72</v>
      </c>
      <c r="Q103" s="100">
        <f>'Blendini Custom Cake - Slice'!Q103*12</f>
        <v>0</v>
      </c>
      <c r="R103" s="101"/>
      <c r="S103" s="101"/>
      <c r="T103" s="101"/>
      <c r="U103" s="101"/>
      <c r="V103" s="101"/>
      <c r="W103" s="101"/>
      <c r="X103" s="102"/>
    </row>
    <row r="104" spans="1:24" ht="14.6">
      <c r="A104" s="1318"/>
      <c r="B104" s="62" t="s">
        <v>505</v>
      </c>
      <c r="C104" s="103">
        <f>'Blendini Custom Cake - Slice'!C104*12</f>
        <v>843.12000000000012</v>
      </c>
      <c r="D104" s="104">
        <f>'Blendini Custom Cake - Slice'!D104*12</f>
        <v>411.59999999999997</v>
      </c>
      <c r="E104" s="104">
        <f>'Blendini Custom Cake - Slice'!E104*12</f>
        <v>45.72</v>
      </c>
      <c r="F104" s="104">
        <f>'Blendini Custom Cake - Slice'!F104*12</f>
        <v>29.04</v>
      </c>
      <c r="G104" s="104">
        <f>'Blendini Custom Cake - Slice'!G104*12</f>
        <v>0</v>
      </c>
      <c r="H104" s="104">
        <f>'Blendini Custom Cake - Slice'!H104*12</f>
        <v>270.12</v>
      </c>
      <c r="I104" s="104">
        <f>'Blendini Custom Cake - Slice'!I104*12</f>
        <v>586.20000000000005</v>
      </c>
      <c r="J104" s="104">
        <f>'Blendini Custom Cake - Slice'!J104*12</f>
        <v>97.68</v>
      </c>
      <c r="K104" s="104">
        <f>'Blendini Custom Cake - Slice'!K104*12</f>
        <v>0</v>
      </c>
      <c r="L104" s="104">
        <f>'Blendini Custom Cake - Slice'!L104*12</f>
        <v>75.239999999999995</v>
      </c>
      <c r="M104" s="104">
        <f>'Blendini Custom Cake - Slice'!M104*12</f>
        <v>16.68</v>
      </c>
      <c r="N104" s="104">
        <f>'Blendini Custom Cake - Slice'!N104*12</f>
        <v>48</v>
      </c>
      <c r="O104" s="104">
        <f>'Blendini Custom Cake - Slice'!O104*12</f>
        <v>0</v>
      </c>
      <c r="P104" s="104">
        <f>'Blendini Custom Cake - Slice'!P104*12</f>
        <v>72</v>
      </c>
      <c r="Q104" s="105">
        <f>'Blendini Custom Cake - Slice'!Q104*12</f>
        <v>0</v>
      </c>
      <c r="R104" s="106"/>
      <c r="S104" s="106"/>
      <c r="T104" s="106"/>
      <c r="U104" s="106"/>
      <c r="V104" s="106"/>
      <c r="W104" s="106"/>
      <c r="X104" s="107"/>
    </row>
    <row r="105" spans="1:24" ht="14.6">
      <c r="A105" s="1318"/>
      <c r="B105" s="62" t="s">
        <v>404</v>
      </c>
      <c r="C105" s="103">
        <f>'Blendini Custom Cake - Slice'!C105*12</f>
        <v>849.48</v>
      </c>
      <c r="D105" s="104">
        <f>'Blendini Custom Cake - Slice'!D105*12</f>
        <v>414.72</v>
      </c>
      <c r="E105" s="104">
        <f>'Blendini Custom Cake - Slice'!E105*12</f>
        <v>46.08</v>
      </c>
      <c r="F105" s="104">
        <f>'Blendini Custom Cake - Slice'!F105*12</f>
        <v>29.28</v>
      </c>
      <c r="G105" s="104">
        <f>'Blendini Custom Cake - Slice'!G105*12</f>
        <v>0</v>
      </c>
      <c r="H105" s="104">
        <f>'Blendini Custom Cake - Slice'!H105*12</f>
        <v>272.28000000000003</v>
      </c>
      <c r="I105" s="104">
        <f>'Blendini Custom Cake - Slice'!I105*12</f>
        <v>590.40000000000009</v>
      </c>
      <c r="J105" s="104">
        <f>'Blendini Custom Cake - Slice'!J105*12</f>
        <v>99.359999999999985</v>
      </c>
      <c r="K105" s="104">
        <f>'Blendini Custom Cake - Slice'!K105*12</f>
        <v>0</v>
      </c>
      <c r="L105" s="104">
        <f>'Blendini Custom Cake - Slice'!L105*12</f>
        <v>77.760000000000005</v>
      </c>
      <c r="M105" s="104">
        <f>'Blendini Custom Cake - Slice'!M105*12</f>
        <v>16.799999999999997</v>
      </c>
      <c r="N105" s="104">
        <f>'Blendini Custom Cake - Slice'!N105*12</f>
        <v>48</v>
      </c>
      <c r="O105" s="104">
        <f>'Blendini Custom Cake - Slice'!O105*12</f>
        <v>0</v>
      </c>
      <c r="P105" s="104">
        <f>'Blendini Custom Cake - Slice'!P105*12</f>
        <v>72</v>
      </c>
      <c r="Q105" s="105">
        <f>'Blendini Custom Cake - Slice'!Q105*12</f>
        <v>0</v>
      </c>
      <c r="R105" s="106"/>
      <c r="S105" s="106"/>
      <c r="T105" s="106"/>
      <c r="U105" s="106"/>
      <c r="V105" s="106"/>
      <c r="W105" s="106"/>
      <c r="X105" s="107"/>
    </row>
    <row r="106" spans="1:24" ht="14.6">
      <c r="A106" s="1318"/>
      <c r="B106" s="62" t="s">
        <v>98</v>
      </c>
      <c r="C106" s="103">
        <f>'Blendini Custom Cake - Slice'!C106*12</f>
        <v>870.59999999999991</v>
      </c>
      <c r="D106" s="104">
        <f>'Blendini Custom Cake - Slice'!D106*12</f>
        <v>392.64</v>
      </c>
      <c r="E106" s="104">
        <f>'Blendini Custom Cake - Slice'!E106*12</f>
        <v>43.68</v>
      </c>
      <c r="F106" s="104">
        <f>'Blendini Custom Cake - Slice'!F106*12</f>
        <v>27.72</v>
      </c>
      <c r="G106" s="104">
        <f>'Blendini Custom Cake - Slice'!G106*12</f>
        <v>0</v>
      </c>
      <c r="H106" s="104">
        <f>'Blendini Custom Cake - Slice'!H106*12</f>
        <v>257.76</v>
      </c>
      <c r="I106" s="104">
        <f>'Blendini Custom Cake - Slice'!I106*12</f>
        <v>559.20000000000005</v>
      </c>
      <c r="J106" s="104">
        <f>'Blendini Custom Cake - Slice'!J106*12</f>
        <v>110.39999999999999</v>
      </c>
      <c r="K106" s="104">
        <f>'Blendini Custom Cake - Slice'!K106*12</f>
        <v>0</v>
      </c>
      <c r="L106" s="104">
        <f>'Blendini Custom Cake - Slice'!L106*12</f>
        <v>89.4</v>
      </c>
      <c r="M106" s="104">
        <f>'Blendini Custom Cake - Slice'!M106*12</f>
        <v>15.84</v>
      </c>
      <c r="N106" s="104">
        <f>'Blendini Custom Cake - Slice'!N106*12</f>
        <v>48</v>
      </c>
      <c r="O106" s="104">
        <f>'Blendini Custom Cake - Slice'!O106*12</f>
        <v>0</v>
      </c>
      <c r="P106" s="104">
        <f>'Blendini Custom Cake - Slice'!P106*12</f>
        <v>72</v>
      </c>
      <c r="Q106" s="105">
        <f>'Blendini Custom Cake - Slice'!Q106*12</f>
        <v>0</v>
      </c>
      <c r="R106" s="106"/>
      <c r="S106" s="106"/>
      <c r="T106" s="106"/>
      <c r="U106" s="106"/>
      <c r="V106" s="106"/>
      <c r="W106" s="106"/>
      <c r="X106" s="107"/>
    </row>
    <row r="107" spans="1:24" ht="14.6">
      <c r="A107" s="1318"/>
      <c r="B107" s="62" t="s">
        <v>34</v>
      </c>
      <c r="C107" s="103">
        <f>'Blendini Custom Cake - Slice'!C107*12</f>
        <v>893.04</v>
      </c>
      <c r="D107" s="104">
        <f>'Blendini Custom Cake - Slice'!D107*12</f>
        <v>382.68</v>
      </c>
      <c r="E107" s="104">
        <f>'Blendini Custom Cake - Slice'!E107*12</f>
        <v>42.480000000000004</v>
      </c>
      <c r="F107" s="104">
        <f>'Blendini Custom Cake - Slice'!F107*12</f>
        <v>25.56</v>
      </c>
      <c r="G107" s="104">
        <f>'Blendini Custom Cake - Slice'!G107*12</f>
        <v>0</v>
      </c>
      <c r="H107" s="104">
        <f>'Blendini Custom Cake - Slice'!H107*12</f>
        <v>233.88</v>
      </c>
      <c r="I107" s="104">
        <f>'Blendini Custom Cake - Slice'!I107*12</f>
        <v>489</v>
      </c>
      <c r="J107" s="104">
        <f>'Blendini Custom Cake - Slice'!J107*12</f>
        <v>114.84</v>
      </c>
      <c r="K107" s="104">
        <f>'Blendini Custom Cake - Slice'!K107*12</f>
        <v>0</v>
      </c>
      <c r="L107" s="104">
        <f>'Blendini Custom Cake - Slice'!L107*12</f>
        <v>89.28</v>
      </c>
      <c r="M107" s="104">
        <f>'Blendini Custom Cake - Slice'!M107*12</f>
        <v>17.04</v>
      </c>
      <c r="N107" s="104">
        <f>'Blendini Custom Cake - Slice'!N107*12</f>
        <v>48</v>
      </c>
      <c r="O107" s="104">
        <f>'Blendini Custom Cake - Slice'!O107*12</f>
        <v>0</v>
      </c>
      <c r="P107" s="104">
        <f>'Blendini Custom Cake - Slice'!P107*12</f>
        <v>72</v>
      </c>
      <c r="Q107" s="105">
        <f>'Blendini Custom Cake - Slice'!Q107*12</f>
        <v>4.5600000000000005</v>
      </c>
      <c r="R107" s="106"/>
      <c r="S107" s="106"/>
      <c r="T107" s="106"/>
      <c r="U107" s="106"/>
      <c r="V107" s="106"/>
      <c r="W107" s="106"/>
      <c r="X107" s="107"/>
    </row>
    <row r="108" spans="1:24" ht="14.6">
      <c r="A108" s="1318"/>
      <c r="B108" s="62" t="s">
        <v>136</v>
      </c>
      <c r="C108" s="103">
        <f>'Blendini Custom Cake - Slice'!C108*12</f>
        <v>845.64</v>
      </c>
      <c r="D108" s="104">
        <f>'Blendini Custom Cake - Slice'!D108*12</f>
        <v>415.91999999999996</v>
      </c>
      <c r="E108" s="104">
        <f>'Blendini Custom Cake - Slice'!E108*12</f>
        <v>46.2</v>
      </c>
      <c r="F108" s="104">
        <f>'Blendini Custom Cake - Slice'!F108*12</f>
        <v>29.400000000000002</v>
      </c>
      <c r="G108" s="104">
        <f>'Blendini Custom Cake - Slice'!G108*12</f>
        <v>0</v>
      </c>
      <c r="H108" s="104">
        <f>'Blendini Custom Cake - Slice'!H108*12</f>
        <v>273</v>
      </c>
      <c r="I108" s="104">
        <f>'Blendini Custom Cake - Slice'!I108*12</f>
        <v>616.56000000000006</v>
      </c>
      <c r="J108" s="104">
        <f>'Blendini Custom Cake - Slice'!J108*12</f>
        <v>97.92</v>
      </c>
      <c r="K108" s="104">
        <f>'Blendini Custom Cake - Slice'!K108*12</f>
        <v>0.12</v>
      </c>
      <c r="L108" s="104">
        <f>'Blendini Custom Cake - Slice'!L108*12</f>
        <v>75.960000000000008</v>
      </c>
      <c r="M108" s="104">
        <f>'Blendini Custom Cake - Slice'!M108*12</f>
        <v>17.04</v>
      </c>
      <c r="N108" s="104">
        <f>'Blendini Custom Cake - Slice'!N108*12</f>
        <v>48</v>
      </c>
      <c r="O108" s="104">
        <f>'Blendini Custom Cake - Slice'!O108*12</f>
        <v>0</v>
      </c>
      <c r="P108" s="104">
        <f>'Blendini Custom Cake - Slice'!P108*12</f>
        <v>72</v>
      </c>
      <c r="Q108" s="105">
        <f>'Blendini Custom Cake - Slice'!Q108*12</f>
        <v>0.12</v>
      </c>
      <c r="R108" s="106"/>
      <c r="S108" s="106"/>
      <c r="T108" s="106"/>
      <c r="U108" s="106"/>
      <c r="V108" s="106"/>
      <c r="W108" s="106"/>
      <c r="X108" s="107"/>
    </row>
    <row r="109" spans="1:24" ht="14.6">
      <c r="A109" s="1318"/>
      <c r="B109" s="62" t="s">
        <v>528</v>
      </c>
      <c r="C109" s="103">
        <f>'Blendini Custom Cake - Slice'!C109*12</f>
        <v>859.68000000000006</v>
      </c>
      <c r="D109" s="104">
        <f>'Blendini Custom Cake - Slice'!D109*12</f>
        <v>405.59999999999997</v>
      </c>
      <c r="E109" s="104">
        <f>'Blendini Custom Cake - Slice'!E109*12</f>
        <v>45.12</v>
      </c>
      <c r="F109" s="104">
        <f>'Blendini Custom Cake - Slice'!F109*12</f>
        <v>28.68</v>
      </c>
      <c r="G109" s="104">
        <f>'Blendini Custom Cake - Slice'!G109*12</f>
        <v>0</v>
      </c>
      <c r="H109" s="104">
        <f>'Blendini Custom Cake - Slice'!H109*12</f>
        <v>266.28000000000003</v>
      </c>
      <c r="I109" s="104">
        <f>'Blendini Custom Cake - Slice'!I109*12</f>
        <v>575.88</v>
      </c>
      <c r="J109" s="104">
        <f>'Blendini Custom Cake - Slice'!J109*12</f>
        <v>104.28</v>
      </c>
      <c r="K109" s="104">
        <f>'Blendini Custom Cake - Slice'!K109*12</f>
        <v>0</v>
      </c>
      <c r="L109" s="104">
        <f>'Blendini Custom Cake - Slice'!L109*12</f>
        <v>82.679999999999993</v>
      </c>
      <c r="M109" s="104">
        <f>'Blendini Custom Cake - Slice'!M109*12</f>
        <v>16.440000000000001</v>
      </c>
      <c r="N109" s="104">
        <f>'Blendini Custom Cake - Slice'!N109*12</f>
        <v>48</v>
      </c>
      <c r="O109" s="104">
        <f>'Blendini Custom Cake - Slice'!O109*12</f>
        <v>0</v>
      </c>
      <c r="P109" s="104">
        <f>'Blendini Custom Cake - Slice'!P109*12</f>
        <v>72</v>
      </c>
      <c r="Q109" s="105">
        <f>'Blendini Custom Cake - Slice'!Q109*12</f>
        <v>0</v>
      </c>
      <c r="R109" s="106"/>
      <c r="S109" s="106"/>
      <c r="T109" s="106"/>
      <c r="U109" s="106"/>
      <c r="V109" s="106"/>
      <c r="W109" s="106"/>
      <c r="X109" s="107"/>
    </row>
    <row r="110" spans="1:24" ht="14.6">
      <c r="A110" s="1318"/>
      <c r="B110" s="62" t="s">
        <v>48</v>
      </c>
      <c r="C110" s="103">
        <f>'Blendini Custom Cake - Slice'!C110*12</f>
        <v>849.59999999999991</v>
      </c>
      <c r="D110" s="104">
        <f>'Blendini Custom Cake - Slice'!D110*12</f>
        <v>411.24</v>
      </c>
      <c r="E110" s="104">
        <f>'Blendini Custom Cake - Slice'!E110*12</f>
        <v>45.72</v>
      </c>
      <c r="F110" s="104">
        <f>'Blendini Custom Cake - Slice'!F110*12</f>
        <v>29.04</v>
      </c>
      <c r="G110" s="104">
        <f>'Blendini Custom Cake - Slice'!G110*12</f>
        <v>0</v>
      </c>
      <c r="H110" s="104">
        <f>'Blendini Custom Cake - Slice'!H110*12</f>
        <v>270</v>
      </c>
      <c r="I110" s="104">
        <f>'Blendini Custom Cake - Slice'!I110*12</f>
        <v>582.84</v>
      </c>
      <c r="J110" s="104">
        <f>'Blendini Custom Cake - Slice'!J110*12</f>
        <v>100.32</v>
      </c>
      <c r="K110" s="104">
        <f>'Blendini Custom Cake - Slice'!K110*12</f>
        <v>0</v>
      </c>
      <c r="L110" s="104">
        <f>'Blendini Custom Cake - Slice'!L110*12</f>
        <v>78.84</v>
      </c>
      <c r="M110" s="104">
        <f>'Blendini Custom Cake - Slice'!M110*12</f>
        <v>16.559999999999999</v>
      </c>
      <c r="N110" s="104">
        <f>'Blendini Custom Cake - Slice'!N110*12</f>
        <v>48</v>
      </c>
      <c r="O110" s="104">
        <f>'Blendini Custom Cake - Slice'!O110*12</f>
        <v>0</v>
      </c>
      <c r="P110" s="104">
        <f>'Blendini Custom Cake - Slice'!P110*12</f>
        <v>72</v>
      </c>
      <c r="Q110" s="105">
        <f>'Blendini Custom Cake - Slice'!Q110*12</f>
        <v>0</v>
      </c>
      <c r="R110" s="106"/>
      <c r="S110" s="106"/>
      <c r="T110" s="106"/>
      <c r="U110" s="106"/>
      <c r="V110" s="106"/>
      <c r="W110" s="106"/>
      <c r="X110" s="107"/>
    </row>
    <row r="111" spans="1:24" ht="14.6">
      <c r="A111" s="1318"/>
      <c r="B111" s="62" t="s">
        <v>137</v>
      </c>
      <c r="C111" s="103">
        <f>'Blendini Custom Cake - Slice'!C111*12</f>
        <v>837.72</v>
      </c>
      <c r="D111" s="104">
        <f>'Blendini Custom Cake - Slice'!D111*12</f>
        <v>415.08000000000004</v>
      </c>
      <c r="E111" s="104">
        <f>'Blendini Custom Cake - Slice'!E111*12</f>
        <v>46.08</v>
      </c>
      <c r="F111" s="104">
        <f>'Blendini Custom Cake - Slice'!F111*12</f>
        <v>29.28</v>
      </c>
      <c r="G111" s="104">
        <f>'Blendini Custom Cake - Slice'!G111*12</f>
        <v>0</v>
      </c>
      <c r="H111" s="104">
        <f>'Blendini Custom Cake - Slice'!H111*12</f>
        <v>271.92</v>
      </c>
      <c r="I111" s="104">
        <f>'Blendini Custom Cake - Slice'!I111*12</f>
        <v>589.68000000000006</v>
      </c>
      <c r="J111" s="104">
        <f>'Blendini Custom Cake - Slice'!J111*12</f>
        <v>96.359999999999985</v>
      </c>
      <c r="K111" s="104">
        <f>'Blendini Custom Cake - Slice'!K111*12</f>
        <v>0</v>
      </c>
      <c r="L111" s="104">
        <f>'Blendini Custom Cake - Slice'!L111*12</f>
        <v>75.36</v>
      </c>
      <c r="M111" s="104">
        <f>'Blendini Custom Cake - Slice'!M111*12</f>
        <v>16.68</v>
      </c>
      <c r="N111" s="104">
        <f>'Blendini Custom Cake - Slice'!N111*12</f>
        <v>48</v>
      </c>
      <c r="O111" s="104">
        <f>'Blendini Custom Cake - Slice'!O111*12</f>
        <v>0</v>
      </c>
      <c r="P111" s="104">
        <f>'Blendini Custom Cake - Slice'!P111*12</f>
        <v>72</v>
      </c>
      <c r="Q111" s="105">
        <f>'Blendini Custom Cake - Slice'!Q111*12</f>
        <v>0</v>
      </c>
      <c r="R111" s="106"/>
      <c r="S111" s="106"/>
      <c r="T111" s="106"/>
      <c r="U111" s="106"/>
      <c r="V111" s="106"/>
      <c r="W111" s="106"/>
      <c r="X111" s="107"/>
    </row>
    <row r="112" spans="1:24" ht="14.6">
      <c r="A112" s="1318"/>
      <c r="B112" s="62" t="s">
        <v>416</v>
      </c>
      <c r="C112" s="103">
        <f>'Blendini Custom Cake - Slice'!C112*12</f>
        <v>852.36</v>
      </c>
      <c r="D112" s="104">
        <f>'Blendini Custom Cake - Slice'!D112*12</f>
        <v>410.28</v>
      </c>
      <c r="E112" s="104">
        <f>'Blendini Custom Cake - Slice'!E112*12</f>
        <v>45.599999999999994</v>
      </c>
      <c r="F112" s="104">
        <f>'Blendini Custom Cake - Slice'!F112*12</f>
        <v>29.04</v>
      </c>
      <c r="G112" s="104">
        <f>'Blendini Custom Cake - Slice'!G112*12</f>
        <v>0</v>
      </c>
      <c r="H112" s="104">
        <f>'Blendini Custom Cake - Slice'!H112*12</f>
        <v>269.39999999999998</v>
      </c>
      <c r="I112" s="104">
        <f>'Blendini Custom Cake - Slice'!I112*12</f>
        <v>584.40000000000009</v>
      </c>
      <c r="J112" s="104">
        <f>'Blendini Custom Cake - Slice'!J112*12</f>
        <v>100.68</v>
      </c>
      <c r="K112" s="104">
        <f>'Blendini Custom Cake - Slice'!K112*12</f>
        <v>0</v>
      </c>
      <c r="L112" s="104">
        <f>'Blendini Custom Cake - Slice'!L112*12</f>
        <v>79.320000000000007</v>
      </c>
      <c r="M112" s="104">
        <f>'Blendini Custom Cake - Slice'!M112*12</f>
        <v>16.559999999999999</v>
      </c>
      <c r="N112" s="104">
        <f>'Blendini Custom Cake - Slice'!N112*12</f>
        <v>48</v>
      </c>
      <c r="O112" s="104">
        <f>'Blendini Custom Cake - Slice'!O112*12</f>
        <v>0</v>
      </c>
      <c r="P112" s="104">
        <f>'Blendini Custom Cake - Slice'!P112*12</f>
        <v>72</v>
      </c>
      <c r="Q112" s="105">
        <f>'Blendini Custom Cake - Slice'!Q112*12</f>
        <v>0</v>
      </c>
      <c r="R112" s="106"/>
      <c r="S112" s="106"/>
      <c r="T112" s="106"/>
      <c r="U112" s="106"/>
      <c r="V112" s="106"/>
      <c r="W112" s="106"/>
      <c r="X112" s="107"/>
    </row>
    <row r="113" spans="1:24" ht="14.6">
      <c r="A113" s="1318"/>
      <c r="B113" s="62" t="s">
        <v>417</v>
      </c>
      <c r="C113" s="103">
        <f>'Blendini Custom Cake - Slice'!C113*12</f>
        <v>856.92</v>
      </c>
      <c r="D113" s="104">
        <f>'Blendini Custom Cake - Slice'!D113*12</f>
        <v>415.32</v>
      </c>
      <c r="E113" s="104">
        <f>'Blendini Custom Cake - Slice'!E113*12</f>
        <v>46.2</v>
      </c>
      <c r="F113" s="104">
        <f>'Blendini Custom Cake - Slice'!F113*12</f>
        <v>29.400000000000002</v>
      </c>
      <c r="G113" s="104">
        <f>'Blendini Custom Cake - Slice'!G113*12</f>
        <v>0</v>
      </c>
      <c r="H113" s="104">
        <f>'Blendini Custom Cake - Slice'!H113*12</f>
        <v>272.64</v>
      </c>
      <c r="I113" s="104">
        <f>'Blendini Custom Cake - Slice'!I113*12</f>
        <v>590.28</v>
      </c>
      <c r="J113" s="104">
        <f>'Blendini Custom Cake - Slice'!J113*12</f>
        <v>100.32</v>
      </c>
      <c r="K113" s="104">
        <f>'Blendini Custom Cake - Slice'!K113*12</f>
        <v>0</v>
      </c>
      <c r="L113" s="104">
        <f>'Blendini Custom Cake - Slice'!L113*12</f>
        <v>78</v>
      </c>
      <c r="M113" s="104">
        <f>'Blendini Custom Cake - Slice'!M113*12</f>
        <v>16.799999999999997</v>
      </c>
      <c r="N113" s="104">
        <f>'Blendini Custom Cake - Slice'!N113*12</f>
        <v>48</v>
      </c>
      <c r="O113" s="104">
        <f>'Blendini Custom Cake - Slice'!O113*12</f>
        <v>0</v>
      </c>
      <c r="P113" s="104">
        <f>'Blendini Custom Cake - Slice'!P113*12</f>
        <v>72</v>
      </c>
      <c r="Q113" s="105">
        <f>'Blendini Custom Cake - Slice'!Q113*12</f>
        <v>0</v>
      </c>
      <c r="R113" s="106"/>
      <c r="S113" s="106"/>
      <c r="T113" s="106"/>
      <c r="U113" s="106"/>
      <c r="V113" s="106"/>
      <c r="W113" s="106"/>
      <c r="X113" s="107"/>
    </row>
    <row r="114" spans="1:24" ht="14.6">
      <c r="A114" s="1318"/>
      <c r="B114" s="62" t="s">
        <v>418</v>
      </c>
      <c r="C114" s="103">
        <f>'Blendini Custom Cake - Slice'!C114*12</f>
        <v>860.28</v>
      </c>
      <c r="D114" s="104">
        <f>'Blendini Custom Cake - Slice'!D114*12</f>
        <v>407.15999999999997</v>
      </c>
      <c r="E114" s="104">
        <f>'Blendini Custom Cake - Slice'!E114*12</f>
        <v>45.24</v>
      </c>
      <c r="F114" s="104">
        <f>'Blendini Custom Cake - Slice'!F114*12</f>
        <v>28.799999999999997</v>
      </c>
      <c r="G114" s="104">
        <f>'Blendini Custom Cake - Slice'!G114*12</f>
        <v>0</v>
      </c>
      <c r="H114" s="104">
        <f>'Blendini Custom Cake - Slice'!H114*12</f>
        <v>267.36</v>
      </c>
      <c r="I114" s="104">
        <f>'Blendini Custom Cake - Slice'!I114*12</f>
        <v>586.20000000000005</v>
      </c>
      <c r="J114" s="104">
        <f>'Blendini Custom Cake - Slice'!J114*12</f>
        <v>104.16</v>
      </c>
      <c r="K114" s="104">
        <f>'Blendini Custom Cake - Slice'!K114*12</f>
        <v>0.12</v>
      </c>
      <c r="L114" s="104">
        <f>'Blendini Custom Cake - Slice'!L114*12</f>
        <v>82.56</v>
      </c>
      <c r="M114" s="104">
        <f>'Blendini Custom Cake - Slice'!M114*12</f>
        <v>16.440000000000001</v>
      </c>
      <c r="N114" s="104">
        <f>'Blendini Custom Cake - Slice'!N114*12</f>
        <v>48</v>
      </c>
      <c r="O114" s="104">
        <f>'Blendini Custom Cake - Slice'!O114*12</f>
        <v>0</v>
      </c>
      <c r="P114" s="104">
        <f>'Blendini Custom Cake - Slice'!P114*12</f>
        <v>72</v>
      </c>
      <c r="Q114" s="105">
        <f>'Blendini Custom Cake - Slice'!Q114*12</f>
        <v>0</v>
      </c>
      <c r="R114" s="106"/>
      <c r="S114" s="106"/>
      <c r="T114" s="106"/>
      <c r="U114" s="106"/>
      <c r="V114" s="106"/>
      <c r="W114" s="106"/>
      <c r="X114" s="107"/>
    </row>
    <row r="115" spans="1:24" ht="14.6">
      <c r="A115" s="1318"/>
      <c r="B115" s="62" t="s">
        <v>360</v>
      </c>
      <c r="C115" s="103">
        <f>'Blendini Custom Cake - Slice'!C115*12</f>
        <v>851.76</v>
      </c>
      <c r="D115" s="104">
        <f>'Blendini Custom Cake - Slice'!D115*12</f>
        <v>414</v>
      </c>
      <c r="E115" s="104">
        <f>'Blendini Custom Cake - Slice'!E115*12</f>
        <v>45.96</v>
      </c>
      <c r="F115" s="104">
        <f>'Blendini Custom Cake - Slice'!F115*12</f>
        <v>29.28</v>
      </c>
      <c r="G115" s="104">
        <f>'Blendini Custom Cake - Slice'!G115*12</f>
        <v>0</v>
      </c>
      <c r="H115" s="104">
        <f>'Blendini Custom Cake - Slice'!H115*12</f>
        <v>271.79999999999995</v>
      </c>
      <c r="I115" s="104">
        <f>'Blendini Custom Cake - Slice'!I115*12</f>
        <v>585.48</v>
      </c>
      <c r="J115" s="104">
        <f>'Blendini Custom Cake - Slice'!J115*12</f>
        <v>99.960000000000008</v>
      </c>
      <c r="K115" s="104">
        <f>'Blendini Custom Cake - Slice'!K115*12</f>
        <v>0</v>
      </c>
      <c r="L115" s="104">
        <f>'Blendini Custom Cake - Slice'!L115*12</f>
        <v>78</v>
      </c>
      <c r="M115" s="104">
        <f>'Blendini Custom Cake - Slice'!M115*12</f>
        <v>16.68</v>
      </c>
      <c r="N115" s="104">
        <f>'Blendini Custom Cake - Slice'!N115*12</f>
        <v>48</v>
      </c>
      <c r="O115" s="104">
        <f>'Blendini Custom Cake - Slice'!O115*12</f>
        <v>0</v>
      </c>
      <c r="P115" s="104">
        <f>'Blendini Custom Cake - Slice'!P115*12</f>
        <v>72</v>
      </c>
      <c r="Q115" s="105">
        <f>'Blendini Custom Cake - Slice'!Q115*12</f>
        <v>0</v>
      </c>
      <c r="R115" s="106"/>
      <c r="S115" s="106"/>
      <c r="T115" s="106"/>
      <c r="U115" s="106"/>
      <c r="V115" s="106"/>
      <c r="W115" s="106"/>
      <c r="X115" s="107"/>
    </row>
    <row r="116" spans="1:24" ht="14.6">
      <c r="A116" s="1318"/>
      <c r="B116" s="62" t="s">
        <v>66</v>
      </c>
      <c r="C116" s="103">
        <f>'Blendini Custom Cake - Slice'!C116*12</f>
        <v>855.12000000000012</v>
      </c>
      <c r="D116" s="104">
        <f>'Blendini Custom Cake - Slice'!D116*12</f>
        <v>411.12</v>
      </c>
      <c r="E116" s="104">
        <f>'Blendini Custom Cake - Slice'!E116*12</f>
        <v>45.72</v>
      </c>
      <c r="F116" s="104">
        <f>'Blendini Custom Cake - Slice'!F116*12</f>
        <v>29.04</v>
      </c>
      <c r="G116" s="104">
        <f>'Blendini Custom Cake - Slice'!G116*12</f>
        <v>0</v>
      </c>
      <c r="H116" s="104">
        <f>'Blendini Custom Cake - Slice'!H116*12</f>
        <v>269.88</v>
      </c>
      <c r="I116" s="104">
        <f>'Blendini Custom Cake - Slice'!I116*12</f>
        <v>583.31999999999994</v>
      </c>
      <c r="J116" s="104">
        <f>'Blendini Custom Cake - Slice'!J116*12</f>
        <v>101.64000000000001</v>
      </c>
      <c r="K116" s="104">
        <f>'Blendini Custom Cake - Slice'!K116*12</f>
        <v>0</v>
      </c>
      <c r="L116" s="104">
        <f>'Blendini Custom Cake - Slice'!L116*12</f>
        <v>80.64</v>
      </c>
      <c r="M116" s="104">
        <f>'Blendini Custom Cake - Slice'!M116*12</f>
        <v>16.68</v>
      </c>
      <c r="N116" s="104">
        <f>'Blendini Custom Cake - Slice'!N116*12</f>
        <v>48</v>
      </c>
      <c r="O116" s="104">
        <f>'Blendini Custom Cake - Slice'!O116*12</f>
        <v>0</v>
      </c>
      <c r="P116" s="104">
        <f>'Blendini Custom Cake - Slice'!P116*12</f>
        <v>72</v>
      </c>
      <c r="Q116" s="105">
        <f>'Blendini Custom Cake - Slice'!Q116*12</f>
        <v>0</v>
      </c>
      <c r="R116" s="106"/>
      <c r="S116" s="106"/>
      <c r="T116" s="106"/>
      <c r="U116" s="106"/>
      <c r="V116" s="106"/>
      <c r="W116" s="106"/>
      <c r="X116" s="107"/>
    </row>
    <row r="117" spans="1:24" ht="15" thickBot="1">
      <c r="A117" s="1319"/>
      <c r="B117" s="63" t="s">
        <v>75</v>
      </c>
      <c r="C117" s="108">
        <f>'Blendini Custom Cake - Slice'!C117*12</f>
        <v>850.44</v>
      </c>
      <c r="D117" s="109">
        <f>'Blendini Custom Cake - Slice'!D117*12</f>
        <v>420.96</v>
      </c>
      <c r="E117" s="109">
        <f>'Blendini Custom Cake - Slice'!E117*12</f>
        <v>46.8</v>
      </c>
      <c r="F117" s="109">
        <f>'Blendini Custom Cake - Slice'!F117*12</f>
        <v>29.759999999999998</v>
      </c>
      <c r="G117" s="109">
        <f>'Blendini Custom Cake - Slice'!G117*12</f>
        <v>0</v>
      </c>
      <c r="H117" s="109">
        <f>'Blendini Custom Cake - Slice'!H117*12</f>
        <v>276.36</v>
      </c>
      <c r="I117" s="109">
        <f>'Blendini Custom Cake - Slice'!I117*12</f>
        <v>595.31999999999994</v>
      </c>
      <c r="J117" s="109">
        <f>'Blendini Custom Cake - Slice'!J117*12</f>
        <v>97.800000000000011</v>
      </c>
      <c r="K117" s="109">
        <f>'Blendini Custom Cake - Slice'!K117*12</f>
        <v>0</v>
      </c>
      <c r="L117" s="109">
        <f>'Blendini Custom Cake - Slice'!L117*12</f>
        <v>76.56</v>
      </c>
      <c r="M117" s="109">
        <f>'Blendini Custom Cake - Slice'!M117*12</f>
        <v>17.04</v>
      </c>
      <c r="N117" s="109">
        <f>'Blendini Custom Cake - Slice'!N117*12</f>
        <v>48</v>
      </c>
      <c r="O117" s="109">
        <f>'Blendini Custom Cake - Slice'!O117*12</f>
        <v>0</v>
      </c>
      <c r="P117" s="109">
        <f>'Blendini Custom Cake - Slice'!P117*12</f>
        <v>72</v>
      </c>
      <c r="Q117" s="110">
        <f>'Blendini Custom Cake - Slice'!Q117*12</f>
        <v>0</v>
      </c>
      <c r="R117" s="111"/>
      <c r="S117" s="111"/>
      <c r="T117" s="111"/>
      <c r="U117" s="111"/>
      <c r="V117" s="111"/>
      <c r="W117" s="111"/>
      <c r="X117" s="112"/>
    </row>
    <row r="119" spans="1:24" ht="18" customHeight="1" thickBot="1">
      <c r="A119" s="1308" t="s">
        <v>543</v>
      </c>
      <c r="B119" s="1308"/>
      <c r="C119" s="1308"/>
      <c r="D119" s="1308"/>
      <c r="E119" s="1308"/>
      <c r="F119" s="1308"/>
      <c r="G119" s="1308"/>
      <c r="H119" s="1308"/>
      <c r="I119" s="1308"/>
      <c r="J119" s="1308"/>
      <c r="K119" s="1308"/>
      <c r="L119" s="1308"/>
      <c r="M119" s="1308"/>
      <c r="N119" s="1308"/>
      <c r="O119" s="1308"/>
      <c r="P119" s="1308"/>
      <c r="Q119" s="1308"/>
      <c r="R119" s="1308"/>
      <c r="S119" s="1308"/>
      <c r="T119" s="1308"/>
      <c r="U119" s="1308"/>
      <c r="V119" s="1308"/>
      <c r="W119" s="1308"/>
      <c r="X119" s="1308"/>
    </row>
    <row r="120" spans="1:24" ht="37.5" customHeight="1" thickBot="1">
      <c r="A120" s="77"/>
      <c r="B120" s="48" t="s">
        <v>3</v>
      </c>
      <c r="C120" s="1" t="s">
        <v>4</v>
      </c>
      <c r="D120" s="1" t="s">
        <v>5</v>
      </c>
      <c r="E120" s="1" t="s">
        <v>6</v>
      </c>
      <c r="F120" s="1" t="s">
        <v>7</v>
      </c>
      <c r="G120" s="1" t="s">
        <v>8</v>
      </c>
      <c r="H120" s="1" t="s">
        <v>9</v>
      </c>
      <c r="I120" s="1" t="s">
        <v>10</v>
      </c>
      <c r="J120" s="1" t="s">
        <v>11</v>
      </c>
      <c r="K120" s="1" t="s">
        <v>12</v>
      </c>
      <c r="L120" s="1" t="s">
        <v>13</v>
      </c>
      <c r="M120" s="1" t="s">
        <v>14</v>
      </c>
      <c r="N120" s="1" t="s">
        <v>15</v>
      </c>
      <c r="O120" s="2" t="s">
        <v>16</v>
      </c>
      <c r="P120" s="2" t="s">
        <v>17</v>
      </c>
      <c r="Q120" s="2" t="s">
        <v>18</v>
      </c>
      <c r="R120" s="2" t="s">
        <v>19</v>
      </c>
      <c r="S120" s="2" t="s">
        <v>20</v>
      </c>
      <c r="T120" s="2" t="s">
        <v>21</v>
      </c>
      <c r="U120" s="2" t="s">
        <v>22</v>
      </c>
      <c r="V120" s="2" t="s">
        <v>23</v>
      </c>
      <c r="W120" s="2" t="s">
        <v>377</v>
      </c>
      <c r="X120" s="3" t="s">
        <v>378</v>
      </c>
    </row>
    <row r="121" spans="1:24" ht="14.6">
      <c r="A121" s="1321" t="s">
        <v>544</v>
      </c>
      <c r="B121" s="61" t="s">
        <v>129</v>
      </c>
      <c r="C121" s="98">
        <f>'Blendini Custom Cake - Slice'!C121*12</f>
        <v>872.76</v>
      </c>
      <c r="D121" s="99">
        <f>'Blendini Custom Cake - Slice'!D121*12</f>
        <v>484.32</v>
      </c>
      <c r="E121" s="99">
        <f>'Blendini Custom Cake - Slice'!E121*12</f>
        <v>53.760000000000005</v>
      </c>
      <c r="F121" s="99">
        <f>'Blendini Custom Cake - Slice'!F121*12</f>
        <v>53.400000000000006</v>
      </c>
      <c r="G121" s="99">
        <f>'Blendini Custom Cake - Slice'!G121*12</f>
        <v>0.48</v>
      </c>
      <c r="H121" s="99">
        <f>'Blendini Custom Cake - Slice'!H121*12</f>
        <v>0.84000000000000008</v>
      </c>
      <c r="I121" s="99">
        <f>'Blendini Custom Cake - Slice'!I121*12</f>
        <v>158.76</v>
      </c>
      <c r="J121" s="99">
        <f>'Blendini Custom Cake - Slice'!J121*12</f>
        <v>92.16</v>
      </c>
      <c r="K121" s="99">
        <f>'Blendini Custom Cake - Slice'!K121*12</f>
        <v>2.52</v>
      </c>
      <c r="L121" s="99">
        <f>'Blendini Custom Cake - Slice'!L121*12</f>
        <v>75.239999999999995</v>
      </c>
      <c r="M121" s="99">
        <f>'Blendini Custom Cake - Slice'!M121*12</f>
        <v>4.92</v>
      </c>
      <c r="N121" s="99">
        <f>'Blendini Custom Cake - Slice'!N121*12</f>
        <v>10.44</v>
      </c>
      <c r="O121" s="99">
        <f>'Blendini Custom Cake - Slice'!O121*12</f>
        <v>0</v>
      </c>
      <c r="P121" s="99">
        <f>'Blendini Custom Cake - Slice'!P121*12</f>
        <v>16.559999999999999</v>
      </c>
      <c r="Q121" s="100">
        <f>'Blendini Custom Cake - Slice'!Q121*12</f>
        <v>2.04</v>
      </c>
      <c r="R121" s="101"/>
      <c r="S121" s="101"/>
      <c r="T121" s="101"/>
      <c r="U121" s="101"/>
      <c r="V121" s="101"/>
      <c r="W121" s="101"/>
      <c r="X121" s="102"/>
    </row>
    <row r="122" spans="1:24" ht="14.25" customHeight="1" thickBot="1">
      <c r="A122" s="1322"/>
      <c r="B122" s="63" t="s">
        <v>130</v>
      </c>
      <c r="C122" s="108">
        <f>'Blendini Custom Cake - Slice'!C122*12</f>
        <v>917.40000000000009</v>
      </c>
      <c r="D122" s="109">
        <f>'Blendini Custom Cake - Slice'!D122*12</f>
        <v>551.52</v>
      </c>
      <c r="E122" s="109">
        <f>'Blendini Custom Cake - Slice'!E122*12</f>
        <v>61.320000000000007</v>
      </c>
      <c r="F122" s="109">
        <f>'Blendini Custom Cake - Slice'!F122*12</f>
        <v>61.08</v>
      </c>
      <c r="G122" s="109">
        <f>'Blendini Custom Cake - Slice'!G122*12</f>
        <v>0.12</v>
      </c>
      <c r="H122" s="109">
        <f>'Blendini Custom Cake - Slice'!H122*12</f>
        <v>0.48</v>
      </c>
      <c r="I122" s="109">
        <f>'Blendini Custom Cake - Slice'!I122*12</f>
        <v>137.04</v>
      </c>
      <c r="J122" s="109">
        <f>'Blendini Custom Cake - Slice'!J122*12</f>
        <v>88.679999999999993</v>
      </c>
      <c r="K122" s="109">
        <f>'Blendini Custom Cake - Slice'!K122*12</f>
        <v>0.24</v>
      </c>
      <c r="L122" s="109">
        <f>'Blendini Custom Cake - Slice'!L122*12</f>
        <v>80.64</v>
      </c>
      <c r="M122" s="109">
        <f>'Blendini Custom Cake - Slice'!M122*12</f>
        <v>2.64</v>
      </c>
      <c r="N122" s="109">
        <f>'Blendini Custom Cake - Slice'!N122*12</f>
        <v>2.2800000000000002</v>
      </c>
      <c r="O122" s="109">
        <f>'Blendini Custom Cake - Slice'!O122*12</f>
        <v>0</v>
      </c>
      <c r="P122" s="109">
        <f>'Blendini Custom Cake - Slice'!P122*12</f>
        <v>5.04</v>
      </c>
      <c r="Q122" s="110">
        <f>'Blendini Custom Cake - Slice'!Q122*12</f>
        <v>0.12</v>
      </c>
      <c r="R122" s="111"/>
      <c r="S122" s="111"/>
      <c r="T122" s="111"/>
      <c r="U122" s="111"/>
      <c r="V122" s="111"/>
      <c r="W122" s="111"/>
      <c r="X122" s="112"/>
    </row>
    <row r="123" spans="1:24" ht="14.6">
      <c r="A123" s="14"/>
      <c r="B123" s="22"/>
      <c r="C123" s="15"/>
      <c r="D123" s="15"/>
      <c r="E123" s="15"/>
      <c r="F123" s="15"/>
      <c r="G123" s="15"/>
      <c r="H123" s="15"/>
      <c r="I123" s="15"/>
      <c r="J123" s="15"/>
      <c r="K123" s="15"/>
      <c r="L123" s="15"/>
      <c r="M123" s="15"/>
      <c r="N123" s="15"/>
      <c r="O123" s="15"/>
      <c r="P123" s="15"/>
      <c r="Q123" s="15"/>
    </row>
    <row r="124" spans="1:24" ht="18" customHeight="1" thickBot="1">
      <c r="A124" s="1308" t="s">
        <v>545</v>
      </c>
      <c r="B124" s="1308"/>
      <c r="C124" s="1308"/>
      <c r="D124" s="1308"/>
      <c r="E124" s="1308"/>
      <c r="F124" s="1308"/>
      <c r="G124" s="1308"/>
      <c r="H124" s="1308"/>
      <c r="I124" s="1308"/>
      <c r="J124" s="1308"/>
      <c r="K124" s="1308"/>
      <c r="L124" s="1308"/>
      <c r="M124" s="1308"/>
      <c r="N124" s="1308"/>
      <c r="O124" s="1308"/>
      <c r="P124" s="1308"/>
      <c r="Q124" s="1308"/>
      <c r="R124" s="1308"/>
      <c r="S124" s="1308"/>
      <c r="T124" s="1308"/>
      <c r="U124" s="1308"/>
      <c r="V124" s="1308"/>
      <c r="W124" s="1308"/>
      <c r="X124" s="1308"/>
    </row>
    <row r="125" spans="1:24" ht="37.5" customHeight="1" thickBot="1">
      <c r="A125" s="77"/>
      <c r="B125" s="48" t="s">
        <v>3</v>
      </c>
      <c r="C125" s="1" t="s">
        <v>4</v>
      </c>
      <c r="D125" s="1" t="s">
        <v>5</v>
      </c>
      <c r="E125" s="1" t="s">
        <v>6</v>
      </c>
      <c r="F125" s="1" t="s">
        <v>7</v>
      </c>
      <c r="G125" s="1" t="s">
        <v>8</v>
      </c>
      <c r="H125" s="1" t="s">
        <v>9</v>
      </c>
      <c r="I125" s="1" t="s">
        <v>10</v>
      </c>
      <c r="J125" s="1" t="s">
        <v>11</v>
      </c>
      <c r="K125" s="1" t="s">
        <v>12</v>
      </c>
      <c r="L125" s="1" t="s">
        <v>13</v>
      </c>
      <c r="M125" s="1" t="s">
        <v>14</v>
      </c>
      <c r="N125" s="1" t="s">
        <v>15</v>
      </c>
      <c r="O125" s="2" t="s">
        <v>16</v>
      </c>
      <c r="P125" s="2" t="s">
        <v>17</v>
      </c>
      <c r="Q125" s="2" t="s">
        <v>18</v>
      </c>
      <c r="R125" s="2" t="s">
        <v>19</v>
      </c>
      <c r="S125" s="2" t="s">
        <v>20</v>
      </c>
      <c r="T125" s="2" t="s">
        <v>21</v>
      </c>
      <c r="U125" s="2" t="s">
        <v>22</v>
      </c>
      <c r="V125" s="2" t="s">
        <v>23</v>
      </c>
      <c r="W125" s="2" t="s">
        <v>377</v>
      </c>
      <c r="X125" s="3" t="s">
        <v>378</v>
      </c>
    </row>
    <row r="126" spans="1:24" ht="14.6">
      <c r="A126" s="1321" t="s">
        <v>546</v>
      </c>
      <c r="B126" s="61" t="s">
        <v>130</v>
      </c>
      <c r="C126" s="98">
        <f>'Blendini Custom Cake - Slice'!C126*12</f>
        <v>917.40000000000009</v>
      </c>
      <c r="D126" s="99">
        <f>'Blendini Custom Cake - Slice'!D126*12</f>
        <v>551.52</v>
      </c>
      <c r="E126" s="99">
        <f>'Blendini Custom Cake - Slice'!E126*12</f>
        <v>61.320000000000007</v>
      </c>
      <c r="F126" s="99">
        <f>'Blendini Custom Cake - Slice'!F126*12</f>
        <v>61.08</v>
      </c>
      <c r="G126" s="99">
        <f>'Blendini Custom Cake - Slice'!G126*12</f>
        <v>0.12</v>
      </c>
      <c r="H126" s="99">
        <f>'Blendini Custom Cake - Slice'!H126*12</f>
        <v>0.48</v>
      </c>
      <c r="I126" s="99">
        <f>'Blendini Custom Cake - Slice'!I126*12</f>
        <v>137.04</v>
      </c>
      <c r="J126" s="99">
        <f>'Blendini Custom Cake - Slice'!J126*12</f>
        <v>88.679999999999993</v>
      </c>
      <c r="K126" s="99">
        <f>'Blendini Custom Cake - Slice'!K126*12</f>
        <v>0.24</v>
      </c>
      <c r="L126" s="99">
        <f>'Blendini Custom Cake - Slice'!L126*12</f>
        <v>80.64</v>
      </c>
      <c r="M126" s="99">
        <f>'Blendini Custom Cake - Slice'!M126*12</f>
        <v>2.64</v>
      </c>
      <c r="N126" s="99">
        <f>'Blendini Custom Cake - Slice'!N126*12</f>
        <v>2.2800000000000002</v>
      </c>
      <c r="O126" s="99">
        <f>'Blendini Custom Cake - Slice'!O126*12</f>
        <v>0</v>
      </c>
      <c r="P126" s="99">
        <f>'Blendini Custom Cake - Slice'!P126*12</f>
        <v>5.04</v>
      </c>
      <c r="Q126" s="100">
        <f>'Blendini Custom Cake - Slice'!Q126*12</f>
        <v>0.12</v>
      </c>
      <c r="R126" s="101"/>
      <c r="S126" s="101"/>
      <c r="T126" s="101"/>
      <c r="U126" s="101"/>
      <c r="V126" s="101"/>
      <c r="W126" s="101"/>
      <c r="X126" s="102"/>
    </row>
    <row r="127" spans="1:24" ht="15" thickBot="1">
      <c r="A127" s="1322"/>
      <c r="B127" s="63" t="s">
        <v>129</v>
      </c>
      <c r="C127" s="108">
        <f>'Blendini Custom Cake - Slice'!C127*12</f>
        <v>872.76</v>
      </c>
      <c r="D127" s="109">
        <f>'Blendini Custom Cake - Slice'!D127*12</f>
        <v>484.32</v>
      </c>
      <c r="E127" s="109">
        <f>'Blendini Custom Cake - Slice'!E127*12</f>
        <v>53.760000000000005</v>
      </c>
      <c r="F127" s="109">
        <f>'Blendini Custom Cake - Slice'!F127*12</f>
        <v>53.400000000000006</v>
      </c>
      <c r="G127" s="109">
        <f>'Blendini Custom Cake - Slice'!G127*12</f>
        <v>0.48</v>
      </c>
      <c r="H127" s="109">
        <f>'Blendini Custom Cake - Slice'!H127*12</f>
        <v>0.84000000000000008</v>
      </c>
      <c r="I127" s="109">
        <f>'Blendini Custom Cake - Slice'!I127*12</f>
        <v>158.76</v>
      </c>
      <c r="J127" s="109">
        <f>'Blendini Custom Cake - Slice'!J127*12</f>
        <v>92.16</v>
      </c>
      <c r="K127" s="109">
        <f>'Blendini Custom Cake - Slice'!K127*12</f>
        <v>2.52</v>
      </c>
      <c r="L127" s="109">
        <f>'Blendini Custom Cake - Slice'!L127*12</f>
        <v>75.239999999999995</v>
      </c>
      <c r="M127" s="109">
        <f>'Blendini Custom Cake - Slice'!M127*12</f>
        <v>4.92</v>
      </c>
      <c r="N127" s="109">
        <f>'Blendini Custom Cake - Slice'!N127*12</f>
        <v>10.44</v>
      </c>
      <c r="O127" s="109">
        <f>'Blendini Custom Cake - Slice'!O127*12</f>
        <v>0</v>
      </c>
      <c r="P127" s="109">
        <f>'Blendini Custom Cake - Slice'!P127*12</f>
        <v>16.559999999999999</v>
      </c>
      <c r="Q127" s="110">
        <f>'Blendini Custom Cake - Slice'!Q127*12</f>
        <v>2.04</v>
      </c>
      <c r="R127" s="111"/>
      <c r="S127" s="111"/>
      <c r="T127" s="111"/>
      <c r="U127" s="111"/>
      <c r="V127" s="111"/>
      <c r="W127" s="111"/>
      <c r="X127" s="112"/>
    </row>
    <row r="129" spans="1:24" ht="18" customHeight="1" thickBot="1">
      <c r="A129" s="1308" t="s">
        <v>538</v>
      </c>
      <c r="B129" s="1308"/>
      <c r="C129" s="1308"/>
      <c r="D129" s="1308"/>
      <c r="E129" s="1308"/>
      <c r="F129" s="1308"/>
      <c r="G129" s="1308"/>
      <c r="H129" s="1308"/>
      <c r="I129" s="1308"/>
      <c r="J129" s="1308"/>
      <c r="K129" s="1308"/>
      <c r="L129" s="1308"/>
      <c r="M129" s="1308"/>
      <c r="N129" s="1308"/>
      <c r="O129" s="1308"/>
      <c r="P129" s="1308"/>
      <c r="Q129" s="1308"/>
      <c r="R129" s="1308"/>
      <c r="S129" s="1308"/>
      <c r="T129" s="1308"/>
      <c r="U129" s="1308"/>
      <c r="V129" s="1308"/>
      <c r="W129" s="1308"/>
      <c r="X129" s="1308"/>
    </row>
    <row r="130" spans="1:24" ht="37.5" customHeight="1" thickBot="1">
      <c r="A130" s="77"/>
      <c r="B130" s="48" t="s">
        <v>3</v>
      </c>
      <c r="C130" s="1" t="s">
        <v>4</v>
      </c>
      <c r="D130" s="1" t="s">
        <v>5</v>
      </c>
      <c r="E130" s="1" t="s">
        <v>6</v>
      </c>
      <c r="F130" s="1" t="s">
        <v>7</v>
      </c>
      <c r="G130" s="1" t="s">
        <v>8</v>
      </c>
      <c r="H130" s="1" t="s">
        <v>9</v>
      </c>
      <c r="I130" s="1" t="s">
        <v>10</v>
      </c>
      <c r="J130" s="1" t="s">
        <v>11</v>
      </c>
      <c r="K130" s="1" t="s">
        <v>12</v>
      </c>
      <c r="L130" s="1" t="s">
        <v>13</v>
      </c>
      <c r="M130" s="1" t="s">
        <v>14</v>
      </c>
      <c r="N130" s="1" t="s">
        <v>15</v>
      </c>
      <c r="O130" s="2" t="s">
        <v>16</v>
      </c>
      <c r="P130" s="2" t="s">
        <v>17</v>
      </c>
      <c r="Q130" s="2" t="s">
        <v>18</v>
      </c>
      <c r="R130" s="2" t="s">
        <v>19</v>
      </c>
      <c r="S130" s="2" t="s">
        <v>20</v>
      </c>
      <c r="T130" s="2" t="s">
        <v>21</v>
      </c>
      <c r="U130" s="2" t="s">
        <v>22</v>
      </c>
      <c r="V130" s="2" t="s">
        <v>23</v>
      </c>
      <c r="W130" s="2" t="s">
        <v>377</v>
      </c>
      <c r="X130" s="3" t="s">
        <v>378</v>
      </c>
    </row>
    <row r="131" spans="1:24" ht="14.6">
      <c r="A131" s="1317" t="s">
        <v>539</v>
      </c>
      <c r="B131" s="59" t="s">
        <v>144</v>
      </c>
      <c r="C131" s="98">
        <f>'Blendini Custom Cake - Slice'!C131*12</f>
        <v>258.60000000000002</v>
      </c>
      <c r="D131" s="99">
        <f>'Blendini Custom Cake - Slice'!D131*12</f>
        <v>132.72</v>
      </c>
      <c r="E131" s="99">
        <f>'Blendini Custom Cake - Slice'!E131*12</f>
        <v>14.76</v>
      </c>
      <c r="F131" s="99">
        <f>'Blendini Custom Cake - Slice'!F131*12</f>
        <v>8.76</v>
      </c>
      <c r="G131" s="99">
        <f>'Blendini Custom Cake - Slice'!G131*12</f>
        <v>0</v>
      </c>
      <c r="H131" s="99">
        <f>'Blendini Custom Cake - Slice'!H131*12</f>
        <v>0</v>
      </c>
      <c r="I131" s="99">
        <f>'Blendini Custom Cake - Slice'!I131*12</f>
        <v>0.12</v>
      </c>
      <c r="J131" s="99">
        <f>'Blendini Custom Cake - Slice'!J131*12</f>
        <v>38.04</v>
      </c>
      <c r="K131" s="99">
        <f>'Blendini Custom Cake - Slice'!K131*12</f>
        <v>4.4399999999999995</v>
      </c>
      <c r="L131" s="99">
        <f>'Blendini Custom Cake - Slice'!L131*12</f>
        <v>30.72</v>
      </c>
      <c r="M131" s="99">
        <f>'Blendini Custom Cake - Slice'!M131*12</f>
        <v>2.88</v>
      </c>
      <c r="N131" s="99">
        <f>'Blendini Custom Cake - Slice'!N131*12</f>
        <v>0</v>
      </c>
      <c r="O131" s="99">
        <f>'Blendini Custom Cake - Slice'!O131*12</f>
        <v>0</v>
      </c>
      <c r="P131" s="99">
        <f>'Blendini Custom Cake - Slice'!P131*12</f>
        <v>24</v>
      </c>
      <c r="Q131" s="100">
        <f>'Blendini Custom Cake - Slice'!Q131*12</f>
        <v>180</v>
      </c>
      <c r="R131" s="101"/>
      <c r="S131" s="101"/>
      <c r="T131" s="101"/>
      <c r="U131" s="101"/>
      <c r="V131" s="101"/>
      <c r="W131" s="101"/>
      <c r="X131" s="102"/>
    </row>
    <row r="132" spans="1:24" ht="14.6">
      <c r="A132" s="1318"/>
      <c r="B132" s="56" t="s">
        <v>534</v>
      </c>
      <c r="C132" s="103">
        <f>'Blendini Custom Cake - Slice'!C132*12</f>
        <v>229.44</v>
      </c>
      <c r="D132" s="104">
        <f>'Blendini Custom Cake - Slice'!D132*12</f>
        <v>48</v>
      </c>
      <c r="E132" s="104">
        <f>'Blendini Custom Cake - Slice'!E132*12</f>
        <v>5.28</v>
      </c>
      <c r="F132" s="104">
        <f>'Blendini Custom Cake - Slice'!F132*12</f>
        <v>2.7600000000000002</v>
      </c>
      <c r="G132" s="104">
        <f>'Blendini Custom Cake - Slice'!G132*12</f>
        <v>0</v>
      </c>
      <c r="H132" s="104">
        <f>'Blendini Custom Cake - Slice'!H132*12</f>
        <v>0</v>
      </c>
      <c r="I132" s="104">
        <f>'Blendini Custom Cake - Slice'!I132*12</f>
        <v>344.88</v>
      </c>
      <c r="J132" s="104">
        <f>'Blendini Custom Cake - Slice'!J132*12</f>
        <v>45.24</v>
      </c>
      <c r="K132" s="104">
        <f>'Blendini Custom Cake - Slice'!K132*12</f>
        <v>2.88</v>
      </c>
      <c r="L132" s="104">
        <f>'Blendini Custom Cake - Slice'!L132*12</f>
        <v>17.52</v>
      </c>
      <c r="M132" s="104">
        <f>'Blendini Custom Cake - Slice'!M132*12</f>
        <v>3.3600000000000003</v>
      </c>
      <c r="N132" s="104">
        <f>'Blendini Custom Cake - Slice'!N132*12</f>
        <v>0</v>
      </c>
      <c r="O132" s="104">
        <f>'Blendini Custom Cake - Slice'!O132*12</f>
        <v>0</v>
      </c>
      <c r="P132" s="104">
        <f>'Blendini Custom Cake - Slice'!P132*12</f>
        <v>180</v>
      </c>
      <c r="Q132" s="105">
        <f>'Blendini Custom Cake - Slice'!Q132*12</f>
        <v>0</v>
      </c>
      <c r="R132" s="106"/>
      <c r="S132" s="106"/>
      <c r="T132" s="106"/>
      <c r="U132" s="106"/>
      <c r="V132" s="106"/>
      <c r="W132" s="106"/>
      <c r="X132" s="107"/>
    </row>
    <row r="133" spans="1:24" ht="14.6">
      <c r="A133" s="1318"/>
      <c r="B133" s="56" t="s">
        <v>540</v>
      </c>
      <c r="C133" s="103">
        <f>'Blendini Custom Cake - Slice'!C133*12</f>
        <v>275.28000000000003</v>
      </c>
      <c r="D133" s="104">
        <f>'Blendini Custom Cake - Slice'!D133*12</f>
        <v>109.68</v>
      </c>
      <c r="E133" s="104">
        <f>'Blendini Custom Cake - Slice'!E133*12</f>
        <v>12.24</v>
      </c>
      <c r="F133" s="104">
        <f>'Blendini Custom Cake - Slice'!F133*12</f>
        <v>10.44</v>
      </c>
      <c r="G133" s="104">
        <f>'Blendini Custom Cake - Slice'!G133*12</f>
        <v>0.12</v>
      </c>
      <c r="H133" s="104">
        <f>'Blendini Custom Cake - Slice'!H133*12</f>
        <v>0</v>
      </c>
      <c r="I133" s="104">
        <f>'Blendini Custom Cake - Slice'!I133*12</f>
        <v>56.64</v>
      </c>
      <c r="J133" s="104">
        <f>'Blendini Custom Cake - Slice'!J133*12</f>
        <v>39.72</v>
      </c>
      <c r="K133" s="104">
        <f>'Blendini Custom Cake - Slice'!K133*12</f>
        <v>2.04</v>
      </c>
      <c r="L133" s="104">
        <f>'Blendini Custom Cake - Slice'!L133*12</f>
        <v>20.28</v>
      </c>
      <c r="M133" s="104">
        <f>'Blendini Custom Cake - Slice'!M133*12</f>
        <v>1.6800000000000002</v>
      </c>
      <c r="N133" s="104">
        <f>'Blendini Custom Cake - Slice'!N133*12</f>
        <v>180</v>
      </c>
      <c r="O133" s="104">
        <f>'Blendini Custom Cake - Slice'!O133*12</f>
        <v>120</v>
      </c>
      <c r="P133" s="104">
        <f>'Blendini Custom Cake - Slice'!P133*12</f>
        <v>0</v>
      </c>
      <c r="Q133" s="105">
        <f>'Blendini Custom Cake - Slice'!Q133*12</f>
        <v>120</v>
      </c>
      <c r="R133" s="106"/>
      <c r="S133" s="106"/>
      <c r="T133" s="106"/>
      <c r="U133" s="106"/>
      <c r="V133" s="106"/>
      <c r="W133" s="106"/>
      <c r="X133" s="107"/>
    </row>
    <row r="134" spans="1:24" ht="14.6">
      <c r="A134" s="1318"/>
      <c r="B134" s="56" t="s">
        <v>147</v>
      </c>
      <c r="C134" s="103">
        <f>'Blendini Custom Cake - Slice'!C134*12</f>
        <v>332.28000000000003</v>
      </c>
      <c r="D134" s="104">
        <f>'Blendini Custom Cake - Slice'!D134*12</f>
        <v>253.44</v>
      </c>
      <c r="E134" s="104">
        <f>'Blendini Custom Cake - Slice'!E134*12</f>
        <v>28.200000000000003</v>
      </c>
      <c r="F134" s="104">
        <f>'Blendini Custom Cake - Slice'!F134*12</f>
        <v>3.96</v>
      </c>
      <c r="G134" s="104">
        <f>'Blendini Custom Cake - Slice'!G134*12</f>
        <v>0</v>
      </c>
      <c r="H134" s="104">
        <f>'Blendini Custom Cake - Slice'!H134*12</f>
        <v>0</v>
      </c>
      <c r="I134" s="104">
        <f>'Blendini Custom Cake - Slice'!I134*12</f>
        <v>81.599999999999994</v>
      </c>
      <c r="J134" s="104">
        <f>'Blendini Custom Cake - Slice'!J134*12</f>
        <v>12.120000000000001</v>
      </c>
      <c r="K134" s="104">
        <f>'Blendini Custom Cake - Slice'!K134*12</f>
        <v>5.28</v>
      </c>
      <c r="L134" s="104">
        <f>'Blendini Custom Cake - Slice'!L134*12</f>
        <v>2.4000000000000004</v>
      </c>
      <c r="M134" s="104">
        <f>'Blendini Custom Cake - Slice'!M134*12</f>
        <v>13.440000000000001</v>
      </c>
      <c r="N134" s="104">
        <f>'Blendini Custom Cake - Slice'!N134*12</f>
        <v>24</v>
      </c>
      <c r="O134" s="104">
        <f>'Blendini Custom Cake - Slice'!O134*12</f>
        <v>0</v>
      </c>
      <c r="P134" s="104">
        <f>'Blendini Custom Cake - Slice'!P134*12</f>
        <v>24</v>
      </c>
      <c r="Q134" s="105">
        <f>'Blendini Custom Cake - Slice'!Q134*12</f>
        <v>0</v>
      </c>
      <c r="R134" s="106"/>
      <c r="S134" s="106"/>
      <c r="T134" s="106"/>
      <c r="U134" s="106"/>
      <c r="V134" s="106"/>
      <c r="W134" s="106"/>
      <c r="X134" s="107"/>
    </row>
    <row r="135" spans="1:24" ht="14.6">
      <c r="A135" s="1318"/>
      <c r="B135" s="56" t="s">
        <v>148</v>
      </c>
      <c r="C135" s="103">
        <f>'Blendini Custom Cake - Slice'!C135*12</f>
        <v>231</v>
      </c>
      <c r="D135" s="104">
        <f>'Blendini Custom Cake - Slice'!D135*12</f>
        <v>18.84</v>
      </c>
      <c r="E135" s="104">
        <f>'Blendini Custom Cake - Slice'!E135*12</f>
        <v>2.04</v>
      </c>
      <c r="F135" s="104">
        <f>'Blendini Custom Cake - Slice'!F135*12</f>
        <v>2.04</v>
      </c>
      <c r="G135" s="104">
        <f>'Blendini Custom Cake - Slice'!G135*12</f>
        <v>0</v>
      </c>
      <c r="H135" s="104">
        <f>'Blendini Custom Cake - Slice'!H135*12</f>
        <v>0</v>
      </c>
      <c r="I135" s="104">
        <f>'Blendini Custom Cake - Slice'!I135*12</f>
        <v>357</v>
      </c>
      <c r="J135" s="104">
        <f>'Blendini Custom Cake - Slice'!J135*12</f>
        <v>48.239999999999995</v>
      </c>
      <c r="K135" s="104">
        <f>'Blendini Custom Cake - Slice'!K135*12</f>
        <v>0</v>
      </c>
      <c r="L135" s="104">
        <f>'Blendini Custom Cake - Slice'!L135*12</f>
        <v>18.84</v>
      </c>
      <c r="M135" s="104">
        <f>'Blendini Custom Cake - Slice'!M135*12</f>
        <v>2.04</v>
      </c>
      <c r="N135" s="104">
        <f>'Blendini Custom Cake - Slice'!N135*12</f>
        <v>0</v>
      </c>
      <c r="O135" s="104">
        <f>'Blendini Custom Cake - Slice'!O135*12</f>
        <v>0</v>
      </c>
      <c r="P135" s="104">
        <f>'Blendini Custom Cake - Slice'!P135*12</f>
        <v>24</v>
      </c>
      <c r="Q135" s="105">
        <f>'Blendini Custom Cake - Slice'!Q135*12</f>
        <v>0</v>
      </c>
      <c r="R135" s="106"/>
      <c r="S135" s="106"/>
      <c r="T135" s="106"/>
      <c r="U135" s="106"/>
      <c r="V135" s="106"/>
      <c r="W135" s="106"/>
      <c r="X135" s="107"/>
    </row>
    <row r="136" spans="1:24" ht="14.6">
      <c r="A136" s="1318"/>
      <c r="B136" s="56" t="s">
        <v>306</v>
      </c>
      <c r="C136" s="103">
        <f>'Blendini Custom Cake - Slice'!C136*12</f>
        <v>180</v>
      </c>
      <c r="D136" s="104">
        <f>'Blendini Custom Cake - Slice'!D136*12</f>
        <v>0</v>
      </c>
      <c r="E136" s="104">
        <f>'Blendini Custom Cake - Slice'!E136*12</f>
        <v>0</v>
      </c>
      <c r="F136" s="104">
        <f>'Blendini Custom Cake - Slice'!F136*12</f>
        <v>0</v>
      </c>
      <c r="G136" s="104">
        <f>'Blendini Custom Cake - Slice'!G136*12</f>
        <v>0</v>
      </c>
      <c r="H136" s="104">
        <f>'Blendini Custom Cake - Slice'!H136*12</f>
        <v>0</v>
      </c>
      <c r="I136" s="104">
        <f>'Blendini Custom Cake - Slice'!I136*12</f>
        <v>0</v>
      </c>
      <c r="J136" s="104">
        <f>'Blendini Custom Cake - Slice'!J136*12</f>
        <v>36</v>
      </c>
      <c r="K136" s="104">
        <f>'Blendini Custom Cake - Slice'!K136*12</f>
        <v>0</v>
      </c>
      <c r="L136" s="104">
        <f>'Blendini Custom Cake - Slice'!L136*12</f>
        <v>24</v>
      </c>
      <c r="M136" s="104">
        <f>'Blendini Custom Cake - Slice'!M136*12</f>
        <v>0</v>
      </c>
      <c r="N136" s="104">
        <f>'Blendini Custom Cake - Slice'!N136*12</f>
        <v>0</v>
      </c>
      <c r="O136" s="104">
        <f>'Blendini Custom Cake - Slice'!O136*12</f>
        <v>0</v>
      </c>
      <c r="P136" s="104">
        <f>'Blendini Custom Cake - Slice'!P136*12</f>
        <v>0</v>
      </c>
      <c r="Q136" s="105">
        <f>'Blendini Custom Cake - Slice'!Q136*12</f>
        <v>0</v>
      </c>
      <c r="R136" s="106"/>
      <c r="S136" s="106"/>
      <c r="T136" s="106"/>
      <c r="U136" s="106"/>
      <c r="V136" s="106"/>
      <c r="W136" s="106"/>
      <c r="X136" s="107"/>
    </row>
    <row r="137" spans="1:24" ht="14.6">
      <c r="A137" s="1318"/>
      <c r="B137" s="56" t="s">
        <v>149</v>
      </c>
      <c r="C137" s="103">
        <f>'Blendini Custom Cake - Slice'!C137*12</f>
        <v>298.79999999999995</v>
      </c>
      <c r="D137" s="104">
        <f>'Blendini Custom Cake - Slice'!D137*12</f>
        <v>165.84</v>
      </c>
      <c r="E137" s="104">
        <f>'Blendini Custom Cake - Slice'!E137*12</f>
        <v>18.48</v>
      </c>
      <c r="F137" s="104">
        <f>'Blendini Custom Cake - Slice'!F137*12</f>
        <v>9.7200000000000006</v>
      </c>
      <c r="G137" s="104">
        <f>'Blendini Custom Cake - Slice'!G137*12</f>
        <v>0.24</v>
      </c>
      <c r="H137" s="104">
        <f>'Blendini Custom Cake - Slice'!H137*12</f>
        <v>10.56</v>
      </c>
      <c r="I137" s="104">
        <f>'Blendini Custom Cake - Slice'!I137*12</f>
        <v>196.92000000000002</v>
      </c>
      <c r="J137" s="104">
        <f>'Blendini Custom Cake - Slice'!J137*12</f>
        <v>35.28</v>
      </c>
      <c r="K137" s="104">
        <f>'Blendini Custom Cake - Slice'!K137*12</f>
        <v>0.72</v>
      </c>
      <c r="L137" s="104">
        <f>'Blendini Custom Cake - Slice'!L137*12</f>
        <v>33.96</v>
      </c>
      <c r="M137" s="104">
        <f>'Blendini Custom Cake - Slice'!M137*12</f>
        <v>1.7999999999999998</v>
      </c>
      <c r="N137" s="104">
        <f>'Blendini Custom Cake - Slice'!N137*12</f>
        <v>0</v>
      </c>
      <c r="O137" s="104">
        <f>'Blendini Custom Cake - Slice'!O137*12</f>
        <v>0</v>
      </c>
      <c r="P137" s="104">
        <f>'Blendini Custom Cake - Slice'!P137*12</f>
        <v>0</v>
      </c>
      <c r="Q137" s="105">
        <f>'Blendini Custom Cake - Slice'!Q137*12</f>
        <v>0</v>
      </c>
      <c r="R137" s="106"/>
      <c r="S137" s="106"/>
      <c r="T137" s="106"/>
      <c r="U137" s="106"/>
      <c r="V137" s="106"/>
      <c r="W137" s="106"/>
      <c r="X137" s="107"/>
    </row>
    <row r="138" spans="1:24" ht="14.6">
      <c r="A138" s="1318"/>
      <c r="B138" s="56" t="s">
        <v>150</v>
      </c>
      <c r="C138" s="103">
        <v>180</v>
      </c>
      <c r="D138" s="104">
        <v>10</v>
      </c>
      <c r="E138" s="104">
        <v>0</v>
      </c>
      <c r="F138" s="104">
        <v>0</v>
      </c>
      <c r="G138" s="104">
        <v>0</v>
      </c>
      <c r="H138" s="104">
        <v>0</v>
      </c>
      <c r="I138" s="104">
        <v>100</v>
      </c>
      <c r="J138" s="104">
        <v>42</v>
      </c>
      <c r="K138" s="104">
        <v>0</v>
      </c>
      <c r="L138" s="104">
        <v>30</v>
      </c>
      <c r="M138" s="104">
        <v>0</v>
      </c>
      <c r="N138" s="104">
        <v>0</v>
      </c>
      <c r="O138" s="104">
        <v>0</v>
      </c>
      <c r="P138" s="104">
        <v>0</v>
      </c>
      <c r="Q138" s="105">
        <v>0</v>
      </c>
      <c r="R138" s="106"/>
      <c r="S138" s="106"/>
      <c r="T138" s="106"/>
      <c r="U138" s="106"/>
      <c r="V138" s="106"/>
      <c r="W138" s="106"/>
      <c r="X138" s="107"/>
    </row>
    <row r="139" spans="1:24" ht="14.6">
      <c r="A139" s="1318"/>
      <c r="B139" s="56" t="s">
        <v>151</v>
      </c>
      <c r="C139" s="103">
        <v>180</v>
      </c>
      <c r="D139" s="104">
        <v>60</v>
      </c>
      <c r="E139" s="104">
        <v>7</v>
      </c>
      <c r="F139" s="104">
        <v>6</v>
      </c>
      <c r="G139" s="104">
        <v>0</v>
      </c>
      <c r="H139" s="104">
        <v>0</v>
      </c>
      <c r="I139" s="104">
        <v>90</v>
      </c>
      <c r="J139" s="104">
        <v>30</v>
      </c>
      <c r="K139" s="104">
        <v>0</v>
      </c>
      <c r="L139" s="104">
        <v>28</v>
      </c>
      <c r="M139" s="104">
        <v>2</v>
      </c>
      <c r="N139" s="104">
        <v>0</v>
      </c>
      <c r="O139" s="104">
        <v>0</v>
      </c>
      <c r="P139" s="104">
        <v>8</v>
      </c>
      <c r="Q139" s="105">
        <v>0</v>
      </c>
      <c r="R139" s="106"/>
      <c r="S139" s="106"/>
      <c r="T139" s="106"/>
      <c r="U139" s="106"/>
      <c r="V139" s="106"/>
      <c r="W139" s="106"/>
      <c r="X139" s="107"/>
    </row>
    <row r="140" spans="1:24" ht="14.6">
      <c r="A140" s="1318"/>
      <c r="B140" s="56" t="s">
        <v>535</v>
      </c>
      <c r="C140" s="103">
        <f>'Blendini Custom Cake - Slice'!C140*12</f>
        <v>244.79999999999998</v>
      </c>
      <c r="D140" s="104">
        <f>'Blendini Custom Cake - Slice'!D140*12</f>
        <v>54</v>
      </c>
      <c r="E140" s="104">
        <f>'Blendini Custom Cake - Slice'!E140*12</f>
        <v>6</v>
      </c>
      <c r="F140" s="104">
        <f>'Blendini Custom Cake - Slice'!F140*12</f>
        <v>3.4799999999999995</v>
      </c>
      <c r="G140" s="104">
        <f>'Blendini Custom Cake - Slice'!G140*12</f>
        <v>0</v>
      </c>
      <c r="H140" s="104">
        <f>'Blendini Custom Cake - Slice'!H140*12</f>
        <v>0</v>
      </c>
      <c r="I140" s="104">
        <f>'Blendini Custom Cake - Slice'!I140*12</f>
        <v>125.16</v>
      </c>
      <c r="J140" s="104">
        <f>'Blendini Custom Cake - Slice'!J140*12</f>
        <v>48.96</v>
      </c>
      <c r="K140" s="104">
        <f>'Blendini Custom Cake - Slice'!K140*12</f>
        <v>0</v>
      </c>
      <c r="L140" s="104">
        <f>'Blendini Custom Cake - Slice'!L140*12</f>
        <v>40.44</v>
      </c>
      <c r="M140" s="104">
        <f>'Blendini Custom Cake - Slice'!M140*12</f>
        <v>0</v>
      </c>
      <c r="N140" s="104">
        <f>'Blendini Custom Cake - Slice'!N140*12</f>
        <v>0</v>
      </c>
      <c r="O140" s="104">
        <f>'Blendini Custom Cake - Slice'!O140*12</f>
        <v>0</v>
      </c>
      <c r="P140" s="104">
        <f>'Blendini Custom Cake - Slice'!P140*12</f>
        <v>0</v>
      </c>
      <c r="Q140" s="105">
        <f>'Blendini Custom Cake - Slice'!Q140*12</f>
        <v>0</v>
      </c>
      <c r="R140" s="106"/>
      <c r="S140" s="106"/>
      <c r="T140" s="106"/>
      <c r="U140" s="106"/>
      <c r="V140" s="106"/>
      <c r="W140" s="106"/>
      <c r="X140" s="107"/>
    </row>
    <row r="141" spans="1:24" ht="14.6">
      <c r="A141" s="1318"/>
      <c r="B141" s="56" t="s">
        <v>152</v>
      </c>
      <c r="C141" s="103">
        <f>'Blendini Custom Cake - Slice'!C141*12</f>
        <v>300</v>
      </c>
      <c r="D141" s="104">
        <f>'Blendini Custom Cake - Slice'!D141*12</f>
        <v>120</v>
      </c>
      <c r="E141" s="104">
        <f>'Blendini Custom Cake - Slice'!E141*12</f>
        <v>12</v>
      </c>
      <c r="F141" s="104">
        <f>'Blendini Custom Cake - Slice'!F141*12</f>
        <v>6</v>
      </c>
      <c r="G141" s="104">
        <f>'Blendini Custom Cake - Slice'!G141*12</f>
        <v>0</v>
      </c>
      <c r="H141" s="104">
        <f>'Blendini Custom Cake - Slice'!H141*12</f>
        <v>0</v>
      </c>
      <c r="I141" s="104">
        <f>'Blendini Custom Cake - Slice'!I141*12</f>
        <v>0</v>
      </c>
      <c r="J141" s="104">
        <f>'Blendini Custom Cake - Slice'!J141*12</f>
        <v>38.64</v>
      </c>
      <c r="K141" s="104">
        <f>'Blendini Custom Cake - Slice'!K141*12</f>
        <v>1.56</v>
      </c>
      <c r="L141" s="104">
        <f>'Blendini Custom Cake - Slice'!L141*12</f>
        <v>35.28</v>
      </c>
      <c r="M141" s="104">
        <f>'Blendini Custom Cake - Slice'!M141*12</f>
        <v>3</v>
      </c>
      <c r="N141" s="104">
        <f>'Blendini Custom Cake - Slice'!N141*12</f>
        <v>0</v>
      </c>
      <c r="O141" s="104">
        <f>'Blendini Custom Cake - Slice'!O141*12</f>
        <v>0</v>
      </c>
      <c r="P141" s="104">
        <f>'Blendini Custom Cake - Slice'!P141*12</f>
        <v>0</v>
      </c>
      <c r="Q141" s="105">
        <f>'Blendini Custom Cake - Slice'!Q141*12</f>
        <v>0</v>
      </c>
      <c r="R141" s="106"/>
      <c r="S141" s="106"/>
      <c r="T141" s="106"/>
      <c r="U141" s="106"/>
      <c r="V141" s="106"/>
      <c r="W141" s="106"/>
      <c r="X141" s="107"/>
    </row>
    <row r="142" spans="1:24" ht="14.6">
      <c r="A142" s="1318"/>
      <c r="B142" s="56" t="s">
        <v>422</v>
      </c>
      <c r="C142" s="103">
        <f>'Blendini Custom Cake - Slice'!C142*12</f>
        <v>113.39999999999999</v>
      </c>
      <c r="D142" s="104">
        <f>'Blendini Custom Cake - Slice'!D142*12</f>
        <v>0</v>
      </c>
      <c r="E142" s="104">
        <f>'Blendini Custom Cake - Slice'!E142*12</f>
        <v>0</v>
      </c>
      <c r="F142" s="104">
        <f>'Blendini Custom Cake - Slice'!F142*12</f>
        <v>0</v>
      </c>
      <c r="G142" s="104">
        <f>'Blendini Custom Cake - Slice'!G142*12</f>
        <v>0</v>
      </c>
      <c r="H142" s="104">
        <f>'Blendini Custom Cake - Slice'!H142*12</f>
        <v>0</v>
      </c>
      <c r="I142" s="104">
        <f>'Blendini Custom Cake - Slice'!I142*12</f>
        <v>0</v>
      </c>
      <c r="J142" s="104">
        <f>'Blendini Custom Cake - Slice'!J142*12</f>
        <v>22.68</v>
      </c>
      <c r="K142" s="104">
        <f>'Blendini Custom Cake - Slice'!K142*12</f>
        <v>0</v>
      </c>
      <c r="L142" s="104">
        <f>'Blendini Custom Cake - Slice'!L142*12</f>
        <v>11.28</v>
      </c>
      <c r="M142" s="104">
        <f>'Blendini Custom Cake - Slice'!M142*12</f>
        <v>0</v>
      </c>
      <c r="N142" s="104">
        <f>'Blendini Custom Cake - Slice'!N142*12</f>
        <v>0</v>
      </c>
      <c r="O142" s="104">
        <f>'Blendini Custom Cake - Slice'!O142*12</f>
        <v>0</v>
      </c>
      <c r="P142" s="104">
        <f>'Blendini Custom Cake - Slice'!P142*12</f>
        <v>0</v>
      </c>
      <c r="Q142" s="105">
        <f>'Blendini Custom Cake - Slice'!Q142*12</f>
        <v>48</v>
      </c>
      <c r="R142" s="106"/>
      <c r="S142" s="106"/>
      <c r="T142" s="106"/>
      <c r="U142" s="106"/>
      <c r="V142" s="106"/>
      <c r="W142" s="106"/>
      <c r="X142" s="107"/>
    </row>
    <row r="143" spans="1:24" ht="14.6">
      <c r="A143" s="1318"/>
      <c r="B143" s="56" t="s">
        <v>536</v>
      </c>
      <c r="C143" s="103">
        <f>'Blendini Custom Cake - Slice'!C143*12</f>
        <v>164.28</v>
      </c>
      <c r="D143" s="104">
        <f>'Blendini Custom Cake - Slice'!D143*12</f>
        <v>63.36</v>
      </c>
      <c r="E143" s="104">
        <f>'Blendini Custom Cake - Slice'!E143*12</f>
        <v>7.08</v>
      </c>
      <c r="F143" s="104">
        <f>'Blendini Custom Cake - Slice'!F143*12</f>
        <v>2.4000000000000004</v>
      </c>
      <c r="G143" s="104">
        <f>'Blendini Custom Cake - Slice'!G143*12</f>
        <v>0.12</v>
      </c>
      <c r="H143" s="104">
        <f>'Blendini Custom Cake - Slice'!H143*12</f>
        <v>0</v>
      </c>
      <c r="I143" s="104">
        <f>'Blendini Custom Cake - Slice'!I143*12</f>
        <v>134.88</v>
      </c>
      <c r="J143" s="104">
        <f>'Blendini Custom Cake - Slice'!J143*12</f>
        <v>24.599999999999998</v>
      </c>
      <c r="K143" s="104">
        <f>'Blendini Custom Cake - Slice'!K143*12</f>
        <v>1.2000000000000002</v>
      </c>
      <c r="L143" s="104">
        <f>'Blendini Custom Cake - Slice'!L143*12</f>
        <v>14.04</v>
      </c>
      <c r="M143" s="104">
        <f>'Blendini Custom Cake - Slice'!M143*12</f>
        <v>1.2000000000000002</v>
      </c>
      <c r="N143" s="104">
        <f>'Blendini Custom Cake - Slice'!N143*12</f>
        <v>0</v>
      </c>
      <c r="O143" s="104">
        <f>'Blendini Custom Cake - Slice'!O143*12</f>
        <v>0</v>
      </c>
      <c r="P143" s="104">
        <f>'Blendini Custom Cake - Slice'!P143*12</f>
        <v>0</v>
      </c>
      <c r="Q143" s="105">
        <f>'Blendini Custom Cake - Slice'!Q143*12</f>
        <v>96</v>
      </c>
      <c r="R143" s="106"/>
      <c r="S143" s="106"/>
      <c r="T143" s="106"/>
      <c r="U143" s="106"/>
      <c r="V143" s="106"/>
      <c r="W143" s="106"/>
      <c r="X143" s="107"/>
    </row>
    <row r="144" spans="1:24" ht="14.6">
      <c r="A144" s="1318"/>
      <c r="B144" s="56" t="s">
        <v>154</v>
      </c>
      <c r="C144" s="103">
        <f>'Blendini Custom Cake - Slice'!C144*12</f>
        <v>212.64</v>
      </c>
      <c r="D144" s="104">
        <f>'Blendini Custom Cake - Slice'!D144*12</f>
        <v>0</v>
      </c>
      <c r="E144" s="104">
        <f>'Blendini Custom Cake - Slice'!E144*12</f>
        <v>0</v>
      </c>
      <c r="F144" s="104">
        <f>'Blendini Custom Cake - Slice'!F144*12</f>
        <v>0</v>
      </c>
      <c r="G144" s="104">
        <f>'Blendini Custom Cake - Slice'!G144*12</f>
        <v>0</v>
      </c>
      <c r="H144" s="104">
        <f>'Blendini Custom Cake - Slice'!H144*12</f>
        <v>0</v>
      </c>
      <c r="I144" s="104">
        <f>'Blendini Custom Cake - Slice'!I144*12</f>
        <v>4.1999999999999993</v>
      </c>
      <c r="J144" s="104">
        <f>'Blendini Custom Cake - Slice'!J144*12</f>
        <v>53.04</v>
      </c>
      <c r="K144" s="104">
        <f>'Blendini Custom Cake - Slice'!K144*12</f>
        <v>0</v>
      </c>
      <c r="L144" s="104">
        <f>'Blendini Custom Cake - Slice'!L144*12</f>
        <v>51.96</v>
      </c>
      <c r="M144" s="104">
        <f>'Blendini Custom Cake - Slice'!M144*12</f>
        <v>0</v>
      </c>
      <c r="N144" s="104">
        <f>'Blendini Custom Cake - Slice'!N144*12</f>
        <v>0</v>
      </c>
      <c r="O144" s="104">
        <f>'Blendini Custom Cake - Slice'!O144*12</f>
        <v>0</v>
      </c>
      <c r="P144" s="104">
        <f>'Blendini Custom Cake - Slice'!P144*12</f>
        <v>24</v>
      </c>
      <c r="Q144" s="105">
        <f>'Blendini Custom Cake - Slice'!Q144*12</f>
        <v>72</v>
      </c>
      <c r="R144" s="106"/>
      <c r="S144" s="106"/>
      <c r="T144" s="106"/>
      <c r="U144" s="106"/>
      <c r="V144" s="106"/>
      <c r="W144" s="106"/>
      <c r="X144" s="107"/>
    </row>
    <row r="145" spans="1:24" ht="14.6">
      <c r="A145" s="1318"/>
      <c r="B145" s="56" t="s">
        <v>155</v>
      </c>
      <c r="C145" s="103">
        <f>'Blendini Custom Cake - Slice'!C145*12</f>
        <v>245.64</v>
      </c>
      <c r="D145" s="104">
        <f>'Blendini Custom Cake - Slice'!D145*12</f>
        <v>54.480000000000004</v>
      </c>
      <c r="E145" s="104">
        <f>'Blendini Custom Cake - Slice'!E145*12</f>
        <v>6</v>
      </c>
      <c r="F145" s="104">
        <f>'Blendini Custom Cake - Slice'!F145*12</f>
        <v>3</v>
      </c>
      <c r="G145" s="104">
        <f>'Blendini Custom Cake - Slice'!G145*12</f>
        <v>0</v>
      </c>
      <c r="H145" s="104">
        <f>'Blendini Custom Cake - Slice'!H145*12</f>
        <v>4.92</v>
      </c>
      <c r="I145" s="104">
        <f>'Blendini Custom Cake - Slice'!I145*12</f>
        <v>303.84000000000003</v>
      </c>
      <c r="J145" s="104">
        <f>'Blendini Custom Cake - Slice'!J145*12</f>
        <v>45</v>
      </c>
      <c r="K145" s="104">
        <f>'Blendini Custom Cake - Slice'!K145*12</f>
        <v>0.84000000000000008</v>
      </c>
      <c r="L145" s="104">
        <f>'Blendini Custom Cake - Slice'!L145*12</f>
        <v>20.64</v>
      </c>
      <c r="M145" s="104">
        <f>'Blendini Custom Cake - Slice'!M145*12</f>
        <v>2.88</v>
      </c>
      <c r="N145" s="104">
        <f>'Blendini Custom Cake - Slice'!N145*12</f>
        <v>0</v>
      </c>
      <c r="O145" s="104">
        <f>'Blendini Custom Cake - Slice'!O145*12</f>
        <v>0</v>
      </c>
      <c r="P145" s="104">
        <f>'Blendini Custom Cake - Slice'!P145*12</f>
        <v>24</v>
      </c>
      <c r="Q145" s="105">
        <f>'Blendini Custom Cake - Slice'!Q145*12</f>
        <v>24</v>
      </c>
      <c r="R145" s="106"/>
      <c r="S145" s="106"/>
      <c r="T145" s="106"/>
      <c r="U145" s="106"/>
      <c r="V145" s="106"/>
      <c r="W145" s="106"/>
      <c r="X145" s="107"/>
    </row>
    <row r="146" spans="1:24" ht="14.6">
      <c r="A146" s="1318"/>
      <c r="B146" s="56" t="s">
        <v>156</v>
      </c>
      <c r="C146" s="103">
        <f>'Blendini Custom Cake - Slice'!C146*12</f>
        <v>273</v>
      </c>
      <c r="D146" s="104">
        <f>'Blendini Custom Cake - Slice'!D146*12</f>
        <v>94.44</v>
      </c>
      <c r="E146" s="104">
        <f>'Blendini Custom Cake - Slice'!E146*12</f>
        <v>10.44</v>
      </c>
      <c r="F146" s="104">
        <f>'Blendini Custom Cake - Slice'!F146*12</f>
        <v>3.12</v>
      </c>
      <c r="G146" s="104">
        <f>'Blendini Custom Cake - Slice'!G146*12</f>
        <v>0</v>
      </c>
      <c r="H146" s="104">
        <f>'Blendini Custom Cake - Slice'!H146*12</f>
        <v>0</v>
      </c>
      <c r="I146" s="104">
        <f>'Blendini Custom Cake - Slice'!I146*12</f>
        <v>315</v>
      </c>
      <c r="J146" s="104">
        <f>'Blendini Custom Cake - Slice'!J146*12</f>
        <v>39.839999999999996</v>
      </c>
      <c r="K146" s="104">
        <f>'Blendini Custom Cake - Slice'!K146*12</f>
        <v>2.04</v>
      </c>
      <c r="L146" s="104">
        <f>'Blendini Custom Cake - Slice'!L146*12</f>
        <v>23.04</v>
      </c>
      <c r="M146" s="104">
        <f>'Blendini Custom Cake - Slice'!M146*12</f>
        <v>2.04</v>
      </c>
      <c r="N146" s="104">
        <f>'Blendini Custom Cake - Slice'!N146*12</f>
        <v>0</v>
      </c>
      <c r="O146" s="104">
        <f>'Blendini Custom Cake - Slice'!O146*12</f>
        <v>0</v>
      </c>
      <c r="P146" s="104">
        <f>'Blendini Custom Cake - Slice'!P146*12</f>
        <v>24</v>
      </c>
      <c r="Q146" s="105">
        <f>'Blendini Custom Cake - Slice'!Q146*12</f>
        <v>72</v>
      </c>
      <c r="R146" s="106"/>
      <c r="S146" s="106"/>
      <c r="T146" s="106"/>
      <c r="U146" s="106"/>
      <c r="V146" s="106"/>
      <c r="W146" s="106"/>
      <c r="X146" s="107"/>
    </row>
    <row r="147" spans="1:24" ht="14.6">
      <c r="A147" s="1318"/>
      <c r="B147" s="56" t="s">
        <v>157</v>
      </c>
      <c r="C147" s="103">
        <f>'Blendini Custom Cake - Slice'!C147*12</f>
        <v>285.71999999999997</v>
      </c>
      <c r="D147" s="104">
        <f>'Blendini Custom Cake - Slice'!D147*12</f>
        <v>154.07999999999998</v>
      </c>
      <c r="E147" s="104">
        <f>'Blendini Custom Cake - Slice'!E147*12</f>
        <v>17.16</v>
      </c>
      <c r="F147" s="104">
        <f>'Blendini Custom Cake - Slice'!F147*12</f>
        <v>5.88</v>
      </c>
      <c r="G147" s="104">
        <f>'Blendini Custom Cake - Slice'!G147*12</f>
        <v>0</v>
      </c>
      <c r="H147" s="104">
        <f>'Blendini Custom Cake - Slice'!H147*12</f>
        <v>3.84</v>
      </c>
      <c r="I147" s="104">
        <f>'Blendini Custom Cake - Slice'!I147*12</f>
        <v>219.36</v>
      </c>
      <c r="J147" s="104">
        <f>'Blendini Custom Cake - Slice'!J147*12</f>
        <v>31.200000000000003</v>
      </c>
      <c r="K147" s="104">
        <f>'Blendini Custom Cake - Slice'!K147*12</f>
        <v>2.16</v>
      </c>
      <c r="L147" s="104">
        <f>'Blendini Custom Cake - Slice'!L147*12</f>
        <v>26.880000000000003</v>
      </c>
      <c r="M147" s="104">
        <f>'Blendini Custom Cake - Slice'!M147*12</f>
        <v>6.48</v>
      </c>
      <c r="N147" s="104">
        <f>'Blendini Custom Cake - Slice'!N147*12</f>
        <v>0</v>
      </c>
      <c r="O147" s="104">
        <f>'Blendini Custom Cake - Slice'!O147*12</f>
        <v>0</v>
      </c>
      <c r="P147" s="104">
        <f>'Blendini Custom Cake - Slice'!P147*12</f>
        <v>24</v>
      </c>
      <c r="Q147" s="105">
        <f>'Blendini Custom Cake - Slice'!Q147*12</f>
        <v>0</v>
      </c>
      <c r="R147" s="106"/>
      <c r="S147" s="106"/>
      <c r="T147" s="106"/>
      <c r="U147" s="106"/>
      <c r="V147" s="106"/>
      <c r="W147" s="106"/>
      <c r="X147" s="107"/>
    </row>
    <row r="148" spans="1:24" ht="14.6">
      <c r="A148" s="1318"/>
      <c r="B148" s="56" t="s">
        <v>158</v>
      </c>
      <c r="C148" s="103">
        <f>'Blendini Custom Cake - Slice'!C148*12</f>
        <v>365.76</v>
      </c>
      <c r="D148" s="104">
        <f>'Blendini Custom Cake - Slice'!D148*12</f>
        <v>300.95999999999998</v>
      </c>
      <c r="E148" s="104">
        <f>'Blendini Custom Cake - Slice'!E148*12</f>
        <v>33.480000000000004</v>
      </c>
      <c r="F148" s="104">
        <f>'Blendini Custom Cake - Slice'!F148*12</f>
        <v>5.5200000000000005</v>
      </c>
      <c r="G148" s="104">
        <f>'Blendini Custom Cake - Slice'!G148*12</f>
        <v>0</v>
      </c>
      <c r="H148" s="104">
        <f>'Blendini Custom Cake - Slice'!H148*12</f>
        <v>0</v>
      </c>
      <c r="I148" s="104">
        <f>'Blendini Custom Cake - Slice'!I148*12</f>
        <v>247.79999999999998</v>
      </c>
      <c r="J148" s="104">
        <f>'Blendini Custom Cake - Slice'!J148*12</f>
        <v>10.44</v>
      </c>
      <c r="K148" s="104">
        <f>'Blendini Custom Cake - Slice'!K148*12</f>
        <v>3.5999999999999996</v>
      </c>
      <c r="L148" s="104">
        <f>'Blendini Custom Cake - Slice'!L148*12</f>
        <v>5.28</v>
      </c>
      <c r="M148" s="104">
        <f>'Blendini Custom Cake - Slice'!M148*12</f>
        <v>11.040000000000001</v>
      </c>
      <c r="N148" s="104">
        <f>'Blendini Custom Cake - Slice'!N148*12</f>
        <v>0</v>
      </c>
      <c r="O148" s="104">
        <f>'Blendini Custom Cake - Slice'!O148*12</f>
        <v>0</v>
      </c>
      <c r="P148" s="104">
        <f>'Blendini Custom Cake - Slice'!P148*12</f>
        <v>24</v>
      </c>
      <c r="Q148" s="105">
        <f>'Blendini Custom Cake - Slice'!Q148*12</f>
        <v>24</v>
      </c>
      <c r="R148" s="106"/>
      <c r="S148" s="106"/>
      <c r="T148" s="106"/>
      <c r="U148" s="106"/>
      <c r="V148" s="106"/>
      <c r="W148" s="106"/>
      <c r="X148" s="107"/>
    </row>
    <row r="149" spans="1:24" ht="14.6">
      <c r="A149" s="1318"/>
      <c r="B149" s="56" t="s">
        <v>537</v>
      </c>
      <c r="C149" s="103">
        <f>'Blendini Custom Cake - Slice'!C149*12</f>
        <v>288</v>
      </c>
      <c r="D149" s="104">
        <f>'Blendini Custom Cake - Slice'!D149*12</f>
        <v>123</v>
      </c>
      <c r="E149" s="104">
        <f>'Blendini Custom Cake - Slice'!E149*12</f>
        <v>13.68</v>
      </c>
      <c r="F149" s="104">
        <f>'Blendini Custom Cake - Slice'!F149*12</f>
        <v>9.120000000000001</v>
      </c>
      <c r="G149" s="104">
        <f>'Blendini Custom Cake - Slice'!G149*12</f>
        <v>0.12</v>
      </c>
      <c r="H149" s="104">
        <f>'Blendini Custom Cake - Slice'!H149*12</f>
        <v>0</v>
      </c>
      <c r="I149" s="104">
        <f>'Blendini Custom Cake - Slice'!I149*12</f>
        <v>111</v>
      </c>
      <c r="J149" s="104">
        <f>'Blendini Custom Cake - Slice'!J149*12</f>
        <v>35.04</v>
      </c>
      <c r="K149" s="104">
        <f>'Blendini Custom Cake - Slice'!K149*12</f>
        <v>1.56</v>
      </c>
      <c r="L149" s="104">
        <f>'Blendini Custom Cake - Slice'!L149*12</f>
        <v>31.200000000000003</v>
      </c>
      <c r="M149" s="104">
        <f>'Blendini Custom Cake - Slice'!M149*12</f>
        <v>6.24</v>
      </c>
      <c r="N149" s="104">
        <f>'Blendini Custom Cake - Slice'!N149*12</f>
        <v>0</v>
      </c>
      <c r="O149" s="104">
        <f>'Blendini Custom Cake - Slice'!O149*12</f>
        <v>0</v>
      </c>
      <c r="P149" s="104">
        <f>'Blendini Custom Cake - Slice'!P149*12</f>
        <v>0</v>
      </c>
      <c r="Q149" s="105">
        <f>'Blendini Custom Cake - Slice'!Q149*12</f>
        <v>0</v>
      </c>
      <c r="R149" s="106"/>
      <c r="S149" s="106"/>
      <c r="T149" s="106"/>
      <c r="U149" s="106"/>
      <c r="V149" s="106"/>
      <c r="W149" s="106"/>
      <c r="X149" s="107"/>
    </row>
    <row r="150" spans="1:24" ht="14.6">
      <c r="A150" s="1318"/>
      <c r="B150" s="56" t="s">
        <v>159</v>
      </c>
      <c r="C150" s="103">
        <f>'Blendini Custom Cake - Slice'!C150*12</f>
        <v>240</v>
      </c>
      <c r="D150" s="104">
        <f>'Blendini Custom Cake - Slice'!D150*12</f>
        <v>114.84</v>
      </c>
      <c r="E150" s="104">
        <f>'Blendini Custom Cake - Slice'!E150*12</f>
        <v>12.72</v>
      </c>
      <c r="F150" s="104">
        <f>'Blendini Custom Cake - Slice'!F150*12</f>
        <v>4.92</v>
      </c>
      <c r="G150" s="104">
        <f>'Blendini Custom Cake - Slice'!G150*12</f>
        <v>0.24</v>
      </c>
      <c r="H150" s="104">
        <f>'Blendini Custom Cake - Slice'!H150*12</f>
        <v>0</v>
      </c>
      <c r="I150" s="104">
        <f>'Blendini Custom Cake - Slice'!I150*12</f>
        <v>120</v>
      </c>
      <c r="J150" s="104">
        <f>'Blendini Custom Cake - Slice'!J150*12</f>
        <v>36</v>
      </c>
      <c r="K150" s="104">
        <f>'Blendini Custom Cake - Slice'!K150*12</f>
        <v>1.2000000000000002</v>
      </c>
      <c r="L150" s="104">
        <f>'Blendini Custom Cake - Slice'!L150*12</f>
        <v>28.92</v>
      </c>
      <c r="M150" s="104">
        <f>'Blendini Custom Cake - Slice'!M150*12</f>
        <v>4.68</v>
      </c>
      <c r="N150" s="104">
        <f>'Blendini Custom Cake - Slice'!N150*12</f>
        <v>0</v>
      </c>
      <c r="O150" s="104">
        <f>'Blendini Custom Cake - Slice'!O150*12</f>
        <v>0</v>
      </c>
      <c r="P150" s="104">
        <f>'Blendini Custom Cake - Slice'!P150*12</f>
        <v>0</v>
      </c>
      <c r="Q150" s="105">
        <f>'Blendini Custom Cake - Slice'!Q150*12</f>
        <v>0</v>
      </c>
      <c r="R150" s="106"/>
      <c r="S150" s="106"/>
      <c r="T150" s="106"/>
      <c r="U150" s="106"/>
      <c r="V150" s="106"/>
      <c r="W150" s="106"/>
      <c r="X150" s="107"/>
    </row>
    <row r="151" spans="1:24" ht="14.6">
      <c r="A151" s="1318"/>
      <c r="B151" s="56" t="s">
        <v>161</v>
      </c>
      <c r="C151" s="103">
        <f>'Blendini Custom Cake - Slice'!C151*12</f>
        <v>269.28000000000003</v>
      </c>
      <c r="D151" s="104">
        <f>'Blendini Custom Cake - Slice'!D151*12</f>
        <v>96.47999999999999</v>
      </c>
      <c r="E151" s="104">
        <f>'Blendini Custom Cake - Slice'!E151*12</f>
        <v>10.68</v>
      </c>
      <c r="F151" s="104">
        <f>'Blendini Custom Cake - Slice'!F151*12</f>
        <v>9.120000000000001</v>
      </c>
      <c r="G151" s="104">
        <f>'Blendini Custom Cake - Slice'!G151*12</f>
        <v>0.12</v>
      </c>
      <c r="H151" s="104">
        <f>'Blendini Custom Cake - Slice'!H151*12</f>
        <v>0.24</v>
      </c>
      <c r="I151" s="104">
        <f>'Blendini Custom Cake - Slice'!I151*12</f>
        <v>4.8000000000000007</v>
      </c>
      <c r="J151" s="104">
        <f>'Blendini Custom Cake - Slice'!J151*12</f>
        <v>44.76</v>
      </c>
      <c r="K151" s="104">
        <f>'Blendini Custom Cake - Slice'!K151*12</f>
        <v>0.12</v>
      </c>
      <c r="L151" s="104">
        <f>'Blendini Custom Cake - Slice'!L151*12</f>
        <v>27.240000000000002</v>
      </c>
      <c r="M151" s="104">
        <f>'Blendini Custom Cake - Slice'!M151*12</f>
        <v>0</v>
      </c>
      <c r="N151" s="104">
        <f>'Blendini Custom Cake - Slice'!N151*12</f>
        <v>0</v>
      </c>
      <c r="O151" s="104">
        <f>'Blendini Custom Cake - Slice'!O151*12</f>
        <v>120</v>
      </c>
      <c r="P151" s="104">
        <f>'Blendini Custom Cake - Slice'!P151*12</f>
        <v>0</v>
      </c>
      <c r="Q151" s="105">
        <f>'Blendini Custom Cake - Slice'!Q151*12</f>
        <v>0</v>
      </c>
      <c r="R151" s="106"/>
      <c r="S151" s="106"/>
      <c r="T151" s="106"/>
      <c r="U151" s="106"/>
      <c r="V151" s="106"/>
      <c r="W151" s="106"/>
      <c r="X151" s="107"/>
    </row>
    <row r="152" spans="1:24" ht="14.6">
      <c r="A152" s="1318"/>
      <c r="B152" s="56" t="s">
        <v>162</v>
      </c>
      <c r="C152" s="103">
        <f>'Blendini Custom Cake - Slice'!C152*12</f>
        <v>75.72</v>
      </c>
      <c r="D152" s="104">
        <f>'Blendini Custom Cake - Slice'!D152*12</f>
        <v>0.36</v>
      </c>
      <c r="E152" s="104">
        <f>'Blendini Custom Cake - Slice'!E152*12</f>
        <v>0</v>
      </c>
      <c r="F152" s="104">
        <f>'Blendini Custom Cake - Slice'!F152*12</f>
        <v>0</v>
      </c>
      <c r="G152" s="104">
        <f>'Blendini Custom Cake - Slice'!G152*12</f>
        <v>0</v>
      </c>
      <c r="H152" s="104">
        <f>'Blendini Custom Cake - Slice'!H152*12</f>
        <v>0</v>
      </c>
      <c r="I152" s="104">
        <f>'Blendini Custom Cake - Slice'!I152*12</f>
        <v>10.44</v>
      </c>
      <c r="J152" s="104">
        <f>'Blendini Custom Cake - Slice'!J152*12</f>
        <v>20.759999999999998</v>
      </c>
      <c r="K152" s="104">
        <f>'Blendini Custom Cake - Slice'!K152*12</f>
        <v>0.60000000000000009</v>
      </c>
      <c r="L152" s="104">
        <f>'Blendini Custom Cake - Slice'!L152*12</f>
        <v>17.52</v>
      </c>
      <c r="M152" s="104">
        <f>'Blendini Custom Cake - Slice'!M152*12</f>
        <v>0.12</v>
      </c>
      <c r="N152" s="104">
        <f>'Blendini Custom Cake - Slice'!N152*12</f>
        <v>0</v>
      </c>
      <c r="O152" s="104">
        <f>'Blendini Custom Cake - Slice'!O152*12</f>
        <v>0</v>
      </c>
      <c r="P152" s="104">
        <f>'Blendini Custom Cake - Slice'!P152*12</f>
        <v>24</v>
      </c>
      <c r="Q152" s="105">
        <f>'Blendini Custom Cake - Slice'!Q152*12</f>
        <v>24</v>
      </c>
      <c r="R152" s="106"/>
      <c r="S152" s="106"/>
      <c r="T152" s="106"/>
      <c r="U152" s="106"/>
      <c r="V152" s="106"/>
      <c r="W152" s="106"/>
      <c r="X152" s="107"/>
    </row>
    <row r="153" spans="1:24" ht="15" thickBot="1">
      <c r="A153" s="1319"/>
      <c r="B153" s="60" t="s">
        <v>163</v>
      </c>
      <c r="C153" s="108">
        <f>'Blendini Custom Cake - Slice'!C153*12</f>
        <v>275.15999999999997</v>
      </c>
      <c r="D153" s="109">
        <f>'Blendini Custom Cake - Slice'!D153*12</f>
        <v>158.04</v>
      </c>
      <c r="E153" s="109">
        <f>'Blendini Custom Cake - Slice'!E153*12</f>
        <v>17.52</v>
      </c>
      <c r="F153" s="109">
        <f>'Blendini Custom Cake - Slice'!F153*12</f>
        <v>1.32</v>
      </c>
      <c r="G153" s="109">
        <f>'Blendini Custom Cake - Slice'!G153*12</f>
        <v>0</v>
      </c>
      <c r="H153" s="109">
        <f>'Blendini Custom Cake - Slice'!H153*12</f>
        <v>0</v>
      </c>
      <c r="I153" s="109">
        <f>'Blendini Custom Cake - Slice'!I153*12</f>
        <v>3.84</v>
      </c>
      <c r="J153" s="109">
        <f>'Blendini Custom Cake - Slice'!J153*12</f>
        <v>25.08</v>
      </c>
      <c r="K153" s="109">
        <f>'Blendini Custom Cake - Slice'!K153*12</f>
        <v>3</v>
      </c>
      <c r="L153" s="109">
        <f>'Blendini Custom Cake - Slice'!L153*12</f>
        <v>19.559999999999999</v>
      </c>
      <c r="M153" s="109">
        <f>'Blendini Custom Cake - Slice'!M153*12</f>
        <v>4.1999999999999993</v>
      </c>
      <c r="N153" s="109">
        <f>'Blendini Custom Cake - Slice'!N153*12</f>
        <v>0</v>
      </c>
      <c r="O153" s="109">
        <f>'Blendini Custom Cake - Slice'!O153*12</f>
        <v>0</v>
      </c>
      <c r="P153" s="109">
        <f>'Blendini Custom Cake - Slice'!P153*12</f>
        <v>0</v>
      </c>
      <c r="Q153" s="110">
        <f>'Blendini Custom Cake - Slice'!Q153*12</f>
        <v>0</v>
      </c>
      <c r="R153" s="111"/>
      <c r="S153" s="111"/>
      <c r="T153" s="111"/>
      <c r="U153" s="111"/>
      <c r="V153" s="111"/>
      <c r="W153" s="111"/>
      <c r="X153" s="112"/>
    </row>
    <row r="154" spans="1:24" ht="14.6">
      <c r="A154" s="18"/>
      <c r="B154" s="24"/>
      <c r="C154" s="18"/>
      <c r="D154" s="18"/>
      <c r="E154" s="18"/>
      <c r="F154" s="18"/>
      <c r="G154" s="18"/>
      <c r="H154" s="18"/>
      <c r="I154" s="18"/>
      <c r="J154" s="18"/>
      <c r="K154" s="18"/>
      <c r="L154" s="18"/>
      <c r="M154" s="18"/>
      <c r="N154" s="19"/>
      <c r="O154" s="19"/>
      <c r="P154" s="19"/>
      <c r="Q154" s="19"/>
    </row>
    <row r="155" spans="1:24" ht="18" customHeight="1" thickBot="1">
      <c r="A155" s="1308" t="s">
        <v>541</v>
      </c>
      <c r="B155" s="1308"/>
      <c r="C155" s="1308"/>
      <c r="D155" s="1308"/>
      <c r="E155" s="1308"/>
      <c r="F155" s="1308"/>
      <c r="G155" s="1308"/>
      <c r="H155" s="1308"/>
      <c r="I155" s="1308"/>
      <c r="J155" s="1308"/>
      <c r="K155" s="1308"/>
      <c r="L155" s="1308"/>
      <c r="M155" s="1308"/>
      <c r="N155" s="1308"/>
      <c r="O155" s="1308"/>
      <c r="P155" s="1308"/>
      <c r="Q155" s="1308"/>
      <c r="R155" s="1308"/>
      <c r="S155" s="1308"/>
      <c r="T155" s="1308"/>
      <c r="U155" s="1308"/>
      <c r="V155" s="1308"/>
      <c r="W155" s="1308"/>
      <c r="X155" s="1308"/>
    </row>
    <row r="156" spans="1:24" ht="37.5" customHeight="1" thickBot="1">
      <c r="A156" s="77"/>
      <c r="B156" s="48" t="s">
        <v>3</v>
      </c>
      <c r="C156" s="1" t="s">
        <v>4</v>
      </c>
      <c r="D156" s="1" t="s">
        <v>5</v>
      </c>
      <c r="E156" s="1" t="s">
        <v>6</v>
      </c>
      <c r="F156" s="1" t="s">
        <v>7</v>
      </c>
      <c r="G156" s="1" t="s">
        <v>8</v>
      </c>
      <c r="H156" s="1" t="s">
        <v>9</v>
      </c>
      <c r="I156" s="1" t="s">
        <v>10</v>
      </c>
      <c r="J156" s="1" t="s">
        <v>11</v>
      </c>
      <c r="K156" s="1" t="s">
        <v>12</v>
      </c>
      <c r="L156" s="1" t="s">
        <v>13</v>
      </c>
      <c r="M156" s="1" t="s">
        <v>14</v>
      </c>
      <c r="N156" s="1" t="s">
        <v>15</v>
      </c>
      <c r="O156" s="2" t="s">
        <v>16</v>
      </c>
      <c r="P156" s="2" t="s">
        <v>17</v>
      </c>
      <c r="Q156" s="2" t="s">
        <v>18</v>
      </c>
      <c r="R156" s="2" t="s">
        <v>19</v>
      </c>
      <c r="S156" s="2" t="s">
        <v>20</v>
      </c>
      <c r="T156" s="2" t="s">
        <v>21</v>
      </c>
      <c r="U156" s="2" t="s">
        <v>22</v>
      </c>
      <c r="V156" s="2" t="s">
        <v>23</v>
      </c>
      <c r="W156" s="2" t="s">
        <v>377</v>
      </c>
      <c r="X156" s="3" t="s">
        <v>378</v>
      </c>
    </row>
    <row r="157" spans="1:24" ht="14.6">
      <c r="A157" s="1317" t="s">
        <v>542</v>
      </c>
      <c r="B157" s="59" t="s">
        <v>144</v>
      </c>
      <c r="C157" s="98">
        <f>'Blendini Custom Cake - Slice'!C157*12</f>
        <v>452.40000000000003</v>
      </c>
      <c r="D157" s="99">
        <f>'Blendini Custom Cake - Slice'!D157*12</f>
        <v>232.20000000000002</v>
      </c>
      <c r="E157" s="99">
        <f>'Blendini Custom Cake - Slice'!E157*12</f>
        <v>25.799999999999997</v>
      </c>
      <c r="F157" s="99">
        <f>'Blendini Custom Cake - Slice'!F157*12</f>
        <v>15.36</v>
      </c>
      <c r="G157" s="99">
        <f>'Blendini Custom Cake - Slice'!G157*12</f>
        <v>0</v>
      </c>
      <c r="H157" s="99">
        <f>'Blendini Custom Cake - Slice'!H157*12</f>
        <v>0</v>
      </c>
      <c r="I157" s="99">
        <f>'Blendini Custom Cake - Slice'!I157*12</f>
        <v>0.24</v>
      </c>
      <c r="J157" s="99">
        <f>'Blendini Custom Cake - Slice'!J157*12</f>
        <v>66.599999999999994</v>
      </c>
      <c r="K157" s="99">
        <f>'Blendini Custom Cake - Slice'!K157*12</f>
        <v>7.8000000000000007</v>
      </c>
      <c r="L157" s="99">
        <f>'Blendini Custom Cake - Slice'!L157*12</f>
        <v>53.760000000000005</v>
      </c>
      <c r="M157" s="99">
        <f>'Blendini Custom Cake - Slice'!M157*12</f>
        <v>4.92</v>
      </c>
      <c r="N157" s="99">
        <f>'Blendini Custom Cake - Slice'!N157*12</f>
        <v>0</v>
      </c>
      <c r="O157" s="99">
        <f>'Blendini Custom Cake - Slice'!O157*12</f>
        <v>0</v>
      </c>
      <c r="P157" s="99">
        <f>'Blendini Custom Cake - Slice'!P157*12</f>
        <v>24</v>
      </c>
      <c r="Q157" s="100">
        <f>'Blendini Custom Cake - Slice'!Q157*12</f>
        <v>180</v>
      </c>
      <c r="R157" s="101"/>
      <c r="S157" s="101"/>
      <c r="T157" s="101"/>
      <c r="U157" s="101"/>
      <c r="V157" s="101"/>
      <c r="W157" s="101"/>
      <c r="X157" s="102"/>
    </row>
    <row r="158" spans="1:24" ht="14.6">
      <c r="A158" s="1318"/>
      <c r="B158" s="56" t="s">
        <v>534</v>
      </c>
      <c r="C158" s="103">
        <f>'Blendini Custom Cake - Slice'!C158*12</f>
        <v>401.64</v>
      </c>
      <c r="D158" s="104">
        <f>'Blendini Custom Cake - Slice'!D158*12</f>
        <v>84</v>
      </c>
      <c r="E158" s="104">
        <f>'Blendini Custom Cake - Slice'!E158*12</f>
        <v>9.36</v>
      </c>
      <c r="F158" s="104">
        <f>'Blendini Custom Cake - Slice'!F158*12</f>
        <v>4.8000000000000007</v>
      </c>
      <c r="G158" s="104">
        <f>'Blendini Custom Cake - Slice'!G158*12</f>
        <v>0</v>
      </c>
      <c r="H158" s="104">
        <f>'Blendini Custom Cake - Slice'!H158*12</f>
        <v>0</v>
      </c>
      <c r="I158" s="104">
        <f>'Blendini Custom Cake - Slice'!I158*12</f>
        <v>603.48</v>
      </c>
      <c r="J158" s="104">
        <f>'Blendini Custom Cake - Slice'!J158*12</f>
        <v>79.199999999999989</v>
      </c>
      <c r="K158" s="104">
        <f>'Blendini Custom Cake - Slice'!K158*12</f>
        <v>5.04</v>
      </c>
      <c r="L158" s="104">
        <f>'Blendini Custom Cake - Slice'!L158*12</f>
        <v>30.72</v>
      </c>
      <c r="M158" s="104">
        <f>'Blendini Custom Cake - Slice'!M158*12</f>
        <v>5.88</v>
      </c>
      <c r="N158" s="104">
        <f>'Blendini Custom Cake - Slice'!N158*12</f>
        <v>0</v>
      </c>
      <c r="O158" s="104">
        <f>'Blendini Custom Cake - Slice'!O158*12</f>
        <v>0</v>
      </c>
      <c r="P158" s="104">
        <f>'Blendini Custom Cake - Slice'!P158*12</f>
        <v>180</v>
      </c>
      <c r="Q158" s="105">
        <f>'Blendini Custom Cake - Slice'!Q158*12</f>
        <v>0</v>
      </c>
      <c r="R158" s="106"/>
      <c r="S158" s="106"/>
      <c r="T158" s="106"/>
      <c r="U158" s="106"/>
      <c r="V158" s="106"/>
      <c r="W158" s="106"/>
      <c r="X158" s="107"/>
    </row>
    <row r="159" spans="1:24" ht="14.6">
      <c r="A159" s="1318"/>
      <c r="B159" s="56" t="s">
        <v>540</v>
      </c>
      <c r="C159" s="103">
        <f>'Blendini Custom Cake - Slice'!C159*12</f>
        <v>481.68</v>
      </c>
      <c r="D159" s="104">
        <f>'Blendini Custom Cake - Slice'!D159*12</f>
        <v>192</v>
      </c>
      <c r="E159" s="104">
        <f>'Blendini Custom Cake - Slice'!E159*12</f>
        <v>21.36</v>
      </c>
      <c r="F159" s="104">
        <f>'Blendini Custom Cake - Slice'!F159*12</f>
        <v>18.36</v>
      </c>
      <c r="G159" s="104">
        <f>'Blendini Custom Cake - Slice'!G159*12</f>
        <v>0.24</v>
      </c>
      <c r="H159" s="104">
        <f>'Blendini Custom Cake - Slice'!H159*12</f>
        <v>0.12</v>
      </c>
      <c r="I159" s="104">
        <f>'Blendini Custom Cake - Slice'!I159*12</f>
        <v>99.12</v>
      </c>
      <c r="J159" s="104">
        <f>'Blendini Custom Cake - Slice'!J159*12</f>
        <v>69.48</v>
      </c>
      <c r="K159" s="104">
        <f>'Blendini Custom Cake - Slice'!K159*12</f>
        <v>3.7199999999999998</v>
      </c>
      <c r="L159" s="104">
        <f>'Blendini Custom Cake - Slice'!L159*12</f>
        <v>35.519999999999996</v>
      </c>
      <c r="M159" s="104">
        <f>'Blendini Custom Cake - Slice'!M159*12</f>
        <v>3</v>
      </c>
      <c r="N159" s="104">
        <f>'Blendini Custom Cake - Slice'!N159*12</f>
        <v>180</v>
      </c>
      <c r="O159" s="104">
        <f>'Blendini Custom Cake - Slice'!O159*12</f>
        <v>120</v>
      </c>
      <c r="P159" s="104">
        <f>'Blendini Custom Cake - Slice'!P159*12</f>
        <v>0</v>
      </c>
      <c r="Q159" s="105">
        <f>'Blendini Custom Cake - Slice'!Q159*12</f>
        <v>120</v>
      </c>
      <c r="R159" s="106"/>
      <c r="S159" s="106"/>
      <c r="T159" s="106"/>
      <c r="U159" s="106"/>
      <c r="V159" s="106"/>
      <c r="W159" s="106"/>
      <c r="X159" s="107"/>
    </row>
    <row r="160" spans="1:24" ht="14.6">
      <c r="A160" s="1318"/>
      <c r="B160" s="56" t="s">
        <v>147</v>
      </c>
      <c r="C160" s="103">
        <f>'Blendini Custom Cake - Slice'!C160*12</f>
        <v>581.40000000000009</v>
      </c>
      <c r="D160" s="104">
        <f>'Blendini Custom Cake - Slice'!D160*12</f>
        <v>443.52</v>
      </c>
      <c r="E160" s="104">
        <f>'Blendini Custom Cake - Slice'!E160*12</f>
        <v>49.320000000000007</v>
      </c>
      <c r="F160" s="104">
        <f>'Blendini Custom Cake - Slice'!F160*12</f>
        <v>6.84</v>
      </c>
      <c r="G160" s="104">
        <f>'Blendini Custom Cake - Slice'!G160*12</f>
        <v>0</v>
      </c>
      <c r="H160" s="104">
        <f>'Blendini Custom Cake - Slice'!H160*12</f>
        <v>0</v>
      </c>
      <c r="I160" s="104">
        <f>'Blendini Custom Cake - Slice'!I160*12</f>
        <v>142.92000000000002</v>
      </c>
      <c r="J160" s="104">
        <f>'Blendini Custom Cake - Slice'!J160*12</f>
        <v>21.240000000000002</v>
      </c>
      <c r="K160" s="104">
        <f>'Blendini Custom Cake - Slice'!K160*12</f>
        <v>9.24</v>
      </c>
      <c r="L160" s="104">
        <f>'Blendini Custom Cake - Slice'!L160*12</f>
        <v>4.1999999999999993</v>
      </c>
      <c r="M160" s="104">
        <f>'Blendini Custom Cake - Slice'!M160*12</f>
        <v>23.52</v>
      </c>
      <c r="N160" s="104">
        <f>'Blendini Custom Cake - Slice'!N160*12</f>
        <v>24</v>
      </c>
      <c r="O160" s="104">
        <f>'Blendini Custom Cake - Slice'!O160*12</f>
        <v>0</v>
      </c>
      <c r="P160" s="104">
        <f>'Blendini Custom Cake - Slice'!P160*12</f>
        <v>24</v>
      </c>
      <c r="Q160" s="105">
        <f>'Blendini Custom Cake - Slice'!Q160*12</f>
        <v>0</v>
      </c>
      <c r="R160" s="106"/>
      <c r="S160" s="106"/>
      <c r="T160" s="106"/>
      <c r="U160" s="106"/>
      <c r="V160" s="106"/>
      <c r="W160" s="106"/>
      <c r="X160" s="107"/>
    </row>
    <row r="161" spans="1:24" ht="14.6">
      <c r="A161" s="1318"/>
      <c r="B161" s="56" t="s">
        <v>148</v>
      </c>
      <c r="C161" s="103">
        <f>'Blendini Custom Cake - Slice'!C161*12</f>
        <v>404.28</v>
      </c>
      <c r="D161" s="104">
        <f>'Blendini Custom Cake - Slice'!D161*12</f>
        <v>33.119999999999997</v>
      </c>
      <c r="E161" s="104">
        <f>'Blendini Custom Cake - Slice'!E161*12</f>
        <v>3.7199999999999998</v>
      </c>
      <c r="F161" s="104">
        <f>'Blendini Custom Cake - Slice'!F161*12</f>
        <v>3.7199999999999998</v>
      </c>
      <c r="G161" s="104">
        <f>'Blendini Custom Cake - Slice'!G161*12</f>
        <v>0</v>
      </c>
      <c r="H161" s="104">
        <f>'Blendini Custom Cake - Slice'!H161*12</f>
        <v>0</v>
      </c>
      <c r="I161" s="104">
        <f>'Blendini Custom Cake - Slice'!I161*12</f>
        <v>624.72</v>
      </c>
      <c r="J161" s="104">
        <f>'Blendini Custom Cake - Slice'!J161*12</f>
        <v>84.48</v>
      </c>
      <c r="K161" s="104">
        <f>'Blendini Custom Cake - Slice'!K161*12</f>
        <v>0</v>
      </c>
      <c r="L161" s="104">
        <f>'Blendini Custom Cake - Slice'!L161*12</f>
        <v>33.119999999999997</v>
      </c>
      <c r="M161" s="104">
        <f>'Blendini Custom Cake - Slice'!M161*12</f>
        <v>3.7199999999999998</v>
      </c>
      <c r="N161" s="104">
        <f>'Blendini Custom Cake - Slice'!N161*12</f>
        <v>0</v>
      </c>
      <c r="O161" s="104">
        <f>'Blendini Custom Cake - Slice'!O161*12</f>
        <v>0</v>
      </c>
      <c r="P161" s="104">
        <f>'Blendini Custom Cake - Slice'!P161*12</f>
        <v>24</v>
      </c>
      <c r="Q161" s="105">
        <f>'Blendini Custom Cake - Slice'!Q161*12</f>
        <v>0</v>
      </c>
      <c r="R161" s="106"/>
      <c r="S161" s="106"/>
      <c r="T161" s="106"/>
      <c r="U161" s="106"/>
      <c r="V161" s="106"/>
      <c r="W161" s="106"/>
      <c r="X161" s="107"/>
    </row>
    <row r="162" spans="1:24" ht="14.6">
      <c r="A162" s="1318"/>
      <c r="B162" s="56" t="s">
        <v>306</v>
      </c>
      <c r="C162" s="103">
        <f>'Blendini Custom Cake - Slice'!C162*12</f>
        <v>300.12</v>
      </c>
      <c r="D162" s="104">
        <f>'Blendini Custom Cake - Slice'!D162*12</f>
        <v>0</v>
      </c>
      <c r="E162" s="104">
        <f>'Blendini Custom Cake - Slice'!E162*12</f>
        <v>0</v>
      </c>
      <c r="F162" s="104">
        <f>'Blendini Custom Cake - Slice'!F162*12</f>
        <v>0</v>
      </c>
      <c r="G162" s="104">
        <f>'Blendini Custom Cake - Slice'!G162*12</f>
        <v>0</v>
      </c>
      <c r="H162" s="104">
        <f>'Blendini Custom Cake - Slice'!H162*12</f>
        <v>0</v>
      </c>
      <c r="I162" s="104">
        <f>'Blendini Custom Cake - Slice'!I162*12</f>
        <v>0</v>
      </c>
      <c r="J162" s="104">
        <f>'Blendini Custom Cake - Slice'!J162*12</f>
        <v>73.44</v>
      </c>
      <c r="K162" s="104">
        <f>'Blendini Custom Cake - Slice'!K162*12</f>
        <v>0</v>
      </c>
      <c r="L162" s="104">
        <f>'Blendini Custom Cake - Slice'!L162*12</f>
        <v>48</v>
      </c>
      <c r="M162" s="104">
        <f>'Blendini Custom Cake - Slice'!M162*12</f>
        <v>5.5200000000000005</v>
      </c>
      <c r="N162" s="104">
        <f>'Blendini Custom Cake - Slice'!N162*12</f>
        <v>0</v>
      </c>
      <c r="O162" s="104">
        <f>'Blendini Custom Cake - Slice'!O162*12</f>
        <v>0</v>
      </c>
      <c r="P162" s="104">
        <f>'Blendini Custom Cake - Slice'!P162*12</f>
        <v>0</v>
      </c>
      <c r="Q162" s="105">
        <f>'Blendini Custom Cake - Slice'!Q162*12</f>
        <v>0</v>
      </c>
      <c r="R162" s="106"/>
      <c r="S162" s="106"/>
      <c r="T162" s="106"/>
      <c r="U162" s="106"/>
      <c r="V162" s="106"/>
      <c r="W162" s="106"/>
      <c r="X162" s="107"/>
    </row>
    <row r="163" spans="1:24" ht="14.6">
      <c r="A163" s="1318"/>
      <c r="B163" s="56" t="s">
        <v>149</v>
      </c>
      <c r="C163" s="103">
        <f>'Blendini Custom Cake - Slice'!C163*12</f>
        <v>522.96</v>
      </c>
      <c r="D163" s="104">
        <f>'Blendini Custom Cake - Slice'!D163*12</f>
        <v>290.28000000000003</v>
      </c>
      <c r="E163" s="104">
        <f>'Blendini Custom Cake - Slice'!E163*12</f>
        <v>32.28</v>
      </c>
      <c r="F163" s="104">
        <f>'Blendini Custom Cake - Slice'!F163*12</f>
        <v>17.04</v>
      </c>
      <c r="G163" s="104">
        <f>'Blendini Custom Cake - Slice'!G163*12</f>
        <v>0.36</v>
      </c>
      <c r="H163" s="104">
        <f>'Blendini Custom Cake - Slice'!H163*12</f>
        <v>18.600000000000001</v>
      </c>
      <c r="I163" s="104">
        <f>'Blendini Custom Cake - Slice'!I163*12</f>
        <v>344.64</v>
      </c>
      <c r="J163" s="104">
        <f>'Blendini Custom Cake - Slice'!J163*12</f>
        <v>61.800000000000004</v>
      </c>
      <c r="K163" s="104">
        <f>'Blendini Custom Cake - Slice'!K163*12</f>
        <v>1.32</v>
      </c>
      <c r="L163" s="104">
        <f>'Blendini Custom Cake - Slice'!L163*12</f>
        <v>59.519999999999996</v>
      </c>
      <c r="M163" s="104">
        <f>'Blendini Custom Cake - Slice'!M163*12</f>
        <v>3.12</v>
      </c>
      <c r="N163" s="104">
        <f>'Blendini Custom Cake - Slice'!N163*12</f>
        <v>0</v>
      </c>
      <c r="O163" s="104">
        <f>'Blendini Custom Cake - Slice'!O163*12</f>
        <v>0</v>
      </c>
      <c r="P163" s="104">
        <f>'Blendini Custom Cake - Slice'!P163*12</f>
        <v>0</v>
      </c>
      <c r="Q163" s="105">
        <f>'Blendini Custom Cake - Slice'!Q163*12</f>
        <v>0</v>
      </c>
      <c r="R163" s="106"/>
      <c r="S163" s="106"/>
      <c r="T163" s="106"/>
      <c r="U163" s="106"/>
      <c r="V163" s="106"/>
      <c r="W163" s="106"/>
      <c r="X163" s="107"/>
    </row>
    <row r="164" spans="1:24" ht="14.6">
      <c r="A164" s="1318"/>
      <c r="B164" s="56" t="s">
        <v>150</v>
      </c>
      <c r="C164" s="103">
        <v>315</v>
      </c>
      <c r="D164" s="104">
        <v>17.5</v>
      </c>
      <c r="E164" s="104">
        <v>0</v>
      </c>
      <c r="F164" s="104">
        <v>0</v>
      </c>
      <c r="G164" s="104">
        <v>0</v>
      </c>
      <c r="H164" s="104">
        <v>0</v>
      </c>
      <c r="I164" s="104">
        <v>175</v>
      </c>
      <c r="J164" s="104">
        <v>73.5</v>
      </c>
      <c r="K164" s="104">
        <v>0</v>
      </c>
      <c r="L164" s="104">
        <v>52.5</v>
      </c>
      <c r="M164" s="104">
        <v>0</v>
      </c>
      <c r="N164" s="104">
        <v>0</v>
      </c>
      <c r="O164" s="104">
        <v>0</v>
      </c>
      <c r="P164" s="104">
        <v>0</v>
      </c>
      <c r="Q164" s="105">
        <v>0</v>
      </c>
      <c r="R164" s="106"/>
      <c r="S164" s="106"/>
      <c r="T164" s="106"/>
      <c r="U164" s="106"/>
      <c r="V164" s="106"/>
      <c r="W164" s="106"/>
      <c r="X164" s="107"/>
    </row>
    <row r="165" spans="1:24" ht="14.6">
      <c r="A165" s="1318"/>
      <c r="B165" s="56" t="s">
        <v>151</v>
      </c>
      <c r="C165" s="128">
        <v>180</v>
      </c>
      <c r="D165" s="81">
        <v>60</v>
      </c>
      <c r="E165" s="81">
        <v>7</v>
      </c>
      <c r="F165" s="81">
        <v>6</v>
      </c>
      <c r="G165" s="81">
        <v>0</v>
      </c>
      <c r="H165" s="81">
        <v>0</v>
      </c>
      <c r="I165" s="81">
        <v>90</v>
      </c>
      <c r="J165" s="81">
        <v>30</v>
      </c>
      <c r="K165" s="81">
        <v>0</v>
      </c>
      <c r="L165" s="81">
        <v>28</v>
      </c>
      <c r="M165" s="81">
        <v>2</v>
      </c>
      <c r="N165" s="81">
        <v>0</v>
      </c>
      <c r="O165" s="81">
        <v>0</v>
      </c>
      <c r="P165" s="81">
        <v>8</v>
      </c>
      <c r="Q165" s="114">
        <v>0</v>
      </c>
      <c r="R165" s="106"/>
      <c r="S165" s="106"/>
      <c r="T165" s="106"/>
      <c r="U165" s="106"/>
      <c r="V165" s="106"/>
      <c r="W165" s="106"/>
      <c r="X165" s="107"/>
    </row>
    <row r="166" spans="1:24" ht="14.6">
      <c r="A166" s="1318"/>
      <c r="B166" s="56" t="s">
        <v>535</v>
      </c>
      <c r="C166" s="103">
        <f>'Blendini Custom Cake - Slice'!C166*12</f>
        <v>428.40000000000003</v>
      </c>
      <c r="D166" s="104">
        <f>'Blendini Custom Cake - Slice'!D166*12</f>
        <v>94.56</v>
      </c>
      <c r="E166" s="104">
        <f>'Blendini Custom Cake - Slice'!E166*12</f>
        <v>10.56</v>
      </c>
      <c r="F166" s="104">
        <f>'Blendini Custom Cake - Slice'!F166*12</f>
        <v>6.12</v>
      </c>
      <c r="G166" s="104">
        <f>'Blendini Custom Cake - Slice'!G166*12</f>
        <v>0</v>
      </c>
      <c r="H166" s="104">
        <f>'Blendini Custom Cake - Slice'!H166*12</f>
        <v>0</v>
      </c>
      <c r="I166" s="104">
        <f>'Blendini Custom Cake - Slice'!I166*12</f>
        <v>219.12</v>
      </c>
      <c r="J166" s="104">
        <f>'Blendini Custom Cake - Slice'!J166*12</f>
        <v>85.679999999999993</v>
      </c>
      <c r="K166" s="104">
        <f>'Blendini Custom Cake - Slice'!K166*12</f>
        <v>0</v>
      </c>
      <c r="L166" s="104">
        <f>'Blendini Custom Cake - Slice'!L166*12</f>
        <v>70.679999999999993</v>
      </c>
      <c r="M166" s="104">
        <f>'Blendini Custom Cake - Slice'!M166*12</f>
        <v>0</v>
      </c>
      <c r="N166" s="104">
        <f>'Blendini Custom Cake - Slice'!N166*12</f>
        <v>0</v>
      </c>
      <c r="O166" s="104">
        <f>'Blendini Custom Cake - Slice'!O166*12</f>
        <v>0</v>
      </c>
      <c r="P166" s="104">
        <f>'Blendini Custom Cake - Slice'!P166*12</f>
        <v>0</v>
      </c>
      <c r="Q166" s="105">
        <f>'Blendini Custom Cake - Slice'!Q166*12</f>
        <v>0</v>
      </c>
      <c r="R166" s="106"/>
      <c r="S166" s="106"/>
      <c r="T166" s="106"/>
      <c r="U166" s="106"/>
      <c r="V166" s="106"/>
      <c r="W166" s="106"/>
      <c r="X166" s="107"/>
    </row>
    <row r="167" spans="1:24" ht="14.6">
      <c r="A167" s="1318"/>
      <c r="B167" s="56" t="s">
        <v>152</v>
      </c>
      <c r="C167" s="103">
        <f>'Blendini Custom Cake - Slice'!C167*12</f>
        <v>480</v>
      </c>
      <c r="D167" s="104">
        <f>'Blendini Custom Cake - Slice'!D167*12</f>
        <v>180</v>
      </c>
      <c r="E167" s="104">
        <f>'Blendini Custom Cake - Slice'!E167*12</f>
        <v>18</v>
      </c>
      <c r="F167" s="104">
        <f>'Blendini Custom Cake - Slice'!F167*12</f>
        <v>12</v>
      </c>
      <c r="G167" s="104">
        <f>'Blendini Custom Cake - Slice'!G167*12</f>
        <v>0</v>
      </c>
      <c r="H167" s="104">
        <f>'Blendini Custom Cake - Slice'!H167*12</f>
        <v>0</v>
      </c>
      <c r="I167" s="104">
        <f>'Blendini Custom Cake - Slice'!I167*12</f>
        <v>60</v>
      </c>
      <c r="J167" s="104">
        <f>'Blendini Custom Cake - Slice'!J167*12</f>
        <v>72</v>
      </c>
      <c r="K167" s="104">
        <f>'Blendini Custom Cake - Slice'!K167*12</f>
        <v>0</v>
      </c>
      <c r="L167" s="104">
        <f>'Blendini Custom Cake - Slice'!L167*12</f>
        <v>60</v>
      </c>
      <c r="M167" s="104">
        <f>'Blendini Custom Cake - Slice'!M167*12</f>
        <v>0</v>
      </c>
      <c r="N167" s="104">
        <f>'Blendini Custom Cake - Slice'!N167*12</f>
        <v>0</v>
      </c>
      <c r="O167" s="104">
        <f>'Blendini Custom Cake - Slice'!O167*12</f>
        <v>0</v>
      </c>
      <c r="P167" s="104">
        <f>'Blendini Custom Cake - Slice'!P167*12</f>
        <v>24</v>
      </c>
      <c r="Q167" s="105">
        <f>'Blendini Custom Cake - Slice'!Q167*12</f>
        <v>0</v>
      </c>
      <c r="R167" s="106"/>
      <c r="S167" s="106"/>
      <c r="T167" s="106"/>
      <c r="U167" s="106"/>
      <c r="V167" s="106"/>
      <c r="W167" s="106"/>
      <c r="X167" s="107"/>
    </row>
    <row r="168" spans="1:24" ht="14.6">
      <c r="A168" s="1318"/>
      <c r="B168" s="56" t="s">
        <v>422</v>
      </c>
      <c r="C168" s="103">
        <f>'Blendini Custom Cake - Slice'!C168*12</f>
        <v>198.48</v>
      </c>
      <c r="D168" s="104">
        <f>'Blendini Custom Cake - Slice'!D168*12</f>
        <v>0</v>
      </c>
      <c r="E168" s="104">
        <f>'Blendini Custom Cake - Slice'!E168*12</f>
        <v>0</v>
      </c>
      <c r="F168" s="104">
        <f>'Blendini Custom Cake - Slice'!F168*12</f>
        <v>0</v>
      </c>
      <c r="G168" s="104">
        <f>'Blendini Custom Cake - Slice'!G168*12</f>
        <v>0</v>
      </c>
      <c r="H168" s="104">
        <f>'Blendini Custom Cake - Slice'!H168*12</f>
        <v>0</v>
      </c>
      <c r="I168" s="104">
        <f>'Blendini Custom Cake - Slice'!I168*12</f>
        <v>0</v>
      </c>
      <c r="J168" s="104">
        <f>'Blendini Custom Cake - Slice'!J168*12</f>
        <v>39.72</v>
      </c>
      <c r="K168" s="104">
        <f>'Blendini Custom Cake - Slice'!K168*12</f>
        <v>0</v>
      </c>
      <c r="L168" s="104">
        <f>'Blendini Custom Cake - Slice'!L168*12</f>
        <v>19.799999999999997</v>
      </c>
      <c r="M168" s="104">
        <f>'Blendini Custom Cake - Slice'!M168*12</f>
        <v>0</v>
      </c>
      <c r="N168" s="104">
        <f>'Blendini Custom Cake - Slice'!N168*12</f>
        <v>0</v>
      </c>
      <c r="O168" s="104">
        <f>'Blendini Custom Cake - Slice'!O168*12</f>
        <v>0</v>
      </c>
      <c r="P168" s="104">
        <f>'Blendini Custom Cake - Slice'!P168*12</f>
        <v>0</v>
      </c>
      <c r="Q168" s="105">
        <f>'Blendini Custom Cake - Slice'!Q168*12</f>
        <v>48</v>
      </c>
      <c r="R168" s="106"/>
      <c r="S168" s="106"/>
      <c r="T168" s="106"/>
      <c r="U168" s="106"/>
      <c r="V168" s="106"/>
      <c r="W168" s="106"/>
      <c r="X168" s="107"/>
    </row>
    <row r="169" spans="1:24" ht="14.6">
      <c r="A169" s="1318"/>
      <c r="B169" s="56" t="s">
        <v>536</v>
      </c>
      <c r="C169" s="103">
        <f>'Blendini Custom Cake - Slice'!C169*12</f>
        <v>479.04</v>
      </c>
      <c r="D169" s="104">
        <f>'Blendini Custom Cake - Slice'!D169*12</f>
        <v>184.8</v>
      </c>
      <c r="E169" s="104">
        <f>'Blendini Custom Cake - Slice'!E169*12</f>
        <v>20.52</v>
      </c>
      <c r="F169" s="104">
        <f>'Blendini Custom Cake - Slice'!F169*12</f>
        <v>6.84</v>
      </c>
      <c r="G169" s="104">
        <f>'Blendini Custom Cake - Slice'!G169*12</f>
        <v>0.48</v>
      </c>
      <c r="H169" s="104">
        <f>'Blendini Custom Cake - Slice'!H169*12</f>
        <v>0</v>
      </c>
      <c r="I169" s="104">
        <f>'Blendini Custom Cake - Slice'!I169*12</f>
        <v>393.48</v>
      </c>
      <c r="J169" s="104">
        <f>'Blendini Custom Cake - Slice'!J169*12</f>
        <v>71.88</v>
      </c>
      <c r="K169" s="104">
        <f>'Blendini Custom Cake - Slice'!K169*12</f>
        <v>3.4799999999999995</v>
      </c>
      <c r="L169" s="104">
        <f>'Blendini Custom Cake - Slice'!L169*12</f>
        <v>41.04</v>
      </c>
      <c r="M169" s="104">
        <f>'Blendini Custom Cake - Slice'!M169*12</f>
        <v>3.4799999999999995</v>
      </c>
      <c r="N169" s="104">
        <f>'Blendini Custom Cake - Slice'!N169*12</f>
        <v>0</v>
      </c>
      <c r="O169" s="104">
        <f>'Blendini Custom Cake - Slice'!O169*12</f>
        <v>0</v>
      </c>
      <c r="P169" s="104">
        <f>'Blendini Custom Cake - Slice'!P169*12</f>
        <v>0</v>
      </c>
      <c r="Q169" s="105">
        <f>'Blendini Custom Cake - Slice'!Q169*12</f>
        <v>96</v>
      </c>
      <c r="R169" s="106"/>
      <c r="S169" s="106"/>
      <c r="T169" s="106"/>
      <c r="U169" s="106"/>
      <c r="V169" s="106"/>
      <c r="W169" s="106"/>
      <c r="X169" s="107"/>
    </row>
    <row r="170" spans="1:24" ht="14.6">
      <c r="A170" s="1318"/>
      <c r="B170" s="56" t="s">
        <v>154</v>
      </c>
      <c r="C170" s="103">
        <f>'Blendini Custom Cake - Slice'!C170*12</f>
        <v>372.12</v>
      </c>
      <c r="D170" s="104">
        <f>'Blendini Custom Cake - Slice'!D170*12</f>
        <v>0</v>
      </c>
      <c r="E170" s="104">
        <f>'Blendini Custom Cake - Slice'!E170*12</f>
        <v>0</v>
      </c>
      <c r="F170" s="104">
        <f>'Blendini Custom Cake - Slice'!F170*12</f>
        <v>0</v>
      </c>
      <c r="G170" s="104">
        <f>'Blendini Custom Cake - Slice'!G170*12</f>
        <v>0</v>
      </c>
      <c r="H170" s="104">
        <f>'Blendini Custom Cake - Slice'!H170*12</f>
        <v>0</v>
      </c>
      <c r="I170" s="104">
        <f>'Blendini Custom Cake - Slice'!I170*12</f>
        <v>7.1999999999999993</v>
      </c>
      <c r="J170" s="104">
        <f>'Blendini Custom Cake - Slice'!J170*12</f>
        <v>92.88</v>
      </c>
      <c r="K170" s="104">
        <f>'Blendini Custom Cake - Slice'!K170*12</f>
        <v>0</v>
      </c>
      <c r="L170" s="104">
        <f>'Blendini Custom Cake - Slice'!L170*12</f>
        <v>90.960000000000008</v>
      </c>
      <c r="M170" s="104">
        <f>'Blendini Custom Cake - Slice'!M170*12</f>
        <v>0</v>
      </c>
      <c r="N170" s="104">
        <f>'Blendini Custom Cake - Slice'!N170*12</f>
        <v>0</v>
      </c>
      <c r="O170" s="104">
        <f>'Blendini Custom Cake - Slice'!O170*12</f>
        <v>0</v>
      </c>
      <c r="P170" s="104">
        <f>'Blendini Custom Cake - Slice'!P170*12</f>
        <v>24</v>
      </c>
      <c r="Q170" s="105">
        <f>'Blendini Custom Cake - Slice'!Q170*12</f>
        <v>72</v>
      </c>
      <c r="R170" s="106"/>
      <c r="S170" s="106"/>
      <c r="T170" s="106"/>
      <c r="U170" s="106"/>
      <c r="V170" s="106"/>
      <c r="W170" s="106"/>
      <c r="X170" s="107"/>
    </row>
    <row r="171" spans="1:24" ht="14.6">
      <c r="A171" s="1318"/>
      <c r="B171" s="56" t="s">
        <v>155</v>
      </c>
      <c r="C171" s="103">
        <f>'Blendini Custom Cake - Slice'!C171*12</f>
        <v>429.96</v>
      </c>
      <c r="D171" s="104">
        <f>'Blendini Custom Cake - Slice'!D171*12</f>
        <v>95.28</v>
      </c>
      <c r="E171" s="104">
        <f>'Blendini Custom Cake - Slice'!E171*12</f>
        <v>10.56</v>
      </c>
      <c r="F171" s="104">
        <f>'Blendini Custom Cake - Slice'!F171*12</f>
        <v>5.16</v>
      </c>
      <c r="G171" s="104">
        <f>'Blendini Custom Cake - Slice'!G171*12</f>
        <v>0</v>
      </c>
      <c r="H171" s="104">
        <f>'Blendini Custom Cake - Slice'!H171*12</f>
        <v>8.64</v>
      </c>
      <c r="I171" s="104">
        <f>'Blendini Custom Cake - Slice'!I171*12</f>
        <v>531.59999999999991</v>
      </c>
      <c r="J171" s="104">
        <f>'Blendini Custom Cake - Slice'!J171*12</f>
        <v>78.599999999999994</v>
      </c>
      <c r="K171" s="104">
        <f>'Blendini Custom Cake - Slice'!K171*12</f>
        <v>1.44</v>
      </c>
      <c r="L171" s="104">
        <f>'Blendini Custom Cake - Slice'!L171*12</f>
        <v>36.24</v>
      </c>
      <c r="M171" s="104">
        <f>'Blendini Custom Cake - Slice'!M171*12</f>
        <v>5.04</v>
      </c>
      <c r="N171" s="104">
        <f>'Blendini Custom Cake - Slice'!N171*12</f>
        <v>0</v>
      </c>
      <c r="O171" s="104">
        <f>'Blendini Custom Cake - Slice'!O171*12</f>
        <v>0</v>
      </c>
      <c r="P171" s="104">
        <f>'Blendini Custom Cake - Slice'!P171*12</f>
        <v>24</v>
      </c>
      <c r="Q171" s="105">
        <f>'Blendini Custom Cake - Slice'!Q171*12</f>
        <v>24</v>
      </c>
      <c r="R171" s="106"/>
      <c r="S171" s="106"/>
      <c r="T171" s="106"/>
      <c r="U171" s="106"/>
      <c r="V171" s="106"/>
      <c r="W171" s="106"/>
      <c r="X171" s="107"/>
    </row>
    <row r="172" spans="1:24" ht="14.6">
      <c r="A172" s="1318"/>
      <c r="B172" s="56" t="s">
        <v>156</v>
      </c>
      <c r="C172" s="103">
        <f>'Blendini Custom Cake - Slice'!C172*12</f>
        <v>477.72</v>
      </c>
      <c r="D172" s="104">
        <f>'Blendini Custom Cake - Slice'!D172*12</f>
        <v>165.35999999999999</v>
      </c>
      <c r="E172" s="104">
        <f>'Blendini Custom Cake - Slice'!E172*12</f>
        <v>18.36</v>
      </c>
      <c r="F172" s="104">
        <f>'Blendini Custom Cake - Slice'!F172*12</f>
        <v>5.5200000000000005</v>
      </c>
      <c r="G172" s="104">
        <f>'Blendini Custom Cake - Slice'!G172*12</f>
        <v>0</v>
      </c>
      <c r="H172" s="104">
        <f>'Blendini Custom Cake - Slice'!H172*12</f>
        <v>0</v>
      </c>
      <c r="I172" s="104">
        <f>'Blendini Custom Cake - Slice'!I172*12</f>
        <v>551.28</v>
      </c>
      <c r="J172" s="104">
        <f>'Blendini Custom Cake - Slice'!J172*12</f>
        <v>69.84</v>
      </c>
      <c r="K172" s="104">
        <f>'Blendini Custom Cake - Slice'!K172*12</f>
        <v>3.7199999999999998</v>
      </c>
      <c r="L172" s="104">
        <f>'Blendini Custom Cake - Slice'!L172*12</f>
        <v>40.44</v>
      </c>
      <c r="M172" s="104">
        <f>'Blendini Custom Cake - Slice'!M172*12</f>
        <v>3.7199999999999998</v>
      </c>
      <c r="N172" s="104">
        <f>'Blendini Custom Cake - Slice'!N172*12</f>
        <v>0</v>
      </c>
      <c r="O172" s="104">
        <f>'Blendini Custom Cake - Slice'!O172*12</f>
        <v>0</v>
      </c>
      <c r="P172" s="104">
        <f>'Blendini Custom Cake - Slice'!P172*12</f>
        <v>24</v>
      </c>
      <c r="Q172" s="105">
        <f>'Blendini Custom Cake - Slice'!Q172*12</f>
        <v>72</v>
      </c>
      <c r="R172" s="106"/>
      <c r="S172" s="106"/>
      <c r="T172" s="106"/>
      <c r="U172" s="106"/>
      <c r="V172" s="106"/>
      <c r="W172" s="106"/>
      <c r="X172" s="107"/>
    </row>
    <row r="173" spans="1:24" ht="14.6">
      <c r="A173" s="1318"/>
      <c r="B173" s="56" t="s">
        <v>157</v>
      </c>
      <c r="C173" s="103">
        <f>'Blendini Custom Cake - Slice'!C173*12</f>
        <v>500.04</v>
      </c>
      <c r="D173" s="104">
        <f>'Blendini Custom Cake - Slice'!D173*12</f>
        <v>269.64</v>
      </c>
      <c r="E173" s="104">
        <f>'Blendini Custom Cake - Slice'!E173*12</f>
        <v>30</v>
      </c>
      <c r="F173" s="104">
        <f>'Blendini Custom Cake - Slice'!F173*12</f>
        <v>10.199999999999999</v>
      </c>
      <c r="G173" s="104">
        <f>'Blendini Custom Cake - Slice'!G173*12</f>
        <v>0.12</v>
      </c>
      <c r="H173" s="104">
        <f>'Blendini Custom Cake - Slice'!H173*12</f>
        <v>6.7200000000000006</v>
      </c>
      <c r="I173" s="104">
        <f>'Blendini Custom Cake - Slice'!I173*12</f>
        <v>383.88</v>
      </c>
      <c r="J173" s="104">
        <f>'Blendini Custom Cake - Slice'!J173*12</f>
        <v>54.72</v>
      </c>
      <c r="K173" s="104">
        <f>'Blendini Custom Cake - Slice'!K173*12</f>
        <v>3.84</v>
      </c>
      <c r="L173" s="104">
        <f>'Blendini Custom Cake - Slice'!L173*12</f>
        <v>47.160000000000004</v>
      </c>
      <c r="M173" s="104">
        <f>'Blendini Custom Cake - Slice'!M173*12</f>
        <v>11.399999999999999</v>
      </c>
      <c r="N173" s="104">
        <f>'Blendini Custom Cake - Slice'!N173*12</f>
        <v>0</v>
      </c>
      <c r="O173" s="104">
        <f>'Blendini Custom Cake - Slice'!O173*12</f>
        <v>0</v>
      </c>
      <c r="P173" s="104">
        <f>'Blendini Custom Cake - Slice'!P173*12</f>
        <v>24</v>
      </c>
      <c r="Q173" s="105">
        <f>'Blendini Custom Cake - Slice'!Q173*12</f>
        <v>0</v>
      </c>
      <c r="R173" s="106"/>
      <c r="S173" s="106"/>
      <c r="T173" s="106"/>
      <c r="U173" s="106"/>
      <c r="V173" s="106"/>
      <c r="W173" s="106"/>
      <c r="X173" s="107"/>
    </row>
    <row r="174" spans="1:24" ht="14.6">
      <c r="A174" s="1318"/>
      <c r="B174" s="56" t="s">
        <v>158</v>
      </c>
      <c r="C174" s="103">
        <f>'Blendini Custom Cake - Slice'!C174*12</f>
        <v>639.96</v>
      </c>
      <c r="D174" s="104">
        <f>'Blendini Custom Cake - Slice'!D174*12</f>
        <v>526.68000000000006</v>
      </c>
      <c r="E174" s="104">
        <f>'Blendini Custom Cake - Slice'!E174*12</f>
        <v>58.56</v>
      </c>
      <c r="F174" s="104">
        <f>'Blendini Custom Cake - Slice'!F174*12</f>
        <v>9.7200000000000006</v>
      </c>
      <c r="G174" s="104">
        <f>'Blendini Custom Cake - Slice'!G174*12</f>
        <v>0</v>
      </c>
      <c r="H174" s="104">
        <f>'Blendini Custom Cake - Slice'!H174*12</f>
        <v>0</v>
      </c>
      <c r="I174" s="104">
        <f>'Blendini Custom Cake - Slice'!I174*12</f>
        <v>433.56000000000006</v>
      </c>
      <c r="J174" s="104">
        <f>'Blendini Custom Cake - Slice'!J174*12</f>
        <v>18.240000000000002</v>
      </c>
      <c r="K174" s="104">
        <f>'Blendini Custom Cake - Slice'!K174*12</f>
        <v>6.36</v>
      </c>
      <c r="L174" s="104">
        <f>'Blendini Custom Cake - Slice'!L174*12</f>
        <v>9.24</v>
      </c>
      <c r="M174" s="104">
        <f>'Blendini Custom Cake - Slice'!M174*12</f>
        <v>19.32</v>
      </c>
      <c r="N174" s="104">
        <f>'Blendini Custom Cake - Slice'!N174*12</f>
        <v>0</v>
      </c>
      <c r="O174" s="104">
        <f>'Blendini Custom Cake - Slice'!O174*12</f>
        <v>0</v>
      </c>
      <c r="P174" s="104">
        <f>'Blendini Custom Cake - Slice'!P174*12</f>
        <v>24</v>
      </c>
      <c r="Q174" s="105">
        <f>'Blendini Custom Cake - Slice'!Q174*12</f>
        <v>24</v>
      </c>
      <c r="R174" s="106"/>
      <c r="S174" s="106"/>
      <c r="T174" s="106"/>
      <c r="U174" s="106"/>
      <c r="V174" s="106"/>
      <c r="W174" s="106"/>
      <c r="X174" s="107"/>
    </row>
    <row r="175" spans="1:24" ht="14.6">
      <c r="A175" s="1318"/>
      <c r="B175" s="56" t="s">
        <v>537</v>
      </c>
      <c r="C175" s="103">
        <f>'Blendini Custom Cake - Slice'!C175*12</f>
        <v>504</v>
      </c>
      <c r="D175" s="104">
        <f>'Blendini Custom Cake - Slice'!D175*12</f>
        <v>215.28000000000003</v>
      </c>
      <c r="E175" s="104">
        <f>'Blendini Custom Cake - Slice'!E175*12</f>
        <v>23.88</v>
      </c>
      <c r="F175" s="104">
        <f>'Blendini Custom Cake - Slice'!F175*12</f>
        <v>16.080000000000002</v>
      </c>
      <c r="G175" s="104">
        <f>'Blendini Custom Cake - Slice'!G175*12</f>
        <v>0.24</v>
      </c>
      <c r="H175" s="104">
        <f>'Blendini Custom Cake - Slice'!H175*12</f>
        <v>0</v>
      </c>
      <c r="I175" s="104">
        <f>'Blendini Custom Cake - Slice'!I175*12</f>
        <v>194.16</v>
      </c>
      <c r="J175" s="104">
        <f>'Blendini Custom Cake - Slice'!J175*12</f>
        <v>61.320000000000007</v>
      </c>
      <c r="K175" s="104">
        <f>'Blendini Custom Cake - Slice'!K175*12</f>
        <v>2.64</v>
      </c>
      <c r="L175" s="104">
        <f>'Blendini Custom Cake - Slice'!L175*12</f>
        <v>54.599999999999994</v>
      </c>
      <c r="M175" s="104">
        <f>'Blendini Custom Cake - Slice'!M175*12</f>
        <v>10.92</v>
      </c>
      <c r="N175" s="104">
        <f>'Blendini Custom Cake - Slice'!N175*12</f>
        <v>0</v>
      </c>
      <c r="O175" s="104">
        <f>'Blendini Custom Cake - Slice'!O175*12</f>
        <v>0</v>
      </c>
      <c r="P175" s="104">
        <f>'Blendini Custom Cake - Slice'!P175*12</f>
        <v>0</v>
      </c>
      <c r="Q175" s="105">
        <f>'Blendini Custom Cake - Slice'!Q175*12</f>
        <v>0</v>
      </c>
      <c r="R175" s="106"/>
      <c r="S175" s="106"/>
      <c r="T175" s="106"/>
      <c r="U175" s="106"/>
      <c r="V175" s="106"/>
      <c r="W175" s="106"/>
      <c r="X175" s="107"/>
    </row>
    <row r="176" spans="1:24" ht="14.6">
      <c r="A176" s="1318"/>
      <c r="B176" s="56" t="s">
        <v>159</v>
      </c>
      <c r="C176" s="103">
        <f>'Blendini Custom Cake - Slice'!C176*12</f>
        <v>480</v>
      </c>
      <c r="D176" s="104">
        <f>'Blendini Custom Cake - Slice'!D176*12</f>
        <v>180</v>
      </c>
      <c r="E176" s="104">
        <f>'Blendini Custom Cake - Slice'!E176*12</f>
        <v>24</v>
      </c>
      <c r="F176" s="104">
        <f>'Blendini Custom Cake - Slice'!F176*12</f>
        <v>6</v>
      </c>
      <c r="G176" s="104">
        <f>'Blendini Custom Cake - Slice'!G176*12</f>
        <v>0.48</v>
      </c>
      <c r="H176" s="104">
        <f>'Blendini Custom Cake - Slice'!H176*12</f>
        <v>0</v>
      </c>
      <c r="I176" s="104">
        <f>'Blendini Custom Cake - Slice'!I176*12</f>
        <v>240.71999999999997</v>
      </c>
      <c r="J176" s="104">
        <f>'Blendini Custom Cake - Slice'!J176*12</f>
        <v>60.96</v>
      </c>
      <c r="K176" s="104">
        <f>'Blendini Custom Cake - Slice'!K176*12</f>
        <v>0</v>
      </c>
      <c r="L176" s="104">
        <f>'Blendini Custom Cake - Slice'!L176*12</f>
        <v>48</v>
      </c>
      <c r="M176" s="104">
        <f>'Blendini Custom Cake - Slice'!M176*12</f>
        <v>12</v>
      </c>
      <c r="N176" s="104">
        <f>'Blendini Custom Cake - Slice'!N176*12</f>
        <v>0</v>
      </c>
      <c r="O176" s="104">
        <f>'Blendini Custom Cake - Slice'!O176*12</f>
        <v>0</v>
      </c>
      <c r="P176" s="104">
        <f>'Blendini Custom Cake - Slice'!P176*12</f>
        <v>0</v>
      </c>
      <c r="Q176" s="105">
        <f>'Blendini Custom Cake - Slice'!Q176*12</f>
        <v>0</v>
      </c>
      <c r="R176" s="106"/>
      <c r="S176" s="106"/>
      <c r="T176" s="106"/>
      <c r="U176" s="106"/>
      <c r="V176" s="106"/>
      <c r="W176" s="106"/>
      <c r="X176" s="107"/>
    </row>
    <row r="177" spans="1:24" ht="14.6">
      <c r="A177" s="1318"/>
      <c r="B177" s="56" t="s">
        <v>161</v>
      </c>
      <c r="C177" s="103">
        <f>'Blendini Custom Cake - Slice'!C177*12</f>
        <v>471.24</v>
      </c>
      <c r="D177" s="104">
        <f>'Blendini Custom Cake - Slice'!D177*12</f>
        <v>168.72</v>
      </c>
      <c r="E177" s="104">
        <f>'Blendini Custom Cake - Slice'!E177*12</f>
        <v>18.72</v>
      </c>
      <c r="F177" s="104">
        <f>'Blendini Custom Cake - Slice'!F177*12</f>
        <v>15.84</v>
      </c>
      <c r="G177" s="104">
        <f>'Blendini Custom Cake - Slice'!G177*12</f>
        <v>0.12</v>
      </c>
      <c r="H177" s="104">
        <f>'Blendini Custom Cake - Slice'!H177*12</f>
        <v>0.48</v>
      </c>
      <c r="I177" s="104">
        <f>'Blendini Custom Cake - Slice'!I177*12</f>
        <v>8.3999999999999986</v>
      </c>
      <c r="J177" s="104">
        <f>'Blendini Custom Cake - Slice'!J177*12</f>
        <v>78.239999999999995</v>
      </c>
      <c r="K177" s="104">
        <f>'Blendini Custom Cake - Slice'!K177*12</f>
        <v>0.24</v>
      </c>
      <c r="L177" s="104">
        <f>'Blendini Custom Cake - Slice'!L177*12</f>
        <v>47.76</v>
      </c>
      <c r="M177" s="104">
        <f>'Blendini Custom Cake - Slice'!M177*12</f>
        <v>0</v>
      </c>
      <c r="N177" s="104">
        <f>'Blendini Custom Cake - Slice'!N177*12</f>
        <v>0</v>
      </c>
      <c r="O177" s="104">
        <f>'Blendini Custom Cake - Slice'!O177*12</f>
        <v>120</v>
      </c>
      <c r="P177" s="104">
        <f>'Blendini Custom Cake - Slice'!P177*12</f>
        <v>0</v>
      </c>
      <c r="Q177" s="105">
        <f>'Blendini Custom Cake - Slice'!Q177*12</f>
        <v>0</v>
      </c>
      <c r="R177" s="106"/>
      <c r="S177" s="106"/>
      <c r="T177" s="106"/>
      <c r="U177" s="106"/>
      <c r="V177" s="106"/>
      <c r="W177" s="106"/>
      <c r="X177" s="107"/>
    </row>
    <row r="178" spans="1:24" ht="14.6">
      <c r="A178" s="1318"/>
      <c r="B178" s="56" t="s">
        <v>162</v>
      </c>
      <c r="C178" s="103">
        <f>'Blendini Custom Cake - Slice'!C178*12</f>
        <v>132.60000000000002</v>
      </c>
      <c r="D178" s="104">
        <f>'Blendini Custom Cake - Slice'!D178*12</f>
        <v>0.60000000000000009</v>
      </c>
      <c r="E178" s="104">
        <f>'Blendini Custom Cake - Slice'!E178*12</f>
        <v>0.12</v>
      </c>
      <c r="F178" s="104">
        <f>'Blendini Custom Cake - Slice'!F178*12</f>
        <v>0</v>
      </c>
      <c r="G178" s="104">
        <f>'Blendini Custom Cake - Slice'!G178*12</f>
        <v>0</v>
      </c>
      <c r="H178" s="104">
        <f>'Blendini Custom Cake - Slice'!H178*12</f>
        <v>0</v>
      </c>
      <c r="I178" s="104">
        <f>'Blendini Custom Cake - Slice'!I178*12</f>
        <v>18.36</v>
      </c>
      <c r="J178" s="104">
        <f>'Blendini Custom Cake - Slice'!J178*12</f>
        <v>36.24</v>
      </c>
      <c r="K178" s="104">
        <f>'Blendini Custom Cake - Slice'!K178*12</f>
        <v>1.2000000000000002</v>
      </c>
      <c r="L178" s="104">
        <f>'Blendini Custom Cake - Slice'!L178*12</f>
        <v>30.72</v>
      </c>
      <c r="M178" s="104">
        <f>'Blendini Custom Cake - Slice'!M178*12</f>
        <v>0.36</v>
      </c>
      <c r="N178" s="104">
        <f>'Blendini Custom Cake - Slice'!N178*12</f>
        <v>0</v>
      </c>
      <c r="O178" s="104">
        <f>'Blendini Custom Cake - Slice'!O178*12</f>
        <v>0</v>
      </c>
      <c r="P178" s="104">
        <f>'Blendini Custom Cake - Slice'!P178*12</f>
        <v>24</v>
      </c>
      <c r="Q178" s="105">
        <f>'Blendini Custom Cake - Slice'!Q178*12</f>
        <v>24</v>
      </c>
      <c r="R178" s="106"/>
      <c r="S178" s="106"/>
      <c r="T178" s="106"/>
      <c r="U178" s="106"/>
      <c r="V178" s="106"/>
      <c r="W178" s="106"/>
      <c r="X178" s="107"/>
    </row>
    <row r="179" spans="1:24" ht="15" thickBot="1">
      <c r="A179" s="1319"/>
      <c r="B179" s="60" t="s">
        <v>163</v>
      </c>
      <c r="C179" s="108">
        <f>'Blendini Custom Cake - Slice'!C179*12</f>
        <v>481.43999999999994</v>
      </c>
      <c r="D179" s="109">
        <f>'Blendini Custom Cake - Slice'!D179*12</f>
        <v>276.48</v>
      </c>
      <c r="E179" s="109">
        <f>'Blendini Custom Cake - Slice'!E179*12</f>
        <v>30.72</v>
      </c>
      <c r="F179" s="109">
        <f>'Blendini Custom Cake - Slice'!F179*12</f>
        <v>2.2800000000000002</v>
      </c>
      <c r="G179" s="109">
        <f>'Blendini Custom Cake - Slice'!G179*12</f>
        <v>0</v>
      </c>
      <c r="H179" s="109">
        <f>'Blendini Custom Cake - Slice'!H179*12</f>
        <v>0</v>
      </c>
      <c r="I179" s="109">
        <f>'Blendini Custom Cake - Slice'!I179*12</f>
        <v>6.6000000000000005</v>
      </c>
      <c r="J179" s="109">
        <f>'Blendini Custom Cake - Slice'!J179*12</f>
        <v>43.8</v>
      </c>
      <c r="K179" s="109">
        <f>'Blendini Custom Cake - Slice'!K179*12</f>
        <v>5.16</v>
      </c>
      <c r="L179" s="109">
        <f>'Blendini Custom Cake - Slice'!L179*12</f>
        <v>34.32</v>
      </c>
      <c r="M179" s="109">
        <f>'Blendini Custom Cake - Slice'!M179*12</f>
        <v>7.32</v>
      </c>
      <c r="N179" s="109">
        <f>'Blendini Custom Cake - Slice'!N179*12</f>
        <v>0</v>
      </c>
      <c r="O179" s="109">
        <f>'Blendini Custom Cake - Slice'!O179*12</f>
        <v>0</v>
      </c>
      <c r="P179" s="109">
        <f>'Blendini Custom Cake - Slice'!P179*12</f>
        <v>0</v>
      </c>
      <c r="Q179" s="110">
        <f>'Blendini Custom Cake - Slice'!Q179*12</f>
        <v>0</v>
      </c>
      <c r="R179" s="111"/>
      <c r="S179" s="111"/>
      <c r="T179" s="111"/>
      <c r="U179" s="111"/>
      <c r="V179" s="111"/>
      <c r="W179" s="111"/>
      <c r="X179" s="112"/>
    </row>
    <row r="181" spans="1:24" ht="12.75" customHeight="1">
      <c r="B181" s="1227" t="s">
        <v>168</v>
      </c>
      <c r="C181" s="1227"/>
      <c r="D181" s="1227"/>
      <c r="E181" s="1227"/>
      <c r="F181" s="1227"/>
      <c r="G181" s="1227"/>
      <c r="H181" s="1227"/>
      <c r="I181" s="1227"/>
      <c r="J181" s="1227"/>
      <c r="K181" s="1227"/>
      <c r="L181" s="1227"/>
      <c r="M181" s="1227"/>
      <c r="N181" s="1227"/>
      <c r="O181" s="1227"/>
      <c r="P181" s="1227"/>
      <c r="Q181" s="1227"/>
      <c r="R181" s="1227"/>
      <c r="S181" s="1227"/>
      <c r="T181" s="1227"/>
      <c r="U181" s="1227"/>
      <c r="V181" s="1227"/>
      <c r="W181" s="1227"/>
      <c r="X181" s="1227"/>
    </row>
    <row r="182" spans="1:24" ht="33" customHeight="1">
      <c r="A182" s="28"/>
      <c r="B182" s="1227"/>
      <c r="C182" s="1227"/>
      <c r="D182" s="1227"/>
      <c r="E182" s="1227"/>
      <c r="F182" s="1227"/>
      <c r="G182" s="1227"/>
      <c r="H182" s="1227"/>
      <c r="I182" s="1227"/>
      <c r="J182" s="1227"/>
      <c r="K182" s="1227"/>
      <c r="L182" s="1227"/>
      <c r="M182" s="1227"/>
      <c r="N182" s="1227"/>
      <c r="O182" s="1227"/>
      <c r="P182" s="1227"/>
      <c r="Q182" s="1227"/>
      <c r="R182" s="1227"/>
      <c r="S182" s="1227"/>
      <c r="T182" s="1227"/>
      <c r="U182" s="1227"/>
      <c r="V182" s="1227"/>
      <c r="W182" s="1227"/>
      <c r="X182" s="1227"/>
    </row>
    <row r="183" spans="1:24" ht="18" customHeight="1">
      <c r="A183" s="28"/>
      <c r="B183" s="1227"/>
      <c r="C183" s="1227"/>
      <c r="D183" s="1227"/>
      <c r="E183" s="1227"/>
      <c r="F183" s="1227"/>
      <c r="G183" s="1227"/>
      <c r="H183" s="1227"/>
      <c r="I183" s="1227"/>
      <c r="J183" s="1227"/>
      <c r="K183" s="1227"/>
      <c r="L183" s="1227"/>
      <c r="M183" s="1227"/>
      <c r="N183" s="1227"/>
      <c r="O183" s="1227"/>
      <c r="P183" s="1227"/>
      <c r="Q183" s="1227"/>
      <c r="R183" s="1227"/>
      <c r="S183" s="1227"/>
      <c r="T183" s="1227"/>
      <c r="U183" s="1227"/>
      <c r="V183" s="1227"/>
      <c r="W183" s="1227"/>
      <c r="X183" s="1227"/>
    </row>
    <row r="185" spans="1:24" ht="14.6">
      <c r="B185" s="5" t="s">
        <v>568</v>
      </c>
      <c r="C185" s="4">
        <f t="shared" ref="C185" si="0">(AVERAGE(C5:C99)+AVERAGE(C103:C117)+AVERAGE(C121:C122)+AVERAGE(C126:C127)+AVERAGE(C131:C153)+AVERAGE(C157:C179))</f>
        <v>3787.0609427917616</v>
      </c>
      <c r="D185" s="4">
        <f t="shared" ref="D185:X185" si="1">(AVERAGE(D5:D99)+AVERAGE(D103:D117)+AVERAGE(D121:D122)+AVERAGE(D126:D127)+AVERAGE(D131:D153)+AVERAGE(D157:D179))</f>
        <v>1720.1949016018305</v>
      </c>
      <c r="E185" s="4">
        <f t="shared" si="1"/>
        <v>190.76073226544622</v>
      </c>
      <c r="F185" s="4">
        <f t="shared" si="1"/>
        <v>155.50760640732264</v>
      </c>
      <c r="G185" s="4">
        <f t="shared" si="1"/>
        <v>0.73043478260869565</v>
      </c>
      <c r="H185" s="4">
        <f t="shared" si="1"/>
        <v>270.89704347826091</v>
      </c>
      <c r="I185" s="4">
        <f t="shared" si="1"/>
        <v>1297.7723569794048</v>
      </c>
      <c r="J185" s="4">
        <f t="shared" si="1"/>
        <v>495.6262974828374</v>
      </c>
      <c r="K185" s="4">
        <f t="shared" si="1"/>
        <v>6.6212173913043468</v>
      </c>
      <c r="L185" s="4">
        <f t="shared" si="1"/>
        <v>407.9412265446224</v>
      </c>
      <c r="M185" s="4">
        <f t="shared" si="1"/>
        <v>127.38553775743708</v>
      </c>
      <c r="N185" s="4">
        <f t="shared" si="1"/>
        <v>78.459130434782622</v>
      </c>
      <c r="O185" s="4">
        <f t="shared" si="1"/>
        <v>20.869565217391305</v>
      </c>
      <c r="P185" s="4">
        <f t="shared" si="1"/>
        <v>129.77391304347825</v>
      </c>
      <c r="Q185" s="4">
        <f t="shared" si="1"/>
        <v>80.4761565583524</v>
      </c>
      <c r="R185" s="4" t="e">
        <f t="shared" si="1"/>
        <v>#DIV/0!</v>
      </c>
      <c r="S185" s="4" t="e">
        <f t="shared" si="1"/>
        <v>#DIV/0!</v>
      </c>
      <c r="T185" s="4" t="e">
        <f t="shared" si="1"/>
        <v>#DIV/0!</v>
      </c>
      <c r="U185" s="4" t="e">
        <f t="shared" si="1"/>
        <v>#DIV/0!</v>
      </c>
      <c r="V185" s="4" t="e">
        <f t="shared" si="1"/>
        <v>#DIV/0!</v>
      </c>
      <c r="W185" s="4" t="e">
        <f t="shared" si="1"/>
        <v>#DIV/0!</v>
      </c>
      <c r="X185" s="4" t="e">
        <f t="shared" si="1"/>
        <v>#DIV/0!</v>
      </c>
    </row>
    <row r="186" spans="1:24" ht="29.15">
      <c r="B186" s="5" t="s">
        <v>569</v>
      </c>
      <c r="C186" s="5" t="str">
        <f t="shared" ref="C186" si="2">(ROUND((MIN(C5:C99)+MIN(C103:C117)+MIN(C121:C122)+MIN(C126:C127)+MIN(C131:C153)+MIN(C157:C179)),0)&amp;" - "&amp;ROUND((MAX(C5:C99)+MAX(C103:C117)+MAX(C121:C122)+MAX(C126:C127)+MAX(C131:C153)+MAX(C157:C179)),0))</f>
        <v>3032 - 4454</v>
      </c>
      <c r="D186" s="5" t="str">
        <f t="shared" ref="D186:X186" si="3">(ROUND((MIN(D5:D99)+MIN(D103:D117)+MIN(D121:D122)+MIN(D126:D127)+MIN(D131:D153)+MIN(D157:D179)),0)&amp;" - "&amp;ROUND((MAX(D5:D99)+MAX(D103:D117)+MAX(D121:D122)+MAX(D126:D127)+MAX(D131:D153)+MAX(D157:D179)),0))</f>
        <v>1351 - 2472</v>
      </c>
      <c r="E186" s="5" t="str">
        <f t="shared" si="3"/>
        <v>150 - 279</v>
      </c>
      <c r="F186" s="5" t="str">
        <f t="shared" si="3"/>
        <v>132 - 187</v>
      </c>
      <c r="G186" s="5" t="str">
        <f t="shared" si="3"/>
        <v>0 - 2</v>
      </c>
      <c r="H186" s="5" t="str">
        <f t="shared" si="3"/>
        <v>235 - 307</v>
      </c>
      <c r="I186" s="5" t="str">
        <f t="shared" si="3"/>
        <v>763 - 2216</v>
      </c>
      <c r="J186" s="5" t="str">
        <f t="shared" si="3"/>
        <v>374 - 625</v>
      </c>
      <c r="K186" s="5" t="str">
        <f t="shared" si="3"/>
        <v>0 - 20</v>
      </c>
      <c r="L186" s="5" t="str">
        <f t="shared" si="3"/>
        <v>232 - 562</v>
      </c>
      <c r="M186" s="5" t="str">
        <f t="shared" si="3"/>
        <v>21 - 232</v>
      </c>
      <c r="N186" s="5" t="str">
        <f t="shared" si="3"/>
        <v>53 - 429</v>
      </c>
      <c r="O186" s="5" t="str">
        <f t="shared" si="3"/>
        <v>0 - 240</v>
      </c>
      <c r="P186" s="5" t="str">
        <f t="shared" si="3"/>
        <v>82 - 465</v>
      </c>
      <c r="Q186" s="5" t="str">
        <f t="shared" si="3"/>
        <v>12 - 429</v>
      </c>
      <c r="R186" s="5" t="str">
        <f t="shared" si="3"/>
        <v>0 - 0</v>
      </c>
      <c r="S186" s="5" t="str">
        <f t="shared" si="3"/>
        <v>0 - 0</v>
      </c>
      <c r="T186" s="5" t="str">
        <f t="shared" si="3"/>
        <v>0 - 0</v>
      </c>
      <c r="U186" s="5" t="str">
        <f t="shared" si="3"/>
        <v>0 - 492</v>
      </c>
      <c r="V186" s="5" t="str">
        <f t="shared" si="3"/>
        <v>0 - 0</v>
      </c>
      <c r="W186" s="5" t="str">
        <f t="shared" si="3"/>
        <v>0 - 0</v>
      </c>
      <c r="X186" s="5" t="str">
        <f t="shared" si="3"/>
        <v>0 - 480</v>
      </c>
    </row>
  </sheetData>
  <mergeCells count="18">
    <mergeCell ref="B181:X183"/>
    <mergeCell ref="A126:A127"/>
    <mergeCell ref="A131:A153"/>
    <mergeCell ref="A157:A179"/>
    <mergeCell ref="A121:A122"/>
    <mergeCell ref="A103:A117"/>
    <mergeCell ref="A119:X119"/>
    <mergeCell ref="A124:X124"/>
    <mergeCell ref="A129:X129"/>
    <mergeCell ref="A155:X155"/>
    <mergeCell ref="A1:X1"/>
    <mergeCell ref="A2:X2"/>
    <mergeCell ref="A3:X3"/>
    <mergeCell ref="A101:X101"/>
    <mergeCell ref="A5:A54"/>
    <mergeCell ref="A55:A66"/>
    <mergeCell ref="A67:A93"/>
    <mergeCell ref="A94:A99"/>
  </mergeCells>
  <pageMargins left="0.7" right="0.7" top="0.75" bottom="0.75" header="0.3" footer="0.3"/>
  <pageSetup scale="45" fitToHeight="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51F80-84B8-45B1-A8C6-117BECF74F1C}">
  <sheetPr>
    <tabColor rgb="FF00B050"/>
  </sheetPr>
  <dimension ref="A1"/>
  <sheetViews>
    <sheetView workbookViewId="0"/>
    <sheetView workbookViewId="1"/>
    <sheetView workbookViewId="2"/>
  </sheetViews>
  <sheetFormatPr defaultRowHeight="12.45"/>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V145"/>
  <sheetViews>
    <sheetView topLeftCell="A34" zoomScaleNormal="100" workbookViewId="0">
      <selection activeCell="B74" sqref="B74"/>
    </sheetView>
    <sheetView workbookViewId="1">
      <selection sqref="A1:V1"/>
    </sheetView>
    <sheetView workbookViewId="2">
      <selection sqref="A1:V1"/>
    </sheetView>
  </sheetViews>
  <sheetFormatPr defaultColWidth="8.84375" defaultRowHeight="15.9"/>
  <cols>
    <col min="1" max="1" width="6.53515625" style="179" customWidth="1"/>
    <col min="2" max="2" width="42.84375" style="179" customWidth="1"/>
    <col min="3" max="3" width="10" style="179" bestFit="1" customWidth="1"/>
    <col min="4" max="4" width="10.53515625" style="179" customWidth="1"/>
    <col min="5" max="5" width="8.53515625" style="179" customWidth="1"/>
    <col min="6" max="6" width="11.53515625" style="179" customWidth="1"/>
    <col min="7" max="7" width="8.53515625" style="179" customWidth="1"/>
    <col min="8" max="8" width="13" style="179" customWidth="1"/>
    <col min="9" max="9" width="9" style="179" customWidth="1"/>
    <col min="10" max="10" width="16.84375" style="179" customWidth="1"/>
    <col min="11" max="11" width="9" style="179" customWidth="1"/>
    <col min="12" max="12" width="7.84375" style="179" customWidth="1"/>
    <col min="13" max="13" width="9" style="179" customWidth="1"/>
    <col min="14" max="16" width="11.53515625" style="179" customWidth="1"/>
    <col min="17" max="17" width="9" style="179" customWidth="1"/>
    <col min="18" max="18" width="8.53515625" style="179" customWidth="1"/>
    <col min="19" max="16384" width="8.84375" style="179"/>
  </cols>
  <sheetData>
    <row r="1" spans="1:22" ht="15" customHeight="1">
      <c r="A1" s="1214" t="s">
        <v>570</v>
      </c>
      <c r="B1" s="1215"/>
      <c r="C1" s="1215"/>
      <c r="D1" s="1215"/>
      <c r="E1" s="1215"/>
      <c r="F1" s="1215"/>
      <c r="G1" s="1215"/>
      <c r="H1" s="1215"/>
      <c r="I1" s="1215"/>
      <c r="J1" s="1215"/>
      <c r="K1" s="1215"/>
      <c r="L1" s="1215"/>
      <c r="M1" s="1215"/>
      <c r="N1" s="1215"/>
      <c r="O1" s="1215"/>
      <c r="P1" s="1215"/>
      <c r="Q1" s="1215"/>
      <c r="R1" s="1215"/>
      <c r="S1" s="1215"/>
      <c r="T1" s="1215"/>
      <c r="U1" s="1215"/>
      <c r="V1" s="1215"/>
    </row>
    <row r="2" spans="1:22" ht="18" customHeight="1" thickBot="1">
      <c r="A2" s="1209" t="s">
        <v>571</v>
      </c>
      <c r="B2" s="1210"/>
      <c r="C2" s="1210"/>
      <c r="D2" s="1210"/>
      <c r="E2" s="1210"/>
      <c r="F2" s="1210"/>
      <c r="G2" s="1210"/>
      <c r="H2" s="1210"/>
      <c r="I2" s="1210"/>
      <c r="J2" s="1210"/>
      <c r="K2" s="1210"/>
      <c r="L2" s="1210"/>
      <c r="M2" s="1210"/>
      <c r="N2" s="1210"/>
      <c r="O2" s="1210"/>
      <c r="P2" s="1210"/>
      <c r="Q2" s="1210"/>
      <c r="R2" s="1210"/>
      <c r="S2" s="1210"/>
      <c r="T2" s="1210"/>
      <c r="U2" s="1210"/>
      <c r="V2" s="1210"/>
    </row>
    <row r="3" spans="1:22" s="223" customFormat="1" ht="15" customHeight="1">
      <c r="A3" s="1341"/>
      <c r="B3" s="1343" t="s">
        <v>3</v>
      </c>
      <c r="C3" s="1335" t="s">
        <v>4</v>
      </c>
      <c r="D3" s="1335" t="s">
        <v>5</v>
      </c>
      <c r="E3" s="1335" t="s">
        <v>6</v>
      </c>
      <c r="F3" s="1335" t="s">
        <v>7</v>
      </c>
      <c r="G3" s="1335" t="s">
        <v>8</v>
      </c>
      <c r="H3" s="1335" t="s">
        <v>9</v>
      </c>
      <c r="I3" s="1335" t="s">
        <v>10</v>
      </c>
      <c r="J3" s="1335" t="s">
        <v>11</v>
      </c>
      <c r="K3" s="1335" t="s">
        <v>12</v>
      </c>
      <c r="L3" s="1335" t="s">
        <v>13</v>
      </c>
      <c r="M3" s="1335" t="s">
        <v>14</v>
      </c>
      <c r="N3" s="1335" t="s">
        <v>15</v>
      </c>
      <c r="O3" s="1333" t="s">
        <v>16</v>
      </c>
      <c r="P3" s="1333" t="s">
        <v>17</v>
      </c>
      <c r="Q3" s="1333" t="s">
        <v>18</v>
      </c>
      <c r="R3" s="1333" t="s">
        <v>19</v>
      </c>
      <c r="S3" s="1333" t="s">
        <v>20</v>
      </c>
      <c r="T3" s="1333" t="s">
        <v>21</v>
      </c>
      <c r="U3" s="1333" t="s">
        <v>22</v>
      </c>
      <c r="V3" s="1333" t="s">
        <v>23</v>
      </c>
    </row>
    <row r="4" spans="1:22" ht="16.3" thickBot="1">
      <c r="A4" s="1342"/>
      <c r="B4" s="1344"/>
      <c r="C4" s="1336"/>
      <c r="D4" s="1336"/>
      <c r="E4" s="1336"/>
      <c r="F4" s="1336"/>
      <c r="G4" s="1336"/>
      <c r="H4" s="1336"/>
      <c r="I4" s="1336"/>
      <c r="J4" s="1336"/>
      <c r="K4" s="1336"/>
      <c r="L4" s="1336"/>
      <c r="M4" s="1336"/>
      <c r="N4" s="1336"/>
      <c r="O4" s="1334"/>
      <c r="P4" s="1334"/>
      <c r="Q4" s="1334"/>
      <c r="R4" s="1334"/>
      <c r="S4" s="1334"/>
      <c r="T4" s="1334"/>
      <c r="U4" s="1334"/>
      <c r="V4" s="1334"/>
    </row>
    <row r="5" spans="1:22" ht="15" customHeight="1">
      <c r="A5" s="1337" t="s">
        <v>572</v>
      </c>
      <c r="B5" s="236" t="s">
        <v>573</v>
      </c>
      <c r="C5" s="237">
        <v>220</v>
      </c>
      <c r="D5" s="237">
        <v>100</v>
      </c>
      <c r="E5" s="237">
        <v>11</v>
      </c>
      <c r="F5" s="237">
        <v>7</v>
      </c>
      <c r="G5" s="237">
        <v>0</v>
      </c>
      <c r="H5" s="237">
        <v>70</v>
      </c>
      <c r="I5" s="237">
        <v>115</v>
      </c>
      <c r="J5" s="237">
        <v>25</v>
      </c>
      <c r="K5" s="237">
        <v>0</v>
      </c>
      <c r="L5" s="237">
        <v>23</v>
      </c>
      <c r="M5" s="237">
        <v>17</v>
      </c>
      <c r="N5" s="237">
        <v>5</v>
      </c>
      <c r="O5" s="237">
        <v>0</v>
      </c>
      <c r="P5" s="237">
        <v>0</v>
      </c>
      <c r="Q5" s="237">
        <v>147.41800000000001</v>
      </c>
      <c r="R5" s="237">
        <v>15</v>
      </c>
      <c r="S5" s="237">
        <v>1.2246999999999999</v>
      </c>
      <c r="T5" s="237">
        <v>6</v>
      </c>
      <c r="U5" s="237">
        <v>290</v>
      </c>
      <c r="V5" s="238">
        <v>8</v>
      </c>
    </row>
    <row r="6" spans="1:22">
      <c r="A6" s="1338"/>
      <c r="B6" s="186" t="s">
        <v>574</v>
      </c>
      <c r="C6" s="195">
        <v>230</v>
      </c>
      <c r="D6" s="195">
        <v>110</v>
      </c>
      <c r="E6" s="195">
        <v>12</v>
      </c>
      <c r="F6" s="195">
        <v>8</v>
      </c>
      <c r="G6" s="195">
        <v>0</v>
      </c>
      <c r="H6" s="195">
        <v>85</v>
      </c>
      <c r="I6" s="195">
        <v>140</v>
      </c>
      <c r="J6" s="195">
        <v>25</v>
      </c>
      <c r="K6" s="195">
        <v>0</v>
      </c>
      <c r="L6" s="195">
        <v>22</v>
      </c>
      <c r="M6" s="195">
        <v>16</v>
      </c>
      <c r="N6" s="195">
        <v>5</v>
      </c>
      <c r="O6" s="195">
        <v>0</v>
      </c>
      <c r="P6" s="195">
        <v>0</v>
      </c>
      <c r="Q6" s="195">
        <v>158.75700000000001</v>
      </c>
      <c r="R6" s="195">
        <v>15</v>
      </c>
      <c r="S6" s="195">
        <v>0</v>
      </c>
      <c r="T6" s="195">
        <v>0</v>
      </c>
      <c r="U6" s="195">
        <v>220</v>
      </c>
      <c r="V6" s="239">
        <v>6</v>
      </c>
    </row>
    <row r="7" spans="1:22">
      <c r="A7" s="1338"/>
      <c r="B7" s="186" t="s">
        <v>131</v>
      </c>
      <c r="C7" s="195">
        <v>230</v>
      </c>
      <c r="D7" s="195">
        <v>110</v>
      </c>
      <c r="E7" s="195">
        <v>12</v>
      </c>
      <c r="F7" s="195">
        <v>8</v>
      </c>
      <c r="G7" s="195">
        <v>0</v>
      </c>
      <c r="H7" s="195">
        <v>80</v>
      </c>
      <c r="I7" s="195">
        <v>140</v>
      </c>
      <c r="J7" s="195">
        <v>26</v>
      </c>
      <c r="K7" s="195">
        <v>0</v>
      </c>
      <c r="L7" s="195">
        <v>23</v>
      </c>
      <c r="M7" s="195">
        <v>17</v>
      </c>
      <c r="N7" s="195">
        <v>4</v>
      </c>
      <c r="O7" s="195">
        <v>0</v>
      </c>
      <c r="P7" s="195">
        <v>0</v>
      </c>
      <c r="Q7" s="195">
        <v>152.68199999999999</v>
      </c>
      <c r="R7" s="195">
        <v>15</v>
      </c>
      <c r="S7" s="195">
        <v>8.7999999999999998E-5</v>
      </c>
      <c r="T7" s="195">
        <v>0</v>
      </c>
      <c r="U7" s="195">
        <v>210</v>
      </c>
      <c r="V7" s="239">
        <v>6</v>
      </c>
    </row>
    <row r="8" spans="1:22">
      <c r="A8" s="1338"/>
      <c r="B8" s="186" t="s">
        <v>356</v>
      </c>
      <c r="C8" s="195">
        <v>220</v>
      </c>
      <c r="D8" s="195">
        <v>110</v>
      </c>
      <c r="E8" s="195">
        <v>12</v>
      </c>
      <c r="F8" s="195">
        <v>8</v>
      </c>
      <c r="G8" s="195">
        <v>0</v>
      </c>
      <c r="H8" s="195">
        <v>85</v>
      </c>
      <c r="I8" s="195">
        <v>140</v>
      </c>
      <c r="J8" s="195">
        <v>25</v>
      </c>
      <c r="K8" s="195">
        <v>0</v>
      </c>
      <c r="L8" s="195">
        <v>21</v>
      </c>
      <c r="M8" s="195">
        <v>16</v>
      </c>
      <c r="N8" s="195">
        <v>4</v>
      </c>
      <c r="O8" s="195">
        <v>0</v>
      </c>
      <c r="P8" s="195">
        <v>0</v>
      </c>
      <c r="Q8" s="195">
        <v>155.411</v>
      </c>
      <c r="R8" s="195">
        <v>15</v>
      </c>
      <c r="S8" s="195">
        <v>2.3349999999999998E-3</v>
      </c>
      <c r="T8" s="195">
        <v>0</v>
      </c>
      <c r="U8" s="195">
        <v>210</v>
      </c>
      <c r="V8" s="239">
        <v>6</v>
      </c>
    </row>
    <row r="9" spans="1:22">
      <c r="A9" s="1338"/>
      <c r="B9" s="186" t="s">
        <v>404</v>
      </c>
      <c r="C9" s="195">
        <v>230</v>
      </c>
      <c r="D9" s="195">
        <v>110</v>
      </c>
      <c r="E9" s="195">
        <v>12</v>
      </c>
      <c r="F9" s="195">
        <v>8</v>
      </c>
      <c r="G9" s="195">
        <v>0</v>
      </c>
      <c r="H9" s="195">
        <v>85</v>
      </c>
      <c r="I9" s="195">
        <v>140</v>
      </c>
      <c r="J9" s="195">
        <v>25</v>
      </c>
      <c r="K9" s="195">
        <v>0</v>
      </c>
      <c r="L9" s="195">
        <v>22</v>
      </c>
      <c r="M9" s="195">
        <v>16</v>
      </c>
      <c r="N9" s="195">
        <v>4</v>
      </c>
      <c r="O9" s="195">
        <v>0</v>
      </c>
      <c r="P9" s="195">
        <v>0</v>
      </c>
      <c r="Q9" s="195">
        <v>156.42599999999999</v>
      </c>
      <c r="R9" s="195">
        <v>15</v>
      </c>
      <c r="S9" s="195">
        <v>1.0319999999999999E-3</v>
      </c>
      <c r="T9" s="195">
        <v>0</v>
      </c>
      <c r="U9" s="195">
        <v>210</v>
      </c>
      <c r="V9" s="239">
        <v>6</v>
      </c>
    </row>
    <row r="10" spans="1:22">
      <c r="A10" s="1338"/>
      <c r="B10" s="186" t="s">
        <v>134</v>
      </c>
      <c r="C10" s="195">
        <v>230</v>
      </c>
      <c r="D10" s="195">
        <v>100</v>
      </c>
      <c r="E10" s="195">
        <v>11</v>
      </c>
      <c r="F10" s="195">
        <v>7</v>
      </c>
      <c r="G10" s="195">
        <v>0</v>
      </c>
      <c r="H10" s="195">
        <v>75</v>
      </c>
      <c r="I10" s="195">
        <v>130</v>
      </c>
      <c r="J10" s="195">
        <v>29</v>
      </c>
      <c r="K10" s="195">
        <v>0</v>
      </c>
      <c r="L10" s="195">
        <v>26</v>
      </c>
      <c r="M10" s="195">
        <v>20</v>
      </c>
      <c r="N10" s="195">
        <v>4</v>
      </c>
      <c r="O10" s="195">
        <v>0</v>
      </c>
      <c r="P10" s="195">
        <v>0</v>
      </c>
      <c r="Q10" s="195">
        <v>144</v>
      </c>
      <c r="R10" s="195">
        <v>10</v>
      </c>
      <c r="S10" s="195">
        <v>0</v>
      </c>
      <c r="T10" s="195">
        <v>0</v>
      </c>
      <c r="U10" s="195">
        <v>195</v>
      </c>
      <c r="V10" s="239">
        <v>4</v>
      </c>
    </row>
    <row r="11" spans="1:22">
      <c r="A11" s="1338"/>
      <c r="B11" s="186" t="s">
        <v>98</v>
      </c>
      <c r="C11" s="195">
        <v>230</v>
      </c>
      <c r="D11" s="195">
        <v>100</v>
      </c>
      <c r="E11" s="195">
        <v>12</v>
      </c>
      <c r="F11" s="195">
        <v>7</v>
      </c>
      <c r="G11" s="195">
        <v>0</v>
      </c>
      <c r="H11" s="195">
        <v>80</v>
      </c>
      <c r="I11" s="195">
        <v>135</v>
      </c>
      <c r="J11" s="195">
        <v>28</v>
      </c>
      <c r="K11" s="195">
        <v>0</v>
      </c>
      <c r="L11" s="195">
        <v>25</v>
      </c>
      <c r="M11" s="195">
        <v>20</v>
      </c>
      <c r="N11" s="195">
        <v>4</v>
      </c>
      <c r="O11" s="195">
        <v>0</v>
      </c>
      <c r="P11" s="195">
        <v>0</v>
      </c>
      <c r="Q11" s="195">
        <v>148.15100000000001</v>
      </c>
      <c r="R11" s="195">
        <v>15</v>
      </c>
      <c r="S11" s="195">
        <v>1.5300000000000001E-4</v>
      </c>
      <c r="T11" s="195">
        <v>0</v>
      </c>
      <c r="U11" s="195">
        <v>200</v>
      </c>
      <c r="V11" s="239">
        <v>6</v>
      </c>
    </row>
    <row r="12" spans="1:22">
      <c r="A12" s="1338"/>
      <c r="B12" s="186" t="s">
        <v>136</v>
      </c>
      <c r="C12" s="195">
        <v>230</v>
      </c>
      <c r="D12" s="195">
        <v>110</v>
      </c>
      <c r="E12" s="195">
        <v>12</v>
      </c>
      <c r="F12" s="195">
        <v>8</v>
      </c>
      <c r="G12" s="195">
        <v>0</v>
      </c>
      <c r="H12" s="195">
        <v>85</v>
      </c>
      <c r="I12" s="195">
        <v>150</v>
      </c>
      <c r="J12" s="195">
        <v>25</v>
      </c>
      <c r="K12" s="195">
        <v>0</v>
      </c>
      <c r="L12" s="195">
        <v>21</v>
      </c>
      <c r="M12" s="195">
        <v>16</v>
      </c>
      <c r="N12" s="195">
        <v>5</v>
      </c>
      <c r="O12" s="195">
        <v>0</v>
      </c>
      <c r="P12" s="195">
        <v>0</v>
      </c>
      <c r="Q12" s="195">
        <v>157.46100000000001</v>
      </c>
      <c r="R12" s="195">
        <v>15</v>
      </c>
      <c r="S12" s="195">
        <v>2.2008E-2</v>
      </c>
      <c r="T12" s="195">
        <v>0</v>
      </c>
      <c r="U12" s="195">
        <v>210</v>
      </c>
      <c r="V12" s="239">
        <v>6</v>
      </c>
    </row>
    <row r="13" spans="1:22">
      <c r="A13" s="1338"/>
      <c r="B13" s="186" t="s">
        <v>36</v>
      </c>
      <c r="C13" s="195">
        <v>230</v>
      </c>
      <c r="D13" s="195">
        <v>110</v>
      </c>
      <c r="E13" s="195">
        <v>12</v>
      </c>
      <c r="F13" s="195">
        <v>8</v>
      </c>
      <c r="G13" s="195">
        <v>0</v>
      </c>
      <c r="H13" s="195">
        <v>80</v>
      </c>
      <c r="I13" s="195">
        <v>135</v>
      </c>
      <c r="J13" s="195">
        <v>27</v>
      </c>
      <c r="K13" s="195">
        <v>0</v>
      </c>
      <c r="L13" s="195">
        <v>23</v>
      </c>
      <c r="M13" s="195">
        <v>18</v>
      </c>
      <c r="N13" s="195">
        <v>4</v>
      </c>
      <c r="O13" s="195">
        <v>0</v>
      </c>
      <c r="P13" s="195">
        <v>0</v>
      </c>
      <c r="Q13" s="195">
        <v>153.08199999999999</v>
      </c>
      <c r="R13" s="195">
        <v>15</v>
      </c>
      <c r="S13" s="195">
        <v>3.1453000000000002E-2</v>
      </c>
      <c r="T13" s="195">
        <v>0</v>
      </c>
      <c r="U13" s="195">
        <v>210</v>
      </c>
      <c r="V13" s="239">
        <v>6</v>
      </c>
    </row>
    <row r="14" spans="1:22">
      <c r="A14" s="1338"/>
      <c r="B14" s="186" t="s">
        <v>374</v>
      </c>
      <c r="C14" s="195">
        <v>230</v>
      </c>
      <c r="D14" s="195">
        <v>110</v>
      </c>
      <c r="E14" s="195">
        <v>12</v>
      </c>
      <c r="F14" s="195">
        <v>8</v>
      </c>
      <c r="G14" s="195">
        <v>0</v>
      </c>
      <c r="H14" s="195">
        <v>85</v>
      </c>
      <c r="I14" s="195">
        <v>140</v>
      </c>
      <c r="J14" s="195">
        <v>26</v>
      </c>
      <c r="K14" s="195">
        <v>0</v>
      </c>
      <c r="L14" s="195">
        <v>22</v>
      </c>
      <c r="M14" s="195">
        <v>17</v>
      </c>
      <c r="N14" s="195">
        <v>4</v>
      </c>
      <c r="O14" s="195">
        <v>0</v>
      </c>
      <c r="P14" s="195">
        <v>0</v>
      </c>
      <c r="Q14" s="195">
        <v>155.11099999999999</v>
      </c>
      <c r="R14" s="195">
        <v>15</v>
      </c>
      <c r="S14" s="195">
        <v>5.1999999999999997E-5</v>
      </c>
      <c r="T14" s="195">
        <v>0</v>
      </c>
      <c r="U14" s="195">
        <v>210</v>
      </c>
      <c r="V14" s="239">
        <v>6</v>
      </c>
    </row>
    <row r="15" spans="1:22">
      <c r="A15" s="1338"/>
      <c r="B15" s="186" t="s">
        <v>137</v>
      </c>
      <c r="C15" s="195">
        <v>220</v>
      </c>
      <c r="D15" s="195">
        <v>110</v>
      </c>
      <c r="E15" s="195">
        <v>12</v>
      </c>
      <c r="F15" s="195">
        <v>8</v>
      </c>
      <c r="G15" s="195">
        <v>0</v>
      </c>
      <c r="H15" s="195">
        <v>85</v>
      </c>
      <c r="I15" s="195">
        <v>140</v>
      </c>
      <c r="J15" s="195">
        <v>25</v>
      </c>
      <c r="K15" s="195">
        <v>0</v>
      </c>
      <c r="L15" s="195">
        <v>21</v>
      </c>
      <c r="M15" s="195">
        <v>16</v>
      </c>
      <c r="N15" s="195">
        <v>4</v>
      </c>
      <c r="O15" s="195">
        <v>0</v>
      </c>
      <c r="P15" s="195">
        <v>0</v>
      </c>
      <c r="Q15" s="195">
        <v>156.28200000000001</v>
      </c>
      <c r="R15" s="195">
        <v>15</v>
      </c>
      <c r="S15" s="195">
        <v>7.3800000000000005E-4</v>
      </c>
      <c r="T15" s="195">
        <v>0</v>
      </c>
      <c r="U15" s="195">
        <v>210</v>
      </c>
      <c r="V15" s="239">
        <v>6</v>
      </c>
    </row>
    <row r="16" spans="1:22">
      <c r="A16" s="1338"/>
      <c r="B16" s="186" t="s">
        <v>416</v>
      </c>
      <c r="C16" s="195">
        <v>230</v>
      </c>
      <c r="D16" s="195">
        <v>110</v>
      </c>
      <c r="E16" s="195">
        <v>12</v>
      </c>
      <c r="F16" s="195">
        <v>8</v>
      </c>
      <c r="G16" s="195">
        <v>0</v>
      </c>
      <c r="H16" s="195">
        <v>85</v>
      </c>
      <c r="I16" s="195">
        <v>140</v>
      </c>
      <c r="J16" s="195">
        <v>26</v>
      </c>
      <c r="K16" s="195">
        <v>0</v>
      </c>
      <c r="L16" s="195">
        <v>22</v>
      </c>
      <c r="M16" s="195">
        <v>17</v>
      </c>
      <c r="N16" s="195">
        <v>4</v>
      </c>
      <c r="O16" s="195">
        <v>0</v>
      </c>
      <c r="P16" s="195">
        <v>0</v>
      </c>
      <c r="Q16" s="195">
        <v>155.42099999999999</v>
      </c>
      <c r="R16" s="195">
        <v>15</v>
      </c>
      <c r="S16" s="195">
        <v>1.39E-3</v>
      </c>
      <c r="T16" s="195">
        <v>0</v>
      </c>
      <c r="U16" s="195">
        <v>210</v>
      </c>
      <c r="V16" s="239">
        <v>6</v>
      </c>
    </row>
    <row r="17" spans="1:22">
      <c r="A17" s="1338"/>
      <c r="B17" s="186" t="s">
        <v>417</v>
      </c>
      <c r="C17" s="195">
        <v>230</v>
      </c>
      <c r="D17" s="195">
        <v>110</v>
      </c>
      <c r="E17" s="195">
        <v>12</v>
      </c>
      <c r="F17" s="195">
        <v>8</v>
      </c>
      <c r="G17" s="195">
        <v>0</v>
      </c>
      <c r="H17" s="195">
        <v>85</v>
      </c>
      <c r="I17" s="195">
        <v>140</v>
      </c>
      <c r="J17" s="195">
        <v>26</v>
      </c>
      <c r="K17" s="195">
        <v>0</v>
      </c>
      <c r="L17" s="195">
        <v>22</v>
      </c>
      <c r="M17" s="195">
        <v>16</v>
      </c>
      <c r="N17" s="195">
        <v>4</v>
      </c>
      <c r="O17" s="195">
        <v>0</v>
      </c>
      <c r="P17" s="195">
        <v>0</v>
      </c>
      <c r="Q17" s="195">
        <v>156.6</v>
      </c>
      <c r="R17" s="195">
        <v>15</v>
      </c>
      <c r="S17" s="195">
        <v>3.1000000000000001E-5</v>
      </c>
      <c r="T17" s="195">
        <v>0</v>
      </c>
      <c r="U17" s="195">
        <v>210</v>
      </c>
      <c r="V17" s="239">
        <v>6</v>
      </c>
    </row>
    <row r="18" spans="1:22">
      <c r="A18" s="1338"/>
      <c r="B18" s="186" t="s">
        <v>418</v>
      </c>
      <c r="C18" s="195">
        <v>230</v>
      </c>
      <c r="D18" s="195">
        <v>110</v>
      </c>
      <c r="E18" s="195">
        <v>12</v>
      </c>
      <c r="F18" s="195">
        <v>8</v>
      </c>
      <c r="G18" s="195">
        <v>0</v>
      </c>
      <c r="H18" s="195">
        <v>80</v>
      </c>
      <c r="I18" s="195">
        <v>140</v>
      </c>
      <c r="J18" s="195">
        <v>27</v>
      </c>
      <c r="K18" s="195">
        <v>0</v>
      </c>
      <c r="L18" s="195">
        <v>23</v>
      </c>
      <c r="M18" s="195">
        <v>18</v>
      </c>
      <c r="N18" s="195">
        <v>4</v>
      </c>
      <c r="O18" s="195">
        <v>0</v>
      </c>
      <c r="P18" s="195">
        <v>0</v>
      </c>
      <c r="Q18" s="195">
        <v>153.642</v>
      </c>
      <c r="R18" s="195">
        <v>15</v>
      </c>
      <c r="S18" s="195">
        <v>4.2300000000000003E-3</v>
      </c>
      <c r="T18" s="195">
        <v>0</v>
      </c>
      <c r="U18" s="195">
        <v>210</v>
      </c>
      <c r="V18" s="239">
        <v>6</v>
      </c>
    </row>
    <row r="19" spans="1:22">
      <c r="A19" s="1338"/>
      <c r="B19" s="186" t="s">
        <v>360</v>
      </c>
      <c r="C19" s="195">
        <v>230</v>
      </c>
      <c r="D19" s="195">
        <v>110</v>
      </c>
      <c r="E19" s="195">
        <v>12</v>
      </c>
      <c r="F19" s="195">
        <v>8</v>
      </c>
      <c r="G19" s="195">
        <v>0</v>
      </c>
      <c r="H19" s="195">
        <v>85</v>
      </c>
      <c r="I19" s="195">
        <v>140</v>
      </c>
      <c r="J19" s="195">
        <v>26</v>
      </c>
      <c r="K19" s="195">
        <v>0</v>
      </c>
      <c r="L19" s="195">
        <v>22</v>
      </c>
      <c r="M19" s="195">
        <v>16</v>
      </c>
      <c r="N19" s="195">
        <v>4</v>
      </c>
      <c r="O19" s="195">
        <v>0</v>
      </c>
      <c r="P19" s="195">
        <v>0</v>
      </c>
      <c r="Q19" s="195">
        <v>156.35</v>
      </c>
      <c r="R19" s="195">
        <v>15</v>
      </c>
      <c r="S19" s="195">
        <v>4.0549999999999996E-3</v>
      </c>
      <c r="T19" s="195">
        <v>0</v>
      </c>
      <c r="U19" s="195">
        <v>210</v>
      </c>
      <c r="V19" s="239">
        <v>6</v>
      </c>
    </row>
    <row r="20" spans="1:22">
      <c r="A20" s="1338"/>
      <c r="B20" s="186" t="s">
        <v>66</v>
      </c>
      <c r="C20" s="195">
        <v>230</v>
      </c>
      <c r="D20" s="195">
        <v>110</v>
      </c>
      <c r="E20" s="195">
        <v>12</v>
      </c>
      <c r="F20" s="195">
        <v>8</v>
      </c>
      <c r="G20" s="195">
        <v>0</v>
      </c>
      <c r="H20" s="195">
        <v>85</v>
      </c>
      <c r="I20" s="195">
        <v>140</v>
      </c>
      <c r="J20" s="195">
        <v>26</v>
      </c>
      <c r="K20" s="195">
        <v>0</v>
      </c>
      <c r="L20" s="195">
        <v>23</v>
      </c>
      <c r="M20" s="195">
        <v>17</v>
      </c>
      <c r="N20" s="195">
        <v>4</v>
      </c>
      <c r="O20" s="195">
        <v>0</v>
      </c>
      <c r="P20" s="195">
        <v>0</v>
      </c>
      <c r="Q20" s="195">
        <v>155.05600000000001</v>
      </c>
      <c r="R20" s="195">
        <v>15</v>
      </c>
      <c r="S20" s="195">
        <v>8.0000000000000007E-5</v>
      </c>
      <c r="T20" s="195">
        <v>0</v>
      </c>
      <c r="U20" s="195">
        <v>210</v>
      </c>
      <c r="V20" s="239">
        <v>6</v>
      </c>
    </row>
    <row r="21" spans="1:22" ht="15" customHeight="1">
      <c r="A21" s="1339" t="s">
        <v>575</v>
      </c>
      <c r="B21" s="186" t="s">
        <v>573</v>
      </c>
      <c r="C21" s="195">
        <v>310</v>
      </c>
      <c r="D21" s="195">
        <v>150</v>
      </c>
      <c r="E21" s="195">
        <v>16</v>
      </c>
      <c r="F21" s="195">
        <v>10</v>
      </c>
      <c r="G21" s="195">
        <v>0</v>
      </c>
      <c r="H21" s="195">
        <v>100</v>
      </c>
      <c r="I21" s="195">
        <v>160</v>
      </c>
      <c r="J21" s="195">
        <v>36</v>
      </c>
      <c r="K21" s="195">
        <v>0</v>
      </c>
      <c r="L21" s="195">
        <v>33</v>
      </c>
      <c r="M21" s="195">
        <v>24</v>
      </c>
      <c r="N21" s="195">
        <v>7</v>
      </c>
      <c r="O21" s="195">
        <v>0</v>
      </c>
      <c r="P21" s="195">
        <v>0</v>
      </c>
      <c r="Q21" s="195">
        <v>211.91300000000001</v>
      </c>
      <c r="R21" s="195">
        <v>20</v>
      </c>
      <c r="S21" s="195">
        <v>1.76051</v>
      </c>
      <c r="T21" s="195">
        <v>10</v>
      </c>
      <c r="U21" s="195">
        <v>420</v>
      </c>
      <c r="V21" s="239">
        <v>12</v>
      </c>
    </row>
    <row r="22" spans="1:22">
      <c r="A22" s="1339"/>
      <c r="B22" s="186" t="s">
        <v>574</v>
      </c>
      <c r="C22" s="195">
        <v>330</v>
      </c>
      <c r="D22" s="195">
        <v>160</v>
      </c>
      <c r="E22" s="195">
        <v>18</v>
      </c>
      <c r="F22" s="195">
        <v>11</v>
      </c>
      <c r="G22" s="195">
        <v>0</v>
      </c>
      <c r="H22" s="195">
        <v>120</v>
      </c>
      <c r="I22" s="195">
        <v>200</v>
      </c>
      <c r="J22" s="195">
        <v>36</v>
      </c>
      <c r="K22" s="195">
        <v>0</v>
      </c>
      <c r="L22" s="195">
        <v>31</v>
      </c>
      <c r="M22" s="195">
        <v>23</v>
      </c>
      <c r="N22" s="195">
        <v>7</v>
      </c>
      <c r="O22" s="195">
        <v>0</v>
      </c>
      <c r="P22" s="195">
        <v>0</v>
      </c>
      <c r="Q22" s="195">
        <v>228.214</v>
      </c>
      <c r="R22" s="195">
        <v>25</v>
      </c>
      <c r="S22" s="195">
        <v>0</v>
      </c>
      <c r="T22" s="195">
        <v>0</v>
      </c>
      <c r="U22" s="195">
        <v>310</v>
      </c>
      <c r="V22" s="239">
        <v>9</v>
      </c>
    </row>
    <row r="23" spans="1:22">
      <c r="A23" s="1339"/>
      <c r="B23" s="186" t="s">
        <v>131</v>
      </c>
      <c r="C23" s="195">
        <v>330</v>
      </c>
      <c r="D23" s="195">
        <v>160</v>
      </c>
      <c r="E23" s="195">
        <v>17</v>
      </c>
      <c r="F23" s="195">
        <v>11</v>
      </c>
      <c r="G23" s="195">
        <v>0</v>
      </c>
      <c r="H23" s="195">
        <v>115</v>
      </c>
      <c r="I23" s="195">
        <v>200</v>
      </c>
      <c r="J23" s="195">
        <v>38</v>
      </c>
      <c r="K23" s="195">
        <v>0</v>
      </c>
      <c r="L23" s="195">
        <v>33</v>
      </c>
      <c r="M23" s="195">
        <v>25</v>
      </c>
      <c r="N23" s="195">
        <v>6</v>
      </c>
      <c r="O23" s="195">
        <v>0</v>
      </c>
      <c r="P23" s="195">
        <v>0</v>
      </c>
      <c r="Q23" s="195">
        <v>219.48099999999999</v>
      </c>
      <c r="R23" s="195">
        <v>20</v>
      </c>
      <c r="S23" s="195">
        <v>1.27E-4</v>
      </c>
      <c r="T23" s="195">
        <v>0</v>
      </c>
      <c r="U23" s="195">
        <v>300</v>
      </c>
      <c r="V23" s="239">
        <v>9</v>
      </c>
    </row>
    <row r="24" spans="1:22">
      <c r="A24" s="1339"/>
      <c r="B24" s="186" t="s">
        <v>356</v>
      </c>
      <c r="C24" s="195">
        <v>320</v>
      </c>
      <c r="D24" s="195">
        <v>160</v>
      </c>
      <c r="E24" s="195">
        <v>18</v>
      </c>
      <c r="F24" s="195">
        <v>11</v>
      </c>
      <c r="G24" s="195">
        <v>0</v>
      </c>
      <c r="H24" s="195">
        <v>120</v>
      </c>
      <c r="I24" s="195">
        <v>200</v>
      </c>
      <c r="J24" s="195">
        <v>36</v>
      </c>
      <c r="K24" s="195">
        <v>0</v>
      </c>
      <c r="L24" s="195">
        <v>30</v>
      </c>
      <c r="M24" s="195">
        <v>22</v>
      </c>
      <c r="N24" s="195">
        <v>6</v>
      </c>
      <c r="O24" s="195">
        <v>0</v>
      </c>
      <c r="P24" s="195">
        <v>0</v>
      </c>
      <c r="Q24" s="195">
        <v>223.40299999999999</v>
      </c>
      <c r="R24" s="195">
        <v>20</v>
      </c>
      <c r="S24" s="195">
        <v>3.3570000000000002E-3</v>
      </c>
      <c r="T24" s="195">
        <v>0</v>
      </c>
      <c r="U24" s="195">
        <v>300</v>
      </c>
      <c r="V24" s="239">
        <v>9</v>
      </c>
    </row>
    <row r="25" spans="1:22">
      <c r="A25" s="1339"/>
      <c r="B25" s="186" t="s">
        <v>404</v>
      </c>
      <c r="C25" s="195">
        <v>330</v>
      </c>
      <c r="D25" s="195">
        <v>160</v>
      </c>
      <c r="E25" s="195">
        <v>18</v>
      </c>
      <c r="F25" s="195">
        <v>11</v>
      </c>
      <c r="G25" s="195">
        <v>0</v>
      </c>
      <c r="H25" s="195">
        <v>120</v>
      </c>
      <c r="I25" s="195">
        <v>200</v>
      </c>
      <c r="J25" s="195">
        <v>36</v>
      </c>
      <c r="K25" s="195">
        <v>0</v>
      </c>
      <c r="L25" s="195">
        <v>31</v>
      </c>
      <c r="M25" s="195">
        <v>22</v>
      </c>
      <c r="N25" s="195">
        <v>6</v>
      </c>
      <c r="O25" s="195">
        <v>0</v>
      </c>
      <c r="P25" s="195">
        <v>0</v>
      </c>
      <c r="Q25" s="195">
        <v>224.86199999999999</v>
      </c>
      <c r="R25" s="195">
        <v>20</v>
      </c>
      <c r="S25" s="195">
        <v>1.4840000000000001E-3</v>
      </c>
      <c r="T25" s="195">
        <v>0</v>
      </c>
      <c r="U25" s="195">
        <v>310</v>
      </c>
      <c r="V25" s="239">
        <v>9</v>
      </c>
    </row>
    <row r="26" spans="1:22">
      <c r="A26" s="1339"/>
      <c r="B26" s="186" t="s">
        <v>134</v>
      </c>
      <c r="C26" s="195">
        <v>340</v>
      </c>
      <c r="D26" s="195">
        <v>150</v>
      </c>
      <c r="E26" s="195">
        <v>16</v>
      </c>
      <c r="F26" s="195">
        <v>10</v>
      </c>
      <c r="G26" s="195">
        <v>0</v>
      </c>
      <c r="H26" s="195">
        <v>110</v>
      </c>
      <c r="I26" s="195">
        <v>190</v>
      </c>
      <c r="J26" s="195">
        <v>42</v>
      </c>
      <c r="K26" s="195">
        <v>0</v>
      </c>
      <c r="L26" s="195">
        <v>37</v>
      </c>
      <c r="M26" s="195">
        <v>29</v>
      </c>
      <c r="N26" s="195">
        <v>6</v>
      </c>
      <c r="O26" s="195">
        <v>0</v>
      </c>
      <c r="P26" s="195">
        <v>0</v>
      </c>
      <c r="Q26" s="195">
        <v>206</v>
      </c>
      <c r="R26" s="195">
        <v>15</v>
      </c>
      <c r="S26" s="195">
        <v>0</v>
      </c>
      <c r="T26" s="195">
        <v>0</v>
      </c>
      <c r="U26" s="195">
        <v>280</v>
      </c>
      <c r="V26" s="239">
        <v>6</v>
      </c>
    </row>
    <row r="27" spans="1:22">
      <c r="A27" s="1339"/>
      <c r="B27" s="186" t="s">
        <v>98</v>
      </c>
      <c r="C27" s="195">
        <v>320</v>
      </c>
      <c r="D27" s="195">
        <v>160</v>
      </c>
      <c r="E27" s="195">
        <v>18</v>
      </c>
      <c r="F27" s="195">
        <v>11</v>
      </c>
      <c r="G27" s="195">
        <v>0</v>
      </c>
      <c r="H27" s="195">
        <v>120</v>
      </c>
      <c r="I27" s="195">
        <v>200</v>
      </c>
      <c r="J27" s="195">
        <v>36</v>
      </c>
      <c r="K27" s="195">
        <v>0</v>
      </c>
      <c r="L27" s="195">
        <v>30</v>
      </c>
      <c r="M27" s="195">
        <v>22</v>
      </c>
      <c r="N27" s="195">
        <v>6</v>
      </c>
      <c r="O27" s="195">
        <v>0</v>
      </c>
      <c r="P27" s="195">
        <v>0</v>
      </c>
      <c r="Q27" s="195">
        <v>223.40299999999999</v>
      </c>
      <c r="R27" s="195">
        <v>20</v>
      </c>
      <c r="S27" s="195">
        <v>3.3570000000000002E-3</v>
      </c>
      <c r="T27" s="195">
        <v>0</v>
      </c>
      <c r="U27" s="195">
        <v>300</v>
      </c>
      <c r="V27" s="239">
        <v>9</v>
      </c>
    </row>
    <row r="28" spans="1:22">
      <c r="A28" s="1339"/>
      <c r="B28" s="186" t="s">
        <v>136</v>
      </c>
      <c r="C28" s="195">
        <v>320</v>
      </c>
      <c r="D28" s="195">
        <v>160</v>
      </c>
      <c r="E28" s="195">
        <v>18</v>
      </c>
      <c r="F28" s="195">
        <v>11</v>
      </c>
      <c r="G28" s="195">
        <v>0</v>
      </c>
      <c r="H28" s="195">
        <v>120</v>
      </c>
      <c r="I28" s="195">
        <v>210</v>
      </c>
      <c r="J28" s="195">
        <v>36</v>
      </c>
      <c r="K28" s="195">
        <v>0</v>
      </c>
      <c r="L28" s="195">
        <v>31</v>
      </c>
      <c r="M28" s="195">
        <v>23</v>
      </c>
      <c r="N28" s="195">
        <v>7</v>
      </c>
      <c r="O28" s="195">
        <v>0</v>
      </c>
      <c r="P28" s="195">
        <v>0</v>
      </c>
      <c r="Q28" s="195">
        <v>226.35</v>
      </c>
      <c r="R28" s="195">
        <v>25</v>
      </c>
      <c r="S28" s="195">
        <v>3.1636999999999998E-2</v>
      </c>
      <c r="T28" s="195">
        <v>0</v>
      </c>
      <c r="U28" s="195">
        <v>310</v>
      </c>
      <c r="V28" s="239">
        <v>9</v>
      </c>
    </row>
    <row r="29" spans="1:22">
      <c r="A29" s="1339"/>
      <c r="B29" s="186" t="s">
        <v>36</v>
      </c>
      <c r="C29" s="195">
        <v>330</v>
      </c>
      <c r="D29" s="195">
        <v>160</v>
      </c>
      <c r="E29" s="195">
        <v>17</v>
      </c>
      <c r="F29" s="195">
        <v>11</v>
      </c>
      <c r="G29" s="195">
        <v>0</v>
      </c>
      <c r="H29" s="195">
        <v>120</v>
      </c>
      <c r="I29" s="195">
        <v>200</v>
      </c>
      <c r="J29" s="195">
        <v>38</v>
      </c>
      <c r="K29" s="195">
        <v>0</v>
      </c>
      <c r="L29" s="195">
        <v>33</v>
      </c>
      <c r="M29" s="195">
        <v>25</v>
      </c>
      <c r="N29" s="195">
        <v>6</v>
      </c>
      <c r="O29" s="195">
        <v>0</v>
      </c>
      <c r="P29" s="195">
        <v>0</v>
      </c>
      <c r="Q29" s="195">
        <v>220.05600000000001</v>
      </c>
      <c r="R29" s="195">
        <v>20</v>
      </c>
      <c r="S29" s="195">
        <v>4.5213999999999997E-2</v>
      </c>
      <c r="T29" s="195">
        <v>0</v>
      </c>
      <c r="U29" s="195">
        <v>300</v>
      </c>
      <c r="V29" s="239">
        <v>9</v>
      </c>
    </row>
    <row r="30" spans="1:22">
      <c r="A30" s="1339"/>
      <c r="B30" s="186" t="s">
        <v>374</v>
      </c>
      <c r="C30" s="195">
        <v>330</v>
      </c>
      <c r="D30" s="195">
        <v>160</v>
      </c>
      <c r="E30" s="195">
        <v>18</v>
      </c>
      <c r="F30" s="195">
        <v>11</v>
      </c>
      <c r="G30" s="195">
        <v>0</v>
      </c>
      <c r="H30" s="195">
        <v>120</v>
      </c>
      <c r="I30" s="195">
        <v>200</v>
      </c>
      <c r="J30" s="195">
        <v>37</v>
      </c>
      <c r="K30" s="195">
        <v>0</v>
      </c>
      <c r="L30" s="195">
        <v>32</v>
      </c>
      <c r="M30" s="195">
        <v>24</v>
      </c>
      <c r="N30" s="195">
        <v>6</v>
      </c>
      <c r="O30" s="195">
        <v>0</v>
      </c>
      <c r="P30" s="195">
        <v>0</v>
      </c>
      <c r="Q30" s="195">
        <v>222.97200000000001</v>
      </c>
      <c r="R30" s="195">
        <v>20</v>
      </c>
      <c r="S30" s="195">
        <v>7.4999999999999993E-5</v>
      </c>
      <c r="T30" s="195">
        <v>0</v>
      </c>
      <c r="U30" s="195">
        <v>300</v>
      </c>
      <c r="V30" s="239">
        <v>9</v>
      </c>
    </row>
    <row r="31" spans="1:22">
      <c r="A31" s="1339"/>
      <c r="B31" s="186" t="s">
        <v>137</v>
      </c>
      <c r="C31" s="195">
        <v>320</v>
      </c>
      <c r="D31" s="195">
        <v>160</v>
      </c>
      <c r="E31" s="195">
        <v>18</v>
      </c>
      <c r="F31" s="195">
        <v>11</v>
      </c>
      <c r="G31" s="195">
        <v>0</v>
      </c>
      <c r="H31" s="195">
        <v>120</v>
      </c>
      <c r="I31" s="195">
        <v>200</v>
      </c>
      <c r="J31" s="195">
        <v>35</v>
      </c>
      <c r="K31" s="195">
        <v>0</v>
      </c>
      <c r="L31" s="195">
        <v>30</v>
      </c>
      <c r="M31" s="195">
        <v>22</v>
      </c>
      <c r="N31" s="195">
        <v>6</v>
      </c>
      <c r="O31" s="195">
        <v>0</v>
      </c>
      <c r="P31" s="195">
        <v>0</v>
      </c>
      <c r="Q31" s="195">
        <v>224.65600000000001</v>
      </c>
      <c r="R31" s="195">
        <v>20</v>
      </c>
      <c r="S31" s="195">
        <v>1.06E-3</v>
      </c>
      <c r="T31" s="195">
        <v>0</v>
      </c>
      <c r="U31" s="195">
        <v>310</v>
      </c>
      <c r="V31" s="239">
        <v>9</v>
      </c>
    </row>
    <row r="32" spans="1:22">
      <c r="A32" s="1339"/>
      <c r="B32" s="186" t="s">
        <v>416</v>
      </c>
      <c r="C32" s="195">
        <v>330</v>
      </c>
      <c r="D32" s="195">
        <v>160</v>
      </c>
      <c r="E32" s="195">
        <v>18</v>
      </c>
      <c r="F32" s="195">
        <v>11</v>
      </c>
      <c r="G32" s="195">
        <v>0</v>
      </c>
      <c r="H32" s="195">
        <v>120</v>
      </c>
      <c r="I32" s="195">
        <v>200</v>
      </c>
      <c r="J32" s="195">
        <v>37</v>
      </c>
      <c r="K32" s="195">
        <v>0</v>
      </c>
      <c r="L32" s="195">
        <v>32</v>
      </c>
      <c r="M32" s="195">
        <v>24</v>
      </c>
      <c r="N32" s="195">
        <v>6</v>
      </c>
      <c r="O32" s="195">
        <v>0</v>
      </c>
      <c r="P32" s="195">
        <v>0</v>
      </c>
      <c r="Q32" s="195">
        <v>223.417</v>
      </c>
      <c r="R32" s="195">
        <v>20</v>
      </c>
      <c r="S32" s="195">
        <v>1.9989999999999999E-3</v>
      </c>
      <c r="T32" s="195">
        <v>0</v>
      </c>
      <c r="U32" s="195">
        <v>300</v>
      </c>
      <c r="V32" s="239">
        <v>9</v>
      </c>
    </row>
    <row r="33" spans="1:22">
      <c r="A33" s="1339"/>
      <c r="B33" s="186" t="s">
        <v>417</v>
      </c>
      <c r="C33" s="195">
        <v>330</v>
      </c>
      <c r="D33" s="195">
        <v>160</v>
      </c>
      <c r="E33" s="195">
        <v>18</v>
      </c>
      <c r="F33" s="195">
        <v>11</v>
      </c>
      <c r="G33" s="195">
        <v>0</v>
      </c>
      <c r="H33" s="195">
        <v>120</v>
      </c>
      <c r="I33" s="195">
        <v>200</v>
      </c>
      <c r="J33" s="195">
        <v>37</v>
      </c>
      <c r="K33" s="195">
        <v>0</v>
      </c>
      <c r="L33" s="195">
        <v>32</v>
      </c>
      <c r="M33" s="195">
        <v>23</v>
      </c>
      <c r="N33" s="195">
        <v>6</v>
      </c>
      <c r="O33" s="195">
        <v>0</v>
      </c>
      <c r="P33" s="195">
        <v>0</v>
      </c>
      <c r="Q33" s="195">
        <v>225.113</v>
      </c>
      <c r="R33" s="195">
        <v>25</v>
      </c>
      <c r="S33" s="195">
        <v>4.3999999999999999E-5</v>
      </c>
      <c r="T33" s="195">
        <v>0</v>
      </c>
      <c r="U33" s="195">
        <v>310</v>
      </c>
      <c r="V33" s="239">
        <v>9</v>
      </c>
    </row>
    <row r="34" spans="1:22">
      <c r="A34" s="1339"/>
      <c r="B34" s="186" t="s">
        <v>418</v>
      </c>
      <c r="C34" s="195">
        <v>330</v>
      </c>
      <c r="D34" s="195">
        <v>160</v>
      </c>
      <c r="E34" s="195">
        <v>17</v>
      </c>
      <c r="F34" s="195">
        <v>11</v>
      </c>
      <c r="G34" s="195">
        <v>0</v>
      </c>
      <c r="H34" s="195">
        <v>120</v>
      </c>
      <c r="I34" s="195">
        <v>200</v>
      </c>
      <c r="J34" s="195">
        <v>38</v>
      </c>
      <c r="K34" s="195">
        <v>0</v>
      </c>
      <c r="L34" s="195">
        <v>33</v>
      </c>
      <c r="M34" s="195">
        <v>25</v>
      </c>
      <c r="N34" s="195">
        <v>6</v>
      </c>
      <c r="O34" s="195">
        <v>0</v>
      </c>
      <c r="P34" s="195">
        <v>0</v>
      </c>
      <c r="Q34" s="195">
        <v>220.86099999999999</v>
      </c>
      <c r="R34" s="195">
        <v>20</v>
      </c>
      <c r="S34" s="195">
        <v>6.0809999999999996E-3</v>
      </c>
      <c r="T34" s="195">
        <v>0</v>
      </c>
      <c r="U34" s="195">
        <v>300</v>
      </c>
      <c r="V34" s="239">
        <v>9</v>
      </c>
    </row>
    <row r="35" spans="1:22">
      <c r="A35" s="1339"/>
      <c r="B35" s="186" t="s">
        <v>360</v>
      </c>
      <c r="C35" s="195">
        <v>330</v>
      </c>
      <c r="D35" s="195">
        <v>160</v>
      </c>
      <c r="E35" s="195">
        <v>18</v>
      </c>
      <c r="F35" s="195">
        <v>11</v>
      </c>
      <c r="G35" s="195">
        <v>0</v>
      </c>
      <c r="H35" s="195">
        <v>120</v>
      </c>
      <c r="I35" s="195">
        <v>200</v>
      </c>
      <c r="J35" s="195">
        <v>37</v>
      </c>
      <c r="K35" s="195">
        <v>0</v>
      </c>
      <c r="L35" s="195">
        <v>32</v>
      </c>
      <c r="M35" s="195">
        <v>22</v>
      </c>
      <c r="N35" s="195">
        <v>6</v>
      </c>
      <c r="O35" s="195">
        <v>0</v>
      </c>
      <c r="P35" s="195">
        <v>0</v>
      </c>
      <c r="Q35" s="195">
        <v>224.75299999999999</v>
      </c>
      <c r="R35" s="195">
        <v>20</v>
      </c>
      <c r="S35" s="195">
        <v>5.8300000000000001E-3</v>
      </c>
      <c r="T35" s="195">
        <v>0</v>
      </c>
      <c r="U35" s="195">
        <v>310</v>
      </c>
      <c r="V35" s="239">
        <v>9</v>
      </c>
    </row>
    <row r="36" spans="1:22">
      <c r="A36" s="1339"/>
      <c r="B36" s="186" t="s">
        <v>66</v>
      </c>
      <c r="C36" s="195">
        <v>330</v>
      </c>
      <c r="D36" s="195">
        <v>160</v>
      </c>
      <c r="E36" s="195">
        <v>18</v>
      </c>
      <c r="F36" s="195">
        <v>11</v>
      </c>
      <c r="G36" s="195">
        <v>0</v>
      </c>
      <c r="H36" s="195">
        <v>120</v>
      </c>
      <c r="I36" s="195">
        <v>200</v>
      </c>
      <c r="J36" s="195">
        <v>37</v>
      </c>
      <c r="K36" s="195">
        <v>0</v>
      </c>
      <c r="L36" s="195">
        <v>33</v>
      </c>
      <c r="M36" s="195">
        <v>25</v>
      </c>
      <c r="N36" s="195">
        <v>6</v>
      </c>
      <c r="O36" s="195">
        <v>0</v>
      </c>
      <c r="P36" s="195">
        <v>0</v>
      </c>
      <c r="Q36" s="195">
        <v>222.893</v>
      </c>
      <c r="R36" s="195">
        <v>20</v>
      </c>
      <c r="S36" s="195">
        <v>1.15E-4</v>
      </c>
      <c r="T36" s="195">
        <v>0</v>
      </c>
      <c r="U36" s="195">
        <v>300</v>
      </c>
      <c r="V36" s="239">
        <v>9</v>
      </c>
    </row>
    <row r="37" spans="1:22" ht="15" customHeight="1">
      <c r="A37" s="1339" t="s">
        <v>576</v>
      </c>
      <c r="B37" s="186" t="s">
        <v>573</v>
      </c>
      <c r="C37" s="195">
        <v>400</v>
      </c>
      <c r="D37" s="195">
        <v>190</v>
      </c>
      <c r="E37" s="195">
        <v>21</v>
      </c>
      <c r="F37" s="195">
        <v>13</v>
      </c>
      <c r="G37" s="195">
        <v>0</v>
      </c>
      <c r="H37" s="195">
        <v>130</v>
      </c>
      <c r="I37" s="195">
        <v>210</v>
      </c>
      <c r="J37" s="195">
        <v>47</v>
      </c>
      <c r="K37" s="195">
        <v>0</v>
      </c>
      <c r="L37" s="195">
        <v>43</v>
      </c>
      <c r="M37" s="195">
        <v>32</v>
      </c>
      <c r="N37" s="195">
        <v>9</v>
      </c>
      <c r="O37" s="195">
        <v>0</v>
      </c>
      <c r="P37" s="195">
        <v>0</v>
      </c>
      <c r="Q37" s="195">
        <v>276.40800000000002</v>
      </c>
      <c r="R37" s="195">
        <v>30</v>
      </c>
      <c r="S37" s="195">
        <v>2.2963100000000001</v>
      </c>
      <c r="T37" s="195">
        <v>15</v>
      </c>
      <c r="U37" s="195">
        <v>550</v>
      </c>
      <c r="V37" s="239">
        <v>16</v>
      </c>
    </row>
    <row r="38" spans="1:22">
      <c r="A38" s="1339"/>
      <c r="B38" s="186" t="s">
        <v>574</v>
      </c>
      <c r="C38" s="195">
        <v>430</v>
      </c>
      <c r="D38" s="195">
        <v>210</v>
      </c>
      <c r="E38" s="195">
        <v>23</v>
      </c>
      <c r="F38" s="195">
        <v>15</v>
      </c>
      <c r="G38" s="195">
        <v>0</v>
      </c>
      <c r="H38" s="195">
        <v>160</v>
      </c>
      <c r="I38" s="195">
        <v>270</v>
      </c>
      <c r="J38" s="195">
        <v>47</v>
      </c>
      <c r="K38" s="195">
        <v>0</v>
      </c>
      <c r="L38" s="195">
        <v>40</v>
      </c>
      <c r="M38" s="195">
        <v>30</v>
      </c>
      <c r="N38" s="195">
        <v>9</v>
      </c>
      <c r="O38" s="195">
        <v>0</v>
      </c>
      <c r="P38" s="195">
        <v>0</v>
      </c>
      <c r="Q38" s="195">
        <v>297.67</v>
      </c>
      <c r="R38" s="195">
        <v>30</v>
      </c>
      <c r="S38" s="195">
        <v>0</v>
      </c>
      <c r="T38" s="195">
        <v>0</v>
      </c>
      <c r="U38" s="195">
        <v>400</v>
      </c>
      <c r="V38" s="239">
        <v>11</v>
      </c>
    </row>
    <row r="39" spans="1:22">
      <c r="A39" s="1339"/>
      <c r="B39" s="186" t="s">
        <v>131</v>
      </c>
      <c r="C39" s="195">
        <v>430</v>
      </c>
      <c r="D39" s="195">
        <v>200</v>
      </c>
      <c r="E39" s="195">
        <v>22</v>
      </c>
      <c r="F39" s="195">
        <v>14</v>
      </c>
      <c r="G39" s="195">
        <v>0</v>
      </c>
      <c r="H39" s="195">
        <v>155</v>
      </c>
      <c r="I39" s="195">
        <v>260</v>
      </c>
      <c r="J39" s="195">
        <v>49</v>
      </c>
      <c r="K39" s="195">
        <v>0</v>
      </c>
      <c r="L39" s="195">
        <v>43</v>
      </c>
      <c r="M39" s="195">
        <v>33</v>
      </c>
      <c r="N39" s="195">
        <v>8</v>
      </c>
      <c r="O39" s="195">
        <v>0</v>
      </c>
      <c r="P39" s="195">
        <v>0</v>
      </c>
      <c r="Q39" s="195">
        <v>286.279</v>
      </c>
      <c r="R39" s="195">
        <v>30</v>
      </c>
      <c r="S39" s="195">
        <v>1.66E-4</v>
      </c>
      <c r="T39" s="195">
        <v>0</v>
      </c>
      <c r="U39" s="195">
        <v>390</v>
      </c>
      <c r="V39" s="239">
        <v>11</v>
      </c>
    </row>
    <row r="40" spans="1:22">
      <c r="A40" s="1339"/>
      <c r="B40" s="186" t="s">
        <v>356</v>
      </c>
      <c r="C40" s="195">
        <v>420</v>
      </c>
      <c r="D40" s="195">
        <v>210</v>
      </c>
      <c r="E40" s="195">
        <v>23</v>
      </c>
      <c r="F40" s="195">
        <v>15</v>
      </c>
      <c r="G40" s="195">
        <v>0</v>
      </c>
      <c r="H40" s="195">
        <v>155</v>
      </c>
      <c r="I40" s="195">
        <v>260</v>
      </c>
      <c r="J40" s="195">
        <v>47</v>
      </c>
      <c r="K40" s="195">
        <v>0</v>
      </c>
      <c r="L40" s="195">
        <v>40</v>
      </c>
      <c r="M40" s="195">
        <v>29</v>
      </c>
      <c r="N40" s="195">
        <v>8</v>
      </c>
      <c r="O40" s="195">
        <v>0</v>
      </c>
      <c r="P40" s="195">
        <v>0</v>
      </c>
      <c r="Q40" s="195">
        <v>291.39600000000002</v>
      </c>
      <c r="R40" s="195">
        <v>30</v>
      </c>
      <c r="S40" s="195">
        <v>4.3779999999999999E-3</v>
      </c>
      <c r="T40" s="195">
        <v>0</v>
      </c>
      <c r="U40" s="195">
        <v>390</v>
      </c>
      <c r="V40" s="239">
        <v>11</v>
      </c>
    </row>
    <row r="41" spans="1:22">
      <c r="A41" s="1339"/>
      <c r="B41" s="186" t="s">
        <v>404</v>
      </c>
      <c r="C41" s="195">
        <v>420</v>
      </c>
      <c r="D41" s="195">
        <v>210</v>
      </c>
      <c r="E41" s="195">
        <v>23</v>
      </c>
      <c r="F41" s="195">
        <v>15</v>
      </c>
      <c r="G41" s="195">
        <v>0</v>
      </c>
      <c r="H41" s="195">
        <v>155</v>
      </c>
      <c r="I41" s="195">
        <v>260</v>
      </c>
      <c r="J41" s="195">
        <v>48</v>
      </c>
      <c r="K41" s="195">
        <v>0</v>
      </c>
      <c r="L41" s="195">
        <v>41</v>
      </c>
      <c r="M41" s="195">
        <v>29</v>
      </c>
      <c r="N41" s="195">
        <v>8</v>
      </c>
      <c r="O41" s="195">
        <v>0</v>
      </c>
      <c r="P41" s="195">
        <v>0</v>
      </c>
      <c r="Q41" s="195">
        <v>293.29899999999998</v>
      </c>
      <c r="R41" s="195">
        <v>30</v>
      </c>
      <c r="S41" s="195">
        <v>1.936E-3</v>
      </c>
      <c r="T41" s="195">
        <v>0</v>
      </c>
      <c r="U41" s="195">
        <v>400</v>
      </c>
      <c r="V41" s="239">
        <v>11</v>
      </c>
    </row>
    <row r="42" spans="1:22">
      <c r="A42" s="1339"/>
      <c r="B42" s="186" t="s">
        <v>134</v>
      </c>
      <c r="C42" s="195">
        <v>440</v>
      </c>
      <c r="D42" s="195">
        <v>190</v>
      </c>
      <c r="E42" s="195">
        <v>21</v>
      </c>
      <c r="F42" s="195">
        <v>13</v>
      </c>
      <c r="G42" s="195">
        <v>0</v>
      </c>
      <c r="H42" s="195">
        <v>145</v>
      </c>
      <c r="I42" s="195">
        <v>250</v>
      </c>
      <c r="J42" s="195">
        <v>55</v>
      </c>
      <c r="K42" s="195">
        <v>0</v>
      </c>
      <c r="L42" s="195">
        <v>48</v>
      </c>
      <c r="M42" s="195">
        <v>38</v>
      </c>
      <c r="N42" s="195">
        <v>8</v>
      </c>
      <c r="O42" s="195">
        <v>0</v>
      </c>
      <c r="P42" s="195">
        <v>0</v>
      </c>
      <c r="Q42" s="195">
        <v>269</v>
      </c>
      <c r="R42" s="195">
        <v>20</v>
      </c>
      <c r="S42" s="195">
        <v>0</v>
      </c>
      <c r="T42" s="195">
        <v>0</v>
      </c>
      <c r="U42" s="195">
        <v>365</v>
      </c>
      <c r="V42" s="239">
        <v>8</v>
      </c>
    </row>
    <row r="43" spans="1:22">
      <c r="A43" s="1339"/>
      <c r="B43" s="186" t="s">
        <v>98</v>
      </c>
      <c r="C43" s="195">
        <v>420</v>
      </c>
      <c r="D43" s="195">
        <v>210</v>
      </c>
      <c r="E43" s="195">
        <v>23</v>
      </c>
      <c r="F43" s="195">
        <v>15</v>
      </c>
      <c r="G43" s="195">
        <v>0</v>
      </c>
      <c r="H43" s="195">
        <v>155</v>
      </c>
      <c r="I43" s="195">
        <v>260</v>
      </c>
      <c r="J43" s="195">
        <v>47</v>
      </c>
      <c r="K43" s="195">
        <v>0</v>
      </c>
      <c r="L43" s="195">
        <v>40</v>
      </c>
      <c r="M43" s="195">
        <v>29</v>
      </c>
      <c r="N43" s="195">
        <v>8</v>
      </c>
      <c r="O43" s="195">
        <v>0</v>
      </c>
      <c r="P43" s="195">
        <v>0</v>
      </c>
      <c r="Q43" s="195">
        <v>291.39600000000002</v>
      </c>
      <c r="R43" s="195">
        <v>30</v>
      </c>
      <c r="S43" s="195">
        <v>4.3779999999999999E-3</v>
      </c>
      <c r="T43" s="195">
        <v>0</v>
      </c>
      <c r="U43" s="195">
        <v>390</v>
      </c>
      <c r="V43" s="239">
        <v>11</v>
      </c>
    </row>
    <row r="44" spans="1:22">
      <c r="A44" s="1339"/>
      <c r="B44" s="186" t="s">
        <v>136</v>
      </c>
      <c r="C44" s="195">
        <v>420</v>
      </c>
      <c r="D44" s="195">
        <v>210</v>
      </c>
      <c r="E44" s="195">
        <v>23</v>
      </c>
      <c r="F44" s="195">
        <v>15</v>
      </c>
      <c r="G44" s="195">
        <v>0</v>
      </c>
      <c r="H44" s="195">
        <v>160</v>
      </c>
      <c r="I44" s="195">
        <v>280</v>
      </c>
      <c r="J44" s="195">
        <v>47</v>
      </c>
      <c r="K44" s="195">
        <v>0</v>
      </c>
      <c r="L44" s="195">
        <v>40</v>
      </c>
      <c r="M44" s="195">
        <v>29</v>
      </c>
      <c r="N44" s="195">
        <v>9</v>
      </c>
      <c r="O44" s="195">
        <v>0</v>
      </c>
      <c r="P44" s="195">
        <v>0</v>
      </c>
      <c r="Q44" s="195">
        <v>295.23899999999998</v>
      </c>
      <c r="R44" s="195">
        <v>30</v>
      </c>
      <c r="S44" s="195">
        <v>4.1265999999999997E-2</v>
      </c>
      <c r="T44" s="195">
        <v>0</v>
      </c>
      <c r="U44" s="195">
        <v>400</v>
      </c>
      <c r="V44" s="239">
        <v>11</v>
      </c>
    </row>
    <row r="45" spans="1:22">
      <c r="A45" s="1339"/>
      <c r="B45" s="186" t="s">
        <v>36</v>
      </c>
      <c r="C45" s="195">
        <v>430</v>
      </c>
      <c r="D45" s="195">
        <v>200</v>
      </c>
      <c r="E45" s="195">
        <v>23</v>
      </c>
      <c r="F45" s="195">
        <v>14</v>
      </c>
      <c r="G45" s="195">
        <v>0</v>
      </c>
      <c r="H45" s="195">
        <v>155</v>
      </c>
      <c r="I45" s="195">
        <v>260</v>
      </c>
      <c r="J45" s="195">
        <v>50</v>
      </c>
      <c r="K45" s="195">
        <v>0</v>
      </c>
      <c r="L45" s="195">
        <v>43</v>
      </c>
      <c r="M45" s="195">
        <v>33</v>
      </c>
      <c r="N45" s="195">
        <v>8</v>
      </c>
      <c r="O45" s="195">
        <v>0</v>
      </c>
      <c r="P45" s="195">
        <v>0</v>
      </c>
      <c r="Q45" s="195">
        <v>287.029</v>
      </c>
      <c r="R45" s="195">
        <v>30</v>
      </c>
      <c r="S45" s="195">
        <v>5.8975E-2</v>
      </c>
      <c r="T45" s="195">
        <v>0</v>
      </c>
      <c r="U45" s="195">
        <v>390</v>
      </c>
      <c r="V45" s="239">
        <v>11</v>
      </c>
    </row>
    <row r="46" spans="1:22">
      <c r="A46" s="1339"/>
      <c r="B46" s="186" t="s">
        <v>374</v>
      </c>
      <c r="C46" s="195">
        <v>420</v>
      </c>
      <c r="D46" s="195">
        <v>210</v>
      </c>
      <c r="E46" s="195">
        <v>23</v>
      </c>
      <c r="F46" s="195">
        <v>15</v>
      </c>
      <c r="G46" s="195">
        <v>0</v>
      </c>
      <c r="H46" s="195">
        <v>155</v>
      </c>
      <c r="I46" s="195">
        <v>260</v>
      </c>
      <c r="J46" s="195">
        <v>48</v>
      </c>
      <c r="K46" s="195">
        <v>0</v>
      </c>
      <c r="L46" s="195">
        <v>41</v>
      </c>
      <c r="M46" s="195">
        <v>31</v>
      </c>
      <c r="N46" s="195">
        <v>8</v>
      </c>
      <c r="O46" s="195">
        <v>0</v>
      </c>
      <c r="P46" s="195">
        <v>0</v>
      </c>
      <c r="Q46" s="195">
        <v>290.83199999999999</v>
      </c>
      <c r="R46" s="195">
        <v>30</v>
      </c>
      <c r="S46" s="195">
        <v>9.7999999999999997E-5</v>
      </c>
      <c r="T46" s="195">
        <v>0</v>
      </c>
      <c r="U46" s="195">
        <v>400</v>
      </c>
      <c r="V46" s="239">
        <v>11</v>
      </c>
    </row>
    <row r="47" spans="1:22">
      <c r="A47" s="1339"/>
      <c r="B47" s="186" t="s">
        <v>137</v>
      </c>
      <c r="C47" s="195">
        <v>420</v>
      </c>
      <c r="D47" s="195">
        <v>210</v>
      </c>
      <c r="E47" s="195">
        <v>23</v>
      </c>
      <c r="F47" s="195">
        <v>15</v>
      </c>
      <c r="G47" s="195">
        <v>0</v>
      </c>
      <c r="H47" s="195">
        <v>155</v>
      </c>
      <c r="I47" s="195">
        <v>260</v>
      </c>
      <c r="J47" s="195">
        <v>46</v>
      </c>
      <c r="K47" s="195">
        <v>0</v>
      </c>
      <c r="L47" s="195">
        <v>40</v>
      </c>
      <c r="M47" s="195">
        <v>29</v>
      </c>
      <c r="N47" s="195">
        <v>8</v>
      </c>
      <c r="O47" s="195">
        <v>0</v>
      </c>
      <c r="P47" s="195">
        <v>0</v>
      </c>
      <c r="Q47" s="195">
        <v>293.029</v>
      </c>
      <c r="R47" s="195">
        <v>30</v>
      </c>
      <c r="S47" s="195">
        <v>1.3829999999999999E-3</v>
      </c>
      <c r="T47" s="195">
        <v>0</v>
      </c>
      <c r="U47" s="195">
        <v>400</v>
      </c>
      <c r="V47" s="239">
        <v>11</v>
      </c>
    </row>
    <row r="48" spans="1:22">
      <c r="A48" s="1339"/>
      <c r="B48" s="186" t="s">
        <v>416</v>
      </c>
      <c r="C48" s="195">
        <v>430</v>
      </c>
      <c r="D48" s="195">
        <v>210</v>
      </c>
      <c r="E48" s="195">
        <v>23</v>
      </c>
      <c r="F48" s="195">
        <v>15</v>
      </c>
      <c r="G48" s="195">
        <v>0</v>
      </c>
      <c r="H48" s="195">
        <v>155</v>
      </c>
      <c r="I48" s="195">
        <v>260</v>
      </c>
      <c r="J48" s="195">
        <v>48</v>
      </c>
      <c r="K48" s="195">
        <v>0</v>
      </c>
      <c r="L48" s="195">
        <v>42</v>
      </c>
      <c r="M48" s="195">
        <v>31</v>
      </c>
      <c r="N48" s="195">
        <v>8</v>
      </c>
      <c r="O48" s="195">
        <v>0</v>
      </c>
      <c r="P48" s="195">
        <v>0</v>
      </c>
      <c r="Q48" s="195">
        <v>291.41399999999999</v>
      </c>
      <c r="R48" s="195">
        <v>30</v>
      </c>
      <c r="S48" s="195">
        <v>2.6069999999999999E-3</v>
      </c>
      <c r="T48" s="195">
        <v>0</v>
      </c>
      <c r="U48" s="195">
        <v>400</v>
      </c>
      <c r="V48" s="239">
        <v>11</v>
      </c>
    </row>
    <row r="49" spans="1:22">
      <c r="A49" s="1339"/>
      <c r="B49" s="186" t="s">
        <v>417</v>
      </c>
      <c r="C49" s="195">
        <v>430</v>
      </c>
      <c r="D49" s="195">
        <v>210</v>
      </c>
      <c r="E49" s="195">
        <v>23</v>
      </c>
      <c r="F49" s="195">
        <v>15</v>
      </c>
      <c r="G49" s="195">
        <v>0</v>
      </c>
      <c r="H49" s="195">
        <v>155</v>
      </c>
      <c r="I49" s="195">
        <v>260</v>
      </c>
      <c r="J49" s="195">
        <v>48</v>
      </c>
      <c r="K49" s="195">
        <v>0</v>
      </c>
      <c r="L49" s="195">
        <v>41</v>
      </c>
      <c r="M49" s="195">
        <v>31</v>
      </c>
      <c r="N49" s="195">
        <v>8</v>
      </c>
      <c r="O49" s="195">
        <v>0</v>
      </c>
      <c r="P49" s="195">
        <v>0</v>
      </c>
      <c r="Q49" s="195">
        <v>293.62599999999998</v>
      </c>
      <c r="R49" s="195">
        <v>30</v>
      </c>
      <c r="S49" s="195">
        <v>5.8E-5</v>
      </c>
      <c r="T49" s="195">
        <v>0</v>
      </c>
      <c r="U49" s="195">
        <v>400</v>
      </c>
      <c r="V49" s="239">
        <v>11</v>
      </c>
    </row>
    <row r="50" spans="1:22">
      <c r="A50" s="1339"/>
      <c r="B50" s="186" t="s">
        <v>418</v>
      </c>
      <c r="C50" s="195">
        <v>430</v>
      </c>
      <c r="D50" s="195">
        <v>200</v>
      </c>
      <c r="E50" s="195">
        <v>23</v>
      </c>
      <c r="F50" s="195">
        <v>14</v>
      </c>
      <c r="G50" s="195">
        <v>0</v>
      </c>
      <c r="H50" s="195">
        <v>155</v>
      </c>
      <c r="I50" s="195">
        <v>260</v>
      </c>
      <c r="J50" s="195">
        <v>50</v>
      </c>
      <c r="K50" s="195">
        <v>0</v>
      </c>
      <c r="L50" s="195">
        <v>43</v>
      </c>
      <c r="M50" s="195">
        <v>33</v>
      </c>
      <c r="N50" s="195">
        <v>8</v>
      </c>
      <c r="O50" s="195">
        <v>0</v>
      </c>
      <c r="P50" s="195">
        <v>0</v>
      </c>
      <c r="Q50" s="195">
        <v>288.07900000000001</v>
      </c>
      <c r="R50" s="195">
        <v>30</v>
      </c>
      <c r="S50" s="195">
        <v>7.9319999999999998E-3</v>
      </c>
      <c r="T50" s="195">
        <v>0</v>
      </c>
      <c r="U50" s="195">
        <v>390</v>
      </c>
      <c r="V50" s="239">
        <v>11</v>
      </c>
    </row>
    <row r="51" spans="1:22">
      <c r="A51" s="1339"/>
      <c r="B51" s="186" t="s">
        <v>360</v>
      </c>
      <c r="C51" s="195">
        <v>430</v>
      </c>
      <c r="D51" s="195">
        <v>210</v>
      </c>
      <c r="E51" s="195">
        <v>23</v>
      </c>
      <c r="F51" s="195">
        <v>15</v>
      </c>
      <c r="G51" s="195">
        <v>0</v>
      </c>
      <c r="H51" s="195">
        <v>155</v>
      </c>
      <c r="I51" s="195">
        <v>260</v>
      </c>
      <c r="J51" s="195">
        <v>48</v>
      </c>
      <c r="K51" s="195">
        <v>0</v>
      </c>
      <c r="L51" s="195">
        <v>41</v>
      </c>
      <c r="M51" s="195">
        <v>29</v>
      </c>
      <c r="N51" s="195">
        <v>8</v>
      </c>
      <c r="O51" s="195">
        <v>0</v>
      </c>
      <c r="P51" s="195">
        <v>0</v>
      </c>
      <c r="Q51" s="195">
        <v>293.15600000000001</v>
      </c>
      <c r="R51" s="195">
        <v>30</v>
      </c>
      <c r="S51" s="195">
        <v>7.6039999999999996E-3</v>
      </c>
      <c r="T51" s="195">
        <v>0</v>
      </c>
      <c r="U51" s="195">
        <v>400</v>
      </c>
      <c r="V51" s="239">
        <v>11</v>
      </c>
    </row>
    <row r="52" spans="1:22" ht="16.3" thickBot="1">
      <c r="A52" s="1340"/>
      <c r="B52" s="240" t="s">
        <v>66</v>
      </c>
      <c r="C52" s="241">
        <v>430</v>
      </c>
      <c r="D52" s="241">
        <v>210</v>
      </c>
      <c r="E52" s="241">
        <v>23</v>
      </c>
      <c r="F52" s="241">
        <v>15</v>
      </c>
      <c r="G52" s="241">
        <v>0</v>
      </c>
      <c r="H52" s="241">
        <v>155</v>
      </c>
      <c r="I52" s="241">
        <v>260</v>
      </c>
      <c r="J52" s="241">
        <v>49</v>
      </c>
      <c r="K52" s="241">
        <v>0</v>
      </c>
      <c r="L52" s="241">
        <v>43</v>
      </c>
      <c r="M52" s="241">
        <v>32</v>
      </c>
      <c r="N52" s="241">
        <v>8</v>
      </c>
      <c r="O52" s="241">
        <v>0</v>
      </c>
      <c r="P52" s="241">
        <v>0</v>
      </c>
      <c r="Q52" s="241">
        <v>290.34300000000002</v>
      </c>
      <c r="R52" s="241">
        <v>30</v>
      </c>
      <c r="S52" s="241">
        <v>1.5899999999999999E-4</v>
      </c>
      <c r="T52" s="241">
        <v>0</v>
      </c>
      <c r="U52" s="241">
        <v>390</v>
      </c>
      <c r="V52" s="242">
        <v>11</v>
      </c>
    </row>
    <row r="53" spans="1:22" ht="14.25" customHeight="1" thickBot="1">
      <c r="A53" s="184"/>
      <c r="B53" s="243"/>
      <c r="C53" s="243"/>
      <c r="D53" s="243"/>
      <c r="E53" s="243"/>
      <c r="F53" s="243"/>
      <c r="G53" s="243"/>
      <c r="H53" s="243"/>
      <c r="I53" s="243"/>
      <c r="J53" s="243"/>
      <c r="K53" s="243"/>
      <c r="L53" s="243"/>
      <c r="M53" s="243"/>
      <c r="N53" s="243"/>
      <c r="O53" s="243"/>
      <c r="P53" s="243"/>
      <c r="Q53" s="243"/>
      <c r="R53" s="243"/>
      <c r="S53" s="188"/>
      <c r="T53" s="188"/>
      <c r="U53" s="188"/>
      <c r="V53" s="188"/>
    </row>
    <row r="54" spans="1:22" ht="37.5" customHeight="1" thickBot="1">
      <c r="A54" s="244"/>
      <c r="B54" s="245" t="s">
        <v>3</v>
      </c>
      <c r="C54" s="214" t="s">
        <v>4</v>
      </c>
      <c r="D54" s="214" t="s">
        <v>5</v>
      </c>
      <c r="E54" s="214" t="s">
        <v>6</v>
      </c>
      <c r="F54" s="214" t="s">
        <v>7</v>
      </c>
      <c r="G54" s="214" t="s">
        <v>8</v>
      </c>
      <c r="H54" s="214" t="s">
        <v>9</v>
      </c>
      <c r="I54" s="214" t="s">
        <v>10</v>
      </c>
      <c r="J54" s="214" t="s">
        <v>11</v>
      </c>
      <c r="K54" s="214" t="s">
        <v>12</v>
      </c>
      <c r="L54" s="214" t="s">
        <v>13</v>
      </c>
      <c r="M54" s="214" t="s">
        <v>14</v>
      </c>
      <c r="N54" s="214" t="s">
        <v>15</v>
      </c>
      <c r="O54" s="215" t="s">
        <v>16</v>
      </c>
      <c r="P54" s="215" t="s">
        <v>17</v>
      </c>
      <c r="Q54" s="215" t="s">
        <v>18</v>
      </c>
      <c r="R54" s="215" t="s">
        <v>19</v>
      </c>
      <c r="S54" s="215" t="s">
        <v>20</v>
      </c>
      <c r="T54" s="215" t="s">
        <v>21</v>
      </c>
      <c r="U54" s="215" t="s">
        <v>22</v>
      </c>
      <c r="V54" s="215" t="s">
        <v>23</v>
      </c>
    </row>
    <row r="55" spans="1:22" ht="15" customHeight="1">
      <c r="A55" s="1199"/>
      <c r="B55" s="246" t="s">
        <v>577</v>
      </c>
      <c r="C55" s="195">
        <v>50</v>
      </c>
      <c r="D55" s="195">
        <v>0</v>
      </c>
      <c r="E55" s="195">
        <v>0</v>
      </c>
      <c r="F55" s="195">
        <v>0</v>
      </c>
      <c r="G55" s="195">
        <v>0</v>
      </c>
      <c r="H55" s="195">
        <v>0</v>
      </c>
      <c r="I55" s="195">
        <v>15</v>
      </c>
      <c r="J55" s="195">
        <v>12</v>
      </c>
      <c r="K55" s="195">
        <v>0</v>
      </c>
      <c r="L55" s="195">
        <v>7</v>
      </c>
      <c r="M55" s="195"/>
      <c r="N55" s="247">
        <v>0</v>
      </c>
      <c r="O55" s="247"/>
      <c r="P55" s="247"/>
      <c r="Q55" s="195">
        <v>18</v>
      </c>
      <c r="R55" s="188">
        <v>2</v>
      </c>
      <c r="S55" s="188">
        <v>0</v>
      </c>
      <c r="T55" s="188">
        <v>0</v>
      </c>
      <c r="U55" s="188">
        <v>2</v>
      </c>
      <c r="V55" s="188">
        <v>0</v>
      </c>
    </row>
    <row r="56" spans="1:22">
      <c r="A56" s="1199"/>
      <c r="B56" s="246" t="s">
        <v>578</v>
      </c>
      <c r="C56" s="195">
        <v>45</v>
      </c>
      <c r="D56" s="195">
        <v>30</v>
      </c>
      <c r="E56" s="195">
        <v>3</v>
      </c>
      <c r="F56" s="195">
        <v>0</v>
      </c>
      <c r="G56" s="195">
        <v>0</v>
      </c>
      <c r="H56" s="195">
        <v>0</v>
      </c>
      <c r="I56" s="195">
        <v>0</v>
      </c>
      <c r="J56" s="195">
        <v>11</v>
      </c>
      <c r="K56" s="195">
        <v>0</v>
      </c>
      <c r="L56" s="195">
        <v>11</v>
      </c>
      <c r="M56" s="195">
        <v>8</v>
      </c>
      <c r="N56" s="195">
        <v>0</v>
      </c>
      <c r="O56" s="195">
        <v>0</v>
      </c>
      <c r="P56" s="195">
        <v>0</v>
      </c>
      <c r="Q56" s="195">
        <v>4</v>
      </c>
      <c r="R56" s="188">
        <v>0</v>
      </c>
      <c r="S56" s="188">
        <v>0</v>
      </c>
      <c r="T56" s="188">
        <v>0</v>
      </c>
      <c r="U56" s="188"/>
      <c r="V56" s="188"/>
    </row>
    <row r="57" spans="1:22">
      <c r="A57" s="1199"/>
      <c r="B57" s="246" t="s">
        <v>423</v>
      </c>
      <c r="C57" s="195">
        <v>70</v>
      </c>
      <c r="D57" s="195">
        <v>45</v>
      </c>
      <c r="E57" s="195">
        <v>4.5</v>
      </c>
      <c r="F57" s="195">
        <v>2.5</v>
      </c>
      <c r="G57" s="195">
        <v>0</v>
      </c>
      <c r="H57" s="195">
        <v>25</v>
      </c>
      <c r="I57" s="195">
        <v>0</v>
      </c>
      <c r="J57" s="195">
        <v>5</v>
      </c>
      <c r="K57" s="195"/>
      <c r="L57" s="195">
        <v>5</v>
      </c>
      <c r="M57" s="195"/>
      <c r="N57" s="195">
        <v>0</v>
      </c>
      <c r="O57" s="195"/>
      <c r="P57" s="195"/>
      <c r="Q57" s="195">
        <v>0</v>
      </c>
      <c r="R57" s="195">
        <v>0</v>
      </c>
      <c r="S57" s="195">
        <v>0</v>
      </c>
      <c r="T57" s="195">
        <v>0</v>
      </c>
      <c r="U57" s="195"/>
      <c r="V57" s="195"/>
    </row>
    <row r="58" spans="1:22" ht="16.3" thickBot="1">
      <c r="A58" s="1200"/>
      <c r="B58" s="246" t="s">
        <v>579</v>
      </c>
      <c r="C58" s="195">
        <v>10</v>
      </c>
      <c r="D58" s="195">
        <v>0</v>
      </c>
      <c r="E58" s="195">
        <v>0</v>
      </c>
      <c r="F58" s="195">
        <v>0</v>
      </c>
      <c r="G58" s="195">
        <v>0</v>
      </c>
      <c r="H58" s="195">
        <v>0</v>
      </c>
      <c r="I58" s="195">
        <v>0</v>
      </c>
      <c r="J58" s="195">
        <v>2</v>
      </c>
      <c r="K58" s="195">
        <v>0</v>
      </c>
      <c r="L58" s="195">
        <v>1</v>
      </c>
      <c r="M58" s="195">
        <v>0</v>
      </c>
      <c r="N58" s="195">
        <v>0</v>
      </c>
      <c r="O58" s="195">
        <v>0</v>
      </c>
      <c r="P58" s="195">
        <v>0</v>
      </c>
      <c r="Q58" s="195">
        <v>20</v>
      </c>
      <c r="R58" s="188">
        <v>2</v>
      </c>
      <c r="S58" s="188">
        <v>1</v>
      </c>
      <c r="T58" s="188">
        <v>6</v>
      </c>
      <c r="U58" s="188"/>
      <c r="V58" s="188"/>
    </row>
    <row r="59" spans="1:22">
      <c r="B59" s="188"/>
      <c r="C59" s="188"/>
      <c r="D59" s="188"/>
      <c r="E59" s="188"/>
      <c r="F59" s="188"/>
      <c r="G59" s="188"/>
      <c r="H59" s="188"/>
      <c r="I59" s="188"/>
      <c r="J59" s="188"/>
      <c r="K59" s="188"/>
      <c r="L59" s="188"/>
      <c r="M59" s="188"/>
      <c r="N59" s="188"/>
      <c r="O59" s="188"/>
      <c r="P59" s="188"/>
      <c r="Q59" s="188"/>
      <c r="R59" s="188"/>
      <c r="S59" s="188"/>
      <c r="T59" s="188"/>
      <c r="U59" s="188"/>
      <c r="V59" s="188"/>
    </row>
    <row r="60" spans="1:22" ht="15" customHeight="1">
      <c r="B60" s="1234" t="s">
        <v>168</v>
      </c>
      <c r="C60" s="1235"/>
      <c r="D60" s="1235"/>
      <c r="E60" s="1235"/>
      <c r="F60" s="1235"/>
      <c r="G60" s="1235"/>
      <c r="H60" s="1235"/>
      <c r="I60" s="1235"/>
      <c r="J60" s="1235"/>
      <c r="K60" s="1235"/>
      <c r="L60" s="1235"/>
      <c r="M60" s="1235"/>
      <c r="N60" s="1235"/>
      <c r="O60" s="1235"/>
      <c r="P60" s="1235"/>
      <c r="Q60" s="1235"/>
      <c r="R60" s="1235"/>
      <c r="S60" s="1235"/>
      <c r="T60" s="1235"/>
      <c r="U60" s="1235"/>
      <c r="V60" s="1236"/>
    </row>
    <row r="61" spans="1:22">
      <c r="B61" s="1237"/>
      <c r="C61" s="1238"/>
      <c r="D61" s="1238"/>
      <c r="E61" s="1238"/>
      <c r="F61" s="1238"/>
      <c r="G61" s="1238"/>
      <c r="H61" s="1238"/>
      <c r="I61" s="1238"/>
      <c r="J61" s="1238"/>
      <c r="K61" s="1238"/>
      <c r="L61" s="1238"/>
      <c r="M61" s="1238"/>
      <c r="N61" s="1238"/>
      <c r="O61" s="1238"/>
      <c r="P61" s="1238"/>
      <c r="Q61" s="1238"/>
      <c r="R61" s="1238"/>
      <c r="S61" s="1238"/>
      <c r="T61" s="1238"/>
      <c r="U61" s="1238"/>
      <c r="V61" s="1239"/>
    </row>
    <row r="62" spans="1:22" ht="30" customHeight="1">
      <c r="B62" s="1240"/>
      <c r="C62" s="1241"/>
      <c r="D62" s="1241"/>
      <c r="E62" s="1241"/>
      <c r="F62" s="1241"/>
      <c r="G62" s="1241"/>
      <c r="H62" s="1241"/>
      <c r="I62" s="1241"/>
      <c r="J62" s="1241"/>
      <c r="K62" s="1241"/>
      <c r="L62" s="1241"/>
      <c r="M62" s="1241"/>
      <c r="N62" s="1241"/>
      <c r="O62" s="1241"/>
      <c r="P62" s="1241"/>
      <c r="Q62" s="1241"/>
      <c r="R62" s="1241"/>
      <c r="S62" s="1241"/>
      <c r="T62" s="1241"/>
      <c r="U62" s="1241"/>
      <c r="V62" s="1242"/>
    </row>
    <row r="63" spans="1:22">
      <c r="B63" s="188"/>
      <c r="C63" s="188"/>
      <c r="D63" s="188"/>
      <c r="E63" s="188"/>
      <c r="F63" s="188"/>
      <c r="G63" s="188"/>
      <c r="H63" s="188"/>
      <c r="I63" s="188"/>
      <c r="J63" s="188"/>
      <c r="K63" s="188"/>
      <c r="L63" s="188"/>
      <c r="M63" s="188"/>
      <c r="N63" s="188"/>
      <c r="O63" s="188"/>
      <c r="P63" s="188"/>
      <c r="Q63" s="188"/>
      <c r="R63" s="188"/>
      <c r="S63" s="188"/>
      <c r="T63" s="188"/>
      <c r="U63" s="188"/>
      <c r="V63" s="188"/>
    </row>
    <row r="64" spans="1:22">
      <c r="B64" s="191" t="s">
        <v>580</v>
      </c>
      <c r="C64" s="191">
        <f>AVERAGE(C5:C20) +SUM(C55:C58)</f>
        <v>403.125</v>
      </c>
      <c r="D64" s="191">
        <f t="shared" ref="D64:V64" si="0">AVERAGE(D3:D20) +SUM(D55:D58)</f>
        <v>183.125</v>
      </c>
      <c r="E64" s="191">
        <f t="shared" si="0"/>
        <v>19.375</v>
      </c>
      <c r="F64" s="191">
        <f t="shared" si="0"/>
        <v>10.3125</v>
      </c>
      <c r="G64" s="191">
        <f t="shared" si="0"/>
        <v>0</v>
      </c>
      <c r="H64" s="191">
        <f t="shared" si="0"/>
        <v>107.1875</v>
      </c>
      <c r="I64" s="191">
        <f t="shared" si="0"/>
        <v>152.8125</v>
      </c>
      <c r="J64" s="191">
        <f t="shared" si="0"/>
        <v>56.0625</v>
      </c>
      <c r="K64" s="191">
        <f t="shared" si="0"/>
        <v>0</v>
      </c>
      <c r="L64" s="191">
        <f t="shared" si="0"/>
        <v>46.5625</v>
      </c>
      <c r="M64" s="191">
        <f t="shared" si="0"/>
        <v>25.0625</v>
      </c>
      <c r="N64" s="191">
        <f t="shared" si="0"/>
        <v>4.1875</v>
      </c>
      <c r="O64" s="191">
        <f t="shared" si="0"/>
        <v>0</v>
      </c>
      <c r="P64" s="191">
        <f t="shared" si="0"/>
        <v>0</v>
      </c>
      <c r="Q64" s="191">
        <f t="shared" si="0"/>
        <v>195.86562499999997</v>
      </c>
      <c r="R64" s="191">
        <f t="shared" si="0"/>
        <v>18.6875</v>
      </c>
      <c r="S64" s="191">
        <f t="shared" si="0"/>
        <v>1.0807715625000001</v>
      </c>
      <c r="T64" s="191">
        <f t="shared" si="0"/>
        <v>6.375</v>
      </c>
      <c r="U64" s="191">
        <f t="shared" si="0"/>
        <v>216.0625</v>
      </c>
      <c r="V64" s="191">
        <f t="shared" si="0"/>
        <v>6</v>
      </c>
    </row>
    <row r="65" spans="2:22" ht="36" customHeight="1">
      <c r="B65" s="191" t="s">
        <v>581</v>
      </c>
      <c r="C65" s="191" t="str">
        <f t="shared" ref="C65:V65" si="1">(MIN(C4:C20)+MIN(C55:C58))&amp;" - "&amp;(MAX(C55:C58)+MAX(C4:C20))</f>
        <v>230 - 300</v>
      </c>
      <c r="D65" s="191" t="str">
        <f t="shared" si="1"/>
        <v>100 - 155</v>
      </c>
      <c r="E65" s="191" t="str">
        <f t="shared" si="1"/>
        <v>11 - 16.5</v>
      </c>
      <c r="F65" s="191" t="str">
        <f t="shared" si="1"/>
        <v>7 - 10.5</v>
      </c>
      <c r="G65" s="191" t="str">
        <f t="shared" si="1"/>
        <v>0 - 0</v>
      </c>
      <c r="H65" s="191" t="str">
        <f t="shared" si="1"/>
        <v>70 - 110</v>
      </c>
      <c r="I65" s="191" t="str">
        <f t="shared" si="1"/>
        <v>115 - 165</v>
      </c>
      <c r="J65" s="191" t="str">
        <f t="shared" si="1"/>
        <v>27 - 41</v>
      </c>
      <c r="K65" s="191" t="str">
        <f t="shared" si="1"/>
        <v>0 - 0</v>
      </c>
      <c r="L65" s="191" t="str">
        <f t="shared" si="1"/>
        <v>22 - 37</v>
      </c>
      <c r="M65" s="191" t="str">
        <f t="shared" si="1"/>
        <v>16 - 28</v>
      </c>
      <c r="N65" s="191" t="str">
        <f t="shared" si="1"/>
        <v>4 - 5</v>
      </c>
      <c r="O65" s="191" t="str">
        <f t="shared" si="1"/>
        <v>0 - 0</v>
      </c>
      <c r="P65" s="191" t="str">
        <f t="shared" si="1"/>
        <v>0 - 0</v>
      </c>
      <c r="Q65" s="191" t="str">
        <f t="shared" si="1"/>
        <v>144 - 178.757</v>
      </c>
      <c r="R65" s="191" t="str">
        <f t="shared" si="1"/>
        <v>10 - 17</v>
      </c>
      <c r="S65" s="191" t="str">
        <f t="shared" si="1"/>
        <v>0 - 2.2247</v>
      </c>
      <c r="T65" s="191" t="str">
        <f t="shared" si="1"/>
        <v>0 - 12</v>
      </c>
      <c r="U65" s="191" t="str">
        <f t="shared" si="1"/>
        <v>197 - 292</v>
      </c>
      <c r="V65" s="191" t="str">
        <f t="shared" si="1"/>
        <v>4 - 8</v>
      </c>
    </row>
    <row r="66" spans="2:22">
      <c r="B66" s="191" t="s">
        <v>582</v>
      </c>
      <c r="C66" s="191">
        <f>AVERAGE(C21:C36) +SUM(C55:C58)</f>
        <v>501.875</v>
      </c>
      <c r="D66" s="191">
        <f t="shared" ref="D66:V66" si="2">AVERAGE(D21:D36) +SUM(D55:D58)</f>
        <v>233.75</v>
      </c>
      <c r="E66" s="191">
        <f t="shared" si="2"/>
        <v>25.0625</v>
      </c>
      <c r="F66" s="191">
        <f t="shared" si="2"/>
        <v>13.375</v>
      </c>
      <c r="G66" s="191">
        <f t="shared" si="2"/>
        <v>0</v>
      </c>
      <c r="H66" s="191">
        <f t="shared" si="2"/>
        <v>142.8125</v>
      </c>
      <c r="I66" s="191">
        <f t="shared" si="2"/>
        <v>212.5</v>
      </c>
      <c r="J66" s="191">
        <f t="shared" si="2"/>
        <v>67</v>
      </c>
      <c r="K66" s="191">
        <f t="shared" si="2"/>
        <v>0</v>
      </c>
      <c r="L66" s="191">
        <f t="shared" si="2"/>
        <v>56.0625</v>
      </c>
      <c r="M66" s="191">
        <f t="shared" si="2"/>
        <v>31.75</v>
      </c>
      <c r="N66" s="191">
        <f t="shared" si="2"/>
        <v>6.1875</v>
      </c>
      <c r="O66" s="191">
        <f t="shared" si="2"/>
        <v>0</v>
      </c>
      <c r="P66" s="191">
        <f t="shared" si="2"/>
        <v>0</v>
      </c>
      <c r="Q66" s="191">
        <f t="shared" si="2"/>
        <v>263.77168749999998</v>
      </c>
      <c r="R66" s="191">
        <f t="shared" si="2"/>
        <v>24.625</v>
      </c>
      <c r="S66" s="191">
        <f t="shared" si="2"/>
        <v>1.1163056250000001</v>
      </c>
      <c r="T66" s="191">
        <f t="shared" si="2"/>
        <v>6.625</v>
      </c>
      <c r="U66" s="191">
        <f t="shared" si="2"/>
        <v>312</v>
      </c>
      <c r="V66" s="191">
        <f t="shared" si="2"/>
        <v>9</v>
      </c>
    </row>
    <row r="67" spans="2:22" ht="28.5" customHeight="1">
      <c r="B67" s="191" t="s">
        <v>583</v>
      </c>
      <c r="C67" s="191" t="str">
        <f>(MIN(C21:C36)+MIN(C55:C58))&amp;" - "&amp;(MAX(C55:C58)+MAX(C21:C36))</f>
        <v>320 - 410</v>
      </c>
      <c r="D67" s="191" t="str">
        <f t="shared" ref="D67:V67" si="3">(MIN(D21:D36)+MIN(D55:D58))&amp;" - "&amp;(MAX(D55:D58)+MAX(D21:D36))</f>
        <v>150 - 205</v>
      </c>
      <c r="E67" s="191" t="str">
        <f t="shared" si="3"/>
        <v>16 - 22.5</v>
      </c>
      <c r="F67" s="191" t="str">
        <f t="shared" si="3"/>
        <v>10 - 13.5</v>
      </c>
      <c r="G67" s="191" t="str">
        <f t="shared" si="3"/>
        <v>0 - 0</v>
      </c>
      <c r="H67" s="191" t="str">
        <f t="shared" si="3"/>
        <v>100 - 145</v>
      </c>
      <c r="I67" s="191" t="str">
        <f t="shared" si="3"/>
        <v>160 - 225</v>
      </c>
      <c r="J67" s="191" t="str">
        <f t="shared" si="3"/>
        <v>37 - 54</v>
      </c>
      <c r="K67" s="191" t="str">
        <f t="shared" si="3"/>
        <v>0 - 0</v>
      </c>
      <c r="L67" s="191" t="str">
        <f t="shared" si="3"/>
        <v>31 - 48</v>
      </c>
      <c r="M67" s="191" t="str">
        <f t="shared" si="3"/>
        <v>22 - 37</v>
      </c>
      <c r="N67" s="191" t="str">
        <f t="shared" si="3"/>
        <v>6 - 7</v>
      </c>
      <c r="O67" s="191" t="str">
        <f t="shared" si="3"/>
        <v>0 - 0</v>
      </c>
      <c r="P67" s="191" t="str">
        <f t="shared" si="3"/>
        <v>0 - 0</v>
      </c>
      <c r="Q67" s="191" t="str">
        <f t="shared" si="3"/>
        <v>206 - 248.214</v>
      </c>
      <c r="R67" s="191" t="str">
        <f t="shared" si="3"/>
        <v>15 - 27</v>
      </c>
      <c r="S67" s="191" t="str">
        <f t="shared" si="3"/>
        <v>0 - 2.76051</v>
      </c>
      <c r="T67" s="191" t="str">
        <f t="shared" si="3"/>
        <v>0 - 16</v>
      </c>
      <c r="U67" s="191" t="str">
        <f t="shared" si="3"/>
        <v>282 - 422</v>
      </c>
      <c r="V67" s="191" t="str">
        <f t="shared" si="3"/>
        <v>6 - 12</v>
      </c>
    </row>
    <row r="68" spans="2:22" ht="15" customHeight="1">
      <c r="B68" s="191" t="s">
        <v>584</v>
      </c>
      <c r="C68" s="191">
        <f>AVERAGE(C37:C52) +SUM(C55:C58)</f>
        <v>600</v>
      </c>
      <c r="D68" s="191">
        <f t="shared" ref="D68:V68" si="4">AVERAGE(D37:D52) +SUM(D55:D58)</f>
        <v>280.625</v>
      </c>
      <c r="E68" s="191">
        <f t="shared" si="4"/>
        <v>30.1875</v>
      </c>
      <c r="F68" s="191">
        <f t="shared" si="4"/>
        <v>17.0625</v>
      </c>
      <c r="G68" s="191">
        <f t="shared" si="4"/>
        <v>0</v>
      </c>
      <c r="H68" s="191">
        <f t="shared" si="4"/>
        <v>178.4375</v>
      </c>
      <c r="I68" s="191">
        <f t="shared" si="4"/>
        <v>273.125</v>
      </c>
      <c r="J68" s="191">
        <f t="shared" si="4"/>
        <v>78.375</v>
      </c>
      <c r="K68" s="191">
        <f t="shared" si="4"/>
        <v>0</v>
      </c>
      <c r="L68" s="191">
        <f t="shared" si="4"/>
        <v>65.8125</v>
      </c>
      <c r="M68" s="191">
        <f t="shared" si="4"/>
        <v>39.125</v>
      </c>
      <c r="N68" s="191">
        <f t="shared" si="4"/>
        <v>8.1875</v>
      </c>
      <c r="O68" s="191">
        <f t="shared" si="4"/>
        <v>0</v>
      </c>
      <c r="P68" s="191">
        <f t="shared" si="4"/>
        <v>0</v>
      </c>
      <c r="Q68" s="191">
        <f t="shared" si="4"/>
        <v>331.26218750000004</v>
      </c>
      <c r="R68" s="191">
        <f t="shared" si="4"/>
        <v>33.375</v>
      </c>
      <c r="S68" s="191">
        <f t="shared" si="4"/>
        <v>1.151703125</v>
      </c>
      <c r="T68" s="191">
        <f t="shared" si="4"/>
        <v>6.9375</v>
      </c>
      <c r="U68" s="191">
        <f t="shared" si="4"/>
        <v>405.4375</v>
      </c>
      <c r="V68" s="191">
        <f t="shared" si="4"/>
        <v>11.125</v>
      </c>
    </row>
    <row r="69" spans="2:22" ht="25.5" customHeight="1">
      <c r="B69" s="191" t="s">
        <v>585</v>
      </c>
      <c r="C69" s="191" t="str">
        <f>(MIN(C37:C52)+MIN(C55:C58))&amp;" - "&amp;(MAX(C55:C58)+MAX(C37:C52))</f>
        <v>410 - 510</v>
      </c>
      <c r="D69" s="191" t="str">
        <f t="shared" ref="D69:V69" si="5">(MIN(D37:D52)+MIN(D55:D58))&amp;" - "&amp;(MAX(D55:D58)+MAX(D37:D52))</f>
        <v>190 - 255</v>
      </c>
      <c r="E69" s="191" t="str">
        <f t="shared" si="5"/>
        <v>21 - 27.5</v>
      </c>
      <c r="F69" s="191" t="str">
        <f t="shared" si="5"/>
        <v>13 - 17.5</v>
      </c>
      <c r="G69" s="191" t="str">
        <f t="shared" si="5"/>
        <v>0 - 0</v>
      </c>
      <c r="H69" s="191" t="str">
        <f t="shared" si="5"/>
        <v>130 - 185</v>
      </c>
      <c r="I69" s="191" t="str">
        <f t="shared" si="5"/>
        <v>210 - 295</v>
      </c>
      <c r="J69" s="191" t="str">
        <f t="shared" si="5"/>
        <v>48 - 67</v>
      </c>
      <c r="K69" s="191" t="str">
        <f t="shared" si="5"/>
        <v>0 - 0</v>
      </c>
      <c r="L69" s="191" t="str">
        <f t="shared" si="5"/>
        <v>41 - 59</v>
      </c>
      <c r="M69" s="191" t="str">
        <f t="shared" si="5"/>
        <v>29 - 46</v>
      </c>
      <c r="N69" s="191" t="str">
        <f t="shared" si="5"/>
        <v>8 - 9</v>
      </c>
      <c r="O69" s="191" t="str">
        <f t="shared" si="5"/>
        <v>0 - 0</v>
      </c>
      <c r="P69" s="191" t="str">
        <f t="shared" si="5"/>
        <v>0 - 0</v>
      </c>
      <c r="Q69" s="191" t="str">
        <f t="shared" si="5"/>
        <v>269 - 317.67</v>
      </c>
      <c r="R69" s="191" t="str">
        <f t="shared" si="5"/>
        <v>20 - 32</v>
      </c>
      <c r="S69" s="191" t="str">
        <f t="shared" si="5"/>
        <v>0 - 3.29631</v>
      </c>
      <c r="T69" s="191" t="str">
        <f t="shared" si="5"/>
        <v>0 - 21</v>
      </c>
      <c r="U69" s="191" t="str">
        <f t="shared" si="5"/>
        <v>367 - 552</v>
      </c>
      <c r="V69" s="191" t="str">
        <f t="shared" si="5"/>
        <v>8 - 16</v>
      </c>
    </row>
    <row r="70" spans="2:22">
      <c r="B70" s="188"/>
      <c r="C70" s="188"/>
      <c r="D70" s="188"/>
      <c r="E70" s="188"/>
      <c r="F70" s="188"/>
      <c r="G70" s="188"/>
      <c r="H70" s="188"/>
      <c r="I70" s="188"/>
      <c r="J70" s="188"/>
      <c r="K70" s="188"/>
      <c r="L70" s="188"/>
      <c r="M70" s="188"/>
      <c r="N70" s="188"/>
      <c r="O70" s="188"/>
      <c r="P70" s="188"/>
      <c r="Q70" s="188"/>
      <c r="R70" s="188"/>
      <c r="S70" s="188"/>
      <c r="T70" s="188"/>
      <c r="U70" s="188"/>
      <c r="V70" s="188"/>
    </row>
    <row r="71" spans="2:22">
      <c r="B71" s="188"/>
      <c r="C71" s="188"/>
      <c r="D71" s="188"/>
      <c r="E71" s="188"/>
      <c r="F71" s="188"/>
      <c r="G71" s="188"/>
      <c r="H71" s="188"/>
      <c r="I71" s="188"/>
      <c r="J71" s="188"/>
      <c r="K71" s="188"/>
      <c r="L71" s="188"/>
      <c r="M71" s="188"/>
      <c r="N71" s="188"/>
      <c r="O71" s="188"/>
      <c r="P71" s="188"/>
      <c r="Q71" s="188"/>
      <c r="R71" s="188"/>
      <c r="S71" s="188"/>
      <c r="T71" s="188"/>
      <c r="U71" s="188"/>
      <c r="V71" s="188"/>
    </row>
    <row r="72" spans="2:22">
      <c r="B72" s="188"/>
      <c r="C72" s="188"/>
      <c r="D72" s="188"/>
      <c r="E72" s="188"/>
      <c r="F72" s="188"/>
      <c r="G72" s="188"/>
      <c r="H72" s="188"/>
      <c r="I72" s="188"/>
      <c r="J72" s="188"/>
      <c r="K72" s="188"/>
      <c r="L72" s="188"/>
      <c r="M72" s="188"/>
      <c r="N72" s="188"/>
      <c r="O72" s="188"/>
      <c r="P72" s="188"/>
      <c r="Q72" s="188"/>
      <c r="R72" s="188"/>
      <c r="S72" s="188"/>
      <c r="T72" s="188"/>
      <c r="U72" s="188"/>
      <c r="V72" s="188"/>
    </row>
    <row r="73" spans="2:22">
      <c r="B73" s="188"/>
      <c r="C73" s="188"/>
      <c r="D73" s="188"/>
      <c r="E73" s="188"/>
      <c r="F73" s="188"/>
      <c r="G73" s="188"/>
      <c r="H73" s="188"/>
      <c r="I73" s="188"/>
      <c r="J73" s="188"/>
      <c r="K73" s="188"/>
      <c r="L73" s="188"/>
      <c r="M73" s="188"/>
      <c r="N73" s="188"/>
      <c r="O73" s="188"/>
      <c r="P73" s="188"/>
      <c r="Q73" s="188"/>
      <c r="R73" s="188"/>
      <c r="S73" s="188"/>
      <c r="T73" s="188"/>
      <c r="U73" s="188"/>
      <c r="V73" s="188"/>
    </row>
    <row r="74" spans="2:22">
      <c r="B74" s="188"/>
      <c r="C74" s="188"/>
      <c r="D74" s="188"/>
      <c r="E74" s="188"/>
      <c r="F74" s="188"/>
      <c r="G74" s="188"/>
      <c r="H74" s="188"/>
      <c r="I74" s="188"/>
      <c r="J74" s="188"/>
      <c r="K74" s="188"/>
      <c r="L74" s="188"/>
      <c r="M74" s="188"/>
      <c r="N74" s="188"/>
      <c r="O74" s="188"/>
      <c r="P74" s="188"/>
      <c r="Q74" s="188"/>
      <c r="R74" s="188"/>
      <c r="S74" s="188"/>
      <c r="T74" s="188"/>
      <c r="U74" s="188"/>
      <c r="V74" s="188"/>
    </row>
    <row r="75" spans="2:22">
      <c r="B75" s="188"/>
      <c r="C75" s="188"/>
      <c r="D75" s="188"/>
      <c r="E75" s="188"/>
      <c r="F75" s="188"/>
      <c r="G75" s="188"/>
      <c r="H75" s="188"/>
      <c r="I75" s="188"/>
      <c r="J75" s="188"/>
      <c r="K75" s="188"/>
      <c r="L75" s="188"/>
      <c r="M75" s="188"/>
      <c r="N75" s="188"/>
      <c r="O75" s="188"/>
      <c r="P75" s="188"/>
      <c r="Q75" s="188"/>
      <c r="R75" s="188"/>
      <c r="S75" s="188"/>
      <c r="T75" s="188"/>
      <c r="U75" s="188"/>
      <c r="V75" s="188"/>
    </row>
    <row r="76" spans="2:22">
      <c r="B76" s="188"/>
      <c r="C76" s="188"/>
      <c r="D76" s="188"/>
      <c r="E76" s="188"/>
      <c r="F76" s="188"/>
      <c r="G76" s="188"/>
      <c r="H76" s="188"/>
      <c r="I76" s="188"/>
      <c r="J76" s="188"/>
      <c r="K76" s="188"/>
      <c r="L76" s="188"/>
      <c r="M76" s="188"/>
      <c r="N76" s="188"/>
      <c r="O76" s="188"/>
      <c r="P76" s="188"/>
      <c r="Q76" s="188"/>
      <c r="R76" s="188"/>
      <c r="S76" s="188"/>
      <c r="T76" s="188"/>
      <c r="U76" s="188"/>
      <c r="V76" s="188"/>
    </row>
    <row r="77" spans="2:22">
      <c r="B77" s="188"/>
      <c r="C77" s="188"/>
      <c r="D77" s="188"/>
      <c r="E77" s="188"/>
      <c r="F77" s="188"/>
      <c r="G77" s="188"/>
      <c r="H77" s="188"/>
      <c r="I77" s="188"/>
      <c r="J77" s="188"/>
      <c r="K77" s="188"/>
      <c r="L77" s="188"/>
      <c r="M77" s="188"/>
      <c r="N77" s="188"/>
      <c r="O77" s="188"/>
      <c r="P77" s="188"/>
      <c r="Q77" s="188"/>
      <c r="R77" s="188"/>
      <c r="S77" s="188"/>
      <c r="T77" s="188"/>
      <c r="U77" s="188"/>
      <c r="V77" s="188"/>
    </row>
    <row r="78" spans="2:22">
      <c r="B78" s="188"/>
      <c r="C78" s="188"/>
      <c r="D78" s="188"/>
      <c r="E78" s="188"/>
      <c r="F78" s="188"/>
      <c r="G78" s="188"/>
      <c r="H78" s="188"/>
      <c r="I78" s="188"/>
      <c r="J78" s="188"/>
      <c r="K78" s="188"/>
      <c r="L78" s="188"/>
      <c r="M78" s="188"/>
      <c r="N78" s="188"/>
      <c r="O78" s="188"/>
      <c r="P78" s="188"/>
      <c r="Q78" s="188"/>
      <c r="R78" s="188"/>
      <c r="S78" s="188"/>
      <c r="T78" s="188"/>
      <c r="U78" s="188"/>
      <c r="V78" s="188"/>
    </row>
    <row r="79" spans="2:22">
      <c r="B79" s="188"/>
      <c r="C79" s="188"/>
      <c r="D79" s="188"/>
      <c r="E79" s="188"/>
      <c r="F79" s="188"/>
      <c r="G79" s="188"/>
      <c r="H79" s="188"/>
      <c r="I79" s="188"/>
      <c r="J79" s="188"/>
      <c r="K79" s="188"/>
      <c r="L79" s="188"/>
      <c r="M79" s="188"/>
      <c r="N79" s="188"/>
      <c r="O79" s="188"/>
      <c r="P79" s="188"/>
      <c r="Q79" s="188"/>
      <c r="R79" s="188"/>
      <c r="S79" s="188"/>
      <c r="T79" s="188"/>
      <c r="U79" s="188"/>
      <c r="V79" s="188"/>
    </row>
    <row r="80" spans="2:22">
      <c r="B80" s="188"/>
      <c r="C80" s="188"/>
      <c r="D80" s="188"/>
      <c r="E80" s="188"/>
      <c r="F80" s="188"/>
      <c r="G80" s="188"/>
      <c r="H80" s="188"/>
      <c r="I80" s="188"/>
      <c r="J80" s="188"/>
      <c r="K80" s="188"/>
      <c r="L80" s="188"/>
      <c r="M80" s="188"/>
      <c r="N80" s="188"/>
      <c r="O80" s="188"/>
      <c r="P80" s="188"/>
      <c r="Q80" s="188"/>
      <c r="R80" s="188"/>
      <c r="S80" s="188"/>
      <c r="T80" s="188"/>
      <c r="U80" s="188"/>
      <c r="V80" s="188"/>
    </row>
    <row r="81" spans="2:22">
      <c r="B81" s="188"/>
      <c r="C81" s="188"/>
      <c r="D81" s="188"/>
      <c r="E81" s="188"/>
      <c r="F81" s="188"/>
      <c r="G81" s="188"/>
      <c r="H81" s="188"/>
      <c r="I81" s="188"/>
      <c r="J81" s="188"/>
      <c r="K81" s="188"/>
      <c r="L81" s="188"/>
      <c r="M81" s="188"/>
      <c r="N81" s="188"/>
      <c r="O81" s="188"/>
      <c r="P81" s="188"/>
      <c r="Q81" s="188"/>
      <c r="R81" s="188"/>
      <c r="S81" s="188"/>
      <c r="T81" s="188"/>
      <c r="U81" s="188"/>
      <c r="V81" s="188"/>
    </row>
    <row r="82" spans="2:22">
      <c r="B82" s="188"/>
      <c r="C82" s="188"/>
      <c r="D82" s="188"/>
      <c r="E82" s="188"/>
      <c r="F82" s="188"/>
      <c r="G82" s="188"/>
      <c r="H82" s="188"/>
      <c r="I82" s="188"/>
      <c r="J82" s="188"/>
      <c r="K82" s="188"/>
      <c r="L82" s="188"/>
      <c r="M82" s="188"/>
      <c r="N82" s="188"/>
      <c r="O82" s="188"/>
      <c r="P82" s="188"/>
      <c r="Q82" s="188"/>
      <c r="R82" s="188"/>
      <c r="S82" s="188"/>
      <c r="T82" s="188"/>
      <c r="U82" s="188"/>
      <c r="V82" s="188"/>
    </row>
    <row r="83" spans="2:22">
      <c r="B83" s="188"/>
      <c r="C83" s="188"/>
      <c r="D83" s="188"/>
      <c r="E83" s="188"/>
      <c r="F83" s="188"/>
      <c r="G83" s="188"/>
      <c r="H83" s="188"/>
      <c r="I83" s="188"/>
      <c r="J83" s="188"/>
      <c r="K83" s="188"/>
      <c r="L83" s="188"/>
      <c r="M83" s="188"/>
      <c r="N83" s="188"/>
      <c r="O83" s="188"/>
      <c r="P83" s="188"/>
      <c r="Q83" s="188"/>
      <c r="R83" s="188"/>
      <c r="S83" s="188"/>
      <c r="T83" s="188"/>
      <c r="U83" s="188"/>
      <c r="V83" s="188"/>
    </row>
    <row r="84" spans="2:22">
      <c r="B84" s="188"/>
      <c r="C84" s="188"/>
      <c r="D84" s="188"/>
      <c r="E84" s="188"/>
      <c r="F84" s="188"/>
      <c r="G84" s="188"/>
      <c r="H84" s="188"/>
      <c r="I84" s="188"/>
      <c r="J84" s="188"/>
      <c r="K84" s="188"/>
      <c r="L84" s="188"/>
      <c r="M84" s="188"/>
      <c r="N84" s="188"/>
      <c r="O84" s="188"/>
      <c r="P84" s="188"/>
      <c r="Q84" s="188"/>
      <c r="R84" s="188"/>
      <c r="S84" s="188"/>
      <c r="T84" s="188"/>
      <c r="U84" s="188"/>
      <c r="V84" s="188"/>
    </row>
    <row r="85" spans="2:22">
      <c r="B85" s="188"/>
      <c r="C85" s="188"/>
      <c r="D85" s="188"/>
      <c r="E85" s="188"/>
      <c r="F85" s="188"/>
      <c r="G85" s="188"/>
      <c r="H85" s="188"/>
      <c r="I85" s="188"/>
      <c r="J85" s="188"/>
      <c r="K85" s="188"/>
      <c r="L85" s="188"/>
      <c r="M85" s="188"/>
      <c r="N85" s="188"/>
      <c r="O85" s="188"/>
      <c r="P85" s="188"/>
      <c r="Q85" s="188"/>
      <c r="R85" s="188"/>
      <c r="S85" s="188"/>
      <c r="T85" s="188"/>
      <c r="U85" s="188"/>
      <c r="V85" s="188"/>
    </row>
    <row r="86" spans="2:22">
      <c r="B86" s="188"/>
      <c r="C86" s="188"/>
      <c r="D86" s="188"/>
      <c r="E86" s="188"/>
      <c r="F86" s="188"/>
      <c r="G86" s="188"/>
      <c r="H86" s="188"/>
      <c r="I86" s="188"/>
      <c r="J86" s="188"/>
      <c r="K86" s="188"/>
      <c r="L86" s="188"/>
      <c r="M86" s="188"/>
      <c r="N86" s="188"/>
      <c r="O86" s="188"/>
      <c r="P86" s="188"/>
      <c r="Q86" s="188"/>
      <c r="R86" s="188"/>
      <c r="S86" s="188"/>
      <c r="T86" s="188"/>
      <c r="U86" s="188"/>
      <c r="V86" s="188"/>
    </row>
    <row r="87" spans="2:22">
      <c r="B87" s="188"/>
      <c r="C87" s="188"/>
      <c r="D87" s="188"/>
      <c r="E87" s="188"/>
      <c r="F87" s="188"/>
      <c r="G87" s="188"/>
      <c r="H87" s="188"/>
      <c r="I87" s="188"/>
      <c r="J87" s="188"/>
      <c r="K87" s="188"/>
      <c r="L87" s="188"/>
      <c r="M87" s="188"/>
      <c r="N87" s="188"/>
      <c r="O87" s="188"/>
      <c r="P87" s="188"/>
      <c r="Q87" s="188"/>
      <c r="R87" s="188"/>
      <c r="S87" s="188"/>
      <c r="T87" s="188"/>
      <c r="U87" s="188"/>
      <c r="V87" s="188"/>
    </row>
    <row r="88" spans="2:22">
      <c r="B88" s="188"/>
      <c r="C88" s="188"/>
      <c r="D88" s="188"/>
      <c r="E88" s="188"/>
      <c r="F88" s="188"/>
      <c r="G88" s="188"/>
      <c r="H88" s="188"/>
      <c r="I88" s="188"/>
      <c r="J88" s="188"/>
      <c r="K88" s="188"/>
      <c r="L88" s="188"/>
      <c r="M88" s="188"/>
      <c r="N88" s="188"/>
      <c r="O88" s="188"/>
      <c r="P88" s="188"/>
      <c r="Q88" s="188"/>
      <c r="R88" s="188"/>
      <c r="S88" s="188"/>
      <c r="T88" s="188"/>
      <c r="U88" s="188"/>
      <c r="V88" s="188"/>
    </row>
    <row r="89" spans="2:22">
      <c r="B89" s="188"/>
      <c r="C89" s="188"/>
      <c r="D89" s="188"/>
      <c r="E89" s="188"/>
      <c r="F89" s="188"/>
      <c r="G89" s="188"/>
      <c r="H89" s="188"/>
      <c r="I89" s="188"/>
      <c r="J89" s="188"/>
      <c r="K89" s="188"/>
      <c r="L89" s="188"/>
      <c r="M89" s="188"/>
      <c r="N89" s="188"/>
      <c r="O89" s="188"/>
      <c r="P89" s="188"/>
      <c r="Q89" s="188"/>
      <c r="R89" s="188"/>
      <c r="S89" s="188"/>
      <c r="T89" s="188"/>
      <c r="U89" s="188"/>
      <c r="V89" s="188"/>
    </row>
    <row r="90" spans="2:22">
      <c r="B90" s="188"/>
      <c r="C90" s="188"/>
      <c r="D90" s="188"/>
      <c r="E90" s="188"/>
      <c r="F90" s="188"/>
      <c r="G90" s="188"/>
      <c r="H90" s="188"/>
      <c r="I90" s="188"/>
      <c r="J90" s="188"/>
      <c r="K90" s="188"/>
      <c r="L90" s="188"/>
      <c r="M90" s="188"/>
      <c r="N90" s="188"/>
      <c r="O90" s="188"/>
      <c r="P90" s="188"/>
      <c r="Q90" s="188"/>
      <c r="R90" s="188"/>
      <c r="S90" s="188"/>
      <c r="T90" s="188"/>
      <c r="U90" s="188"/>
      <c r="V90" s="188"/>
    </row>
    <row r="91" spans="2:22">
      <c r="B91" s="188"/>
      <c r="C91" s="188"/>
      <c r="D91" s="188"/>
      <c r="E91" s="188"/>
      <c r="F91" s="188"/>
      <c r="G91" s="188"/>
      <c r="H91" s="188"/>
      <c r="I91" s="188"/>
      <c r="J91" s="188"/>
      <c r="K91" s="188"/>
      <c r="L91" s="188"/>
      <c r="M91" s="188"/>
      <c r="N91" s="188"/>
      <c r="O91" s="188"/>
      <c r="P91" s="188"/>
      <c r="Q91" s="188"/>
      <c r="R91" s="188"/>
      <c r="S91" s="188"/>
      <c r="T91" s="188"/>
      <c r="U91" s="188"/>
      <c r="V91" s="188"/>
    </row>
    <row r="92" spans="2:22">
      <c r="B92" s="188"/>
      <c r="C92" s="188"/>
      <c r="D92" s="188"/>
      <c r="E92" s="188"/>
      <c r="F92" s="188"/>
      <c r="G92" s="188"/>
      <c r="H92" s="188"/>
      <c r="I92" s="188"/>
      <c r="J92" s="188"/>
      <c r="K92" s="188"/>
      <c r="L92" s="188"/>
      <c r="M92" s="188"/>
      <c r="N92" s="188"/>
      <c r="O92" s="188"/>
      <c r="P92" s="188"/>
      <c r="Q92" s="188"/>
      <c r="R92" s="188"/>
      <c r="S92" s="188"/>
      <c r="T92" s="188"/>
      <c r="U92" s="188"/>
      <c r="V92" s="188"/>
    </row>
    <row r="93" spans="2:22">
      <c r="B93" s="188"/>
      <c r="C93" s="188"/>
      <c r="D93" s="188"/>
      <c r="E93" s="188"/>
      <c r="F93" s="188"/>
      <c r="G93" s="188"/>
      <c r="H93" s="188"/>
      <c r="I93" s="188"/>
      <c r="J93" s="188"/>
      <c r="K93" s="188"/>
      <c r="L93" s="188"/>
      <c r="M93" s="188"/>
      <c r="N93" s="188"/>
      <c r="O93" s="188"/>
      <c r="P93" s="188"/>
      <c r="Q93" s="188"/>
      <c r="R93" s="188"/>
      <c r="S93" s="188"/>
      <c r="T93" s="188"/>
      <c r="U93" s="188"/>
      <c r="V93" s="188"/>
    </row>
    <row r="94" spans="2:22">
      <c r="B94" s="188"/>
      <c r="C94" s="188"/>
      <c r="D94" s="188"/>
      <c r="E94" s="188"/>
      <c r="F94" s="188"/>
      <c r="G94" s="188"/>
      <c r="H94" s="188"/>
      <c r="I94" s="188"/>
      <c r="J94" s="188"/>
      <c r="K94" s="188"/>
      <c r="L94" s="188"/>
      <c r="M94" s="188"/>
      <c r="N94" s="188"/>
      <c r="O94" s="188"/>
      <c r="P94" s="188"/>
      <c r="Q94" s="188"/>
      <c r="R94" s="188"/>
      <c r="S94" s="188"/>
      <c r="T94" s="188"/>
      <c r="U94" s="188"/>
      <c r="V94" s="188"/>
    </row>
    <row r="95" spans="2:22">
      <c r="B95" s="188"/>
      <c r="C95" s="188"/>
      <c r="D95" s="188"/>
      <c r="E95" s="188"/>
      <c r="F95" s="188"/>
      <c r="G95" s="188"/>
      <c r="H95" s="188"/>
      <c r="I95" s="188"/>
      <c r="J95" s="188"/>
      <c r="K95" s="188"/>
      <c r="L95" s="188"/>
      <c r="M95" s="188"/>
      <c r="N95" s="188"/>
      <c r="O95" s="188"/>
      <c r="P95" s="188"/>
      <c r="Q95" s="188"/>
      <c r="R95" s="188"/>
      <c r="S95" s="188"/>
      <c r="T95" s="188"/>
      <c r="U95" s="188"/>
      <c r="V95" s="188"/>
    </row>
    <row r="96" spans="2:22">
      <c r="B96" s="188"/>
      <c r="C96" s="188"/>
      <c r="D96" s="188"/>
      <c r="E96" s="188"/>
      <c r="F96" s="188"/>
      <c r="G96" s="188"/>
      <c r="H96" s="188"/>
      <c r="I96" s="188"/>
      <c r="J96" s="188"/>
      <c r="K96" s="188"/>
      <c r="L96" s="188"/>
      <c r="M96" s="188"/>
      <c r="N96" s="188"/>
      <c r="O96" s="188"/>
      <c r="P96" s="188"/>
      <c r="Q96" s="188"/>
      <c r="R96" s="188"/>
      <c r="S96" s="197"/>
      <c r="T96" s="188"/>
      <c r="U96" s="188"/>
      <c r="V96" s="188"/>
    </row>
    <row r="97" spans="2:22">
      <c r="B97" s="188"/>
      <c r="C97" s="188"/>
      <c r="D97" s="188"/>
      <c r="E97" s="188"/>
      <c r="F97" s="188"/>
      <c r="G97" s="188"/>
      <c r="H97" s="188"/>
      <c r="I97" s="188"/>
      <c r="J97" s="188"/>
      <c r="K97" s="188"/>
      <c r="L97" s="188"/>
      <c r="M97" s="188"/>
      <c r="N97" s="188"/>
      <c r="O97" s="188"/>
      <c r="P97" s="188"/>
      <c r="Q97" s="188"/>
      <c r="R97" s="188"/>
      <c r="S97" s="195"/>
      <c r="T97" s="188"/>
      <c r="U97" s="188"/>
      <c r="V97" s="188"/>
    </row>
    <row r="98" spans="2:22">
      <c r="B98" s="188"/>
      <c r="C98" s="188"/>
      <c r="D98" s="188"/>
      <c r="E98" s="188"/>
      <c r="F98" s="188"/>
      <c r="G98" s="188"/>
      <c r="H98" s="188"/>
      <c r="I98" s="188"/>
      <c r="J98" s="188"/>
      <c r="K98" s="188"/>
      <c r="L98" s="188"/>
      <c r="M98" s="188"/>
      <c r="N98" s="188"/>
      <c r="O98" s="188"/>
      <c r="P98" s="188"/>
      <c r="Q98" s="188"/>
      <c r="R98" s="188"/>
      <c r="S98" s="188"/>
      <c r="T98" s="188"/>
      <c r="U98" s="188"/>
      <c r="V98" s="188"/>
    </row>
    <row r="99" spans="2:22">
      <c r="B99" s="188"/>
      <c r="C99" s="188"/>
      <c r="D99" s="188"/>
      <c r="E99" s="188"/>
      <c r="F99" s="188"/>
      <c r="G99" s="188"/>
      <c r="H99" s="188"/>
      <c r="I99" s="188"/>
      <c r="J99" s="188"/>
      <c r="K99" s="188"/>
      <c r="L99" s="188"/>
      <c r="M99" s="188"/>
      <c r="N99" s="188"/>
      <c r="O99" s="188"/>
      <c r="P99" s="188"/>
      <c r="Q99" s="188"/>
      <c r="R99" s="188"/>
      <c r="S99" s="188"/>
      <c r="T99" s="188"/>
      <c r="U99" s="188"/>
      <c r="V99" s="188"/>
    </row>
    <row r="100" spans="2:22">
      <c r="B100" s="188"/>
      <c r="C100" s="188"/>
      <c r="D100" s="188"/>
      <c r="E100" s="188"/>
      <c r="F100" s="188"/>
      <c r="G100" s="188"/>
      <c r="H100" s="188"/>
      <c r="I100" s="188"/>
      <c r="J100" s="188"/>
      <c r="K100" s="188"/>
      <c r="L100" s="188"/>
      <c r="M100" s="188"/>
      <c r="N100" s="188"/>
      <c r="O100" s="188"/>
      <c r="P100" s="188"/>
      <c r="Q100" s="188"/>
      <c r="R100" s="188"/>
      <c r="S100" s="188"/>
      <c r="T100" s="188"/>
      <c r="U100" s="188"/>
      <c r="V100" s="188"/>
    </row>
    <row r="101" spans="2:22">
      <c r="B101" s="188"/>
      <c r="C101" s="188"/>
      <c r="D101" s="188"/>
      <c r="E101" s="188"/>
      <c r="F101" s="188"/>
      <c r="G101" s="188"/>
      <c r="H101" s="188"/>
      <c r="I101" s="188"/>
      <c r="J101" s="188"/>
      <c r="K101" s="188"/>
      <c r="L101" s="188"/>
      <c r="M101" s="188"/>
      <c r="N101" s="188"/>
      <c r="O101" s="188"/>
      <c r="P101" s="188"/>
      <c r="Q101" s="188"/>
      <c r="R101" s="188"/>
      <c r="S101" s="188"/>
      <c r="T101" s="188"/>
      <c r="U101" s="188"/>
      <c r="V101" s="188"/>
    </row>
    <row r="102" spans="2:22">
      <c r="B102" s="188"/>
      <c r="C102" s="188"/>
      <c r="D102" s="188"/>
      <c r="E102" s="188"/>
      <c r="F102" s="188"/>
      <c r="G102" s="188"/>
      <c r="H102" s="188"/>
      <c r="I102" s="188"/>
      <c r="J102" s="188"/>
      <c r="K102" s="188"/>
      <c r="L102" s="188"/>
      <c r="M102" s="188"/>
      <c r="N102" s="188"/>
      <c r="O102" s="188"/>
      <c r="P102" s="188"/>
      <c r="Q102" s="188"/>
      <c r="R102" s="188"/>
      <c r="S102" s="188"/>
      <c r="T102" s="188"/>
      <c r="U102" s="188"/>
      <c r="V102" s="188"/>
    </row>
    <row r="103" spans="2:22">
      <c r="B103" s="188"/>
      <c r="C103" s="188"/>
      <c r="D103" s="188"/>
      <c r="E103" s="188"/>
      <c r="F103" s="188"/>
      <c r="G103" s="188"/>
      <c r="H103" s="188"/>
      <c r="I103" s="188"/>
      <c r="J103" s="188"/>
      <c r="K103" s="188"/>
      <c r="L103" s="188"/>
      <c r="M103" s="188"/>
      <c r="N103" s="188"/>
      <c r="O103" s="188"/>
      <c r="P103" s="188"/>
      <c r="Q103" s="188"/>
      <c r="R103" s="188"/>
      <c r="S103" s="188"/>
      <c r="T103" s="188"/>
      <c r="U103" s="188"/>
      <c r="V103" s="188"/>
    </row>
    <row r="117" spans="1:19" s="248" customFormat="1">
      <c r="A117" s="179"/>
      <c r="B117" s="179"/>
      <c r="C117" s="179"/>
      <c r="D117" s="179"/>
      <c r="E117" s="179"/>
      <c r="F117" s="179"/>
      <c r="G117" s="179"/>
      <c r="H117" s="179"/>
      <c r="I117" s="179"/>
      <c r="J117" s="179"/>
      <c r="K117" s="179"/>
      <c r="L117" s="179"/>
      <c r="M117" s="179"/>
      <c r="N117" s="179"/>
      <c r="O117" s="179"/>
      <c r="P117" s="179"/>
      <c r="Q117" s="179"/>
      <c r="R117" s="179"/>
      <c r="S117" s="179"/>
    </row>
    <row r="118" spans="1:19" s="212" customFormat="1">
      <c r="A118" s="179"/>
      <c r="B118" s="179"/>
      <c r="C118" s="179"/>
      <c r="D118" s="179"/>
      <c r="E118" s="179"/>
      <c r="F118" s="179"/>
      <c r="G118" s="179"/>
      <c r="H118" s="179"/>
      <c r="I118" s="179"/>
      <c r="J118" s="179"/>
      <c r="K118" s="179"/>
      <c r="L118" s="179"/>
      <c r="M118" s="179"/>
      <c r="N118" s="179"/>
      <c r="O118" s="179"/>
      <c r="P118" s="179"/>
      <c r="Q118" s="179"/>
      <c r="R118" s="179"/>
      <c r="S118" s="179"/>
    </row>
    <row r="139" spans="1:18">
      <c r="A139" s="248"/>
      <c r="B139" s="248"/>
      <c r="C139" s="223"/>
      <c r="D139" s="223"/>
      <c r="E139" s="223"/>
      <c r="F139" s="223"/>
      <c r="G139" s="223"/>
      <c r="H139" s="223"/>
      <c r="I139" s="223"/>
      <c r="J139" s="223"/>
      <c r="K139" s="223"/>
      <c r="L139" s="223"/>
      <c r="M139" s="223"/>
      <c r="N139" s="223"/>
      <c r="O139" s="223"/>
      <c r="P139" s="223"/>
      <c r="Q139" s="223"/>
      <c r="R139" s="223"/>
    </row>
    <row r="140" spans="1:18">
      <c r="A140" s="212"/>
      <c r="B140" s="212"/>
    </row>
    <row r="141" spans="1:18">
      <c r="D141" s="223"/>
      <c r="E141" s="223"/>
      <c r="F141" s="223"/>
      <c r="G141" s="223"/>
      <c r="H141" s="223"/>
      <c r="I141" s="223"/>
      <c r="J141" s="223"/>
      <c r="K141" s="223"/>
      <c r="L141" s="223"/>
      <c r="M141" s="223"/>
      <c r="N141" s="223"/>
      <c r="O141" s="223"/>
      <c r="P141" s="223"/>
      <c r="Q141" s="223"/>
      <c r="R141" s="223"/>
    </row>
    <row r="143" spans="1:18">
      <c r="D143" s="223"/>
      <c r="E143" s="223"/>
      <c r="F143" s="223"/>
      <c r="G143" s="223"/>
      <c r="H143" s="223"/>
      <c r="I143" s="223"/>
      <c r="J143" s="223"/>
      <c r="K143" s="223"/>
      <c r="L143" s="223"/>
      <c r="M143" s="223"/>
      <c r="N143" s="223"/>
      <c r="O143" s="223"/>
      <c r="P143" s="223"/>
      <c r="Q143" s="223"/>
      <c r="R143" s="223"/>
    </row>
    <row r="145" spans="4:18">
      <c r="D145" s="223"/>
      <c r="E145" s="223"/>
      <c r="F145" s="223"/>
      <c r="G145" s="223"/>
      <c r="H145" s="223"/>
      <c r="I145" s="223"/>
      <c r="J145" s="223"/>
      <c r="K145" s="223"/>
      <c r="L145" s="223"/>
      <c r="M145" s="223"/>
      <c r="N145" s="223"/>
      <c r="O145" s="223"/>
      <c r="P145" s="223"/>
      <c r="Q145" s="223"/>
      <c r="R145" s="223"/>
    </row>
  </sheetData>
  <mergeCells count="29">
    <mergeCell ref="A55:A58"/>
    <mergeCell ref="B3:B4"/>
    <mergeCell ref="E3:E4"/>
    <mergeCell ref="F3:F4"/>
    <mergeCell ref="G3:G4"/>
    <mergeCell ref="C3:C4"/>
    <mergeCell ref="D3:D4"/>
    <mergeCell ref="B60:V62"/>
    <mergeCell ref="A1:V1"/>
    <mergeCell ref="A2:V2"/>
    <mergeCell ref="U3:U4"/>
    <mergeCell ref="V3:V4"/>
    <mergeCell ref="A5:A20"/>
    <mergeCell ref="R3:R4"/>
    <mergeCell ref="S3:S4"/>
    <mergeCell ref="T3:T4"/>
    <mergeCell ref="K3:K4"/>
    <mergeCell ref="L3:L4"/>
    <mergeCell ref="M3:M4"/>
    <mergeCell ref="N3:N4"/>
    <mergeCell ref="A21:A36"/>
    <mergeCell ref="A37:A52"/>
    <mergeCell ref="A3:A4"/>
    <mergeCell ref="P3:P4"/>
    <mergeCell ref="Q3:Q4"/>
    <mergeCell ref="H3:H4"/>
    <mergeCell ref="I3:I4"/>
    <mergeCell ref="J3:J4"/>
    <mergeCell ref="O3:O4"/>
  </mergeCells>
  <pageMargins left="0.7" right="0.7" top="0.75" bottom="0.75" header="0.3" footer="0.3"/>
  <pageSetup scale="49" fitToHeight="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6C966-9A9A-4AF6-97BE-9E5C4C9737F3}">
  <sheetPr>
    <pageSetUpPr fitToPage="1"/>
  </sheetPr>
  <dimension ref="A1:AH27"/>
  <sheetViews>
    <sheetView zoomScale="80" zoomScaleNormal="80" zoomScalePageLayoutView="70" workbookViewId="0">
      <selection activeCell="J10" sqref="J10"/>
    </sheetView>
    <sheetView topLeftCell="B7" zoomScale="80" zoomScaleNormal="80" workbookViewId="1">
      <selection activeCell="M31" sqref="M31"/>
    </sheetView>
    <sheetView workbookViewId="2">
      <selection activeCell="H15" sqref="H15"/>
    </sheetView>
  </sheetViews>
  <sheetFormatPr defaultColWidth="9.15234375" defaultRowHeight="12.9"/>
  <cols>
    <col min="1" max="1" width="9.15234375" style="373"/>
    <col min="2" max="2" width="46.15234375" style="373" customWidth="1"/>
    <col min="3" max="3" width="14.3046875" style="373" customWidth="1"/>
    <col min="4" max="4" width="14.3046875" style="844" customWidth="1"/>
    <col min="5" max="6" width="12.84375" style="373" customWidth="1"/>
    <col min="7" max="7" width="10" style="373" bestFit="1" customWidth="1"/>
    <col min="8" max="8" width="10" style="373" customWidth="1"/>
    <col min="9" max="10" width="11.69140625" style="373" customWidth="1"/>
    <col min="11" max="11" width="10" style="373" bestFit="1" customWidth="1"/>
    <col min="12" max="12" width="10" style="373" customWidth="1"/>
    <col min="13" max="14" width="16.3828125" style="373" customWidth="1"/>
    <col min="15" max="15" width="10.3828125" style="373" bestFit="1" customWidth="1"/>
    <col min="16" max="16" width="10.3828125" style="373" customWidth="1"/>
    <col min="17" max="18" width="16.84375" style="373" customWidth="1"/>
    <col min="19" max="19" width="10" style="373" bestFit="1" customWidth="1"/>
    <col min="20" max="20" width="10" style="373" customWidth="1"/>
    <col min="21" max="21" width="10" style="373" bestFit="1" customWidth="1"/>
    <col min="22" max="22" width="10" style="373" customWidth="1"/>
    <col min="23" max="23" width="10" style="373" bestFit="1" customWidth="1"/>
    <col min="24" max="24" width="10" style="373" customWidth="1"/>
    <col min="25" max="26" width="10.15234375" style="373" customWidth="1"/>
    <col min="27" max="27" width="10" style="373" bestFit="1" customWidth="1"/>
    <col min="28" max="28" width="11" style="373" customWidth="1"/>
    <col min="29" max="29" width="10.53515625" style="373" bestFit="1" customWidth="1"/>
    <col min="30" max="32" width="12" style="373" bestFit="1" customWidth="1"/>
    <col min="33" max="33" width="13.15234375" style="373" customWidth="1"/>
    <col min="34" max="34" width="13.3046875" style="373" customWidth="1"/>
    <col min="35" max="16384" width="9.15234375" style="373"/>
  </cols>
  <sheetData>
    <row r="1" spans="1:34" s="465" customFormat="1" ht="22.5" customHeight="1">
      <c r="A1" s="1347" t="s">
        <v>586</v>
      </c>
      <c r="B1" s="1348"/>
      <c r="C1" s="1348"/>
      <c r="D1" s="1348"/>
      <c r="E1" s="1348"/>
      <c r="F1" s="1348"/>
      <c r="G1" s="1348"/>
      <c r="H1" s="1348"/>
      <c r="I1" s="1348"/>
      <c r="J1" s="1348"/>
      <c r="K1" s="1348"/>
      <c r="L1" s="1348"/>
      <c r="M1" s="1348"/>
      <c r="N1" s="1348"/>
      <c r="O1" s="1348"/>
      <c r="P1" s="1348"/>
      <c r="Q1" s="1348"/>
      <c r="R1" s="1348"/>
      <c r="S1" s="1348"/>
      <c r="T1" s="1348"/>
      <c r="U1" s="1348"/>
      <c r="V1" s="1348"/>
      <c r="W1" s="1348"/>
      <c r="X1" s="1348"/>
      <c r="Y1" s="1348"/>
      <c r="Z1" s="1348"/>
      <c r="AA1" s="1348"/>
      <c r="AB1" s="1348"/>
      <c r="AC1" s="1348"/>
      <c r="AD1" s="1348"/>
      <c r="AE1" s="1348"/>
      <c r="AF1" s="1348"/>
      <c r="AG1" s="1348"/>
      <c r="AH1" s="1348"/>
    </row>
    <row r="2" spans="1:34" s="465" customFormat="1" ht="18" customHeight="1">
      <c r="A2" s="1347" t="s">
        <v>438</v>
      </c>
      <c r="B2" s="1348"/>
      <c r="C2" s="1348"/>
      <c r="D2" s="1348"/>
      <c r="E2" s="1348"/>
      <c r="F2" s="1348"/>
      <c r="G2" s="1348"/>
      <c r="H2" s="1348"/>
      <c r="I2" s="1348"/>
      <c r="J2" s="1348"/>
      <c r="K2" s="1348"/>
      <c r="L2" s="1348"/>
      <c r="M2" s="1348"/>
      <c r="N2" s="1348"/>
      <c r="O2" s="1348"/>
      <c r="P2" s="1348"/>
      <c r="Q2" s="1348"/>
      <c r="R2" s="1348"/>
      <c r="S2" s="1348"/>
      <c r="T2" s="1348"/>
      <c r="U2" s="1348"/>
      <c r="V2" s="1348"/>
      <c r="W2" s="1348"/>
      <c r="X2" s="1348"/>
      <c r="Y2" s="1348"/>
      <c r="Z2" s="1348"/>
      <c r="AA2" s="1348"/>
      <c r="AB2" s="1348"/>
      <c r="AC2" s="1348"/>
      <c r="AD2" s="1348"/>
      <c r="AE2" s="1348"/>
      <c r="AF2" s="1348"/>
      <c r="AG2" s="1348"/>
      <c r="AH2" s="1348"/>
    </row>
    <row r="3" spans="1:34" s="465" customFormat="1" ht="18.75" customHeight="1">
      <c r="A3" s="1349" t="s">
        <v>587</v>
      </c>
      <c r="B3" s="1350"/>
      <c r="C3" s="1350"/>
      <c r="D3" s="1350"/>
      <c r="E3" s="1350"/>
      <c r="F3" s="1350"/>
      <c r="G3" s="1350"/>
      <c r="H3" s="1350"/>
      <c r="I3" s="1350"/>
      <c r="J3" s="1350"/>
      <c r="K3" s="1350"/>
      <c r="L3" s="1350"/>
      <c r="M3" s="1350"/>
      <c r="N3" s="1350"/>
      <c r="O3" s="1350"/>
      <c r="P3" s="1350"/>
      <c r="Q3" s="1350"/>
      <c r="R3" s="1350"/>
      <c r="S3" s="1350"/>
      <c r="T3" s="1350"/>
      <c r="U3" s="1350"/>
      <c r="V3" s="1350"/>
      <c r="W3" s="1350"/>
      <c r="X3" s="1350"/>
      <c r="Y3" s="1350"/>
      <c r="Z3" s="1350"/>
      <c r="AA3" s="1350"/>
      <c r="AB3" s="1350"/>
      <c r="AC3" s="1350"/>
      <c r="AD3" s="1350"/>
      <c r="AE3" s="1350"/>
      <c r="AF3" s="1350"/>
      <c r="AG3" s="1350"/>
      <c r="AH3" s="1350"/>
    </row>
    <row r="4" spans="1:34" s="465" customFormat="1" ht="66" customHeight="1">
      <c r="A4" s="649"/>
      <c r="B4" s="650" t="s">
        <v>3</v>
      </c>
      <c r="C4" s="460" t="s">
        <v>4</v>
      </c>
      <c r="D4" s="460" t="s">
        <v>4</v>
      </c>
      <c r="E4" s="460" t="s">
        <v>5</v>
      </c>
      <c r="F4" s="460" t="s">
        <v>5</v>
      </c>
      <c r="G4" s="460" t="s">
        <v>6</v>
      </c>
      <c r="H4" s="986" t="s">
        <v>6</v>
      </c>
      <c r="I4" s="460" t="s">
        <v>7</v>
      </c>
      <c r="J4" s="986" t="s">
        <v>7</v>
      </c>
      <c r="K4" s="460" t="s">
        <v>8</v>
      </c>
      <c r="L4" s="460" t="s">
        <v>8</v>
      </c>
      <c r="M4" s="460" t="s">
        <v>9</v>
      </c>
      <c r="N4" s="460" t="s">
        <v>9</v>
      </c>
      <c r="O4" s="460" t="s">
        <v>10</v>
      </c>
      <c r="P4" s="460" t="s">
        <v>10</v>
      </c>
      <c r="Q4" s="460" t="s">
        <v>11</v>
      </c>
      <c r="R4" s="460" t="s">
        <v>11</v>
      </c>
      <c r="S4" s="460" t="s">
        <v>12</v>
      </c>
      <c r="T4" s="460" t="s">
        <v>12</v>
      </c>
      <c r="U4" s="460" t="s">
        <v>13</v>
      </c>
      <c r="V4" s="460" t="s">
        <v>13</v>
      </c>
      <c r="W4" s="460" t="s">
        <v>14</v>
      </c>
      <c r="X4" s="460" t="s">
        <v>14</v>
      </c>
      <c r="Y4" s="460" t="s">
        <v>15</v>
      </c>
      <c r="Z4" s="460" t="s">
        <v>15</v>
      </c>
      <c r="AA4" s="651" t="s">
        <v>16</v>
      </c>
      <c r="AB4" s="651" t="s">
        <v>17</v>
      </c>
      <c r="AC4" s="651" t="s">
        <v>18</v>
      </c>
      <c r="AD4" s="651" t="s">
        <v>19</v>
      </c>
      <c r="AE4" s="651" t="s">
        <v>20</v>
      </c>
      <c r="AF4" s="651" t="s">
        <v>21</v>
      </c>
      <c r="AG4" s="651" t="s">
        <v>22</v>
      </c>
      <c r="AH4" s="651" t="s">
        <v>23</v>
      </c>
    </row>
    <row r="5" spans="1:34" s="465" customFormat="1" ht="15" customHeight="1">
      <c r="A5" s="652"/>
      <c r="B5" s="1176" t="s">
        <v>588</v>
      </c>
      <c r="C5" s="794">
        <v>365.85300000000001</v>
      </c>
      <c r="D5" s="808">
        <f>MROUND(C5,10)</f>
        <v>370</v>
      </c>
      <c r="E5" s="794">
        <v>69.238</v>
      </c>
      <c r="F5" s="808">
        <f>IF(E5&lt;5,0,(IF(E5&gt;50,MROUND(E5,10),MROUND(E5,5))))</f>
        <v>70</v>
      </c>
      <c r="G5" s="794">
        <v>7.6929999999999996</v>
      </c>
      <c r="H5" s="845">
        <f>IF(G5&lt;0.5,0,IF(G5&gt;5,MROUND(G5,1),MROUND(G5,0.5)))</f>
        <v>8</v>
      </c>
      <c r="I5" s="794">
        <v>4.8959999999999999</v>
      </c>
      <c r="J5" s="845">
        <f>IF(I5&lt;0.5,0,IF(I5&gt;5,MROUND(I5,1),MROUND(I5,0.5)))</f>
        <v>5</v>
      </c>
      <c r="K5" s="794">
        <v>0</v>
      </c>
      <c r="L5" s="845">
        <f>IF(K5&lt;0.5,0,IF(K5&gt;5,MROUND(K5,1),MROUND(K5,0.5)))</f>
        <v>0</v>
      </c>
      <c r="M5" s="794">
        <v>45.459000000000003</v>
      </c>
      <c r="N5" s="808">
        <f>IF(M5&lt;2,0,IF(M5&gt;5,MROUND(M5,5),"less than 5 mg"))</f>
        <v>45</v>
      </c>
      <c r="O5" s="794">
        <v>135.393</v>
      </c>
      <c r="P5" s="808">
        <f>IF(O5&lt;5,0,IF(O5&gt;140,MROUND(O5,10),MROUND(O5,5)))</f>
        <v>135</v>
      </c>
      <c r="Q5" s="794">
        <v>73.033000000000001</v>
      </c>
      <c r="R5" s="808">
        <f>IF(Q5&lt;0.5,0,IF(Q5&gt;1,MROUND(Q5,1),"less than 1 g"))</f>
        <v>73</v>
      </c>
      <c r="S5" s="794">
        <v>3.5999999999999997E-2</v>
      </c>
      <c r="T5" s="808">
        <f>IF(S5&lt;0.5,0,IF(S5&gt;1,MROUND(S5,1),"less than 1 g"))</f>
        <v>0</v>
      </c>
      <c r="U5" s="794">
        <v>67.745000000000005</v>
      </c>
      <c r="V5" s="808">
        <f>IF(U5&lt;0.5,0,IF(U5&gt;1,MROUND(U5,1),"less than 1 g"))</f>
        <v>68</v>
      </c>
      <c r="W5" s="794">
        <v>55.088999999999999</v>
      </c>
      <c r="X5" s="808">
        <f>IF(W5&lt;0.5,0,IF(W5&gt;1,MROUND(W5,1),"less than 1 g"))</f>
        <v>55</v>
      </c>
      <c r="Y5" s="795">
        <v>2.7970000000000002</v>
      </c>
      <c r="Z5" s="808">
        <f>IF(Y5&lt;0.5,0,IF(Y5&gt;1,MROUND(Y5,1),"less than 1 g"))</f>
        <v>3</v>
      </c>
      <c r="AA5" s="795">
        <v>0</v>
      </c>
      <c r="AB5" s="795">
        <v>0</v>
      </c>
      <c r="AC5" s="795">
        <v>143.97999999999999</v>
      </c>
      <c r="AD5" s="796">
        <v>11.074999999999999</v>
      </c>
      <c r="AE5" s="796">
        <v>5.0999999999999997E-2</v>
      </c>
      <c r="AF5" s="796">
        <v>0.28599999999999998</v>
      </c>
      <c r="AG5" s="796">
        <v>17.221</v>
      </c>
      <c r="AH5" s="797">
        <v>0.36599999999999999</v>
      </c>
    </row>
    <row r="6" spans="1:34" s="465" customFormat="1" ht="15" customHeight="1">
      <c r="A6" s="653"/>
      <c r="B6" s="1177" t="s">
        <v>166</v>
      </c>
      <c r="C6" s="536">
        <v>127.224</v>
      </c>
      <c r="D6" s="808">
        <f t="shared" ref="D6:D8" si="0">MROUND(C6,10)</f>
        <v>130</v>
      </c>
      <c r="E6" s="536">
        <v>17.951000000000001</v>
      </c>
      <c r="F6" s="808">
        <f t="shared" ref="F6:F8" si="1">IF(E6&lt;5,0,(IF(E6&gt;50,MROUND(E6,10),MROUND(E6,5))))</f>
        <v>20</v>
      </c>
      <c r="G6" s="536">
        <v>1.9950000000000001</v>
      </c>
      <c r="H6" s="845">
        <f t="shared" ref="H6:J8" si="2">IF(G6&lt;0.5,0,IF(G6&gt;5,MROUND(G6,1),MROUND(G6,0.5)))</f>
        <v>2</v>
      </c>
      <c r="I6" s="536">
        <v>1.228</v>
      </c>
      <c r="J6" s="845">
        <f t="shared" si="2"/>
        <v>1</v>
      </c>
      <c r="K6" s="536">
        <v>0</v>
      </c>
      <c r="L6" s="845">
        <f t="shared" ref="L6" si="3">IF(K6&lt;0.5,0,IF(K6&gt;5,MROUND(K6,1),MROUND(K6,0.5)))</f>
        <v>0</v>
      </c>
      <c r="M6" s="536">
        <v>5.2210000000000001</v>
      </c>
      <c r="N6" s="808">
        <f t="shared" ref="N6:N8" si="4">IF(M6&lt;2,0,IF(M6&gt;5,MROUND(M6,5),"less than 5 mg"))</f>
        <v>5</v>
      </c>
      <c r="O6" s="536">
        <v>102.91200000000001</v>
      </c>
      <c r="P6" s="808">
        <f t="shared" ref="P6:P8" si="5">IF(O6&lt;5,0,IF(O6&gt;140,MROUND(O6,10),MROUND(O6,5)))</f>
        <v>105</v>
      </c>
      <c r="Q6" s="536">
        <v>26.513000000000002</v>
      </c>
      <c r="R6" s="808">
        <f t="shared" ref="R6:T8" si="6">IF(Q6&lt;0.5,0,IF(Q6&gt;1,MROUND(Q6,1),"less than 1 g"))</f>
        <v>27</v>
      </c>
      <c r="S6" s="536">
        <v>2.8000000000000001E-2</v>
      </c>
      <c r="T6" s="808">
        <f t="shared" si="6"/>
        <v>0</v>
      </c>
      <c r="U6" s="536">
        <v>20.395</v>
      </c>
      <c r="V6" s="808">
        <f t="shared" ref="V6" si="7">IF(U6&lt;0.5,0,IF(U6&gt;1,MROUND(U6,1),"less than 1 g"))</f>
        <v>20</v>
      </c>
      <c r="W6" s="536">
        <v>20.390999999999998</v>
      </c>
      <c r="X6" s="808">
        <f t="shared" ref="X6" si="8">IF(W6&lt;0.5,0,IF(W6&gt;1,MROUND(W6,1),"less than 1 g"))</f>
        <v>20</v>
      </c>
      <c r="Y6" s="536">
        <v>1.0009999999999999</v>
      </c>
      <c r="Z6" s="808">
        <f t="shared" ref="Z6" si="9">IF(Y6&lt;0.5,0,IF(Y6&gt;1,MROUND(Y6,1),"less than 1 g"))</f>
        <v>1</v>
      </c>
      <c r="AA6" s="536">
        <v>1.6E-2</v>
      </c>
      <c r="AB6" s="536">
        <v>8.1000000000000003E-2</v>
      </c>
      <c r="AC6" s="536">
        <v>29.184000000000001</v>
      </c>
      <c r="AD6" s="536">
        <v>2.2450000000000001</v>
      </c>
      <c r="AE6" s="536">
        <v>2.4E-2</v>
      </c>
      <c r="AF6" s="536">
        <v>0.13500000000000001</v>
      </c>
      <c r="AG6" s="536">
        <v>41.162999999999997</v>
      </c>
      <c r="AH6" s="665">
        <v>0.876</v>
      </c>
    </row>
    <row r="7" spans="1:34" s="465" customFormat="1" ht="15" customHeight="1">
      <c r="A7" s="653"/>
      <c r="B7" s="1178" t="s">
        <v>165</v>
      </c>
      <c r="C7" s="654">
        <v>117.709</v>
      </c>
      <c r="D7" s="808">
        <f t="shared" si="0"/>
        <v>120</v>
      </c>
      <c r="E7" s="654">
        <v>36.851999999999997</v>
      </c>
      <c r="F7" s="808">
        <f t="shared" si="1"/>
        <v>35</v>
      </c>
      <c r="G7" s="654">
        <v>4.0949999999999998</v>
      </c>
      <c r="H7" s="845">
        <f t="shared" si="2"/>
        <v>4</v>
      </c>
      <c r="I7" s="654">
        <v>3.9359999999999999</v>
      </c>
      <c r="J7" s="845">
        <f t="shared" si="2"/>
        <v>4</v>
      </c>
      <c r="K7" s="654">
        <v>0</v>
      </c>
      <c r="L7" s="845">
        <f t="shared" ref="L7" si="10">IF(K7&lt;0.5,0,IF(K7&gt;5,MROUND(K7,1),MROUND(K7,0.5)))</f>
        <v>0</v>
      </c>
      <c r="M7" s="654">
        <v>4.0000000000000001E-3</v>
      </c>
      <c r="N7" s="808">
        <f t="shared" si="4"/>
        <v>0</v>
      </c>
      <c r="O7" s="654">
        <v>105.624</v>
      </c>
      <c r="P7" s="808">
        <f t="shared" si="5"/>
        <v>105</v>
      </c>
      <c r="Q7" s="654">
        <v>20.123000000000001</v>
      </c>
      <c r="R7" s="808">
        <f t="shared" si="6"/>
        <v>20</v>
      </c>
      <c r="S7" s="654">
        <v>0.71599999999999997</v>
      </c>
      <c r="T7" s="808" t="str">
        <f t="shared" si="6"/>
        <v>less than 1 g</v>
      </c>
      <c r="U7" s="654">
        <v>16.646000000000001</v>
      </c>
      <c r="V7" s="808">
        <f t="shared" ref="V7" si="11">IF(U7&lt;0.5,0,IF(U7&gt;1,MROUND(U7,1),"less than 1 g"))</f>
        <v>17</v>
      </c>
      <c r="W7" s="654">
        <v>16.547999999999998</v>
      </c>
      <c r="X7" s="808">
        <f t="shared" ref="X7" si="12">IF(W7&lt;0.5,0,IF(W7&gt;1,MROUND(W7,1),"less than 1 g"))</f>
        <v>17</v>
      </c>
      <c r="Y7" s="654">
        <v>1.1459999999999999</v>
      </c>
      <c r="Z7" s="808">
        <f t="shared" ref="Z7" si="13">IF(Y7&lt;0.5,0,IF(Y7&gt;1,MROUND(Y7,1),"less than 1 g"))</f>
        <v>1</v>
      </c>
      <c r="AA7" s="655">
        <v>0</v>
      </c>
      <c r="AB7" s="655">
        <v>0</v>
      </c>
      <c r="AC7" s="654">
        <v>24.055</v>
      </c>
      <c r="AD7" s="654">
        <v>1.85</v>
      </c>
      <c r="AE7" s="654">
        <v>0.99199999999999999</v>
      </c>
      <c r="AF7" s="654">
        <v>5.5090000000000003</v>
      </c>
      <c r="AG7" s="654">
        <v>138.608</v>
      </c>
      <c r="AH7" s="654">
        <v>2.9489999999999998</v>
      </c>
    </row>
    <row r="8" spans="1:34" s="465" customFormat="1" ht="15" customHeight="1">
      <c r="A8" s="653"/>
      <c r="B8" s="1176" t="s">
        <v>423</v>
      </c>
      <c r="C8" s="457">
        <v>38.271000000000001</v>
      </c>
      <c r="D8" s="808">
        <f t="shared" si="0"/>
        <v>40</v>
      </c>
      <c r="E8" s="457">
        <v>25.513999999999999</v>
      </c>
      <c r="F8" s="808">
        <f t="shared" si="1"/>
        <v>25</v>
      </c>
      <c r="G8" s="457">
        <v>2.835</v>
      </c>
      <c r="H8" s="845">
        <f t="shared" si="2"/>
        <v>3</v>
      </c>
      <c r="I8" s="457">
        <v>1.843</v>
      </c>
      <c r="J8" s="845">
        <f t="shared" si="2"/>
        <v>2</v>
      </c>
      <c r="K8" s="457">
        <v>0</v>
      </c>
      <c r="L8" s="845">
        <f t="shared" ref="L8" si="14">IF(K8&lt;0.5,0,IF(K8&gt;5,MROUND(K8,1),MROUND(K8,0.5)))</f>
        <v>0</v>
      </c>
      <c r="M8" s="457">
        <v>9.2129999999999992</v>
      </c>
      <c r="N8" s="808">
        <f t="shared" si="4"/>
        <v>10</v>
      </c>
      <c r="O8" s="457">
        <v>3.544</v>
      </c>
      <c r="P8" s="808">
        <f t="shared" si="5"/>
        <v>0</v>
      </c>
      <c r="Q8" s="457">
        <v>3.1179999999999999</v>
      </c>
      <c r="R8" s="808">
        <f t="shared" si="6"/>
        <v>3</v>
      </c>
      <c r="S8" s="457">
        <v>0</v>
      </c>
      <c r="T8" s="808">
        <f t="shared" si="6"/>
        <v>0</v>
      </c>
      <c r="U8" s="457">
        <v>1.417</v>
      </c>
      <c r="V8" s="808">
        <f t="shared" ref="V8" si="15">IF(U8&lt;0.5,0,IF(U8&gt;1,MROUND(U8,1),"less than 1 g"))</f>
        <v>1</v>
      </c>
      <c r="W8" s="457">
        <v>1.1339999999999999</v>
      </c>
      <c r="X8" s="808">
        <f t="shared" ref="X8" si="16">IF(W8&lt;0.5,0,IF(W8&gt;1,MROUND(W8,1),"less than 1 g"))</f>
        <v>1</v>
      </c>
      <c r="Y8" s="457">
        <v>0.28299999999999997</v>
      </c>
      <c r="Z8" s="808">
        <f t="shared" ref="Z8" si="17">IF(Y8&lt;0.5,0,IF(Y8&gt;1,MROUND(Y8,1),"less than 1 g"))</f>
        <v>0</v>
      </c>
      <c r="AA8" s="458">
        <v>0</v>
      </c>
      <c r="AB8" s="458">
        <v>0</v>
      </c>
      <c r="AC8" s="457">
        <v>9.9220000000000006</v>
      </c>
      <c r="AD8" s="457">
        <v>0.76300000000000001</v>
      </c>
      <c r="AE8" s="457">
        <v>0</v>
      </c>
      <c r="AF8" s="457">
        <v>0</v>
      </c>
      <c r="AG8" s="457">
        <v>12.757</v>
      </c>
      <c r="AH8" s="457">
        <v>0.27100000000000002</v>
      </c>
    </row>
    <row r="9" spans="1:34" s="465" customFormat="1" ht="50.25" customHeight="1">
      <c r="A9" s="1345" t="s">
        <v>168</v>
      </c>
      <c r="B9" s="1345"/>
      <c r="C9" s="1345"/>
      <c r="D9" s="1345"/>
      <c r="E9" s="1345"/>
      <c r="F9" s="1345"/>
      <c r="G9" s="1345"/>
      <c r="H9" s="1345"/>
      <c r="I9" s="1345"/>
      <c r="J9" s="1345"/>
      <c r="K9" s="1345"/>
      <c r="L9" s="1345"/>
      <c r="M9" s="1345"/>
      <c r="N9" s="1345"/>
      <c r="O9" s="1345"/>
      <c r="P9" s="1345"/>
      <c r="Q9" s="1345"/>
      <c r="R9" s="1345"/>
      <c r="S9" s="1345"/>
      <c r="T9" s="1345"/>
      <c r="U9" s="1345"/>
      <c r="V9" s="1345"/>
      <c r="W9" s="1345"/>
      <c r="X9" s="1345"/>
      <c r="Y9" s="1345"/>
      <c r="Z9" s="1345"/>
      <c r="AA9" s="1345"/>
      <c r="AB9" s="1345"/>
      <c r="AC9" s="1345"/>
      <c r="AD9" s="1345"/>
      <c r="AE9" s="1345"/>
      <c r="AF9" s="1345"/>
      <c r="AG9" s="1345"/>
      <c r="AH9" s="1346"/>
    </row>
    <row r="10" spans="1:34" s="465" customFormat="1" ht="50.25" customHeight="1">
      <c r="A10" s="685"/>
      <c r="B10" s="685"/>
      <c r="C10" s="685"/>
      <c r="D10" s="846"/>
      <c r="E10" s="685"/>
      <c r="F10" s="685"/>
      <c r="G10" s="685"/>
      <c r="H10" s="685"/>
      <c r="I10" s="685"/>
      <c r="J10" s="685"/>
      <c r="K10" s="685"/>
      <c r="L10" s="685"/>
      <c r="M10" s="685"/>
      <c r="N10" s="685"/>
      <c r="O10" s="685"/>
      <c r="P10" s="685"/>
      <c r="Q10" s="685"/>
      <c r="R10" s="685"/>
      <c r="S10" s="685"/>
      <c r="T10" s="685"/>
      <c r="U10" s="685"/>
      <c r="V10" s="685"/>
      <c r="W10" s="685"/>
      <c r="X10" s="685"/>
      <c r="Y10" s="685"/>
      <c r="Z10" s="685"/>
      <c r="AA10" s="685"/>
      <c r="AB10" s="685"/>
      <c r="AC10" s="685"/>
      <c r="AD10" s="685"/>
      <c r="AE10" s="685"/>
      <c r="AF10" s="685"/>
      <c r="AG10" s="685"/>
      <c r="AH10" s="685"/>
    </row>
    <row r="11" spans="1:34" ht="18.45">
      <c r="A11" s="1250" t="s">
        <v>589</v>
      </c>
      <c r="B11" s="1251"/>
      <c r="C11" s="1251"/>
      <c r="D11" s="1251"/>
      <c r="E11" s="1251"/>
      <c r="F11" s="1251"/>
      <c r="G11" s="1251"/>
      <c r="H11" s="1251"/>
      <c r="I11" s="1251"/>
      <c r="J11" s="1251"/>
      <c r="K11" s="1251"/>
      <c r="L11" s="1251"/>
      <c r="M11" s="1251"/>
      <c r="N11" s="1251"/>
      <c r="O11" s="1251"/>
      <c r="P11" s="1251"/>
      <c r="Q11" s="1251"/>
      <c r="R11" s="1251"/>
      <c r="S11" s="1251"/>
      <c r="T11" s="1251"/>
      <c r="U11" s="1251"/>
      <c r="V11" s="1251"/>
      <c r="W11" s="1251"/>
      <c r="X11" s="1251"/>
      <c r="Y11" s="1251"/>
      <c r="Z11" s="1251"/>
      <c r="AA11" s="1251"/>
      <c r="AB11" s="1251"/>
      <c r="AC11" s="1251"/>
      <c r="AD11" s="1251"/>
      <c r="AE11" s="1251"/>
      <c r="AF11" s="1251"/>
      <c r="AG11" s="1251"/>
      <c r="AH11" s="1251"/>
    </row>
    <row r="12" spans="1:34" ht="18.45">
      <c r="A12" s="1250" t="s">
        <v>448</v>
      </c>
      <c r="B12" s="1251"/>
      <c r="C12" s="1251"/>
      <c r="D12" s="1251"/>
      <c r="E12" s="1251"/>
      <c r="F12" s="1251"/>
      <c r="G12" s="1251"/>
      <c r="H12" s="1251"/>
      <c r="I12" s="1251"/>
      <c r="J12" s="1251"/>
      <c r="K12" s="1251"/>
      <c r="L12" s="1251"/>
      <c r="M12" s="1251"/>
      <c r="N12" s="1251"/>
      <c r="O12" s="1251"/>
      <c r="P12" s="1251"/>
      <c r="Q12" s="1251"/>
      <c r="R12" s="1251"/>
      <c r="S12" s="1251"/>
      <c r="T12" s="1251"/>
      <c r="U12" s="1251"/>
      <c r="V12" s="1251"/>
      <c r="W12" s="1251"/>
      <c r="X12" s="1251"/>
      <c r="Y12" s="1251"/>
      <c r="Z12" s="1251"/>
      <c r="AA12" s="1251"/>
      <c r="AB12" s="1251"/>
      <c r="AC12" s="1251"/>
      <c r="AD12" s="1251"/>
      <c r="AE12" s="1251"/>
      <c r="AF12" s="1251"/>
      <c r="AG12" s="1251"/>
      <c r="AH12" s="1251"/>
    </row>
    <row r="13" spans="1:34" ht="18.899999999999999" thickBot="1">
      <c r="A13" s="1261" t="s">
        <v>587</v>
      </c>
      <c r="B13" s="1262"/>
      <c r="C13" s="1262"/>
      <c r="D13" s="1262"/>
      <c r="E13" s="1262"/>
      <c r="F13" s="1262"/>
      <c r="G13" s="1262"/>
      <c r="H13" s="1262"/>
      <c r="I13" s="1262"/>
      <c r="J13" s="1262"/>
      <c r="K13" s="1262"/>
      <c r="L13" s="1262"/>
      <c r="M13" s="1262"/>
      <c r="N13" s="1262"/>
      <c r="O13" s="1262"/>
      <c r="P13" s="1262"/>
      <c r="Q13" s="1262"/>
      <c r="R13" s="1262"/>
      <c r="S13" s="1262"/>
      <c r="T13" s="1262"/>
      <c r="U13" s="1262"/>
      <c r="V13" s="1262"/>
      <c r="W13" s="1262"/>
      <c r="X13" s="1262"/>
      <c r="Y13" s="1262"/>
      <c r="Z13" s="1262"/>
      <c r="AA13" s="1262"/>
      <c r="AB13" s="1262"/>
      <c r="AC13" s="1262"/>
      <c r="AD13" s="1262"/>
      <c r="AE13" s="1262"/>
      <c r="AF13" s="1262"/>
      <c r="AG13" s="1262"/>
      <c r="AH13" s="1262"/>
    </row>
    <row r="14" spans="1:34" ht="37.299999999999997" thickBot="1">
      <c r="A14" s="490"/>
      <c r="B14" s="489" t="s">
        <v>3</v>
      </c>
      <c r="C14" s="460" t="s">
        <v>4</v>
      </c>
      <c r="D14" s="460" t="s">
        <v>4</v>
      </c>
      <c r="E14" s="460" t="s">
        <v>5</v>
      </c>
      <c r="F14" s="460" t="s">
        <v>5</v>
      </c>
      <c r="G14" s="460" t="s">
        <v>6</v>
      </c>
      <c r="H14" s="986" t="s">
        <v>6</v>
      </c>
      <c r="I14" s="460" t="s">
        <v>7</v>
      </c>
      <c r="J14" s="986" t="s">
        <v>7</v>
      </c>
      <c r="K14" s="460" t="s">
        <v>8</v>
      </c>
      <c r="L14" s="460" t="s">
        <v>8</v>
      </c>
      <c r="M14" s="460" t="s">
        <v>9</v>
      </c>
      <c r="N14" s="460" t="s">
        <v>9</v>
      </c>
      <c r="O14" s="460" t="s">
        <v>10</v>
      </c>
      <c r="P14" s="460" t="s">
        <v>10</v>
      </c>
      <c r="Q14" s="460" t="s">
        <v>11</v>
      </c>
      <c r="R14" s="460" t="s">
        <v>11</v>
      </c>
      <c r="S14" s="460" t="s">
        <v>12</v>
      </c>
      <c r="T14" s="460" t="s">
        <v>12</v>
      </c>
      <c r="U14" s="460" t="s">
        <v>13</v>
      </c>
      <c r="V14" s="460" t="s">
        <v>13</v>
      </c>
      <c r="W14" s="460" t="s">
        <v>14</v>
      </c>
      <c r="X14" s="460" t="s">
        <v>14</v>
      </c>
      <c r="Y14" s="460" t="s">
        <v>15</v>
      </c>
      <c r="Z14" s="460" t="s">
        <v>15</v>
      </c>
      <c r="AA14" s="487" t="s">
        <v>16</v>
      </c>
      <c r="AB14" s="487" t="s">
        <v>17</v>
      </c>
      <c r="AC14" s="487" t="s">
        <v>18</v>
      </c>
      <c r="AD14" s="487" t="s">
        <v>19</v>
      </c>
      <c r="AE14" s="487" t="s">
        <v>20</v>
      </c>
      <c r="AF14" s="487" t="s">
        <v>21</v>
      </c>
      <c r="AG14" s="487" t="s">
        <v>22</v>
      </c>
      <c r="AH14" s="487" t="s">
        <v>23</v>
      </c>
    </row>
    <row r="15" spans="1:34" ht="18.45">
      <c r="A15" s="518" t="s">
        <v>179</v>
      </c>
      <c r="B15" s="1179" t="s">
        <v>588</v>
      </c>
      <c r="C15" s="791">
        <v>566.09</v>
      </c>
      <c r="D15" s="808">
        <f t="shared" ref="D15:D18" si="18">MROUND(C15,10)</f>
        <v>570</v>
      </c>
      <c r="E15" s="791">
        <v>101.036</v>
      </c>
      <c r="F15" s="808">
        <f t="shared" ref="F15:F18" si="19">IF(E15&lt;5,0,(IF(E15&gt;50,MROUND(E15,10),MROUND(E15,5))))</f>
        <v>100</v>
      </c>
      <c r="G15" s="791">
        <v>11.226000000000001</v>
      </c>
      <c r="H15" s="845">
        <f t="shared" ref="H15:J18" si="20">IF(G15&lt;0.5,0,IF(G15&gt;5,MROUND(G15,1),MROUND(G15,0.5)))</f>
        <v>11</v>
      </c>
      <c r="I15" s="791">
        <v>7.1440000000000001</v>
      </c>
      <c r="J15" s="845">
        <f t="shared" si="20"/>
        <v>7</v>
      </c>
      <c r="K15" s="791">
        <v>0</v>
      </c>
      <c r="L15" s="845">
        <f t="shared" ref="L15" si="21">IF(K15&lt;0.5,0,IF(K15&gt;5,MROUND(K15,1),MROUND(K15,0.5)))</f>
        <v>0</v>
      </c>
      <c r="M15" s="791">
        <v>66.337000000000003</v>
      </c>
      <c r="N15" s="808">
        <f t="shared" ref="N15:N18" si="22">IF(M15&lt;2,0,IF(M15&gt;5,MROUND(M15,5),"less than 5 mg"))</f>
        <v>65</v>
      </c>
      <c r="O15" s="791">
        <v>202.922</v>
      </c>
      <c r="P15" s="808">
        <f t="shared" ref="P15:P18" si="23">IF(O15&lt;5,0,IF(O15&gt;140,MROUND(O15,10),MROUND(O15,5)))</f>
        <v>200</v>
      </c>
      <c r="Q15" s="791">
        <v>114.693</v>
      </c>
      <c r="R15" s="808">
        <f t="shared" ref="R15:T18" si="24">IF(Q15&lt;0.5,0,IF(Q15&gt;1,MROUND(Q15,1),"less than 1 g"))</f>
        <v>115</v>
      </c>
      <c r="S15" s="791">
        <v>5.8000000000000003E-2</v>
      </c>
      <c r="T15" s="808">
        <f t="shared" si="24"/>
        <v>0</v>
      </c>
      <c r="U15" s="791">
        <v>106.727</v>
      </c>
      <c r="V15" s="808">
        <f t="shared" ref="V15" si="25">IF(U15&lt;0.5,0,IF(U15&gt;1,MROUND(U15,1),"less than 1 g"))</f>
        <v>107</v>
      </c>
      <c r="W15" s="791">
        <v>88.248999999999995</v>
      </c>
      <c r="X15" s="808">
        <f t="shared" ref="X15" si="26">IF(W15&lt;0.5,0,IF(W15&gt;1,MROUND(W15,1),"less than 1 g"))</f>
        <v>88</v>
      </c>
      <c r="Y15" s="792">
        <v>4.0819999999999999</v>
      </c>
      <c r="Z15" s="808">
        <f t="shared" ref="Z15" si="27">IF(Y15&lt;0.5,0,IF(Y15&gt;1,MROUND(Y15,1),"less than 1 g"))</f>
        <v>4</v>
      </c>
      <c r="AA15" s="792">
        <v>0</v>
      </c>
      <c r="AB15" s="792">
        <v>0</v>
      </c>
      <c r="AC15" s="792">
        <v>211.18899999999999</v>
      </c>
      <c r="AD15" s="793">
        <v>16.245000000000001</v>
      </c>
      <c r="AE15" s="793">
        <v>8.2000000000000003E-2</v>
      </c>
      <c r="AF15" s="793">
        <v>0.45800000000000002</v>
      </c>
      <c r="AG15" s="793">
        <v>27.587</v>
      </c>
      <c r="AH15" s="793">
        <v>0.58699999999999997</v>
      </c>
    </row>
    <row r="16" spans="1:34" ht="18.45">
      <c r="A16" s="1351"/>
      <c r="B16" s="1180" t="s">
        <v>166</v>
      </c>
      <c r="C16" s="654">
        <f>C6*2</f>
        <v>254.44800000000001</v>
      </c>
      <c r="D16" s="808">
        <f t="shared" si="18"/>
        <v>250</v>
      </c>
      <c r="E16" s="654">
        <f t="shared" ref="E16:AH16" si="28">E6*2</f>
        <v>35.902000000000001</v>
      </c>
      <c r="F16" s="808">
        <f t="shared" si="19"/>
        <v>35</v>
      </c>
      <c r="G16" s="654">
        <f t="shared" si="28"/>
        <v>3.99</v>
      </c>
      <c r="H16" s="845">
        <f t="shared" si="20"/>
        <v>4</v>
      </c>
      <c r="I16" s="654">
        <f t="shared" si="28"/>
        <v>2.456</v>
      </c>
      <c r="J16" s="845">
        <f t="shared" si="20"/>
        <v>2.5</v>
      </c>
      <c r="K16" s="654">
        <f t="shared" si="28"/>
        <v>0</v>
      </c>
      <c r="L16" s="845">
        <f t="shared" ref="L16" si="29">IF(K16&lt;0.5,0,IF(K16&gt;5,MROUND(K16,1),MROUND(K16,0.5)))</f>
        <v>0</v>
      </c>
      <c r="M16" s="654">
        <f t="shared" si="28"/>
        <v>10.442</v>
      </c>
      <c r="N16" s="808">
        <f t="shared" si="22"/>
        <v>10</v>
      </c>
      <c r="O16" s="654">
        <f t="shared" si="28"/>
        <v>205.82400000000001</v>
      </c>
      <c r="P16" s="808">
        <f t="shared" si="23"/>
        <v>210</v>
      </c>
      <c r="Q16" s="654">
        <f t="shared" si="28"/>
        <v>53.026000000000003</v>
      </c>
      <c r="R16" s="808">
        <f t="shared" si="24"/>
        <v>53</v>
      </c>
      <c r="S16" s="654">
        <f t="shared" si="28"/>
        <v>5.6000000000000001E-2</v>
      </c>
      <c r="T16" s="808">
        <f t="shared" si="24"/>
        <v>0</v>
      </c>
      <c r="U16" s="654">
        <f t="shared" si="28"/>
        <v>40.79</v>
      </c>
      <c r="V16" s="808">
        <f t="shared" ref="V16" si="30">IF(U16&lt;0.5,0,IF(U16&gt;1,MROUND(U16,1),"less than 1 g"))</f>
        <v>41</v>
      </c>
      <c r="W16" s="654">
        <f t="shared" si="28"/>
        <v>40.781999999999996</v>
      </c>
      <c r="X16" s="808">
        <f t="shared" ref="X16" si="31">IF(W16&lt;0.5,0,IF(W16&gt;1,MROUND(W16,1),"less than 1 g"))</f>
        <v>41</v>
      </c>
      <c r="Y16" s="654">
        <f t="shared" si="28"/>
        <v>2.0019999999999998</v>
      </c>
      <c r="Z16" s="808">
        <f t="shared" ref="Z16" si="32">IF(Y16&lt;0.5,0,IF(Y16&gt;1,MROUND(Y16,1),"less than 1 g"))</f>
        <v>2</v>
      </c>
      <c r="AA16" s="654">
        <f t="shared" si="28"/>
        <v>3.2000000000000001E-2</v>
      </c>
      <c r="AB16" s="654">
        <f t="shared" si="28"/>
        <v>0.16200000000000001</v>
      </c>
      <c r="AC16" s="654">
        <f t="shared" si="28"/>
        <v>58.368000000000002</v>
      </c>
      <c r="AD16" s="654">
        <f t="shared" si="28"/>
        <v>4.49</v>
      </c>
      <c r="AE16" s="654">
        <f t="shared" si="28"/>
        <v>4.8000000000000001E-2</v>
      </c>
      <c r="AF16" s="654">
        <f t="shared" si="28"/>
        <v>0.27</v>
      </c>
      <c r="AG16" s="654">
        <f t="shared" si="28"/>
        <v>82.325999999999993</v>
      </c>
      <c r="AH16" s="654">
        <f t="shared" si="28"/>
        <v>1.752</v>
      </c>
    </row>
    <row r="17" spans="1:34" ht="18.45">
      <c r="A17" s="1351"/>
      <c r="B17" s="1180" t="s">
        <v>165</v>
      </c>
      <c r="C17" s="654">
        <f>C7*2</f>
        <v>235.41800000000001</v>
      </c>
      <c r="D17" s="808">
        <f t="shared" si="18"/>
        <v>240</v>
      </c>
      <c r="E17" s="654">
        <f t="shared" ref="E17:AH17" si="33">E7*2</f>
        <v>73.703999999999994</v>
      </c>
      <c r="F17" s="808">
        <f t="shared" si="19"/>
        <v>70</v>
      </c>
      <c r="G17" s="654">
        <f t="shared" si="33"/>
        <v>8.19</v>
      </c>
      <c r="H17" s="845">
        <f t="shared" si="20"/>
        <v>8</v>
      </c>
      <c r="I17" s="654">
        <f t="shared" si="33"/>
        <v>7.8719999999999999</v>
      </c>
      <c r="J17" s="845">
        <f t="shared" si="20"/>
        <v>8</v>
      </c>
      <c r="K17" s="654">
        <f t="shared" si="33"/>
        <v>0</v>
      </c>
      <c r="L17" s="845">
        <f t="shared" ref="L17" si="34">IF(K17&lt;0.5,0,IF(K17&gt;5,MROUND(K17,1),MROUND(K17,0.5)))</f>
        <v>0</v>
      </c>
      <c r="M17" s="654">
        <f t="shared" si="33"/>
        <v>8.0000000000000002E-3</v>
      </c>
      <c r="N17" s="808">
        <f t="shared" si="22"/>
        <v>0</v>
      </c>
      <c r="O17" s="654">
        <f t="shared" si="33"/>
        <v>211.24799999999999</v>
      </c>
      <c r="P17" s="808">
        <f t="shared" si="23"/>
        <v>210</v>
      </c>
      <c r="Q17" s="654">
        <f t="shared" si="33"/>
        <v>40.246000000000002</v>
      </c>
      <c r="R17" s="808">
        <f t="shared" si="24"/>
        <v>40</v>
      </c>
      <c r="S17" s="654">
        <f t="shared" si="33"/>
        <v>1.4319999999999999</v>
      </c>
      <c r="T17" s="808">
        <f t="shared" si="24"/>
        <v>1</v>
      </c>
      <c r="U17" s="654">
        <f t="shared" si="33"/>
        <v>33.292000000000002</v>
      </c>
      <c r="V17" s="808">
        <f t="shared" ref="V17" si="35">IF(U17&lt;0.5,0,IF(U17&gt;1,MROUND(U17,1),"less than 1 g"))</f>
        <v>33</v>
      </c>
      <c r="W17" s="654">
        <f t="shared" si="33"/>
        <v>33.095999999999997</v>
      </c>
      <c r="X17" s="808">
        <f t="shared" ref="X17" si="36">IF(W17&lt;0.5,0,IF(W17&gt;1,MROUND(W17,1),"less than 1 g"))</f>
        <v>33</v>
      </c>
      <c r="Y17" s="654">
        <f t="shared" si="33"/>
        <v>2.2919999999999998</v>
      </c>
      <c r="Z17" s="808">
        <f t="shared" ref="Z17" si="37">IF(Y17&lt;0.5,0,IF(Y17&gt;1,MROUND(Y17,1),"less than 1 g"))</f>
        <v>2</v>
      </c>
      <c r="AA17" s="654">
        <f t="shared" si="33"/>
        <v>0</v>
      </c>
      <c r="AB17" s="654">
        <f t="shared" si="33"/>
        <v>0</v>
      </c>
      <c r="AC17" s="654">
        <f t="shared" si="33"/>
        <v>48.11</v>
      </c>
      <c r="AD17" s="654">
        <f t="shared" si="33"/>
        <v>3.7</v>
      </c>
      <c r="AE17" s="654">
        <f t="shared" si="33"/>
        <v>1.984</v>
      </c>
      <c r="AF17" s="654">
        <f t="shared" si="33"/>
        <v>11.018000000000001</v>
      </c>
      <c r="AG17" s="654">
        <f t="shared" si="33"/>
        <v>277.21600000000001</v>
      </c>
      <c r="AH17" s="654">
        <f t="shared" si="33"/>
        <v>5.8979999999999997</v>
      </c>
    </row>
    <row r="18" spans="1:34" ht="18.45">
      <c r="A18" s="1351"/>
      <c r="B18" s="1180" t="s">
        <v>423</v>
      </c>
      <c r="C18" s="457">
        <v>38.271000000000001</v>
      </c>
      <c r="D18" s="808">
        <f t="shared" si="18"/>
        <v>40</v>
      </c>
      <c r="E18" s="457">
        <v>25.513999999999999</v>
      </c>
      <c r="F18" s="808">
        <f t="shared" si="19"/>
        <v>25</v>
      </c>
      <c r="G18" s="457">
        <v>2.835</v>
      </c>
      <c r="H18" s="845">
        <f t="shared" si="20"/>
        <v>3</v>
      </c>
      <c r="I18" s="457">
        <v>1.843</v>
      </c>
      <c r="J18" s="845">
        <f t="shared" si="20"/>
        <v>2</v>
      </c>
      <c r="K18" s="457">
        <v>0</v>
      </c>
      <c r="L18" s="845">
        <f t="shared" ref="L18" si="38">IF(K18&lt;0.5,0,IF(K18&gt;5,MROUND(K18,1),MROUND(K18,0.5)))</f>
        <v>0</v>
      </c>
      <c r="M18" s="457">
        <v>9.2129999999999992</v>
      </c>
      <c r="N18" s="808">
        <f t="shared" si="22"/>
        <v>10</v>
      </c>
      <c r="O18" s="457">
        <v>3.544</v>
      </c>
      <c r="P18" s="808">
        <f t="shared" si="23"/>
        <v>0</v>
      </c>
      <c r="Q18" s="457">
        <v>3.1179999999999999</v>
      </c>
      <c r="R18" s="808">
        <f t="shared" si="24"/>
        <v>3</v>
      </c>
      <c r="S18" s="457">
        <v>0</v>
      </c>
      <c r="T18" s="808">
        <f t="shared" si="24"/>
        <v>0</v>
      </c>
      <c r="U18" s="457">
        <v>1.417</v>
      </c>
      <c r="V18" s="808">
        <f t="shared" ref="V18" si="39">IF(U18&lt;0.5,0,IF(U18&gt;1,MROUND(U18,1),"less than 1 g"))</f>
        <v>1</v>
      </c>
      <c r="W18" s="457">
        <v>1.1339999999999999</v>
      </c>
      <c r="X18" s="808">
        <f t="shared" ref="X18" si="40">IF(W18&lt;0.5,0,IF(W18&gt;1,MROUND(W18,1),"less than 1 g"))</f>
        <v>1</v>
      </c>
      <c r="Y18" s="457">
        <v>0.28299999999999997</v>
      </c>
      <c r="Z18" s="808">
        <f t="shared" ref="Z18" si="41">IF(Y18&lt;0.5,0,IF(Y18&gt;1,MROUND(Y18,1),"less than 1 g"))</f>
        <v>0</v>
      </c>
      <c r="AA18" s="458">
        <v>0</v>
      </c>
      <c r="AB18" s="458">
        <v>0</v>
      </c>
      <c r="AC18" s="457">
        <v>9.9220000000000006</v>
      </c>
      <c r="AD18" s="457">
        <v>0.76300000000000001</v>
      </c>
      <c r="AE18" s="457">
        <v>0</v>
      </c>
      <c r="AF18" s="457">
        <v>0</v>
      </c>
      <c r="AG18" s="457">
        <v>12.757</v>
      </c>
      <c r="AH18" s="457">
        <v>0.27100000000000002</v>
      </c>
    </row>
    <row r="19" spans="1:34" ht="18.45">
      <c r="A19" s="467"/>
      <c r="B19" s="1249" t="s">
        <v>168</v>
      </c>
      <c r="C19" s="1249"/>
      <c r="D19" s="1249"/>
      <c r="E19" s="1249"/>
      <c r="F19" s="1249"/>
      <c r="G19" s="1249"/>
      <c r="H19" s="1249"/>
      <c r="I19" s="1249"/>
      <c r="J19" s="1249"/>
      <c r="K19" s="1249"/>
      <c r="L19" s="1249"/>
      <c r="M19" s="1249"/>
      <c r="N19" s="1249"/>
      <c r="O19" s="1249"/>
      <c r="P19" s="1249"/>
      <c r="Q19" s="1249"/>
      <c r="R19" s="1249"/>
      <c r="S19" s="1249"/>
      <c r="T19" s="1249"/>
      <c r="U19" s="1249"/>
      <c r="V19" s="1249"/>
      <c r="W19" s="1249"/>
      <c r="X19" s="1249"/>
      <c r="Y19" s="1249"/>
      <c r="Z19" s="1249"/>
      <c r="AA19" s="1249"/>
      <c r="AB19" s="1249"/>
      <c r="AC19" s="1249"/>
      <c r="AD19" s="1249"/>
      <c r="AE19" s="1249"/>
      <c r="AF19" s="1249"/>
      <c r="AG19" s="1249"/>
      <c r="AH19" s="1249"/>
    </row>
    <row r="20" spans="1:34" ht="18.45">
      <c r="A20" s="467"/>
      <c r="B20" s="1249"/>
      <c r="C20" s="1249"/>
      <c r="D20" s="1249"/>
      <c r="E20" s="1249"/>
      <c r="F20" s="1249"/>
      <c r="G20" s="1249"/>
      <c r="H20" s="1249"/>
      <c r="I20" s="1249"/>
      <c r="J20" s="1249"/>
      <c r="K20" s="1249"/>
      <c r="L20" s="1249"/>
      <c r="M20" s="1249"/>
      <c r="N20" s="1249"/>
      <c r="O20" s="1249"/>
      <c r="P20" s="1249"/>
      <c r="Q20" s="1249"/>
      <c r="R20" s="1249"/>
      <c r="S20" s="1249"/>
      <c r="T20" s="1249"/>
      <c r="U20" s="1249"/>
      <c r="V20" s="1249"/>
      <c r="W20" s="1249"/>
      <c r="X20" s="1249"/>
      <c r="Y20" s="1249"/>
      <c r="Z20" s="1249"/>
      <c r="AA20" s="1249"/>
      <c r="AB20" s="1249"/>
      <c r="AC20" s="1249"/>
      <c r="AD20" s="1249"/>
      <c r="AE20" s="1249"/>
      <c r="AF20" s="1249"/>
      <c r="AG20" s="1249"/>
      <c r="AH20" s="1249"/>
    </row>
    <row r="21" spans="1:34" ht="18.45">
      <c r="A21" s="467"/>
      <c r="B21" s="1249"/>
      <c r="C21" s="1249"/>
      <c r="D21" s="1249"/>
      <c r="E21" s="1249"/>
      <c r="F21" s="1249"/>
      <c r="G21" s="1249"/>
      <c r="H21" s="1249"/>
      <c r="I21" s="1249"/>
      <c r="J21" s="1249"/>
      <c r="K21" s="1249"/>
      <c r="L21" s="1249"/>
      <c r="M21" s="1249"/>
      <c r="N21" s="1249"/>
      <c r="O21" s="1249"/>
      <c r="P21" s="1249"/>
      <c r="Q21" s="1249"/>
      <c r="R21" s="1249"/>
      <c r="S21" s="1249"/>
      <c r="T21" s="1249"/>
      <c r="U21" s="1249"/>
      <c r="V21" s="1249"/>
      <c r="W21" s="1249"/>
      <c r="X21" s="1249"/>
      <c r="Y21" s="1249"/>
      <c r="Z21" s="1249"/>
      <c r="AA21" s="1249"/>
      <c r="AB21" s="1249"/>
      <c r="AC21" s="1249"/>
      <c r="AD21" s="1249"/>
      <c r="AE21" s="1249"/>
      <c r="AF21" s="1249"/>
      <c r="AG21" s="1249"/>
      <c r="AH21" s="1249"/>
    </row>
    <row r="23" spans="1:34" ht="13.3" thickBot="1"/>
    <row r="24" spans="1:34" ht="36.9">
      <c r="B24" s="982" t="s">
        <v>590</v>
      </c>
      <c r="C24" s="460" t="s">
        <v>4</v>
      </c>
      <c r="D24" s="460" t="s">
        <v>4</v>
      </c>
      <c r="E24" s="460" t="s">
        <v>5</v>
      </c>
      <c r="F24" s="460" t="s">
        <v>5</v>
      </c>
      <c r="G24" s="460" t="s">
        <v>6</v>
      </c>
      <c r="H24" s="986" t="s">
        <v>6</v>
      </c>
      <c r="I24" s="460" t="s">
        <v>7</v>
      </c>
      <c r="J24" s="460" t="s">
        <v>7</v>
      </c>
      <c r="K24" s="460" t="s">
        <v>8</v>
      </c>
      <c r="L24" s="460" t="s">
        <v>8</v>
      </c>
      <c r="M24" s="460" t="s">
        <v>9</v>
      </c>
      <c r="N24" s="460" t="s">
        <v>9</v>
      </c>
      <c r="O24" s="460" t="s">
        <v>10</v>
      </c>
      <c r="P24" s="460" t="s">
        <v>10</v>
      </c>
      <c r="Q24" s="460" t="s">
        <v>11</v>
      </c>
      <c r="R24" s="460" t="s">
        <v>11</v>
      </c>
      <c r="S24" s="460" t="s">
        <v>12</v>
      </c>
      <c r="T24" s="460" t="s">
        <v>12</v>
      </c>
      <c r="U24" s="460" t="s">
        <v>13</v>
      </c>
      <c r="V24" s="460" t="s">
        <v>13</v>
      </c>
      <c r="W24" s="460" t="s">
        <v>14</v>
      </c>
      <c r="X24" s="460" t="s">
        <v>14</v>
      </c>
      <c r="Y24" s="460" t="s">
        <v>15</v>
      </c>
      <c r="Z24" s="460" t="s">
        <v>15</v>
      </c>
    </row>
    <row r="25" spans="1:34" ht="18.899999999999999" thickBot="1">
      <c r="B25" s="983"/>
      <c r="C25" s="984">
        <f>D5</f>
        <v>370</v>
      </c>
      <c r="D25" s="990">
        <f>D5+D6+D8</f>
        <v>540</v>
      </c>
      <c r="E25" s="984">
        <f>F5</f>
        <v>70</v>
      </c>
      <c r="F25" s="990">
        <f>F5+F6+F8</f>
        <v>115</v>
      </c>
      <c r="G25" s="984">
        <f>H5</f>
        <v>8</v>
      </c>
      <c r="H25" s="990">
        <f>H5+H6+H8</f>
        <v>13</v>
      </c>
      <c r="I25" s="984">
        <f>J5</f>
        <v>5</v>
      </c>
      <c r="J25" s="990">
        <f>J5+J6+J8</f>
        <v>8</v>
      </c>
      <c r="K25" s="984">
        <f>L5</f>
        <v>0</v>
      </c>
      <c r="L25" s="990">
        <f>L5+L6+L8</f>
        <v>0</v>
      </c>
      <c r="M25" s="984">
        <f>N5</f>
        <v>45</v>
      </c>
      <c r="N25" s="990">
        <f>N5+N6+N8</f>
        <v>60</v>
      </c>
      <c r="O25" s="984">
        <f>P5</f>
        <v>135</v>
      </c>
      <c r="P25" s="990">
        <f>P5+P6+P8</f>
        <v>240</v>
      </c>
      <c r="Q25" s="984">
        <f>R5</f>
        <v>73</v>
      </c>
      <c r="R25" s="990">
        <f>R5+R6+R8</f>
        <v>103</v>
      </c>
      <c r="S25" s="984">
        <f>T5</f>
        <v>0</v>
      </c>
      <c r="T25" s="990">
        <f>T5+T6+T8</f>
        <v>0</v>
      </c>
      <c r="U25" s="984">
        <f>V5</f>
        <v>68</v>
      </c>
      <c r="V25" s="990">
        <f>V5+V6+V8</f>
        <v>89</v>
      </c>
      <c r="W25" s="984">
        <f>X5</f>
        <v>55</v>
      </c>
      <c r="X25" s="990">
        <f>X5+X6+X8</f>
        <v>76</v>
      </c>
      <c r="Y25" s="984">
        <f>Z5</f>
        <v>3</v>
      </c>
      <c r="Z25" s="990">
        <f>Z5+Z6+Z8</f>
        <v>4</v>
      </c>
    </row>
    <row r="26" spans="1:34" ht="36.9">
      <c r="B26" s="982" t="s">
        <v>591</v>
      </c>
      <c r="C26" s="460" t="s">
        <v>4</v>
      </c>
      <c r="D26" s="460" t="s">
        <v>4</v>
      </c>
      <c r="E26" s="460" t="s">
        <v>5</v>
      </c>
      <c r="F26" s="460" t="s">
        <v>5</v>
      </c>
      <c r="G26" s="460" t="s">
        <v>6</v>
      </c>
      <c r="H26" s="986" t="s">
        <v>6</v>
      </c>
      <c r="I26" s="460" t="s">
        <v>7</v>
      </c>
      <c r="J26" s="460" t="s">
        <v>7</v>
      </c>
      <c r="K26" s="460" t="s">
        <v>8</v>
      </c>
      <c r="L26" s="460" t="s">
        <v>8</v>
      </c>
      <c r="M26" s="460" t="s">
        <v>9</v>
      </c>
      <c r="N26" s="460" t="s">
        <v>9</v>
      </c>
      <c r="O26" s="460" t="s">
        <v>10</v>
      </c>
      <c r="P26" s="460" t="s">
        <v>10</v>
      </c>
      <c r="Q26" s="460" t="s">
        <v>11</v>
      </c>
      <c r="R26" s="460" t="s">
        <v>11</v>
      </c>
      <c r="S26" s="460" t="s">
        <v>12</v>
      </c>
      <c r="T26" s="460" t="s">
        <v>12</v>
      </c>
      <c r="U26" s="460" t="s">
        <v>13</v>
      </c>
      <c r="V26" s="460" t="s">
        <v>13</v>
      </c>
      <c r="W26" s="460" t="s">
        <v>14</v>
      </c>
      <c r="X26" s="460" t="s">
        <v>14</v>
      </c>
      <c r="Y26" s="460" t="s">
        <v>15</v>
      </c>
      <c r="Z26" s="460" t="s">
        <v>15</v>
      </c>
    </row>
    <row r="27" spans="1:34" ht="18.45">
      <c r="B27" s="983"/>
      <c r="C27" s="984">
        <f>D15</f>
        <v>570</v>
      </c>
      <c r="D27" s="990">
        <f>D15+D16+D18</f>
        <v>860</v>
      </c>
      <c r="E27" s="984">
        <f>F15</f>
        <v>100</v>
      </c>
      <c r="F27" s="990">
        <f>F15+F16+F18</f>
        <v>160</v>
      </c>
      <c r="G27" s="984">
        <f>H15</f>
        <v>11</v>
      </c>
      <c r="H27" s="990">
        <f>H15+H16+H18</f>
        <v>18</v>
      </c>
      <c r="I27" s="984">
        <f>J15</f>
        <v>7</v>
      </c>
      <c r="J27" s="990">
        <f>J15+J16+J18</f>
        <v>11.5</v>
      </c>
      <c r="K27" s="984">
        <f>L15</f>
        <v>0</v>
      </c>
      <c r="L27" s="990">
        <f>L15+L16+L18</f>
        <v>0</v>
      </c>
      <c r="M27" s="984">
        <f>N15</f>
        <v>65</v>
      </c>
      <c r="N27" s="990">
        <f>N15+N16+N18</f>
        <v>85</v>
      </c>
      <c r="O27" s="984">
        <f>P15</f>
        <v>200</v>
      </c>
      <c r="P27" s="990">
        <f>P15+P16+P18</f>
        <v>410</v>
      </c>
      <c r="Q27" s="984">
        <f>R15</f>
        <v>115</v>
      </c>
      <c r="R27" s="990">
        <f>R15+R16+R18</f>
        <v>171</v>
      </c>
      <c r="S27" s="984">
        <f>T15</f>
        <v>0</v>
      </c>
      <c r="T27" s="990">
        <f>T15+T16+T18</f>
        <v>0</v>
      </c>
      <c r="U27" s="984">
        <f>V15</f>
        <v>107</v>
      </c>
      <c r="V27" s="990">
        <f>V15+V16+V18</f>
        <v>149</v>
      </c>
      <c r="W27" s="984">
        <f>X15</f>
        <v>88</v>
      </c>
      <c r="X27" s="990">
        <f>X15+X16+X18</f>
        <v>130</v>
      </c>
      <c r="Y27" s="984">
        <f>Z15</f>
        <v>4</v>
      </c>
      <c r="Z27" s="990">
        <f>Z15+Z16+Z18</f>
        <v>6</v>
      </c>
    </row>
  </sheetData>
  <mergeCells count="9">
    <mergeCell ref="A12:AH12"/>
    <mergeCell ref="A13:AH13"/>
    <mergeCell ref="A16:A18"/>
    <mergeCell ref="B19:AH21"/>
    <mergeCell ref="A9:AH9"/>
    <mergeCell ref="A1:AH1"/>
    <mergeCell ref="A2:AH2"/>
    <mergeCell ref="A3:AH3"/>
    <mergeCell ref="A11:AH11"/>
  </mergeCells>
  <pageMargins left="0.7" right="0.7" top="0.75" bottom="0.75" header="0.3" footer="0.3"/>
  <pageSetup scale="46" fitToHeight="0" orientation="landscape" r:id="rId1"/>
  <headerFooter>
    <oddHeader xml:space="preserve">&amp;R&amp;14 2026 Nutrition Information </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49C01-A93C-4C20-B55A-9660ECB8273B}">
  <sheetPr>
    <tabColor rgb="FF92D050"/>
    <pageSetUpPr fitToPage="1"/>
  </sheetPr>
  <dimension ref="A1:V36"/>
  <sheetViews>
    <sheetView zoomScaleNormal="100" zoomScalePageLayoutView="70" workbookViewId="0">
      <selection sqref="A1:V12"/>
    </sheetView>
    <sheetView workbookViewId="1">
      <selection sqref="A1:V1"/>
    </sheetView>
    <sheetView workbookViewId="2">
      <selection sqref="A1:V1"/>
    </sheetView>
  </sheetViews>
  <sheetFormatPr defaultColWidth="9.15234375" defaultRowHeight="12.9"/>
  <cols>
    <col min="1" max="1" width="9.15234375" style="373"/>
    <col min="2" max="2" width="42.53515625" style="373" customWidth="1"/>
    <col min="3" max="3" width="10.3828125" style="373" customWidth="1"/>
    <col min="4" max="4" width="10.15234375" style="373" customWidth="1"/>
    <col min="5" max="8" width="9.3828125" style="373" bestFit="1" customWidth="1"/>
    <col min="9" max="9" width="10.3828125" style="373" bestFit="1" customWidth="1"/>
    <col min="10" max="10" width="10.84375" style="373" customWidth="1"/>
    <col min="11" max="17" width="9.3828125" style="373" bestFit="1" customWidth="1"/>
    <col min="18" max="22" width="10.84375" style="373" bestFit="1" customWidth="1"/>
    <col min="23" max="16384" width="9.15234375" style="373"/>
  </cols>
  <sheetData>
    <row r="1" spans="1:22" s="465" customFormat="1" ht="18.75" customHeight="1">
      <c r="A1" s="1250" t="s">
        <v>589</v>
      </c>
      <c r="B1" s="1251"/>
      <c r="C1" s="1251"/>
      <c r="D1" s="1251"/>
      <c r="E1" s="1251"/>
      <c r="F1" s="1251"/>
      <c r="G1" s="1251"/>
      <c r="H1" s="1251"/>
      <c r="I1" s="1251"/>
      <c r="J1" s="1251"/>
      <c r="K1" s="1251"/>
      <c r="L1" s="1251"/>
      <c r="M1" s="1251"/>
      <c r="N1" s="1251"/>
      <c r="O1" s="1251"/>
      <c r="P1" s="1251"/>
      <c r="Q1" s="1251"/>
      <c r="R1" s="1251"/>
      <c r="S1" s="1251"/>
      <c r="T1" s="1251"/>
      <c r="U1" s="1251"/>
      <c r="V1" s="1251"/>
    </row>
    <row r="2" spans="1:22" s="465" customFormat="1" ht="18.75" customHeight="1">
      <c r="A2" s="1250" t="s">
        <v>448</v>
      </c>
      <c r="B2" s="1251"/>
      <c r="C2" s="1251"/>
      <c r="D2" s="1251"/>
      <c r="E2" s="1251"/>
      <c r="F2" s="1251"/>
      <c r="G2" s="1251"/>
      <c r="H2" s="1251"/>
      <c r="I2" s="1251"/>
      <c r="J2" s="1251"/>
      <c r="K2" s="1251"/>
      <c r="L2" s="1251"/>
      <c r="M2" s="1251"/>
      <c r="N2" s="1251"/>
      <c r="O2" s="1251"/>
      <c r="P2" s="1251"/>
      <c r="Q2" s="1251"/>
      <c r="R2" s="1251"/>
      <c r="S2" s="1251"/>
      <c r="T2" s="1251"/>
      <c r="U2" s="1251"/>
      <c r="V2" s="1251"/>
    </row>
    <row r="3" spans="1:22" s="465" customFormat="1" ht="19.5" customHeight="1" thickBot="1">
      <c r="A3" s="1261" t="s">
        <v>587</v>
      </c>
      <c r="B3" s="1262"/>
      <c r="C3" s="1262"/>
      <c r="D3" s="1262"/>
      <c r="E3" s="1262"/>
      <c r="F3" s="1262"/>
      <c r="G3" s="1262"/>
      <c r="H3" s="1262"/>
      <c r="I3" s="1262"/>
      <c r="J3" s="1262"/>
      <c r="K3" s="1262"/>
      <c r="L3" s="1262"/>
      <c r="M3" s="1262"/>
      <c r="N3" s="1262"/>
      <c r="O3" s="1262"/>
      <c r="P3" s="1262"/>
      <c r="Q3" s="1262"/>
      <c r="R3" s="1262"/>
      <c r="S3" s="1262"/>
      <c r="T3" s="1262"/>
      <c r="U3" s="1262"/>
      <c r="V3" s="1262"/>
    </row>
    <row r="4" spans="1:22" s="465" customFormat="1" ht="54.75" customHeight="1" thickBot="1">
      <c r="A4" s="490"/>
      <c r="B4" s="489" t="s">
        <v>3</v>
      </c>
      <c r="C4" s="488" t="s">
        <v>4</v>
      </c>
      <c r="D4" s="488" t="s">
        <v>5</v>
      </c>
      <c r="E4" s="488" t="s">
        <v>6</v>
      </c>
      <c r="F4" s="488" t="s">
        <v>7</v>
      </c>
      <c r="G4" s="488" t="s">
        <v>8</v>
      </c>
      <c r="H4" s="488" t="s">
        <v>9</v>
      </c>
      <c r="I4" s="488" t="s">
        <v>10</v>
      </c>
      <c r="J4" s="488" t="s">
        <v>11</v>
      </c>
      <c r="K4" s="488" t="s">
        <v>12</v>
      </c>
      <c r="L4" s="488" t="s">
        <v>13</v>
      </c>
      <c r="M4" s="488" t="s">
        <v>14</v>
      </c>
      <c r="N4" s="488" t="s">
        <v>15</v>
      </c>
      <c r="O4" s="487" t="s">
        <v>16</v>
      </c>
      <c r="P4" s="487" t="s">
        <v>17</v>
      </c>
      <c r="Q4" s="487" t="s">
        <v>18</v>
      </c>
      <c r="R4" s="487" t="s">
        <v>19</v>
      </c>
      <c r="S4" s="487" t="s">
        <v>20</v>
      </c>
      <c r="T4" s="487" t="s">
        <v>21</v>
      </c>
      <c r="U4" s="487" t="s">
        <v>22</v>
      </c>
      <c r="V4" s="487" t="s">
        <v>23</v>
      </c>
    </row>
    <row r="5" spans="1:22" s="465" customFormat="1" ht="18.45">
      <c r="A5" s="518" t="s">
        <v>179</v>
      </c>
      <c r="B5" s="1179" t="s">
        <v>588</v>
      </c>
      <c r="C5" s="645"/>
      <c r="D5" s="645"/>
      <c r="E5" s="645"/>
      <c r="F5" s="645"/>
      <c r="G5" s="645"/>
      <c r="H5" s="645"/>
      <c r="I5" s="645"/>
      <c r="J5" s="645"/>
      <c r="K5" s="645"/>
      <c r="L5" s="645"/>
      <c r="M5" s="645"/>
      <c r="N5" s="646"/>
      <c r="O5" s="646"/>
      <c r="P5" s="646"/>
      <c r="Q5" s="646"/>
      <c r="R5" s="647"/>
      <c r="S5" s="647"/>
      <c r="T5" s="647"/>
      <c r="U5" s="647"/>
      <c r="V5" s="647"/>
    </row>
    <row r="6" spans="1:22" s="465" customFormat="1" ht="15" customHeight="1">
      <c r="A6" s="1351"/>
      <c r="B6" s="1180" t="s">
        <v>166</v>
      </c>
      <c r="C6" s="654">
        <v>127.224</v>
      </c>
      <c r="D6" s="654">
        <v>17.951000000000001</v>
      </c>
      <c r="E6" s="654">
        <v>1.9950000000000001</v>
      </c>
      <c r="F6" s="654">
        <v>1.228</v>
      </c>
      <c r="G6" s="654">
        <v>0</v>
      </c>
      <c r="H6" s="654">
        <v>5.2210000000000001</v>
      </c>
      <c r="I6" s="654">
        <v>102.91200000000001</v>
      </c>
      <c r="J6" s="654">
        <v>26.513000000000002</v>
      </c>
      <c r="K6" s="654">
        <v>2.8000000000000001E-2</v>
      </c>
      <c r="L6" s="654">
        <v>20.395</v>
      </c>
      <c r="M6" s="654">
        <v>20.390999999999998</v>
      </c>
      <c r="N6" s="654">
        <v>1.0009999999999999</v>
      </c>
      <c r="O6" s="654">
        <v>0</v>
      </c>
      <c r="P6" s="654">
        <v>0</v>
      </c>
      <c r="Q6" s="654">
        <v>29.184000000000001</v>
      </c>
      <c r="R6" s="654">
        <v>2.2450000000000001</v>
      </c>
      <c r="S6" s="654">
        <v>2.4E-2</v>
      </c>
      <c r="T6" s="654">
        <v>0.13500000000000001</v>
      </c>
      <c r="U6" s="654">
        <v>41.162999999999997</v>
      </c>
      <c r="V6" s="654">
        <v>0.876</v>
      </c>
    </row>
    <row r="7" spans="1:22" s="465" customFormat="1" ht="15" customHeight="1">
      <c r="A7" s="1351"/>
      <c r="B7" s="1180" t="s">
        <v>165</v>
      </c>
      <c r="C7" s="654">
        <v>117.709</v>
      </c>
      <c r="D7" s="654">
        <v>36.851999999999997</v>
      </c>
      <c r="E7" s="654">
        <v>4.0949999999999998</v>
      </c>
      <c r="F7" s="654">
        <v>3.9359999999999999</v>
      </c>
      <c r="G7" s="654">
        <v>0</v>
      </c>
      <c r="H7" s="654">
        <v>4.0000000000000001E-3</v>
      </c>
      <c r="I7" s="654">
        <v>105.624</v>
      </c>
      <c r="J7" s="654">
        <v>20.123000000000001</v>
      </c>
      <c r="K7" s="654">
        <v>0.71599999999999997</v>
      </c>
      <c r="L7" s="654">
        <v>16.646000000000001</v>
      </c>
      <c r="M7" s="654">
        <v>16.547999999999998</v>
      </c>
      <c r="N7" s="654">
        <v>1.1459999999999999</v>
      </c>
      <c r="O7" s="654">
        <v>0</v>
      </c>
      <c r="P7" s="654">
        <v>0</v>
      </c>
      <c r="Q7" s="654">
        <v>24.055</v>
      </c>
      <c r="R7" s="654">
        <v>1.85</v>
      </c>
      <c r="S7" s="654">
        <v>0.99199999999999999</v>
      </c>
      <c r="T7" s="654">
        <v>5.5090000000000003</v>
      </c>
      <c r="U7" s="654">
        <v>138.608</v>
      </c>
      <c r="V7" s="654">
        <v>2.9489999999999998</v>
      </c>
    </row>
    <row r="8" spans="1:22" s="465" customFormat="1" ht="17.25" customHeight="1">
      <c r="A8" s="1351"/>
      <c r="B8" s="1180" t="s">
        <v>423</v>
      </c>
      <c r="C8" s="668" t="s">
        <v>592</v>
      </c>
      <c r="D8" s="654">
        <v>25.513999999999999</v>
      </c>
      <c r="E8" s="654">
        <v>2.835</v>
      </c>
      <c r="F8" s="654">
        <v>1.843</v>
      </c>
      <c r="G8" s="654">
        <v>0</v>
      </c>
      <c r="H8" s="654">
        <v>9.2129999999999992</v>
      </c>
      <c r="I8" s="654">
        <v>3.544</v>
      </c>
      <c r="J8" s="654">
        <v>3.1179999999999999</v>
      </c>
      <c r="K8" s="654">
        <v>0</v>
      </c>
      <c r="L8" s="654">
        <v>1.417</v>
      </c>
      <c r="M8" s="654">
        <v>1.1339999999999999</v>
      </c>
      <c r="N8" s="654">
        <v>0.28299999999999997</v>
      </c>
      <c r="O8" s="654">
        <v>0</v>
      </c>
      <c r="P8" s="654">
        <v>0</v>
      </c>
      <c r="Q8" s="654">
        <v>9.9220000000000006</v>
      </c>
      <c r="R8" s="654">
        <v>0.76300000000000001</v>
      </c>
      <c r="S8" s="654">
        <v>0</v>
      </c>
      <c r="T8" s="654">
        <v>0</v>
      </c>
      <c r="U8" s="654">
        <v>12.757</v>
      </c>
      <c r="V8" s="654">
        <v>0.27100000000000002</v>
      </c>
    </row>
    <row r="9" spans="1:22" s="465" customFormat="1" ht="15" hidden="1" customHeight="1">
      <c r="A9" s="1351"/>
      <c r="B9" s="493" t="s">
        <v>593</v>
      </c>
      <c r="C9" s="476"/>
      <c r="D9" s="476"/>
      <c r="E9" s="476"/>
      <c r="F9" s="476"/>
      <c r="G9" s="476"/>
      <c r="H9" s="476"/>
      <c r="I9" s="476"/>
      <c r="J9" s="476"/>
      <c r="K9" s="476"/>
      <c r="L9" s="476"/>
      <c r="M9" s="476"/>
      <c r="N9" s="476"/>
      <c r="O9" s="476"/>
      <c r="P9" s="476"/>
      <c r="Q9" s="476"/>
      <c r="R9" s="476"/>
      <c r="S9" s="476"/>
      <c r="T9" s="476"/>
      <c r="U9" s="476"/>
      <c r="V9" s="476"/>
    </row>
    <row r="10" spans="1:22" s="465" customFormat="1" ht="18.45">
      <c r="A10" s="467"/>
      <c r="B10" s="1249" t="s">
        <v>168</v>
      </c>
      <c r="C10" s="1249"/>
      <c r="D10" s="1249"/>
      <c r="E10" s="1249"/>
      <c r="F10" s="1249"/>
      <c r="G10" s="1249"/>
      <c r="H10" s="1249"/>
      <c r="I10" s="1249"/>
      <c r="J10" s="1249"/>
      <c r="K10" s="1249"/>
      <c r="L10" s="1249"/>
      <c r="M10" s="1249"/>
      <c r="N10" s="1249"/>
      <c r="O10" s="1249"/>
      <c r="P10" s="1249"/>
      <c r="Q10" s="1249"/>
      <c r="R10" s="1249"/>
      <c r="S10" s="1249"/>
      <c r="T10" s="1249"/>
      <c r="U10" s="1249"/>
      <c r="V10" s="1249"/>
    </row>
    <row r="11" spans="1:22" s="465" customFormat="1" ht="18.45">
      <c r="A11" s="467"/>
      <c r="B11" s="1249"/>
      <c r="C11" s="1249"/>
      <c r="D11" s="1249"/>
      <c r="E11" s="1249"/>
      <c r="F11" s="1249"/>
      <c r="G11" s="1249"/>
      <c r="H11" s="1249"/>
      <c r="I11" s="1249"/>
      <c r="J11" s="1249"/>
      <c r="K11" s="1249"/>
      <c r="L11" s="1249"/>
      <c r="M11" s="1249"/>
      <c r="N11" s="1249"/>
      <c r="O11" s="1249"/>
      <c r="P11" s="1249"/>
      <c r="Q11" s="1249"/>
      <c r="R11" s="1249"/>
      <c r="S11" s="1249"/>
      <c r="T11" s="1249"/>
      <c r="U11" s="1249"/>
      <c r="V11" s="1249"/>
    </row>
    <row r="12" spans="1:22" s="465" customFormat="1" ht="19.5" customHeight="1">
      <c r="A12" s="467"/>
      <c r="B12" s="1249"/>
      <c r="C12" s="1249"/>
      <c r="D12" s="1249"/>
      <c r="E12" s="1249"/>
      <c r="F12" s="1249"/>
      <c r="G12" s="1249"/>
      <c r="H12" s="1249"/>
      <c r="I12" s="1249"/>
      <c r="J12" s="1249"/>
      <c r="K12" s="1249"/>
      <c r="L12" s="1249"/>
      <c r="M12" s="1249"/>
      <c r="N12" s="1249"/>
      <c r="O12" s="1249"/>
      <c r="P12" s="1249"/>
      <c r="Q12" s="1249"/>
      <c r="R12" s="1249"/>
      <c r="S12" s="1249"/>
      <c r="T12" s="1249"/>
      <c r="U12" s="1249"/>
      <c r="V12" s="1249"/>
    </row>
    <row r="13" spans="1:22" s="465" customFormat="1" ht="18.45">
      <c r="A13" s="472"/>
      <c r="B13" s="472"/>
      <c r="C13" s="472"/>
      <c r="D13" s="472"/>
      <c r="E13" s="472"/>
      <c r="F13" s="472"/>
      <c r="G13" s="472"/>
      <c r="H13" s="472"/>
      <c r="I13" s="472"/>
      <c r="J13" s="472"/>
      <c r="K13" s="472"/>
      <c r="L13" s="472"/>
      <c r="M13" s="472"/>
      <c r="N13" s="472"/>
      <c r="O13" s="472"/>
      <c r="P13" s="472"/>
      <c r="Q13" s="467"/>
    </row>
    <row r="14" spans="1:22" s="465" customFormat="1" ht="18.45" hidden="1">
      <c r="A14" s="467"/>
      <c r="B14" s="466" t="s">
        <v>439</v>
      </c>
      <c r="C14" s="468" t="e">
        <f>SUM(AVERAGE(#REF!),AVERAGE(C6:C9))</f>
        <v>#REF!</v>
      </c>
      <c r="D14" s="468" t="e">
        <f>SUM(AVERAGE(#REF!),AVERAGE(D6:D9))</f>
        <v>#REF!</v>
      </c>
      <c r="E14" s="468" t="e">
        <f>SUM(AVERAGE(#REF!),AVERAGE(E6:E9))</f>
        <v>#REF!</v>
      </c>
      <c r="F14" s="468" t="e">
        <f>SUM(AVERAGE(#REF!),AVERAGE(F6:F9))</f>
        <v>#REF!</v>
      </c>
      <c r="G14" s="468" t="e">
        <f>SUM(AVERAGE(#REF!),AVERAGE(G6:G9))</f>
        <v>#REF!</v>
      </c>
      <c r="H14" s="468" t="e">
        <f>SUM(AVERAGE(#REF!),AVERAGE(H6:H9))</f>
        <v>#REF!</v>
      </c>
      <c r="I14" s="468" t="e">
        <f>SUM(AVERAGE(#REF!),AVERAGE(I6:I9))</f>
        <v>#REF!</v>
      </c>
      <c r="J14" s="468" t="e">
        <f>SUM(AVERAGE(#REF!),AVERAGE(J6:J9))</f>
        <v>#REF!</v>
      </c>
      <c r="K14" s="468" t="e">
        <f>SUM(AVERAGE(#REF!),AVERAGE(K6:K9))</f>
        <v>#REF!</v>
      </c>
      <c r="L14" s="468" t="e">
        <f>SUM(AVERAGE(#REF!),AVERAGE(L6:L9))</f>
        <v>#REF!</v>
      </c>
      <c r="M14" s="468" t="e">
        <f>SUM(AVERAGE(#REF!),AVERAGE(M6:M9))</f>
        <v>#REF!</v>
      </c>
      <c r="N14" s="468" t="e">
        <f>SUM(AVERAGE(#REF!),AVERAGE(N6:N9))</f>
        <v>#REF!</v>
      </c>
      <c r="O14" s="468" t="e">
        <f>SUM(AVERAGE(#REF!),AVERAGE(O6:O9))</f>
        <v>#REF!</v>
      </c>
      <c r="P14" s="468" t="e">
        <f>SUM(AVERAGE(#REF!),AVERAGE(P6:P9))</f>
        <v>#REF!</v>
      </c>
      <c r="Q14" s="468" t="e">
        <f>SUM(AVERAGE(#REF!),AVERAGE(Q6:Q9))</f>
        <v>#REF!</v>
      </c>
      <c r="R14" s="468" t="e">
        <f>SUM(AVERAGE(#REF!),AVERAGE(R6:R9))</f>
        <v>#REF!</v>
      </c>
      <c r="S14" s="468" t="e">
        <f>SUM(AVERAGE(#REF!),AVERAGE(S6:S9))</f>
        <v>#REF!</v>
      </c>
      <c r="T14" s="468" t="e">
        <f>SUM(AVERAGE(#REF!),AVERAGE(T6:T9))</f>
        <v>#REF!</v>
      </c>
      <c r="U14" s="468" t="e">
        <f>SUM(AVERAGE(#REF!),AVERAGE(U6:U9))</f>
        <v>#REF!</v>
      </c>
      <c r="V14" s="468" t="e">
        <f>SUM(AVERAGE(#REF!),AVERAGE(V6:V9))</f>
        <v>#REF!</v>
      </c>
    </row>
    <row r="15" spans="1:22" s="465" customFormat="1" ht="18.45" hidden="1">
      <c r="A15" s="467"/>
      <c r="B15" s="466" t="s">
        <v>440</v>
      </c>
      <c r="C15" s="468" t="e">
        <f>ROUND( MIN(#REF!)+MIN(C6:C9),0) &amp; " - " &amp; ROUND(MAX(#REF!)+MAX(C6:C9), 0)</f>
        <v>#REF!</v>
      </c>
      <c r="D15" s="468" t="e">
        <f>ROUND( MIN(#REF!)+MIN(D6:D9),0) &amp; " - " &amp; ROUND(MAX(#REF!)+MAX(D6:D9), 0)</f>
        <v>#REF!</v>
      </c>
      <c r="E15" s="468" t="e">
        <f>ROUND( MIN(#REF!)+MIN(E6:E9),0) &amp; " - " &amp; ROUND(MAX(#REF!)+MAX(E6:E9), 0)</f>
        <v>#REF!</v>
      </c>
      <c r="F15" s="468" t="e">
        <f>ROUND( MIN(#REF!)+MIN(F6:F9),0) &amp; " - " &amp; ROUND(MAX(#REF!)+MAX(F6:F9), 0)</f>
        <v>#REF!</v>
      </c>
      <c r="G15" s="468" t="e">
        <f>ROUND( MIN(#REF!)+MIN(G6:G9),0) &amp; " - " &amp; ROUND(MAX(#REF!)+MAX(G6:G9), 0)</f>
        <v>#REF!</v>
      </c>
      <c r="H15" s="468" t="e">
        <f>ROUND( MIN(#REF!)+MIN(H6:H9),0) &amp; " - " &amp; ROUND(MAX(#REF!)+MAX(H6:H9), 0)</f>
        <v>#REF!</v>
      </c>
      <c r="I15" s="468" t="e">
        <f>ROUND( MIN(#REF!)+MIN(I6:I9),0) &amp; " - " &amp; ROUND(MAX(#REF!)+MAX(I6:I9), 0)</f>
        <v>#REF!</v>
      </c>
      <c r="J15" s="468" t="e">
        <f>ROUND( MIN(#REF!)+MIN(J6:J9),0) &amp; " - " &amp; ROUND(MAX(#REF!)+MAX(J6:J9), 0)</f>
        <v>#REF!</v>
      </c>
      <c r="K15" s="468" t="e">
        <f>ROUND( MIN(#REF!)+MIN(K6:K9),0) &amp; " - " &amp; ROUND(MAX(#REF!)+MAX(K6:K9), 0)</f>
        <v>#REF!</v>
      </c>
      <c r="L15" s="468" t="e">
        <f>ROUND( MIN(#REF!)+MIN(L6:L9),0) &amp; " - " &amp; ROUND(MAX(#REF!)+MAX(L6:L9), 0)</f>
        <v>#REF!</v>
      </c>
      <c r="M15" s="468" t="e">
        <f>ROUND( MIN(#REF!)+MIN(M6:M9),0) &amp; " - " &amp; ROUND(MAX(#REF!)+MAX(M6:M9), 0)</f>
        <v>#REF!</v>
      </c>
      <c r="N15" s="468" t="e">
        <f>ROUND( MIN(#REF!)+MIN(N6:N9),0) &amp; " - " &amp; ROUND(MAX(#REF!)+MAX(N6:N9), 0)</f>
        <v>#REF!</v>
      </c>
      <c r="O15" s="468" t="e">
        <f>ROUND( MIN(#REF!)+MIN(O6:O9),0) &amp; " - " &amp; ROUND(MAX(#REF!)+MAX(O6:O9), 0)</f>
        <v>#REF!</v>
      </c>
      <c r="P15" s="468" t="e">
        <f>ROUND( MIN(#REF!)+MIN(P6:P9),0) &amp; " - " &amp; ROUND(MAX(#REF!)+MAX(P6:P9), 0)</f>
        <v>#REF!</v>
      </c>
      <c r="Q15" s="468" t="e">
        <f>ROUND( MIN(#REF!)+MIN(Q6:Q9),0) &amp; " - " &amp; ROUND(MAX(#REF!)+MAX(Q6:Q9), 0)</f>
        <v>#REF!</v>
      </c>
      <c r="R15" s="468" t="e">
        <f>ROUND( MIN(#REF!)+MIN(R6:R9),0) &amp; " - " &amp; ROUND(MAX(#REF!)+MAX(R6:R9), 0)</f>
        <v>#REF!</v>
      </c>
      <c r="S15" s="468" t="e">
        <f>ROUND( MIN(#REF!)+MIN(S6:S9),0) &amp; " - " &amp; ROUND(MAX(#REF!)+MAX(S6:S9), 0)</f>
        <v>#REF!</v>
      </c>
      <c r="T15" s="468" t="e">
        <f>ROUND( MIN(#REF!)+MIN(T6:T9),0) &amp; " - " &amp; ROUND(MAX(#REF!)+MAX(T6:T9), 0)</f>
        <v>#REF!</v>
      </c>
      <c r="U15" s="468" t="e">
        <f>ROUND( MIN(#REF!)+MIN(U6:U9),0) &amp; " - " &amp; ROUND(MAX(#REF!)+MAX(U6:U9), 0)</f>
        <v>#REF!</v>
      </c>
      <c r="V15" s="468" t="e">
        <f>ROUND( MIN(#REF!)+MIN(V6:V9),0) &amp; " - " &amp; ROUND(MAX(#REF!)+MAX(V6:V9), 0)</f>
        <v>#REF!</v>
      </c>
    </row>
    <row r="16" spans="1:22" s="465" customFormat="1" ht="18.45" hidden="1">
      <c r="A16" s="467"/>
      <c r="B16" s="466" t="s">
        <v>441</v>
      </c>
      <c r="C16" s="468" t="e">
        <f>SUM(AVERAGE(#REF!), AVERAGE(C6:C9))</f>
        <v>#REF!</v>
      </c>
      <c r="D16" s="468" t="e">
        <f>SUM(AVERAGE(#REF!), AVERAGE(D6:D9))</f>
        <v>#REF!</v>
      </c>
      <c r="E16" s="468" t="e">
        <f>SUM(AVERAGE(#REF!), AVERAGE(E6:E9))</f>
        <v>#REF!</v>
      </c>
      <c r="F16" s="468" t="e">
        <f>SUM(AVERAGE(#REF!), AVERAGE(F6:F9))</f>
        <v>#REF!</v>
      </c>
      <c r="G16" s="468" t="e">
        <f>SUM(AVERAGE(#REF!), AVERAGE(G6:G9))</f>
        <v>#REF!</v>
      </c>
      <c r="H16" s="468" t="e">
        <f>SUM(AVERAGE(#REF!), AVERAGE(H6:H9))</f>
        <v>#REF!</v>
      </c>
      <c r="I16" s="468" t="e">
        <f>SUM(AVERAGE(#REF!), AVERAGE(I6:I9))</f>
        <v>#REF!</v>
      </c>
      <c r="J16" s="468" t="e">
        <f>SUM(AVERAGE(#REF!), AVERAGE(J6:J9))</f>
        <v>#REF!</v>
      </c>
      <c r="K16" s="468" t="e">
        <f>SUM(AVERAGE(#REF!), AVERAGE(K6:K9))</f>
        <v>#REF!</v>
      </c>
      <c r="L16" s="468" t="e">
        <f>SUM(AVERAGE(#REF!), AVERAGE(L6:L9))</f>
        <v>#REF!</v>
      </c>
      <c r="M16" s="468" t="e">
        <f>SUM(AVERAGE(#REF!), AVERAGE(M6:M9))</f>
        <v>#REF!</v>
      </c>
      <c r="N16" s="468" t="e">
        <f>SUM(AVERAGE(#REF!), AVERAGE(N6:N9))</f>
        <v>#REF!</v>
      </c>
      <c r="O16" s="468" t="e">
        <f>SUM(AVERAGE(#REF!), AVERAGE(O6:O9))</f>
        <v>#REF!</v>
      </c>
      <c r="P16" s="468" t="e">
        <f>SUM(AVERAGE(#REF!), AVERAGE(P6:P9))</f>
        <v>#REF!</v>
      </c>
      <c r="Q16" s="468" t="e">
        <f>SUM(AVERAGE(#REF!), AVERAGE(Q6:Q9))</f>
        <v>#REF!</v>
      </c>
      <c r="R16" s="468" t="e">
        <f>SUM(AVERAGE(#REF!), AVERAGE(R6:R9))</f>
        <v>#REF!</v>
      </c>
      <c r="S16" s="468" t="e">
        <f>SUM(AVERAGE(#REF!), AVERAGE(S6:S9))</f>
        <v>#REF!</v>
      </c>
      <c r="T16" s="468" t="e">
        <f>SUM(AVERAGE(#REF!), AVERAGE(T6:T9))</f>
        <v>#REF!</v>
      </c>
      <c r="U16" s="468" t="e">
        <f>SUM(AVERAGE(#REF!), AVERAGE(U6:U9))</f>
        <v>#REF!</v>
      </c>
      <c r="V16" s="468" t="e">
        <f>SUM(AVERAGE(#REF!), AVERAGE(V6:V9))</f>
        <v>#REF!</v>
      </c>
    </row>
    <row r="17" spans="1:22" s="465" customFormat="1" ht="18.45" hidden="1">
      <c r="A17" s="467"/>
      <c r="B17" s="466" t="s">
        <v>442</v>
      </c>
      <c r="C17" s="468" t="e">
        <f xml:space="preserve"> ROUND(MIN(#REF!)+MIN(C6:C9),0) &amp; " - " &amp; ROUND( MAX(#REF!)+MAX(C6:C9),0)</f>
        <v>#REF!</v>
      </c>
      <c r="D17" s="468" t="e">
        <f xml:space="preserve"> ROUND(MIN(#REF!)+MIN(D6:D9),0) &amp; " - " &amp; ROUND( MAX(#REF!)+MAX(D6:D9),0)</f>
        <v>#REF!</v>
      </c>
      <c r="E17" s="468" t="e">
        <f xml:space="preserve"> ROUND(MIN(#REF!)+MIN(E6:E9),0) &amp; " - " &amp; ROUND( MAX(#REF!)+MAX(E6:E9),0)</f>
        <v>#REF!</v>
      </c>
      <c r="F17" s="468" t="e">
        <f xml:space="preserve"> ROUND(MIN(#REF!)+MIN(F6:F9),0) &amp; " - " &amp; ROUND( MAX(#REF!)+MAX(F6:F9),0)</f>
        <v>#REF!</v>
      </c>
      <c r="G17" s="468" t="e">
        <f xml:space="preserve"> ROUND(MIN(#REF!)+MIN(G6:G9),0) &amp; " - " &amp; ROUND( MAX(#REF!)+MAX(G6:G9),0)</f>
        <v>#REF!</v>
      </c>
      <c r="H17" s="468" t="e">
        <f xml:space="preserve"> ROUND(MIN(#REF!)+MIN(H6:H9),0) &amp; " - " &amp; ROUND( MAX(#REF!)+MAX(H6:H9),0)</f>
        <v>#REF!</v>
      </c>
      <c r="I17" s="468" t="e">
        <f xml:space="preserve"> ROUND(MIN(#REF!)+MIN(I6:I9),0) &amp; " - " &amp; ROUND( MAX(#REF!)+MAX(I6:I9),0)</f>
        <v>#REF!</v>
      </c>
      <c r="J17" s="468" t="e">
        <f xml:space="preserve"> ROUND(MIN(#REF!)+MIN(J6:J9),0) &amp; " - " &amp; ROUND( MAX(#REF!)+MAX(J6:J9),0)</f>
        <v>#REF!</v>
      </c>
      <c r="K17" s="468" t="e">
        <f xml:space="preserve"> ROUND(MIN(#REF!)+MIN(K6:K9),0) &amp; " - " &amp; ROUND( MAX(#REF!)+MAX(K6:K9),0)</f>
        <v>#REF!</v>
      </c>
      <c r="L17" s="468" t="e">
        <f xml:space="preserve"> ROUND(MIN(#REF!)+MIN(L6:L9),0) &amp; " - " &amp; ROUND( MAX(#REF!)+MAX(L6:L9),0)</f>
        <v>#REF!</v>
      </c>
      <c r="M17" s="468" t="e">
        <f xml:space="preserve"> ROUND(MIN(#REF!)+MIN(M6:M9),0) &amp; " - " &amp; ROUND( MAX(#REF!)+MAX(M6:M9),0)</f>
        <v>#REF!</v>
      </c>
      <c r="N17" s="468" t="e">
        <f xml:space="preserve"> ROUND(MIN(#REF!)+MIN(N6:N9),0) &amp; " - " &amp; ROUND( MAX(#REF!)+MAX(N6:N9),0)</f>
        <v>#REF!</v>
      </c>
      <c r="O17" s="468" t="e">
        <f xml:space="preserve"> ROUND(MIN(#REF!)+MIN(O6:O9),0) &amp; " - " &amp; ROUND( MAX(#REF!)+MAX(O6:O9),0)</f>
        <v>#REF!</v>
      </c>
      <c r="P17" s="468" t="e">
        <f xml:space="preserve"> ROUND(MIN(#REF!)+MIN(P6:P9),0) &amp; " - " &amp; ROUND( MAX(#REF!)+MAX(P6:P9),0)</f>
        <v>#REF!</v>
      </c>
      <c r="Q17" s="468" t="e">
        <f xml:space="preserve"> ROUND(MIN(#REF!)+MIN(Q6:Q9),0) &amp; " - " &amp; ROUND( MAX(#REF!)+MAX(Q6:Q9),0)</f>
        <v>#REF!</v>
      </c>
      <c r="R17" s="468" t="e">
        <f xml:space="preserve"> ROUND(MIN(#REF!)+MIN(R6:R9),0) &amp; " - " &amp; ROUND( MAX(#REF!)+MAX(R6:R9),0)</f>
        <v>#REF!</v>
      </c>
      <c r="S17" s="468" t="e">
        <f xml:space="preserve"> ROUND(MIN(#REF!)+MIN(S6:S9),0) &amp; " - " &amp; ROUND( MAX(#REF!)+MAX(S6:S9),0)</f>
        <v>#REF!</v>
      </c>
      <c r="T17" s="468" t="e">
        <f xml:space="preserve"> ROUND(MIN(#REF!)+MIN(T6:T9),0) &amp; " - " &amp; ROUND( MAX(#REF!)+MAX(T6:T9),0)</f>
        <v>#REF!</v>
      </c>
      <c r="U17" s="468" t="e">
        <f xml:space="preserve"> ROUND(MIN(#REF!)+MIN(U6:U9),0) &amp; " - " &amp; ROUND( MAX(#REF!)+MAX(U6:U9),0)</f>
        <v>#REF!</v>
      </c>
      <c r="V17" s="468" t="e">
        <f xml:space="preserve"> ROUND(MIN(#REF!)+MIN(V6:V9),0) &amp; " - " &amp; ROUND( MAX(#REF!)+MAX(V6:V9),0)</f>
        <v>#REF!</v>
      </c>
    </row>
    <row r="18" spans="1:22" s="465" customFormat="1" ht="15" hidden="1" customHeight="1">
      <c r="A18" s="467"/>
      <c r="B18" s="466" t="s">
        <v>443</v>
      </c>
      <c r="C18" s="468" t="e">
        <f>SUM(AVERAGE(#REF!),AVERAGE(C6:C9))</f>
        <v>#REF!</v>
      </c>
      <c r="D18" s="468" t="e">
        <f>SUM(AVERAGE(#REF!),AVERAGE(D6:D9))</f>
        <v>#REF!</v>
      </c>
      <c r="E18" s="468" t="e">
        <f>SUM(AVERAGE(#REF!),AVERAGE(E6:E9))</f>
        <v>#REF!</v>
      </c>
      <c r="F18" s="468" t="e">
        <f>SUM(AVERAGE(#REF!),AVERAGE(F6:F9))</f>
        <v>#REF!</v>
      </c>
      <c r="G18" s="468" t="e">
        <f>SUM(AVERAGE(#REF!),AVERAGE(G6:G9))</f>
        <v>#REF!</v>
      </c>
      <c r="H18" s="468" t="e">
        <f>SUM(AVERAGE(#REF!),AVERAGE(H6:H9))</f>
        <v>#REF!</v>
      </c>
      <c r="I18" s="468" t="e">
        <f>SUM(AVERAGE(#REF!),AVERAGE(I6:I9))</f>
        <v>#REF!</v>
      </c>
      <c r="J18" s="468" t="e">
        <f>SUM(AVERAGE(#REF!),AVERAGE(J6:J9))</f>
        <v>#REF!</v>
      </c>
      <c r="K18" s="468" t="e">
        <f>SUM(AVERAGE(#REF!),AVERAGE(K6:K9))</f>
        <v>#REF!</v>
      </c>
      <c r="L18" s="468" t="e">
        <f>SUM(AVERAGE(#REF!),AVERAGE(L6:L9))</f>
        <v>#REF!</v>
      </c>
      <c r="M18" s="468" t="e">
        <f>SUM(AVERAGE(#REF!),AVERAGE(M6:M9))</f>
        <v>#REF!</v>
      </c>
      <c r="N18" s="468" t="e">
        <f>SUM(AVERAGE(#REF!),AVERAGE(N6:N9))</f>
        <v>#REF!</v>
      </c>
      <c r="O18" s="468" t="e">
        <f>SUM(AVERAGE(#REF!),AVERAGE(O6:O9))</f>
        <v>#REF!</v>
      </c>
      <c r="P18" s="468" t="e">
        <f>SUM(AVERAGE(#REF!),AVERAGE(P6:P9))</f>
        <v>#REF!</v>
      </c>
      <c r="Q18" s="468" t="e">
        <f>SUM(AVERAGE(#REF!),AVERAGE(Q6:Q9))</f>
        <v>#REF!</v>
      </c>
      <c r="R18" s="468" t="e">
        <f>SUM(AVERAGE(#REF!),AVERAGE(R6:R9))</f>
        <v>#REF!</v>
      </c>
      <c r="S18" s="468" t="e">
        <f>SUM(AVERAGE(#REF!),AVERAGE(S6:S9))</f>
        <v>#REF!</v>
      </c>
      <c r="T18" s="468" t="e">
        <f>SUM(AVERAGE(#REF!),AVERAGE(T6:T9))</f>
        <v>#REF!</v>
      </c>
      <c r="U18" s="468" t="e">
        <f>SUM(AVERAGE(#REF!),AVERAGE(U6:U9))</f>
        <v>#REF!</v>
      </c>
      <c r="V18" s="468" t="e">
        <f>SUM(AVERAGE(#REF!),AVERAGE(V6:V9))</f>
        <v>#REF!</v>
      </c>
    </row>
    <row r="19" spans="1:22" s="465" customFormat="1" ht="18.45" hidden="1">
      <c r="A19" s="467"/>
      <c r="B19" s="466" t="s">
        <v>444</v>
      </c>
      <c r="C19" s="468" t="e">
        <f>ROUND( MIN(#REF!)+MIN(C6:C9),0) &amp; " - " &amp; ROUND(MAX(#REF!)+MAX(C6:C9),0)</f>
        <v>#REF!</v>
      </c>
      <c r="D19" s="468" t="e">
        <f>ROUND( MIN(#REF!)+MIN(D6:D9),0) &amp; " - " &amp; ROUND(MAX(#REF!)+MAX(D6:D9),0)</f>
        <v>#REF!</v>
      </c>
      <c r="E19" s="468" t="e">
        <f>ROUND( MIN(#REF!)+MIN(E6:E9),0) &amp; " - " &amp; ROUND(MAX(#REF!)+MAX(E6:E9),0)</f>
        <v>#REF!</v>
      </c>
      <c r="F19" s="468" t="e">
        <f>ROUND( MIN(#REF!)+MIN(F6:F9),0) &amp; " - " &amp; ROUND(MAX(#REF!)+MAX(F6:F9),0)</f>
        <v>#REF!</v>
      </c>
      <c r="G19" s="468" t="e">
        <f>ROUND( MIN(#REF!)+MIN(G6:G9),0) &amp; " - " &amp; ROUND(MAX(#REF!)+MAX(G6:G9),0)</f>
        <v>#REF!</v>
      </c>
      <c r="H19" s="468" t="e">
        <f>ROUND( MIN(#REF!)+MIN(H6:H9),0) &amp; " - " &amp; ROUND(MAX(#REF!)+MAX(H6:H9),0)</f>
        <v>#REF!</v>
      </c>
      <c r="I19" s="468" t="e">
        <f>ROUND( MIN(#REF!)+MIN(I6:I9),0) &amp; " - " &amp; ROUND(MAX(#REF!)+MAX(I6:I9),0)</f>
        <v>#REF!</v>
      </c>
      <c r="J19" s="468" t="e">
        <f>ROUND( MIN(#REF!)+MIN(J6:J9),0) &amp; " - " &amp; ROUND(MAX(#REF!)+MAX(J6:J9),0)</f>
        <v>#REF!</v>
      </c>
      <c r="K19" s="468" t="e">
        <f>ROUND( MIN(#REF!)+MIN(K6:K9),0) &amp; " - " &amp; ROUND(MAX(#REF!)+MAX(K6:K9),0)</f>
        <v>#REF!</v>
      </c>
      <c r="L19" s="468" t="e">
        <f>ROUND( MIN(#REF!)+MIN(L6:L9),0) &amp; " - " &amp; ROUND(MAX(#REF!)+MAX(L6:L9),0)</f>
        <v>#REF!</v>
      </c>
      <c r="M19" s="468" t="e">
        <f>ROUND( MIN(#REF!)+MIN(M6:M9),0) &amp; " - " &amp; ROUND(MAX(#REF!)+MAX(M6:M9),0)</f>
        <v>#REF!</v>
      </c>
      <c r="N19" s="468" t="e">
        <f>ROUND( MIN(#REF!)+MIN(N6:N9),0) &amp; " - " &amp; ROUND(MAX(#REF!)+MAX(N6:N9),0)</f>
        <v>#REF!</v>
      </c>
      <c r="O19" s="468" t="e">
        <f>ROUND( MIN(#REF!)+MIN(O6:O9),0) &amp; " - " &amp; ROUND(MAX(#REF!)+MAX(O6:O9),0)</f>
        <v>#REF!</v>
      </c>
      <c r="P19" s="468" t="e">
        <f>ROUND( MIN(#REF!)+MIN(P6:P9),0) &amp; " - " &amp; ROUND(MAX(#REF!)+MAX(P6:P9),0)</f>
        <v>#REF!</v>
      </c>
      <c r="Q19" s="468" t="e">
        <f>ROUND( MIN(#REF!)+MIN(Q6:Q9),0) &amp; " - " &amp; ROUND(MAX(#REF!)+MAX(Q6:Q9),0)</f>
        <v>#REF!</v>
      </c>
      <c r="R19" s="468" t="e">
        <f>ROUND( MIN(#REF!)+MIN(R6:R9),0) &amp; " - " &amp; ROUND(MAX(#REF!)+MAX(R6:R9),0)</f>
        <v>#REF!</v>
      </c>
      <c r="S19" s="468" t="e">
        <f>ROUND( MIN(#REF!)+MIN(S6:S9),0) &amp; " - " &amp; ROUND(MAX(#REF!)+MAX(S6:S9),0)</f>
        <v>#REF!</v>
      </c>
      <c r="T19" s="468" t="e">
        <f>ROUND( MIN(#REF!)+MIN(T6:T9),0) &amp; " - " &amp; ROUND(MAX(#REF!)+MAX(T6:T9),0)</f>
        <v>#REF!</v>
      </c>
      <c r="U19" s="468" t="e">
        <f>ROUND( MIN(#REF!)+MIN(U6:U9),0) &amp; " - " &amp; ROUND(MAX(#REF!)+MAX(U6:U9),0)</f>
        <v>#REF!</v>
      </c>
      <c r="V19" s="468" t="e">
        <f>ROUND( MIN(#REF!)+MIN(V6:V9),0) &amp; " - " &amp; ROUND(MAX(#REF!)+MAX(V6:V9),0)</f>
        <v>#REF!</v>
      </c>
    </row>
    <row r="20" spans="1:22" s="465" customFormat="1" ht="27.75" hidden="1" customHeight="1">
      <c r="A20" s="467"/>
      <c r="B20" s="466" t="s">
        <v>445</v>
      </c>
      <c r="C20" s="468" t="e">
        <f>SUM(AVERAGE(#REF!), AVERAGE(C6:C9))</f>
        <v>#REF!</v>
      </c>
      <c r="D20" s="468" t="e">
        <f>SUM(AVERAGE(#REF!), AVERAGE(D6:D9))</f>
        <v>#REF!</v>
      </c>
      <c r="E20" s="468" t="e">
        <f>SUM(AVERAGE(#REF!), AVERAGE(E6:E9))</f>
        <v>#REF!</v>
      </c>
      <c r="F20" s="468" t="e">
        <f>SUM(AVERAGE(#REF!), AVERAGE(F6:F9))</f>
        <v>#REF!</v>
      </c>
      <c r="G20" s="468" t="e">
        <f>SUM(AVERAGE(#REF!), AVERAGE(G6:G9))</f>
        <v>#REF!</v>
      </c>
      <c r="H20" s="468" t="e">
        <f>SUM(AVERAGE(#REF!), AVERAGE(H6:H9))</f>
        <v>#REF!</v>
      </c>
      <c r="I20" s="468" t="e">
        <f>SUM(AVERAGE(#REF!), AVERAGE(I6:I9))</f>
        <v>#REF!</v>
      </c>
      <c r="J20" s="468" t="e">
        <f>SUM(AVERAGE(#REF!), AVERAGE(J6:J9))</f>
        <v>#REF!</v>
      </c>
      <c r="K20" s="468" t="e">
        <f>SUM(AVERAGE(#REF!), AVERAGE(K6:K9))</f>
        <v>#REF!</v>
      </c>
      <c r="L20" s="468" t="e">
        <f>SUM(AVERAGE(#REF!), AVERAGE(L6:L9))</f>
        <v>#REF!</v>
      </c>
      <c r="M20" s="468" t="e">
        <f>SUM(AVERAGE(#REF!), AVERAGE(M6:M9))</f>
        <v>#REF!</v>
      </c>
      <c r="N20" s="468" t="e">
        <f>SUM(AVERAGE(#REF!), AVERAGE(N6:N9))</f>
        <v>#REF!</v>
      </c>
      <c r="O20" s="468" t="e">
        <f>SUM(AVERAGE(#REF!), AVERAGE(O6:O9))</f>
        <v>#REF!</v>
      </c>
      <c r="P20" s="468" t="e">
        <f>SUM(AVERAGE(#REF!), AVERAGE(P6:P9))</f>
        <v>#REF!</v>
      </c>
      <c r="Q20" s="468" t="e">
        <f>SUM(AVERAGE(#REF!), AVERAGE(Q6:Q9))</f>
        <v>#REF!</v>
      </c>
      <c r="R20" s="468" t="e">
        <f>SUM(AVERAGE(#REF!), AVERAGE(R6:R9))</f>
        <v>#REF!</v>
      </c>
      <c r="S20" s="468" t="e">
        <f>SUM(AVERAGE(#REF!), AVERAGE(S6:S9))</f>
        <v>#REF!</v>
      </c>
      <c r="T20" s="468" t="e">
        <f>SUM(AVERAGE(#REF!), AVERAGE(T6:T9))</f>
        <v>#REF!</v>
      </c>
      <c r="U20" s="468" t="e">
        <f>SUM(AVERAGE(#REF!), AVERAGE(U6:U9))</f>
        <v>#REF!</v>
      </c>
      <c r="V20" s="468" t="e">
        <f>SUM(AVERAGE(#REF!), AVERAGE(V6:V9))</f>
        <v>#REF!</v>
      </c>
    </row>
    <row r="21" spans="1:22" s="465" customFormat="1" ht="34.5" hidden="1" customHeight="1">
      <c r="A21" s="467"/>
      <c r="B21" s="466" t="s">
        <v>446</v>
      </c>
      <c r="C21" s="468" t="e">
        <f xml:space="preserve"> ROUND(MIN(#REF!)+MIN(C6:C9),0) &amp; " - " &amp; ROUND(MAX(#REF!)+MAX(C6:C9),0)</f>
        <v>#REF!</v>
      </c>
      <c r="D21" s="468" t="e">
        <f xml:space="preserve"> ROUND(MIN(#REF!)+MIN(D6:D9),0) &amp; " - " &amp; ROUND(MAX(#REF!)+MAX(D6:D9),0)</f>
        <v>#REF!</v>
      </c>
      <c r="E21" s="468" t="e">
        <f xml:space="preserve"> ROUND(MIN(#REF!)+MIN(E6:E9),0) &amp; " - " &amp; ROUND(MAX(#REF!)+MAX(E6:E9),0)</f>
        <v>#REF!</v>
      </c>
      <c r="F21" s="468" t="e">
        <f xml:space="preserve"> ROUND(MIN(#REF!)+MIN(F6:F9),0) &amp; " - " &amp; ROUND(MAX(#REF!)+MAX(F6:F9),0)</f>
        <v>#REF!</v>
      </c>
      <c r="G21" s="468" t="e">
        <f xml:space="preserve"> ROUND(MIN(#REF!)+MIN(G6:G9),0) &amp; " - " &amp; ROUND(MAX(#REF!)+MAX(G6:G9),0)</f>
        <v>#REF!</v>
      </c>
      <c r="H21" s="468" t="e">
        <f xml:space="preserve"> ROUND(MIN(#REF!)+MIN(H6:H9),0) &amp; " - " &amp; ROUND(MAX(#REF!)+MAX(H6:H9),0)</f>
        <v>#REF!</v>
      </c>
      <c r="I21" s="468" t="e">
        <f xml:space="preserve"> ROUND(MIN(#REF!)+MIN(I6:I9),0) &amp; " - " &amp; ROUND(MAX(#REF!)+MAX(I6:I9),0)</f>
        <v>#REF!</v>
      </c>
      <c r="J21" s="468" t="e">
        <f xml:space="preserve"> ROUND(MIN(#REF!)+MIN(J6:J9),0) &amp; " - " &amp; ROUND(MAX(#REF!)+MAX(J6:J9),0)</f>
        <v>#REF!</v>
      </c>
      <c r="K21" s="468" t="e">
        <f xml:space="preserve"> ROUND(MIN(#REF!)+MIN(K6:K9),0) &amp; " - " &amp; ROUND(MAX(#REF!)+MAX(K6:K9),0)</f>
        <v>#REF!</v>
      </c>
      <c r="L21" s="468" t="e">
        <f xml:space="preserve"> ROUND(MIN(#REF!)+MIN(L6:L9),0) &amp; " - " &amp; ROUND(MAX(#REF!)+MAX(L6:L9),0)</f>
        <v>#REF!</v>
      </c>
      <c r="M21" s="468" t="e">
        <f xml:space="preserve"> ROUND(MIN(#REF!)+MIN(M6:M9),0) &amp; " - " &amp; ROUND(MAX(#REF!)+MAX(M6:M9),0)</f>
        <v>#REF!</v>
      </c>
      <c r="N21" s="468" t="e">
        <f xml:space="preserve"> ROUND(MIN(#REF!)+MIN(N6:N9),0) &amp; " - " &amp; ROUND(MAX(#REF!)+MAX(N6:N9),0)</f>
        <v>#REF!</v>
      </c>
      <c r="O21" s="468" t="e">
        <f xml:space="preserve"> ROUND(MIN(#REF!)+MIN(O6:O9),0) &amp; " - " &amp; ROUND(MAX(#REF!)+MAX(O6:O9),0)</f>
        <v>#REF!</v>
      </c>
      <c r="P21" s="468" t="e">
        <f xml:space="preserve"> ROUND(MIN(#REF!)+MIN(P6:P9),0) &amp; " - " &amp; ROUND(MAX(#REF!)+MAX(P6:P9),0)</f>
        <v>#REF!</v>
      </c>
      <c r="Q21" s="468" t="e">
        <f xml:space="preserve"> ROUND(MIN(#REF!)+MIN(Q6:Q9),0) &amp; " - " &amp; ROUND(MAX(#REF!)+MAX(Q6:Q9),0)</f>
        <v>#REF!</v>
      </c>
      <c r="R21" s="468" t="e">
        <f xml:space="preserve"> ROUND(MIN(#REF!)+MIN(R6:R9),0) &amp; " - " &amp; ROUND(MAX(#REF!)+MAX(R6:R9),0)</f>
        <v>#REF!</v>
      </c>
      <c r="S21" s="468" t="e">
        <f xml:space="preserve"> ROUND(MIN(#REF!)+MIN(S6:S9),0) &amp; " - " &amp; ROUND(MAX(#REF!)+MAX(S6:S9),0)</f>
        <v>#REF!</v>
      </c>
      <c r="T21" s="468" t="e">
        <f xml:space="preserve"> ROUND(MIN(#REF!)+MIN(T6:T9),0) &amp; " - " &amp; ROUND(MAX(#REF!)+MAX(T6:T9),0)</f>
        <v>#REF!</v>
      </c>
      <c r="U21" s="468" t="e">
        <f xml:space="preserve"> ROUND(MIN(#REF!)+MIN(U6:U9),0) &amp; " - " &amp; ROUND(MAX(#REF!)+MAX(U6:U9),0)</f>
        <v>#REF!</v>
      </c>
      <c r="V21" s="468" t="e">
        <f xml:space="preserve"> ROUND(MIN(#REF!)+MIN(V6:V9),0) &amp; " - " &amp; ROUND(MAX(#REF!)+MAX(V6:V9),0)</f>
        <v>#REF!</v>
      </c>
    </row>
    <row r="22" spans="1:22" s="465" customFormat="1" ht="18.45" hidden="1">
      <c r="B22" s="465" t="s">
        <v>407</v>
      </c>
      <c r="C22" s="465">
        <v>440</v>
      </c>
    </row>
    <row r="23" spans="1:22" hidden="1">
      <c r="B23" s="373" t="s">
        <v>406</v>
      </c>
      <c r="C23" s="373">
        <f>440+180+80</f>
        <v>700</v>
      </c>
    </row>
    <row r="25" spans="1:22" hidden="1">
      <c r="B25" s="373" t="s">
        <v>594</v>
      </c>
    </row>
    <row r="26" spans="1:22" hidden="1">
      <c r="B26" s="373" t="s">
        <v>3</v>
      </c>
      <c r="C26" s="373" t="s">
        <v>595</v>
      </c>
      <c r="D26" s="373" t="s">
        <v>4</v>
      </c>
      <c r="E26" s="373" t="s">
        <v>5</v>
      </c>
      <c r="F26" s="373" t="s">
        <v>596</v>
      </c>
      <c r="G26" s="373" t="s">
        <v>7</v>
      </c>
      <c r="H26" s="373" t="s">
        <v>8</v>
      </c>
      <c r="I26" s="373" t="s">
        <v>597</v>
      </c>
      <c r="J26" s="373" t="s">
        <v>598</v>
      </c>
      <c r="K26" s="373" t="s">
        <v>599</v>
      </c>
      <c r="L26" s="373" t="s">
        <v>12</v>
      </c>
      <c r="M26" s="373" t="s">
        <v>13</v>
      </c>
      <c r="N26" s="373" t="s">
        <v>14</v>
      </c>
      <c r="O26" s="373" t="s">
        <v>15</v>
      </c>
    </row>
    <row r="27" spans="1:22" hidden="1">
      <c r="C27" s="373" t="s">
        <v>600</v>
      </c>
      <c r="D27" s="373" t="s">
        <v>601</v>
      </c>
      <c r="E27" s="373" t="s">
        <v>602</v>
      </c>
      <c r="F27" s="373">
        <v>0</v>
      </c>
      <c r="G27" s="373" t="s">
        <v>603</v>
      </c>
      <c r="H27" s="373" t="s">
        <v>604</v>
      </c>
      <c r="I27" s="373" t="s">
        <v>602</v>
      </c>
      <c r="J27" s="373" t="s">
        <v>605</v>
      </c>
      <c r="K27" s="373" t="s">
        <v>606</v>
      </c>
      <c r="L27" s="373">
        <v>0</v>
      </c>
      <c r="M27" s="373" t="s">
        <v>607</v>
      </c>
      <c r="N27" s="373" t="s">
        <v>607</v>
      </c>
      <c r="O27" s="373" t="s">
        <v>608</v>
      </c>
    </row>
    <row r="28" spans="1:22" hidden="1">
      <c r="C28" s="373" t="s">
        <v>609</v>
      </c>
      <c r="D28" s="373" t="s">
        <v>610</v>
      </c>
      <c r="E28" s="522" t="s">
        <v>602</v>
      </c>
      <c r="F28" s="373" t="s">
        <v>611</v>
      </c>
      <c r="G28" s="373" t="s">
        <v>612</v>
      </c>
      <c r="H28" s="373" t="s">
        <v>604</v>
      </c>
      <c r="I28" s="373" t="s">
        <v>613</v>
      </c>
      <c r="J28" s="373" t="s">
        <v>614</v>
      </c>
      <c r="K28" s="373" t="s">
        <v>615</v>
      </c>
      <c r="L28" s="373">
        <v>0</v>
      </c>
      <c r="M28" s="373" t="s">
        <v>616</v>
      </c>
      <c r="N28" s="373" t="s">
        <v>616</v>
      </c>
      <c r="O28" s="373" t="s">
        <v>608</v>
      </c>
    </row>
    <row r="29" spans="1:22" hidden="1"/>
    <row r="34" spans="3:3">
      <c r="C34" s="373">
        <v>440</v>
      </c>
    </row>
    <row r="35" spans="3:3">
      <c r="C35" s="373">
        <v>180</v>
      </c>
    </row>
    <row r="36" spans="3:3">
      <c r="C36" s="373">
        <v>80</v>
      </c>
    </row>
  </sheetData>
  <mergeCells count="5">
    <mergeCell ref="A6:A9"/>
    <mergeCell ref="B10:V12"/>
    <mergeCell ref="A1:V1"/>
    <mergeCell ref="A2:V2"/>
    <mergeCell ref="A3:V3"/>
  </mergeCells>
  <pageMargins left="0.7" right="0.7" top="0.75" bottom="0.75" header="0.3" footer="0.3"/>
  <pageSetup scale="49" fitToHeight="0" orientation="landscape" r:id="rId1"/>
  <headerFooter>
    <oddHeader xml:space="preserve">&amp;R&amp;14 2026 Nutrition Information </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329F-429A-4C18-9FB9-08391B08D835}">
  <dimension ref="A1:DK113"/>
  <sheetViews>
    <sheetView zoomScale="90" zoomScaleNormal="90" zoomScalePageLayoutView="79" workbookViewId="0">
      <pane xSplit="2" ySplit="3" topLeftCell="C47" activePane="bottomRight" state="frozen"/>
      <selection pane="topRight"/>
      <selection pane="bottomLeft"/>
      <selection pane="bottomRight" activeCell="D53" sqref="D53"/>
    </sheetView>
    <sheetView zoomScale="90" zoomScaleNormal="90" workbookViewId="1">
      <pane xSplit="2" ySplit="3" topLeftCell="C50" activePane="bottomRight" state="frozen"/>
      <selection pane="topRight" activeCell="C1" sqref="C1"/>
      <selection pane="bottomLeft" activeCell="A4" sqref="A4"/>
      <selection pane="bottomRight" activeCell="B64" sqref="B64"/>
    </sheetView>
    <sheetView workbookViewId="2">
      <pane xSplit="2" ySplit="3" topLeftCell="O78" activePane="bottomRight" state="frozen"/>
      <selection pane="topRight" activeCell="H15" sqref="H15"/>
      <selection pane="bottomLeft" activeCell="H15" sqref="H15"/>
      <selection pane="bottomRight" activeCell="O17" sqref="O17"/>
    </sheetView>
  </sheetViews>
  <sheetFormatPr defaultColWidth="8.84375" defaultRowHeight="15.9"/>
  <cols>
    <col min="1" max="1" width="17" style="1086" customWidth="1"/>
    <col min="2" max="2" width="42.84375" style="1130" customWidth="1"/>
    <col min="3" max="3" width="10.53515625" style="1129" customWidth="1"/>
    <col min="4" max="4" width="12.3046875" style="1086" customWidth="1"/>
    <col min="5" max="5" width="12.53515625" style="1129" customWidth="1"/>
    <col min="6" max="6" width="12.53515625" style="1086" customWidth="1"/>
    <col min="7" max="7" width="8.53515625" style="1129" customWidth="1"/>
    <col min="8" max="8" width="8.53515625" style="1086" customWidth="1"/>
    <col min="9" max="9" width="14.53515625" style="1129" customWidth="1"/>
    <col min="10" max="10" width="14.53515625" style="1086" customWidth="1"/>
    <col min="11" max="11" width="8.53515625" style="1129" customWidth="1"/>
    <col min="12" max="12" width="8.53515625" style="1086" customWidth="1"/>
    <col min="13" max="13" width="15.84375" style="1129" customWidth="1"/>
    <col min="14" max="14" width="15.84375" style="1086" customWidth="1"/>
    <col min="15" max="15" width="11.3828125" style="1129" customWidth="1"/>
    <col min="16" max="16" width="11.3828125" style="1086" customWidth="1"/>
    <col min="17" max="17" width="21.3828125" style="1129" customWidth="1"/>
    <col min="18" max="18" width="21.53515625" style="1086" customWidth="1"/>
    <col min="19" max="19" width="11" style="1129" customWidth="1"/>
    <col min="20" max="20" width="14" style="1086" bestFit="1" customWidth="1"/>
    <col min="21" max="21" width="9.15234375" style="1129" customWidth="1"/>
    <col min="22" max="22" width="9.15234375" style="1086" customWidth="1"/>
    <col min="23" max="23" width="10.53515625" style="1129" customWidth="1"/>
    <col min="24" max="24" width="10.53515625" style="1086" customWidth="1"/>
    <col min="25" max="25" width="11.53515625" style="1129" customWidth="1"/>
    <col min="26" max="26" width="13.84375" style="1086" bestFit="1" customWidth="1"/>
    <col min="27" max="27" width="11.53515625" style="1086" customWidth="1"/>
    <col min="28" max="28" width="14.15234375" style="1086" customWidth="1"/>
    <col min="29" max="29" width="10.53515625" style="1086" customWidth="1"/>
    <col min="30" max="30" width="12" style="1086" customWidth="1"/>
    <col min="31" max="31" width="7.3828125" style="1086" customWidth="1"/>
    <col min="32" max="32" width="10.53515625" style="1086" customWidth="1"/>
    <col min="33" max="33" width="11" style="1086" customWidth="1"/>
    <col min="34" max="34" width="13.84375" style="1086" bestFit="1" customWidth="1"/>
    <col min="35" max="16384" width="8.84375" style="1086"/>
  </cols>
  <sheetData>
    <row r="1" spans="1:115">
      <c r="B1" s="1355"/>
      <c r="C1" s="1355"/>
      <c r="D1" s="1355"/>
      <c r="E1" s="1355"/>
      <c r="F1" s="1355"/>
      <c r="G1" s="1355"/>
      <c r="H1" s="1355"/>
      <c r="I1" s="1355"/>
      <c r="J1" s="1355"/>
      <c r="K1" s="1355"/>
      <c r="L1" s="1355"/>
      <c r="M1" s="1355"/>
      <c r="N1" s="1355"/>
      <c r="O1" s="1355"/>
      <c r="P1" s="1355"/>
      <c r="Q1" s="1355"/>
      <c r="R1" s="1355"/>
      <c r="S1" s="1355"/>
      <c r="T1" s="1355"/>
      <c r="U1" s="1355"/>
      <c r="V1" s="1355"/>
      <c r="W1" s="1355"/>
      <c r="X1" s="1355"/>
      <c r="Y1" s="1356"/>
      <c r="Z1" s="1355"/>
      <c r="AA1" s="1355"/>
      <c r="AB1" s="1355"/>
      <c r="AC1" s="1355"/>
      <c r="AD1" s="1355"/>
      <c r="AE1" s="1355"/>
      <c r="AF1" s="1355"/>
      <c r="AG1" s="1355"/>
      <c r="AH1" s="1355"/>
    </row>
    <row r="2" spans="1:115">
      <c r="B2" s="1357"/>
      <c r="C2" s="1357"/>
      <c r="D2" s="1357"/>
      <c r="E2" s="1357"/>
      <c r="F2" s="1357"/>
      <c r="G2" s="1357"/>
      <c r="H2" s="1357"/>
      <c r="I2" s="1357"/>
      <c r="J2" s="1357"/>
      <c r="K2" s="1357"/>
      <c r="L2" s="1357"/>
      <c r="M2" s="1357"/>
      <c r="N2" s="1357"/>
      <c r="O2" s="1357"/>
      <c r="P2" s="1357"/>
      <c r="Q2" s="1357"/>
      <c r="R2" s="1357"/>
      <c r="S2" s="1357"/>
      <c r="T2" s="1357"/>
      <c r="U2" s="1357"/>
      <c r="V2" s="1357"/>
      <c r="W2" s="1357"/>
      <c r="X2" s="1357"/>
      <c r="Y2" s="1358"/>
      <c r="Z2" s="1357"/>
      <c r="AA2" s="1357"/>
      <c r="AB2" s="1357"/>
      <c r="AC2" s="1357"/>
      <c r="AD2" s="1357"/>
      <c r="AE2" s="1357"/>
      <c r="AF2" s="1357"/>
      <c r="AG2" s="1357"/>
      <c r="AH2" s="1357"/>
    </row>
    <row r="3" spans="1:115" s="1088" customFormat="1" ht="31.75">
      <c r="B3" s="1089" t="s">
        <v>3</v>
      </c>
      <c r="C3" s="1090" t="s">
        <v>4</v>
      </c>
      <c r="D3" s="1091" t="s">
        <v>4</v>
      </c>
      <c r="E3" s="1090" t="s">
        <v>5</v>
      </c>
      <c r="F3" s="1091" t="s">
        <v>5</v>
      </c>
      <c r="G3" s="1090" t="s">
        <v>6</v>
      </c>
      <c r="H3" s="1091" t="s">
        <v>6</v>
      </c>
      <c r="I3" s="1090" t="s">
        <v>7</v>
      </c>
      <c r="J3" s="1091" t="s">
        <v>7</v>
      </c>
      <c r="K3" s="1090" t="s">
        <v>8</v>
      </c>
      <c r="L3" s="1091" t="s">
        <v>8</v>
      </c>
      <c r="M3" s="1090" t="s">
        <v>9</v>
      </c>
      <c r="N3" s="1091" t="s">
        <v>9</v>
      </c>
      <c r="O3" s="1090" t="s">
        <v>10</v>
      </c>
      <c r="P3" s="1091" t="s">
        <v>10</v>
      </c>
      <c r="Q3" s="1090" t="s">
        <v>11</v>
      </c>
      <c r="R3" s="1091" t="s">
        <v>11</v>
      </c>
      <c r="S3" s="1090" t="s">
        <v>12</v>
      </c>
      <c r="T3" s="1091" t="s">
        <v>12</v>
      </c>
      <c r="U3" s="1090" t="s">
        <v>13</v>
      </c>
      <c r="V3" s="1091" t="s">
        <v>13</v>
      </c>
      <c r="W3" s="1090" t="s">
        <v>14</v>
      </c>
      <c r="X3" s="1091" t="s">
        <v>14</v>
      </c>
      <c r="Y3" s="1090" t="s">
        <v>15</v>
      </c>
      <c r="Z3" s="1091" t="s">
        <v>15</v>
      </c>
      <c r="AA3" s="1092" t="s">
        <v>16</v>
      </c>
      <c r="AB3" s="1092" t="s">
        <v>17</v>
      </c>
      <c r="AC3" s="1092" t="s">
        <v>18</v>
      </c>
      <c r="AD3" s="1092" t="s">
        <v>19</v>
      </c>
      <c r="AE3" s="1093" t="s">
        <v>20</v>
      </c>
      <c r="AF3" s="1093" t="s">
        <v>21</v>
      </c>
      <c r="AG3" s="1092" t="s">
        <v>22</v>
      </c>
      <c r="AH3" s="1092" t="s">
        <v>23</v>
      </c>
    </row>
    <row r="4" spans="1:115" s="1088" customFormat="1">
      <c r="A4" s="1094" t="s">
        <v>92</v>
      </c>
      <c r="B4" s="1095" t="s">
        <v>319</v>
      </c>
      <c r="C4" s="1052">
        <v>386.33600000000001</v>
      </c>
      <c r="D4" s="1033">
        <f t="shared" ref="D4:D35" si="0">MROUND(C4,10)</f>
        <v>390</v>
      </c>
      <c r="E4" s="1052">
        <v>54.728999999999999</v>
      </c>
      <c r="F4" s="1033">
        <f>MROUND(E4,10)</f>
        <v>50</v>
      </c>
      <c r="G4" s="1052">
        <v>8.8510000000000009</v>
      </c>
      <c r="H4" s="1096">
        <f>MROUND(G4,1)</f>
        <v>9</v>
      </c>
      <c r="I4" s="1052">
        <v>3.5779999999999998</v>
      </c>
      <c r="J4" s="1096">
        <f>MROUND(I4,0.5)</f>
        <v>3.5</v>
      </c>
      <c r="K4" s="1052">
        <v>0</v>
      </c>
      <c r="L4" s="1033">
        <v>0</v>
      </c>
      <c r="M4" s="1052">
        <v>0</v>
      </c>
      <c r="N4" s="1096">
        <v>0</v>
      </c>
      <c r="O4" s="1052">
        <v>110.056</v>
      </c>
      <c r="P4" s="1097">
        <f t="shared" ref="P4:P46" si="1">MROUND(O4,5)</f>
        <v>110</v>
      </c>
      <c r="Q4" s="1052">
        <v>76.194999999999993</v>
      </c>
      <c r="R4" s="1096">
        <f t="shared" ref="R4:R35" si="2">MROUND(Q4,1)</f>
        <v>76</v>
      </c>
      <c r="S4" s="1052">
        <v>0.70799999999999996</v>
      </c>
      <c r="T4" s="1096" t="s">
        <v>303</v>
      </c>
      <c r="U4" s="1052">
        <v>72.286000000000001</v>
      </c>
      <c r="V4" s="1096">
        <f t="shared" ref="V4:V35" si="3">MROUND(U4,1)</f>
        <v>72</v>
      </c>
      <c r="W4" s="1052">
        <v>71.826999999999998</v>
      </c>
      <c r="X4" s="1096">
        <f t="shared" ref="X4:X35" si="4">MROUND(W4,1)</f>
        <v>72</v>
      </c>
      <c r="Y4" s="1098">
        <v>2.2549999999999999</v>
      </c>
      <c r="Z4" s="1096">
        <f>MROUND(Y4,1)</f>
        <v>2</v>
      </c>
      <c r="AA4" s="1036">
        <v>0</v>
      </c>
      <c r="AB4" s="1036">
        <v>0</v>
      </c>
      <c r="AC4" s="1036">
        <v>15.755000000000001</v>
      </c>
      <c r="AD4" s="1036">
        <v>1.212</v>
      </c>
      <c r="AE4" s="1036">
        <v>0.68700000000000006</v>
      </c>
      <c r="AF4" s="1036">
        <v>3.8159999999999998</v>
      </c>
      <c r="AG4" s="1036">
        <v>75.003</v>
      </c>
      <c r="AH4" s="1036">
        <v>1.5960000000000001</v>
      </c>
      <c r="AI4" s="1086"/>
      <c r="AJ4" s="1086"/>
      <c r="AK4" s="1086"/>
      <c r="AL4" s="1086"/>
      <c r="AM4" s="1086"/>
      <c r="AN4" s="1086"/>
      <c r="AO4" s="1086"/>
      <c r="AP4" s="1086"/>
      <c r="AQ4" s="1086"/>
      <c r="AR4" s="1086"/>
      <c r="AS4" s="1086"/>
      <c r="AT4" s="1086"/>
      <c r="AU4" s="1086"/>
      <c r="AV4" s="1086"/>
      <c r="AW4" s="1086"/>
      <c r="AX4" s="1086"/>
      <c r="AY4" s="1086"/>
      <c r="AZ4" s="1086"/>
      <c r="BA4" s="1086"/>
      <c r="BB4" s="1086"/>
      <c r="BC4" s="1086"/>
      <c r="BD4" s="1086"/>
      <c r="BE4" s="1086"/>
      <c r="BF4" s="1086"/>
      <c r="BG4" s="1086"/>
      <c r="BH4" s="1086"/>
      <c r="BI4" s="1086"/>
      <c r="BJ4" s="1086"/>
      <c r="BK4" s="1086"/>
      <c r="BL4" s="1086"/>
      <c r="BM4" s="1086"/>
      <c r="BN4" s="1086"/>
      <c r="BO4" s="1086"/>
      <c r="BP4" s="1086"/>
      <c r="BQ4" s="1086"/>
      <c r="BR4" s="1086"/>
      <c r="BS4" s="1086"/>
      <c r="BT4" s="1086"/>
      <c r="BU4" s="1086"/>
      <c r="BV4" s="1086"/>
      <c r="BW4" s="1086"/>
      <c r="BX4" s="1086"/>
      <c r="BY4" s="1086"/>
      <c r="BZ4" s="1086"/>
      <c r="CA4" s="1086"/>
      <c r="CB4" s="1086"/>
      <c r="CC4" s="1086"/>
      <c r="CD4" s="1086"/>
      <c r="CE4" s="1086"/>
      <c r="CF4" s="1086"/>
      <c r="CG4" s="1086"/>
      <c r="CH4" s="1086"/>
      <c r="CI4" s="1086"/>
      <c r="CJ4" s="1086"/>
      <c r="CK4" s="1086"/>
      <c r="CL4" s="1086"/>
      <c r="CM4" s="1086"/>
      <c r="CN4" s="1086"/>
      <c r="CO4" s="1086"/>
      <c r="CP4" s="1086"/>
      <c r="CQ4" s="1086"/>
      <c r="CR4" s="1086"/>
      <c r="CS4" s="1086"/>
      <c r="CT4" s="1086"/>
      <c r="CU4" s="1086"/>
      <c r="CV4" s="1086"/>
      <c r="CW4" s="1086"/>
      <c r="CX4" s="1086"/>
      <c r="CY4" s="1086"/>
      <c r="CZ4" s="1086"/>
      <c r="DA4" s="1086"/>
      <c r="DB4" s="1086"/>
      <c r="DC4" s="1086"/>
      <c r="DD4" s="1086"/>
      <c r="DE4" s="1086"/>
      <c r="DF4" s="1086"/>
      <c r="DG4" s="1086"/>
      <c r="DH4" s="1086"/>
      <c r="DI4" s="1086"/>
      <c r="DJ4" s="1086"/>
      <c r="DK4" s="1086"/>
    </row>
    <row r="5" spans="1:115" s="1088" customFormat="1">
      <c r="A5" s="1086" t="s">
        <v>92</v>
      </c>
      <c r="B5" s="1095" t="s">
        <v>120</v>
      </c>
      <c r="C5" s="1099">
        <v>306.81799999999998</v>
      </c>
      <c r="D5" s="1033">
        <f t="shared" si="0"/>
        <v>310</v>
      </c>
      <c r="E5" s="1099">
        <v>20.292000000000002</v>
      </c>
      <c r="F5" s="1033">
        <f>MROUND(E5,5)</f>
        <v>20</v>
      </c>
      <c r="G5" s="1099">
        <v>5.0679999999999996</v>
      </c>
      <c r="H5" s="1096">
        <f>MROUND(G5,1)</f>
        <v>5</v>
      </c>
      <c r="I5" s="1099">
        <v>3.952</v>
      </c>
      <c r="J5" s="1096">
        <f>MROUND(I5,0.5)</f>
        <v>4</v>
      </c>
      <c r="K5" s="1099">
        <v>0</v>
      </c>
      <c r="L5" s="1033">
        <v>0</v>
      </c>
      <c r="M5" s="1099">
        <v>0</v>
      </c>
      <c r="N5" s="1096">
        <v>0</v>
      </c>
      <c r="O5" s="1099">
        <v>64.385999999999996</v>
      </c>
      <c r="P5" s="1097">
        <f t="shared" si="1"/>
        <v>65</v>
      </c>
      <c r="Q5" s="1099">
        <v>77.262</v>
      </c>
      <c r="R5" s="1096">
        <f t="shared" si="2"/>
        <v>77</v>
      </c>
      <c r="S5" s="1099">
        <v>0.65900000000000003</v>
      </c>
      <c r="T5" s="1096" t="s">
        <v>303</v>
      </c>
      <c r="U5" s="1099">
        <v>72.105000000000004</v>
      </c>
      <c r="V5" s="1096">
        <f t="shared" si="3"/>
        <v>72</v>
      </c>
      <c r="W5" s="1099">
        <v>66.855000000000004</v>
      </c>
      <c r="X5" s="1096">
        <f t="shared" si="4"/>
        <v>67</v>
      </c>
      <c r="Y5" s="1100">
        <v>0.71499999999999997</v>
      </c>
      <c r="Z5" s="1096" t="s">
        <v>303</v>
      </c>
      <c r="AA5" s="1036">
        <v>0</v>
      </c>
      <c r="AB5" s="1036">
        <v>0</v>
      </c>
      <c r="AC5" s="1036">
        <v>11.254</v>
      </c>
      <c r="AD5" s="1036">
        <v>0.86599999999999999</v>
      </c>
      <c r="AE5" s="1036">
        <v>0.79900000000000004</v>
      </c>
      <c r="AF5" s="1036">
        <v>4.4379999999999997</v>
      </c>
      <c r="AG5" s="1036">
        <v>52.308999999999997</v>
      </c>
      <c r="AH5" s="1036">
        <v>1.113</v>
      </c>
      <c r="AI5" s="1094"/>
      <c r="AJ5" s="1094"/>
      <c r="AK5" s="1094"/>
      <c r="AL5" s="1094"/>
      <c r="AM5" s="1094"/>
      <c r="AN5" s="1094"/>
      <c r="AO5" s="1094"/>
      <c r="AP5" s="1094"/>
      <c r="AQ5" s="1094"/>
      <c r="AR5" s="1094"/>
      <c r="AS5" s="1094"/>
      <c r="AT5" s="1094"/>
      <c r="AU5" s="1094"/>
      <c r="AV5" s="1094"/>
      <c r="AW5" s="1094"/>
      <c r="AX5" s="1094"/>
      <c r="AY5" s="1094"/>
      <c r="AZ5" s="1094"/>
      <c r="BA5" s="1094"/>
      <c r="BB5" s="1094"/>
      <c r="BC5" s="1094"/>
      <c r="BD5" s="1094"/>
      <c r="BE5" s="1094"/>
      <c r="BF5" s="1094"/>
      <c r="BG5" s="1094"/>
      <c r="BH5" s="1094"/>
      <c r="BI5" s="1094"/>
      <c r="BJ5" s="1094"/>
      <c r="BK5" s="1094"/>
      <c r="BL5" s="1094"/>
      <c r="BM5" s="1094"/>
      <c r="BN5" s="1094"/>
      <c r="BO5" s="1094"/>
      <c r="BP5" s="1094"/>
      <c r="BQ5" s="1094"/>
      <c r="BR5" s="1094"/>
      <c r="BS5" s="1094"/>
      <c r="BT5" s="1094"/>
      <c r="BU5" s="1094"/>
      <c r="BV5" s="1094"/>
      <c r="BW5" s="1094"/>
      <c r="BX5" s="1094"/>
      <c r="BY5" s="1094"/>
      <c r="BZ5" s="1094"/>
      <c r="CA5" s="1094"/>
      <c r="CB5" s="1094"/>
      <c r="CC5" s="1094"/>
      <c r="CD5" s="1094"/>
      <c r="CE5" s="1094"/>
      <c r="CF5" s="1094"/>
      <c r="CG5" s="1094"/>
      <c r="CH5" s="1094"/>
      <c r="CI5" s="1094"/>
      <c r="CJ5" s="1094"/>
      <c r="CK5" s="1094"/>
      <c r="CL5" s="1094"/>
      <c r="CM5" s="1094"/>
      <c r="CN5" s="1094"/>
      <c r="CO5" s="1094"/>
      <c r="CP5" s="1094"/>
      <c r="CQ5" s="1094"/>
      <c r="CR5" s="1094"/>
      <c r="CS5" s="1094"/>
      <c r="CT5" s="1094"/>
      <c r="CU5" s="1094"/>
      <c r="CV5" s="1094"/>
      <c r="CW5" s="1094"/>
      <c r="CX5" s="1094"/>
      <c r="CY5" s="1094"/>
      <c r="CZ5" s="1094"/>
      <c r="DA5" s="1094"/>
      <c r="DB5" s="1094"/>
      <c r="DC5" s="1094"/>
      <c r="DD5" s="1094"/>
      <c r="DE5" s="1094"/>
      <c r="DF5" s="1094"/>
      <c r="DG5" s="1094"/>
      <c r="DH5" s="1094"/>
      <c r="DI5" s="1094"/>
      <c r="DJ5" s="1094"/>
      <c r="DK5" s="1094"/>
    </row>
    <row r="6" spans="1:115">
      <c r="A6" s="1086" t="s">
        <v>92</v>
      </c>
      <c r="B6" s="1095" t="s">
        <v>337</v>
      </c>
      <c r="C6" s="1051">
        <v>315.32100000000003</v>
      </c>
      <c r="D6" s="1033">
        <f t="shared" si="0"/>
        <v>320</v>
      </c>
      <c r="E6" s="1051">
        <v>2.5230000000000001</v>
      </c>
      <c r="F6" s="1033">
        <v>0</v>
      </c>
      <c r="G6" s="1051">
        <v>2.9580000000000002</v>
      </c>
      <c r="H6" s="1096">
        <f>MROUND(G6,0.5)</f>
        <v>3</v>
      </c>
      <c r="I6" s="1051">
        <v>2.649</v>
      </c>
      <c r="J6" s="1096">
        <f>MROUND(I6,0.5)</f>
        <v>2.5</v>
      </c>
      <c r="K6" s="1051">
        <v>0</v>
      </c>
      <c r="L6" s="1033">
        <v>0</v>
      </c>
      <c r="M6" s="1051">
        <v>0</v>
      </c>
      <c r="N6" s="1096">
        <v>0</v>
      </c>
      <c r="O6" s="1051">
        <v>76.930000000000007</v>
      </c>
      <c r="P6" s="1097">
        <f t="shared" si="1"/>
        <v>75</v>
      </c>
      <c r="Q6" s="1051">
        <v>73.844999999999999</v>
      </c>
      <c r="R6" s="1096">
        <f t="shared" si="2"/>
        <v>74</v>
      </c>
      <c r="S6" s="1051">
        <v>0.82</v>
      </c>
      <c r="T6" s="1096" t="s">
        <v>303</v>
      </c>
      <c r="U6" s="1051">
        <v>69.259</v>
      </c>
      <c r="V6" s="1096">
        <f t="shared" si="3"/>
        <v>69</v>
      </c>
      <c r="W6" s="1051">
        <v>68.885999999999996</v>
      </c>
      <c r="X6" s="1096">
        <f t="shared" si="4"/>
        <v>69</v>
      </c>
      <c r="Y6" s="1101">
        <v>0.74299999999999999</v>
      </c>
      <c r="Z6" s="1096" t="s">
        <v>303</v>
      </c>
      <c r="AA6" s="1050">
        <v>0.14699999999999999</v>
      </c>
      <c r="AB6" s="1050">
        <v>0</v>
      </c>
      <c r="AC6" s="1050">
        <v>12.541</v>
      </c>
      <c r="AD6" s="1050">
        <v>0.96499999999999997</v>
      </c>
      <c r="AE6" s="1050">
        <v>0.54800000000000004</v>
      </c>
      <c r="AF6" s="1050">
        <v>3.0470000000000002</v>
      </c>
      <c r="AG6" s="1050">
        <v>66.787000000000006</v>
      </c>
      <c r="AH6" s="1050">
        <v>1.421</v>
      </c>
      <c r="AI6" s="1102"/>
      <c r="AJ6" s="1102"/>
      <c r="AK6" s="1102"/>
      <c r="AL6" s="1102"/>
      <c r="AM6" s="1102"/>
      <c r="AN6" s="1102"/>
      <c r="AO6" s="1102"/>
      <c r="AP6" s="1102"/>
      <c r="AQ6" s="1102"/>
      <c r="AR6" s="1102"/>
      <c r="AS6" s="1102"/>
      <c r="AT6" s="1102"/>
      <c r="AU6" s="1102"/>
      <c r="AV6" s="1102"/>
      <c r="AW6" s="1102"/>
      <c r="AX6" s="1102"/>
      <c r="AY6" s="1102"/>
      <c r="AZ6" s="1102"/>
      <c r="BA6" s="1102"/>
      <c r="BB6" s="1102"/>
      <c r="BC6" s="1102"/>
      <c r="BD6" s="1102"/>
      <c r="BE6" s="1102"/>
      <c r="BF6" s="1102"/>
      <c r="BG6" s="1102"/>
      <c r="BH6" s="1102"/>
      <c r="BI6" s="1102"/>
      <c r="BJ6" s="1102"/>
      <c r="BK6" s="1102"/>
      <c r="BL6" s="1102"/>
      <c r="BM6" s="1102"/>
      <c r="BN6" s="1102"/>
      <c r="BO6" s="1102"/>
      <c r="BP6" s="1102"/>
      <c r="BQ6" s="1102"/>
      <c r="BR6" s="1102"/>
      <c r="BS6" s="1102"/>
      <c r="BT6" s="1102"/>
      <c r="BU6" s="1102"/>
      <c r="BV6" s="1102"/>
      <c r="BW6" s="1102"/>
      <c r="BX6" s="1102"/>
      <c r="BY6" s="1102"/>
      <c r="BZ6" s="1102"/>
      <c r="CA6" s="1102"/>
      <c r="CB6" s="1102"/>
      <c r="CC6" s="1102"/>
      <c r="CD6" s="1102"/>
      <c r="CE6" s="1102"/>
      <c r="CF6" s="1102"/>
      <c r="CG6" s="1102"/>
      <c r="CH6" s="1102"/>
      <c r="CI6" s="1102"/>
      <c r="CJ6" s="1102"/>
      <c r="CK6" s="1102"/>
      <c r="CL6" s="1102"/>
      <c r="CM6" s="1102"/>
      <c r="CN6" s="1102"/>
      <c r="CO6" s="1102"/>
      <c r="CP6" s="1102"/>
      <c r="CQ6" s="1102"/>
      <c r="CR6" s="1102"/>
      <c r="CS6" s="1102"/>
      <c r="CT6" s="1102"/>
      <c r="CU6" s="1102"/>
      <c r="CV6" s="1102"/>
      <c r="CW6" s="1102"/>
      <c r="CX6" s="1102"/>
      <c r="CY6" s="1102"/>
      <c r="CZ6" s="1102"/>
      <c r="DA6" s="1102"/>
      <c r="DB6" s="1102"/>
      <c r="DC6" s="1102"/>
      <c r="DD6" s="1102"/>
      <c r="DE6" s="1102"/>
      <c r="DF6" s="1102"/>
      <c r="DG6" s="1102"/>
      <c r="DH6" s="1102"/>
      <c r="DI6" s="1102"/>
      <c r="DJ6" s="1102"/>
      <c r="DK6" s="1102"/>
    </row>
    <row r="7" spans="1:115">
      <c r="A7" s="1094" t="s">
        <v>92</v>
      </c>
      <c r="B7" s="1095" t="s">
        <v>99</v>
      </c>
      <c r="C7" s="1052">
        <v>323.02600000000001</v>
      </c>
      <c r="D7" s="1033">
        <f t="shared" si="0"/>
        <v>320</v>
      </c>
      <c r="E7" s="1052">
        <v>40.006</v>
      </c>
      <c r="F7" s="1033">
        <f>MROUND(E7,5)</f>
        <v>40</v>
      </c>
      <c r="G7" s="1052">
        <v>7.2670000000000003</v>
      </c>
      <c r="H7" s="1096">
        <f>MROUND(G7,1)</f>
        <v>7</v>
      </c>
      <c r="I7" s="1052">
        <v>5.3819999999999997</v>
      </c>
      <c r="J7" s="1096">
        <f>MROUND(I7,1)</f>
        <v>5</v>
      </c>
      <c r="K7" s="1052">
        <v>4.5999999999999999E-2</v>
      </c>
      <c r="L7" s="1033">
        <v>0</v>
      </c>
      <c r="M7" s="1052">
        <v>5.46</v>
      </c>
      <c r="N7" s="1096" t="s">
        <v>332</v>
      </c>
      <c r="O7" s="1052">
        <v>72.480999999999995</v>
      </c>
      <c r="P7" s="1097">
        <f t="shared" si="1"/>
        <v>70</v>
      </c>
      <c r="Q7" s="1052">
        <v>76.075999999999993</v>
      </c>
      <c r="R7" s="1096">
        <f t="shared" si="2"/>
        <v>76</v>
      </c>
      <c r="S7" s="1052">
        <v>0.65800000000000003</v>
      </c>
      <c r="T7" s="1096" t="s">
        <v>303</v>
      </c>
      <c r="U7" s="1052">
        <v>68.813000000000002</v>
      </c>
      <c r="V7" s="1096">
        <f t="shared" si="3"/>
        <v>69</v>
      </c>
      <c r="W7" s="1052">
        <v>63.442999999999998</v>
      </c>
      <c r="X7" s="1096">
        <f t="shared" si="4"/>
        <v>63</v>
      </c>
      <c r="Y7" s="1098">
        <v>1.032</v>
      </c>
      <c r="Z7" s="1096">
        <f>MROUND(Y7,1)</f>
        <v>1</v>
      </c>
      <c r="AA7" s="1036">
        <v>1.9E-2</v>
      </c>
      <c r="AB7" s="1036">
        <v>0</v>
      </c>
      <c r="AC7" s="1036">
        <v>21.478000000000002</v>
      </c>
      <c r="AD7" s="1036">
        <v>1.6519999999999999</v>
      </c>
      <c r="AE7" s="1036">
        <v>0.78600000000000003</v>
      </c>
      <c r="AF7" s="1036">
        <v>4.3659999999999997</v>
      </c>
      <c r="AG7" s="1036">
        <v>51.566000000000003</v>
      </c>
      <c r="AH7" s="1036">
        <v>1.097</v>
      </c>
    </row>
    <row r="8" spans="1:115" s="1102" customFormat="1">
      <c r="A8" s="1086" t="s">
        <v>92</v>
      </c>
      <c r="B8" s="1095" t="s">
        <v>100</v>
      </c>
      <c r="C8" s="1052">
        <v>308.12400000000002</v>
      </c>
      <c r="D8" s="1033">
        <f t="shared" si="0"/>
        <v>310</v>
      </c>
      <c r="E8" s="1052">
        <v>17.59</v>
      </c>
      <c r="F8" s="1033">
        <f>MROUND(E8,5)</f>
        <v>20</v>
      </c>
      <c r="G8" s="1052">
        <v>4.7759999999999998</v>
      </c>
      <c r="H8" s="1096">
        <f>MROUND(G8,0.5)</f>
        <v>5</v>
      </c>
      <c r="I8" s="1052">
        <v>4.085</v>
      </c>
      <c r="J8" s="1096">
        <f>MROUND(I8,0.5)</f>
        <v>4</v>
      </c>
      <c r="K8" s="1052">
        <v>2E-3</v>
      </c>
      <c r="L8" s="1033">
        <v>0</v>
      </c>
      <c r="M8" s="1052">
        <v>1E-3</v>
      </c>
      <c r="N8" s="1096">
        <v>0</v>
      </c>
      <c r="O8" s="1052">
        <v>79.302999999999997</v>
      </c>
      <c r="P8" s="1097">
        <f t="shared" si="1"/>
        <v>80</v>
      </c>
      <c r="Q8" s="1052">
        <v>72.231999999999999</v>
      </c>
      <c r="R8" s="1096">
        <f t="shared" si="2"/>
        <v>72</v>
      </c>
      <c r="S8" s="1052">
        <v>0.68500000000000005</v>
      </c>
      <c r="T8" s="1096" t="s">
        <v>303</v>
      </c>
      <c r="U8" s="1052">
        <v>66.643000000000001</v>
      </c>
      <c r="V8" s="1096">
        <f t="shared" si="3"/>
        <v>67</v>
      </c>
      <c r="W8" s="1052">
        <v>62.296999999999997</v>
      </c>
      <c r="X8" s="1096">
        <f t="shared" si="4"/>
        <v>62</v>
      </c>
      <c r="Y8" s="1098">
        <v>0.752</v>
      </c>
      <c r="Z8" s="1096" t="s">
        <v>303</v>
      </c>
      <c r="AA8" s="1036">
        <v>0.38100000000000001</v>
      </c>
      <c r="AB8" s="1036">
        <v>0</v>
      </c>
      <c r="AC8" s="1036">
        <v>13.209</v>
      </c>
      <c r="AD8" s="1036">
        <v>1.016</v>
      </c>
      <c r="AE8" s="1036">
        <v>0.627</v>
      </c>
      <c r="AF8" s="1036">
        <v>3.4820000000000002</v>
      </c>
      <c r="AG8" s="1036">
        <v>95.007000000000005</v>
      </c>
      <c r="AH8" s="1036">
        <v>2.0209999999999999</v>
      </c>
      <c r="AI8" s="1086"/>
      <c r="AJ8" s="1086"/>
      <c r="AK8" s="1086"/>
      <c r="AL8" s="1086"/>
      <c r="AM8" s="1086"/>
      <c r="AN8" s="1086"/>
      <c r="AO8" s="1086"/>
      <c r="AP8" s="1086"/>
      <c r="AQ8" s="1086"/>
      <c r="AR8" s="1086"/>
      <c r="AS8" s="1086"/>
      <c r="AT8" s="1086"/>
      <c r="AU8" s="1086"/>
      <c r="AV8" s="1086"/>
      <c r="AW8" s="1086"/>
      <c r="AX8" s="1086"/>
      <c r="AY8" s="1086"/>
      <c r="AZ8" s="1086"/>
      <c r="BA8" s="1086"/>
      <c r="BB8" s="1086"/>
      <c r="BC8" s="1086"/>
      <c r="BD8" s="1086"/>
      <c r="BE8" s="1086"/>
      <c r="BF8" s="1086"/>
      <c r="BG8" s="1086"/>
      <c r="BH8" s="1086"/>
      <c r="BI8" s="1086"/>
      <c r="BJ8" s="1086"/>
      <c r="BK8" s="1086"/>
      <c r="BL8" s="1086"/>
      <c r="BM8" s="1086"/>
      <c r="BN8" s="1086"/>
      <c r="BO8" s="1086"/>
      <c r="BP8" s="1086"/>
      <c r="BQ8" s="1086"/>
      <c r="BR8" s="1086"/>
      <c r="BS8" s="1086"/>
      <c r="BT8" s="1086"/>
      <c r="BU8" s="1086"/>
      <c r="BV8" s="1086"/>
      <c r="BW8" s="1086"/>
      <c r="BX8" s="1086"/>
      <c r="BY8" s="1086"/>
      <c r="BZ8" s="1086"/>
      <c r="CA8" s="1086"/>
      <c r="CB8" s="1086"/>
      <c r="CC8" s="1086"/>
      <c r="CD8" s="1086"/>
      <c r="CE8" s="1086"/>
      <c r="CF8" s="1086"/>
      <c r="CG8" s="1086"/>
      <c r="CH8" s="1086"/>
      <c r="CI8" s="1086"/>
      <c r="CJ8" s="1086"/>
      <c r="CK8" s="1086"/>
      <c r="CL8" s="1086"/>
      <c r="CM8" s="1086"/>
      <c r="CN8" s="1086"/>
      <c r="CO8" s="1086"/>
      <c r="CP8" s="1086"/>
      <c r="CQ8" s="1086"/>
      <c r="CR8" s="1086"/>
      <c r="CS8" s="1086"/>
      <c r="CT8" s="1086"/>
      <c r="CU8" s="1086"/>
      <c r="CV8" s="1086"/>
      <c r="CW8" s="1086"/>
      <c r="CX8" s="1086"/>
      <c r="CY8" s="1086"/>
      <c r="CZ8" s="1086"/>
      <c r="DA8" s="1086"/>
      <c r="DB8" s="1086"/>
      <c r="DC8" s="1086"/>
      <c r="DD8" s="1086"/>
      <c r="DE8" s="1086"/>
      <c r="DF8" s="1086"/>
      <c r="DG8" s="1086"/>
      <c r="DH8" s="1086"/>
      <c r="DI8" s="1086"/>
      <c r="DJ8" s="1086"/>
      <c r="DK8" s="1086"/>
    </row>
    <row r="9" spans="1:115" s="1102" customFormat="1">
      <c r="A9" s="1094" t="s">
        <v>92</v>
      </c>
      <c r="B9" s="1095" t="s">
        <v>101</v>
      </c>
      <c r="C9" s="1052">
        <v>293.73599999999999</v>
      </c>
      <c r="D9" s="1033">
        <f t="shared" si="0"/>
        <v>290</v>
      </c>
      <c r="E9" s="1052">
        <v>27.632999999999999</v>
      </c>
      <c r="F9" s="1033">
        <f>MROUND(E9,5)</f>
        <v>30</v>
      </c>
      <c r="G9" s="1052">
        <v>5.9379999999999997</v>
      </c>
      <c r="H9" s="1096">
        <f>MROUND(G9,1)</f>
        <v>6</v>
      </c>
      <c r="I9" s="1052">
        <v>4.7770000000000001</v>
      </c>
      <c r="J9" s="1096">
        <f>MROUND(I9,0.5)</f>
        <v>5</v>
      </c>
      <c r="K9" s="1052">
        <v>0</v>
      </c>
      <c r="L9" s="1033">
        <v>0</v>
      </c>
      <c r="M9" s="1052">
        <v>1E-3</v>
      </c>
      <c r="N9" s="1096">
        <v>0</v>
      </c>
      <c r="O9" s="1052">
        <v>86.614999999999995</v>
      </c>
      <c r="P9" s="1097">
        <f t="shared" si="1"/>
        <v>85</v>
      </c>
      <c r="Q9" s="1052">
        <v>71.218000000000004</v>
      </c>
      <c r="R9" s="1096">
        <f t="shared" si="2"/>
        <v>71</v>
      </c>
      <c r="S9" s="1052">
        <v>0.97</v>
      </c>
      <c r="T9" s="1096" t="s">
        <v>303</v>
      </c>
      <c r="U9" s="1052">
        <v>65.974999999999994</v>
      </c>
      <c r="V9" s="1096">
        <f t="shared" si="3"/>
        <v>66</v>
      </c>
      <c r="W9" s="1052">
        <v>59.831000000000003</v>
      </c>
      <c r="X9" s="1096">
        <f t="shared" si="4"/>
        <v>60</v>
      </c>
      <c r="Y9" s="1098">
        <v>1.0609999999999999</v>
      </c>
      <c r="Z9" s="1096">
        <f>MROUND(Y9,1)</f>
        <v>1</v>
      </c>
      <c r="AA9" s="1036">
        <v>0.77200000000000002</v>
      </c>
      <c r="AB9" s="1036">
        <v>0</v>
      </c>
      <c r="AC9" s="1036">
        <v>16.324000000000002</v>
      </c>
      <c r="AD9" s="1036">
        <v>1.256</v>
      </c>
      <c r="AE9" s="1036">
        <v>1.0569999999999999</v>
      </c>
      <c r="AF9" s="1036">
        <v>5.87</v>
      </c>
      <c r="AG9" s="1036">
        <v>80.016000000000005</v>
      </c>
      <c r="AH9" s="1036">
        <v>1.702</v>
      </c>
      <c r="AI9" s="1086"/>
      <c r="AJ9" s="1086"/>
      <c r="AK9" s="1086"/>
      <c r="AL9" s="1086"/>
      <c r="AM9" s="1086"/>
      <c r="AN9" s="1086"/>
      <c r="AO9" s="1086"/>
      <c r="AP9" s="1086"/>
      <c r="AQ9" s="1086"/>
      <c r="AR9" s="1086"/>
      <c r="AS9" s="1086"/>
      <c r="AT9" s="1086"/>
      <c r="AU9" s="1086"/>
      <c r="AV9" s="1086"/>
      <c r="AW9" s="1086"/>
      <c r="AX9" s="1086"/>
      <c r="AY9" s="1086"/>
      <c r="AZ9" s="1086"/>
      <c r="BA9" s="1086"/>
      <c r="BB9" s="1086"/>
      <c r="BC9" s="1086"/>
      <c r="BD9" s="1086"/>
      <c r="BE9" s="1086"/>
      <c r="BF9" s="1086"/>
      <c r="BG9" s="1086"/>
      <c r="BH9" s="1086"/>
      <c r="BI9" s="1086"/>
      <c r="BJ9" s="1086"/>
      <c r="BK9" s="1086"/>
      <c r="BL9" s="1086"/>
      <c r="BM9" s="1086"/>
      <c r="BN9" s="1086"/>
      <c r="BO9" s="1086"/>
      <c r="BP9" s="1086"/>
      <c r="BQ9" s="1086"/>
      <c r="BR9" s="1086"/>
      <c r="BS9" s="1086"/>
      <c r="BT9" s="1086"/>
      <c r="BU9" s="1086"/>
      <c r="BV9" s="1086"/>
      <c r="BW9" s="1086"/>
      <c r="BX9" s="1086"/>
      <c r="BY9" s="1086"/>
      <c r="BZ9" s="1086"/>
      <c r="CA9" s="1086"/>
      <c r="CB9" s="1086"/>
      <c r="CC9" s="1086"/>
      <c r="CD9" s="1086"/>
      <c r="CE9" s="1086"/>
      <c r="CF9" s="1086"/>
      <c r="CG9" s="1086"/>
      <c r="CH9" s="1086"/>
      <c r="CI9" s="1086"/>
      <c r="CJ9" s="1086"/>
      <c r="CK9" s="1086"/>
      <c r="CL9" s="1086"/>
      <c r="CM9" s="1086"/>
      <c r="CN9" s="1086"/>
      <c r="CO9" s="1086"/>
      <c r="CP9" s="1086"/>
      <c r="CQ9" s="1086"/>
      <c r="CR9" s="1086"/>
      <c r="CS9" s="1086"/>
      <c r="CT9" s="1086"/>
      <c r="CU9" s="1086"/>
      <c r="CV9" s="1086"/>
      <c r="CW9" s="1086"/>
      <c r="CX9" s="1086"/>
      <c r="CY9" s="1086"/>
      <c r="CZ9" s="1086"/>
      <c r="DA9" s="1086"/>
      <c r="DB9" s="1086"/>
      <c r="DC9" s="1086"/>
      <c r="DD9" s="1086"/>
      <c r="DE9" s="1086"/>
      <c r="DF9" s="1086"/>
      <c r="DG9" s="1086"/>
      <c r="DH9" s="1086"/>
      <c r="DI9" s="1086"/>
      <c r="DJ9" s="1086"/>
      <c r="DK9" s="1086"/>
    </row>
    <row r="10" spans="1:115">
      <c r="A10" s="1103" t="s">
        <v>92</v>
      </c>
      <c r="B10" s="1095" t="s">
        <v>93</v>
      </c>
      <c r="C10" s="1052">
        <v>296.887</v>
      </c>
      <c r="D10" s="1033">
        <f t="shared" si="0"/>
        <v>300</v>
      </c>
      <c r="E10" s="1052">
        <v>14.365</v>
      </c>
      <c r="F10" s="1033">
        <f>MROUND(E10,5)</f>
        <v>15</v>
      </c>
      <c r="G10" s="1052">
        <v>4.3979999999999997</v>
      </c>
      <c r="H10" s="1096">
        <f>MROUND(G10,0.5)</f>
        <v>4.5</v>
      </c>
      <c r="I10" s="1052">
        <v>3.4089999999999998</v>
      </c>
      <c r="J10" s="1096">
        <f>MROUND(I10,0.5)</f>
        <v>3.5</v>
      </c>
      <c r="K10" s="1052">
        <v>2E-3</v>
      </c>
      <c r="L10" s="1033">
        <v>0</v>
      </c>
      <c r="M10" s="1052">
        <v>0</v>
      </c>
      <c r="N10" s="1096">
        <v>0</v>
      </c>
      <c r="O10" s="1052">
        <v>63.116</v>
      </c>
      <c r="P10" s="1097">
        <f t="shared" si="1"/>
        <v>65</v>
      </c>
      <c r="Q10" s="1052">
        <v>69.799000000000007</v>
      </c>
      <c r="R10" s="1096">
        <f t="shared" si="2"/>
        <v>70</v>
      </c>
      <c r="S10" s="1052">
        <v>0.59499999999999997</v>
      </c>
      <c r="T10" s="1096" t="s">
        <v>303</v>
      </c>
      <c r="U10" s="1052">
        <v>65.605000000000004</v>
      </c>
      <c r="V10" s="1096">
        <f t="shared" si="3"/>
        <v>66</v>
      </c>
      <c r="W10" s="1052">
        <v>59.514000000000003</v>
      </c>
      <c r="X10" s="1096">
        <f t="shared" si="4"/>
        <v>60</v>
      </c>
      <c r="Y10" s="1098">
        <v>0.54600000000000004</v>
      </c>
      <c r="Z10" s="1096" t="s">
        <v>303</v>
      </c>
      <c r="AA10" s="1036">
        <v>0.42299999999999999</v>
      </c>
      <c r="AB10" s="1036">
        <v>0</v>
      </c>
      <c r="AC10" s="1036">
        <v>13.221</v>
      </c>
      <c r="AD10" s="1036">
        <v>1.0169999999999999</v>
      </c>
      <c r="AE10" s="1036">
        <v>0.47399999999999998</v>
      </c>
      <c r="AF10" s="1036">
        <v>2.6349999999999998</v>
      </c>
      <c r="AG10" s="1036">
        <v>62.914000000000001</v>
      </c>
      <c r="AH10" s="1036">
        <v>1.339</v>
      </c>
    </row>
    <row r="11" spans="1:115" s="1107" customFormat="1">
      <c r="A11" s="1086" t="s">
        <v>92</v>
      </c>
      <c r="B11" s="1095" t="s">
        <v>108</v>
      </c>
      <c r="C11" s="1104">
        <v>273.39699999999999</v>
      </c>
      <c r="D11" s="1033">
        <f t="shared" si="0"/>
        <v>270</v>
      </c>
      <c r="E11" s="1104">
        <v>20.291</v>
      </c>
      <c r="F11" s="1033">
        <f>MROUND(E11,5)</f>
        <v>20</v>
      </c>
      <c r="G11" s="1104">
        <v>5.0860000000000003</v>
      </c>
      <c r="H11" s="1096">
        <f>MROUND(G11,1)</f>
        <v>5</v>
      </c>
      <c r="I11" s="1104">
        <v>3.9780000000000002</v>
      </c>
      <c r="J11" s="1096">
        <f>MROUND(I11,0.5)</f>
        <v>4</v>
      </c>
      <c r="K11" s="1104">
        <v>0</v>
      </c>
      <c r="L11" s="1033">
        <v>0</v>
      </c>
      <c r="M11" s="1104">
        <v>0</v>
      </c>
      <c r="N11" s="1096">
        <v>0</v>
      </c>
      <c r="O11" s="1104">
        <v>55.808</v>
      </c>
      <c r="P11" s="1097">
        <f t="shared" si="1"/>
        <v>55</v>
      </c>
      <c r="Q11" s="1104">
        <v>68.930000000000007</v>
      </c>
      <c r="R11" s="1096">
        <f t="shared" si="2"/>
        <v>69</v>
      </c>
      <c r="S11" s="1052">
        <v>0.63700000000000001</v>
      </c>
      <c r="T11" s="1096" t="s">
        <v>303</v>
      </c>
      <c r="U11" s="1104">
        <v>64.974000000000004</v>
      </c>
      <c r="V11" s="1096">
        <f t="shared" si="3"/>
        <v>65</v>
      </c>
      <c r="W11" s="1104">
        <v>59.841999999999999</v>
      </c>
      <c r="X11" s="1096">
        <f t="shared" si="4"/>
        <v>60</v>
      </c>
      <c r="Y11" s="1105">
        <v>0.66400000000000003</v>
      </c>
      <c r="Z11" s="1096" t="s">
        <v>303</v>
      </c>
      <c r="AA11" s="1036">
        <v>0.76</v>
      </c>
      <c r="AB11" s="1036">
        <v>0</v>
      </c>
      <c r="AC11" s="1036">
        <v>10.436</v>
      </c>
      <c r="AD11" s="1036">
        <v>0.80300000000000005</v>
      </c>
      <c r="AE11" s="1036">
        <v>0.76700000000000002</v>
      </c>
      <c r="AF11" s="1036">
        <v>4.2590000000000003</v>
      </c>
      <c r="AG11" s="1036">
        <v>42.762999999999998</v>
      </c>
      <c r="AH11" s="1036">
        <v>0.91</v>
      </c>
      <c r="AI11" s="1106"/>
      <c r="AJ11" s="1106"/>
      <c r="AK11" s="1106"/>
      <c r="AL11" s="1106"/>
      <c r="AM11" s="1106"/>
      <c r="AN11" s="1106"/>
      <c r="AO11" s="1106"/>
      <c r="AP11" s="1106"/>
      <c r="AQ11" s="1106"/>
      <c r="AR11" s="1106"/>
      <c r="AS11" s="1106"/>
      <c r="AT11" s="1106"/>
      <c r="AU11" s="1106"/>
      <c r="AV11" s="1106"/>
      <c r="AW11" s="1106"/>
      <c r="AX11" s="1106"/>
      <c r="AY11" s="1106"/>
      <c r="AZ11" s="1106"/>
      <c r="BA11" s="1106"/>
      <c r="BB11" s="1106"/>
      <c r="BC11" s="1106"/>
      <c r="BD11" s="1106"/>
      <c r="BE11" s="1106"/>
      <c r="BF11" s="1106"/>
      <c r="BG11" s="1106"/>
      <c r="BH11" s="1106"/>
      <c r="BI11" s="1106"/>
      <c r="BJ11" s="1106"/>
      <c r="BK11" s="1106"/>
      <c r="BL11" s="1106"/>
      <c r="BM11" s="1106"/>
      <c r="BN11" s="1106"/>
      <c r="BO11" s="1106"/>
      <c r="BP11" s="1106"/>
      <c r="BQ11" s="1106"/>
      <c r="BR11" s="1106"/>
      <c r="BS11" s="1106"/>
      <c r="BT11" s="1106"/>
      <c r="BU11" s="1106"/>
      <c r="BV11" s="1106"/>
      <c r="BW11" s="1106"/>
      <c r="BX11" s="1106"/>
      <c r="BY11" s="1106"/>
      <c r="BZ11" s="1106"/>
      <c r="CA11" s="1106"/>
      <c r="CB11" s="1106"/>
      <c r="CC11" s="1106"/>
      <c r="CD11" s="1106"/>
      <c r="CE11" s="1106"/>
      <c r="CF11" s="1106"/>
      <c r="CG11" s="1106"/>
      <c r="CH11" s="1106"/>
      <c r="CI11" s="1106"/>
      <c r="CJ11" s="1106"/>
      <c r="CK11" s="1106"/>
      <c r="CL11" s="1106"/>
      <c r="CM11" s="1106"/>
      <c r="CN11" s="1106"/>
      <c r="CO11" s="1106"/>
      <c r="CP11" s="1106"/>
      <c r="CQ11" s="1106"/>
      <c r="CR11" s="1106"/>
      <c r="CS11" s="1106"/>
      <c r="CT11" s="1106"/>
      <c r="CU11" s="1106"/>
      <c r="CV11" s="1106"/>
      <c r="CW11" s="1106"/>
      <c r="CX11" s="1106"/>
      <c r="CY11" s="1106"/>
      <c r="CZ11" s="1106"/>
      <c r="DA11" s="1106"/>
      <c r="DB11" s="1106"/>
      <c r="DC11" s="1106"/>
      <c r="DD11" s="1106"/>
      <c r="DE11" s="1106"/>
      <c r="DF11" s="1106"/>
      <c r="DG11" s="1106"/>
      <c r="DH11" s="1106"/>
      <c r="DI11" s="1106"/>
      <c r="DJ11" s="1106"/>
      <c r="DK11" s="1106"/>
    </row>
    <row r="12" spans="1:115">
      <c r="A12" s="1086" t="s">
        <v>296</v>
      </c>
      <c r="B12" s="1095" t="s">
        <v>60</v>
      </c>
      <c r="C12" s="1052">
        <v>251.23099999999999</v>
      </c>
      <c r="D12" s="1033">
        <f t="shared" si="0"/>
        <v>250</v>
      </c>
      <c r="E12" s="1052">
        <v>2.5000000000000001E-2</v>
      </c>
      <c r="F12" s="1033">
        <v>0</v>
      </c>
      <c r="G12" s="1052">
        <v>3.0000000000000001E-3</v>
      </c>
      <c r="H12" s="1033">
        <v>0</v>
      </c>
      <c r="I12" s="1052">
        <v>3.0000000000000001E-3</v>
      </c>
      <c r="J12" s="1033">
        <v>0</v>
      </c>
      <c r="K12" s="1052">
        <v>0</v>
      </c>
      <c r="L12" s="1033">
        <v>0</v>
      </c>
      <c r="M12" s="1052">
        <v>0</v>
      </c>
      <c r="N12" s="1096">
        <v>0</v>
      </c>
      <c r="O12" s="1052">
        <v>37.049999999999997</v>
      </c>
      <c r="P12" s="1097">
        <f t="shared" si="1"/>
        <v>35</v>
      </c>
      <c r="Q12" s="1052">
        <v>63.786000000000001</v>
      </c>
      <c r="R12" s="1096">
        <f t="shared" si="2"/>
        <v>64</v>
      </c>
      <c r="S12" s="1052">
        <v>0.88</v>
      </c>
      <c r="T12" s="1096" t="s">
        <v>303</v>
      </c>
      <c r="U12" s="1052">
        <v>60.473999999999997</v>
      </c>
      <c r="V12" s="1096">
        <f t="shared" si="3"/>
        <v>60</v>
      </c>
      <c r="W12" s="1052">
        <v>59.875</v>
      </c>
      <c r="X12" s="1096">
        <f t="shared" si="4"/>
        <v>60</v>
      </c>
      <c r="Y12" s="1052">
        <v>0.307</v>
      </c>
      <c r="Z12" s="1096">
        <v>0</v>
      </c>
      <c r="AA12" s="1036">
        <v>0</v>
      </c>
      <c r="AB12" s="1036">
        <v>0</v>
      </c>
      <c r="AC12" s="1036">
        <v>10.401999999999999</v>
      </c>
      <c r="AD12" s="1036">
        <v>0.8</v>
      </c>
      <c r="AE12" s="1036">
        <v>0.11</v>
      </c>
      <c r="AF12" s="1036">
        <v>0.61299999999999999</v>
      </c>
      <c r="AG12" s="1036">
        <v>25.422000000000001</v>
      </c>
      <c r="AH12" s="1036">
        <v>0.54100000000000004</v>
      </c>
    </row>
    <row r="13" spans="1:115">
      <c r="A13" s="1086" t="s">
        <v>92</v>
      </c>
      <c r="B13" s="1095" t="s">
        <v>321</v>
      </c>
      <c r="C13" s="1052">
        <v>249.62200000000001</v>
      </c>
      <c r="D13" s="1033">
        <f t="shared" si="0"/>
        <v>250</v>
      </c>
      <c r="E13" s="1052">
        <v>0.59899999999999998</v>
      </c>
      <c r="F13" s="1033">
        <v>0</v>
      </c>
      <c r="G13" s="1052">
        <v>2.8170000000000002</v>
      </c>
      <c r="H13" s="1096">
        <f>MROUND(G13,0.5)</f>
        <v>3</v>
      </c>
      <c r="I13" s="1052">
        <v>2.556</v>
      </c>
      <c r="J13" s="1096">
        <f t="shared" ref="J13:J18" si="5">MROUND(I13,0.5)</f>
        <v>2.5</v>
      </c>
      <c r="K13" s="1052">
        <v>0</v>
      </c>
      <c r="L13" s="1033">
        <v>0</v>
      </c>
      <c r="M13" s="1052">
        <v>0</v>
      </c>
      <c r="N13" s="1096">
        <v>0</v>
      </c>
      <c r="O13" s="1052">
        <v>57.058</v>
      </c>
      <c r="P13" s="1097">
        <f t="shared" si="1"/>
        <v>55</v>
      </c>
      <c r="Q13" s="1052">
        <v>56.151000000000003</v>
      </c>
      <c r="R13" s="1096">
        <f t="shared" si="2"/>
        <v>56</v>
      </c>
      <c r="S13" s="1052">
        <v>0.621</v>
      </c>
      <c r="T13" s="1096" t="s">
        <v>303</v>
      </c>
      <c r="U13" s="1052">
        <v>52.023000000000003</v>
      </c>
      <c r="V13" s="1096">
        <f t="shared" si="3"/>
        <v>52</v>
      </c>
      <c r="W13" s="1052">
        <v>51.146999999999998</v>
      </c>
      <c r="X13" s="1096">
        <f t="shared" si="4"/>
        <v>51</v>
      </c>
      <c r="Y13" s="1098">
        <v>0.435</v>
      </c>
      <c r="Z13" s="1096">
        <v>0</v>
      </c>
      <c r="AA13" s="1105">
        <v>0</v>
      </c>
      <c r="AB13" s="1105">
        <v>0</v>
      </c>
      <c r="AC13" s="1105">
        <v>10.086</v>
      </c>
      <c r="AD13" s="1105">
        <v>0.77600000000000002</v>
      </c>
      <c r="AE13" s="1105">
        <v>0.14899999999999999</v>
      </c>
      <c r="AF13" s="1105">
        <v>0.82799999999999996</v>
      </c>
      <c r="AG13" s="1105">
        <v>29.007000000000001</v>
      </c>
      <c r="AH13" s="1105">
        <v>0.61699999999999999</v>
      </c>
    </row>
    <row r="14" spans="1:115">
      <c r="A14" s="1103" t="s">
        <v>92</v>
      </c>
      <c r="B14" s="1095" t="s">
        <v>112</v>
      </c>
      <c r="C14" s="1052">
        <v>246.542</v>
      </c>
      <c r="D14" s="1033">
        <f t="shared" si="0"/>
        <v>250</v>
      </c>
      <c r="E14" s="1052">
        <v>0.05</v>
      </c>
      <c r="F14" s="1033">
        <v>0</v>
      </c>
      <c r="G14" s="1052">
        <v>2.8439999999999999</v>
      </c>
      <c r="H14" s="1096">
        <f>MROUND(G14,0.5)</f>
        <v>3</v>
      </c>
      <c r="I14" s="1052">
        <v>2.637</v>
      </c>
      <c r="J14" s="1096">
        <f t="shared" si="5"/>
        <v>2.5</v>
      </c>
      <c r="K14" s="1052">
        <v>0</v>
      </c>
      <c r="L14" s="1033">
        <v>0</v>
      </c>
      <c r="M14" s="1052">
        <v>0</v>
      </c>
      <c r="N14" s="1096">
        <v>0</v>
      </c>
      <c r="O14" s="1052">
        <v>58.615000000000002</v>
      </c>
      <c r="P14" s="1097">
        <f t="shared" si="1"/>
        <v>60</v>
      </c>
      <c r="Q14" s="1052">
        <v>55.453000000000003</v>
      </c>
      <c r="R14" s="1096">
        <f t="shared" si="2"/>
        <v>55</v>
      </c>
      <c r="S14" s="1052">
        <v>0.85099999999999998</v>
      </c>
      <c r="T14" s="1096" t="s">
        <v>303</v>
      </c>
      <c r="U14" s="1052">
        <v>51.040999999999997</v>
      </c>
      <c r="V14" s="1096">
        <f t="shared" si="3"/>
        <v>51</v>
      </c>
      <c r="W14" s="1052">
        <v>50.146999999999998</v>
      </c>
      <c r="X14" s="1096">
        <f t="shared" si="4"/>
        <v>50</v>
      </c>
      <c r="Y14" s="1098">
        <v>0.51600000000000001</v>
      </c>
      <c r="Z14" s="1096" t="s">
        <v>303</v>
      </c>
      <c r="AA14" s="1036">
        <v>0</v>
      </c>
      <c r="AB14" s="1036">
        <v>0</v>
      </c>
      <c r="AC14" s="1036">
        <v>14.673</v>
      </c>
      <c r="AD14" s="1036">
        <v>1.129</v>
      </c>
      <c r="AE14" s="1036">
        <v>0.33300000000000002</v>
      </c>
      <c r="AF14" s="1036">
        <v>1.8480000000000001</v>
      </c>
      <c r="AG14" s="1036">
        <v>57.64</v>
      </c>
      <c r="AH14" s="1036">
        <v>1.226</v>
      </c>
    </row>
    <row r="15" spans="1:115">
      <c r="A15" s="1086" t="s">
        <v>92</v>
      </c>
      <c r="B15" s="1095" t="s">
        <v>115</v>
      </c>
      <c r="C15" s="1052">
        <v>259.60700000000003</v>
      </c>
      <c r="D15" s="1033">
        <f t="shared" si="0"/>
        <v>260</v>
      </c>
      <c r="E15" s="1052">
        <v>0</v>
      </c>
      <c r="F15" s="1033">
        <v>0</v>
      </c>
      <c r="G15" s="1052">
        <v>1.335</v>
      </c>
      <c r="H15" s="1096">
        <f>MROUND(G15,0.5)</f>
        <v>1.5</v>
      </c>
      <c r="I15" s="1052">
        <v>1.238</v>
      </c>
      <c r="J15" s="1096">
        <f t="shared" si="5"/>
        <v>1</v>
      </c>
      <c r="K15" s="1052">
        <v>0</v>
      </c>
      <c r="L15" s="1033">
        <v>0</v>
      </c>
      <c r="M15" s="1052">
        <v>0</v>
      </c>
      <c r="N15" s="1096">
        <v>0</v>
      </c>
      <c r="O15" s="1052">
        <v>51.578000000000003</v>
      </c>
      <c r="P15" s="1097">
        <f t="shared" si="1"/>
        <v>50</v>
      </c>
      <c r="Q15" s="1052">
        <v>47.82</v>
      </c>
      <c r="R15" s="1096">
        <f t="shared" si="2"/>
        <v>48</v>
      </c>
      <c r="S15" s="1052">
        <v>14.167</v>
      </c>
      <c r="T15" s="1096">
        <f>MROUND(S15,1)</f>
        <v>14</v>
      </c>
      <c r="U15" s="1052">
        <v>45.658000000000001</v>
      </c>
      <c r="V15" s="1096">
        <f t="shared" si="3"/>
        <v>46</v>
      </c>
      <c r="W15" s="1052">
        <v>59.71</v>
      </c>
      <c r="X15" s="1096">
        <f t="shared" si="4"/>
        <v>60</v>
      </c>
      <c r="Y15" s="1098">
        <v>0.121</v>
      </c>
      <c r="Z15" s="1096">
        <v>0</v>
      </c>
      <c r="AA15" s="1036">
        <v>0</v>
      </c>
      <c r="AB15" s="1036">
        <v>0</v>
      </c>
      <c r="AC15" s="1036">
        <v>8.5060000000000002</v>
      </c>
      <c r="AD15" s="1036">
        <v>0.65400000000000003</v>
      </c>
      <c r="AE15" s="1036">
        <v>0.08</v>
      </c>
      <c r="AF15" s="1036">
        <v>0.44400000000000001</v>
      </c>
      <c r="AG15" s="1036">
        <v>21.74</v>
      </c>
      <c r="AH15" s="1036">
        <v>0.46300000000000002</v>
      </c>
    </row>
    <row r="16" spans="1:115">
      <c r="A16" s="1094" t="s">
        <v>92</v>
      </c>
      <c r="B16" s="1095" t="s">
        <v>35</v>
      </c>
      <c r="C16" s="1052">
        <v>344.20499999999998</v>
      </c>
      <c r="D16" s="1033">
        <f t="shared" si="0"/>
        <v>340</v>
      </c>
      <c r="E16" s="1052">
        <v>23.263000000000002</v>
      </c>
      <c r="F16" s="1033">
        <f>MROUND(E16,5)</f>
        <v>25</v>
      </c>
      <c r="G16" s="1052">
        <v>2.548</v>
      </c>
      <c r="H16" s="1096">
        <f>MROUND(G16,0.5)</f>
        <v>2.5</v>
      </c>
      <c r="I16" s="1052">
        <v>1.5649999999999999</v>
      </c>
      <c r="J16" s="1096">
        <f t="shared" si="5"/>
        <v>1.5</v>
      </c>
      <c r="K16" s="1052">
        <v>0</v>
      </c>
      <c r="L16" s="1033">
        <v>0</v>
      </c>
      <c r="M16" s="1052">
        <v>0</v>
      </c>
      <c r="N16" s="1096">
        <v>0</v>
      </c>
      <c r="O16" s="1052">
        <v>57.143000000000001</v>
      </c>
      <c r="P16" s="1097">
        <f t="shared" si="1"/>
        <v>55</v>
      </c>
      <c r="Q16" s="1052">
        <v>83.48</v>
      </c>
      <c r="R16" s="1096">
        <f t="shared" si="2"/>
        <v>83</v>
      </c>
      <c r="S16" s="1052">
        <v>1.77</v>
      </c>
      <c r="T16" s="1096">
        <f>MROUND(S16,1)</f>
        <v>2</v>
      </c>
      <c r="U16" s="1052">
        <v>78.474000000000004</v>
      </c>
      <c r="V16" s="1096">
        <f t="shared" si="3"/>
        <v>78</v>
      </c>
      <c r="W16" s="1052">
        <v>78.17</v>
      </c>
      <c r="X16" s="1096">
        <f t="shared" si="4"/>
        <v>78</v>
      </c>
      <c r="Y16" s="1098">
        <v>1.095</v>
      </c>
      <c r="Z16" s="1096">
        <f>MROUND(Y16,1)</f>
        <v>1</v>
      </c>
      <c r="AA16" s="1036">
        <v>0.71499999999999997</v>
      </c>
      <c r="AB16" s="1036">
        <v>0</v>
      </c>
      <c r="AC16" s="1036">
        <v>16.606000000000002</v>
      </c>
      <c r="AD16" s="1036">
        <v>1.2769999999999999</v>
      </c>
      <c r="AE16" s="1036">
        <v>1.3169999999999999</v>
      </c>
      <c r="AF16" s="1036">
        <v>7.3150000000000004</v>
      </c>
      <c r="AG16" s="1036">
        <v>115.93600000000001</v>
      </c>
      <c r="AH16" s="1036">
        <v>2.4670000000000001</v>
      </c>
    </row>
    <row r="17" spans="1:115">
      <c r="A17" s="1094" t="s">
        <v>92</v>
      </c>
      <c r="B17" s="1095" t="s">
        <v>105</v>
      </c>
      <c r="C17" s="1052">
        <v>379.66199999999998</v>
      </c>
      <c r="D17" s="1033">
        <f t="shared" si="0"/>
        <v>380</v>
      </c>
      <c r="E17" s="1052">
        <v>24.716000000000001</v>
      </c>
      <c r="F17" s="1033">
        <f>MROUND(E17,5)</f>
        <v>25</v>
      </c>
      <c r="G17" s="1052">
        <v>5.4509999999999996</v>
      </c>
      <c r="H17" s="1096">
        <f>MROUND(G17,1)</f>
        <v>5</v>
      </c>
      <c r="I17" s="1052">
        <v>3.7189999999999999</v>
      </c>
      <c r="J17" s="1096">
        <f t="shared" si="5"/>
        <v>3.5</v>
      </c>
      <c r="K17" s="1052">
        <v>3.5999999999999997E-2</v>
      </c>
      <c r="L17" s="1033">
        <v>0</v>
      </c>
      <c r="M17" s="1052">
        <v>2.17</v>
      </c>
      <c r="N17" s="1096" t="s">
        <v>332</v>
      </c>
      <c r="O17" s="1052">
        <v>98.132999999999996</v>
      </c>
      <c r="P17" s="1097">
        <f t="shared" si="1"/>
        <v>100</v>
      </c>
      <c r="Q17" s="1052">
        <v>87.472999999999999</v>
      </c>
      <c r="R17" s="1096">
        <f t="shared" si="2"/>
        <v>87</v>
      </c>
      <c r="S17" s="1052">
        <v>1.5209999999999999</v>
      </c>
      <c r="T17" s="1096">
        <f>MROUND(S17,1)</f>
        <v>2</v>
      </c>
      <c r="U17" s="1052">
        <v>77.861000000000004</v>
      </c>
      <c r="V17" s="1096">
        <f t="shared" si="3"/>
        <v>78</v>
      </c>
      <c r="W17" s="1052">
        <v>71.594999999999999</v>
      </c>
      <c r="X17" s="1096">
        <f t="shared" si="4"/>
        <v>72</v>
      </c>
      <c r="Y17" s="1098">
        <v>1.65</v>
      </c>
      <c r="Z17" s="1096">
        <f>MROUND(Y17,1)</f>
        <v>2</v>
      </c>
      <c r="AA17" s="1036">
        <v>0.39300000000000002</v>
      </c>
      <c r="AB17" s="1036">
        <v>0</v>
      </c>
      <c r="AC17" s="1036">
        <v>16.608000000000001</v>
      </c>
      <c r="AD17" s="1036">
        <v>1.278</v>
      </c>
      <c r="AE17" s="1036">
        <v>0.84699999999999998</v>
      </c>
      <c r="AF17" s="1036">
        <v>4.7060000000000004</v>
      </c>
      <c r="AG17" s="1036">
        <v>132.37</v>
      </c>
      <c r="AH17" s="1036">
        <v>2.8159999999999998</v>
      </c>
    </row>
    <row r="18" spans="1:115">
      <c r="A18" s="1107" t="s">
        <v>296</v>
      </c>
      <c r="B18" s="1095" t="s">
        <v>317</v>
      </c>
      <c r="C18" s="1052">
        <v>366.90899999999999</v>
      </c>
      <c r="D18" s="1033">
        <f t="shared" si="0"/>
        <v>370</v>
      </c>
      <c r="E18" s="1052">
        <v>57.951999999999998</v>
      </c>
      <c r="F18" s="1033">
        <f>MROUND(E18,10)</f>
        <v>60</v>
      </c>
      <c r="G18" s="1052">
        <v>6.4390000000000001</v>
      </c>
      <c r="H18" s="1096">
        <f>MROUND(G18,1)</f>
        <v>6</v>
      </c>
      <c r="I18" s="1052">
        <v>1.23</v>
      </c>
      <c r="J18" s="1096">
        <f t="shared" si="5"/>
        <v>1</v>
      </c>
      <c r="K18" s="1052">
        <v>0</v>
      </c>
      <c r="L18" s="1033">
        <v>0</v>
      </c>
      <c r="M18" s="1052">
        <v>0</v>
      </c>
      <c r="N18" s="1096">
        <v>0</v>
      </c>
      <c r="O18" s="1052">
        <v>84.049000000000007</v>
      </c>
      <c r="P18" s="1097">
        <f t="shared" si="1"/>
        <v>85</v>
      </c>
      <c r="Q18" s="1052">
        <v>78.483999999999995</v>
      </c>
      <c r="R18" s="1096">
        <f t="shared" si="2"/>
        <v>78</v>
      </c>
      <c r="S18" s="1052">
        <v>1.744</v>
      </c>
      <c r="T18" s="1096">
        <f>MROUND(S18,1)</f>
        <v>2</v>
      </c>
      <c r="U18" s="1052">
        <v>74.61</v>
      </c>
      <c r="V18" s="1096">
        <f t="shared" si="3"/>
        <v>75</v>
      </c>
      <c r="W18" s="1052">
        <v>73.998000000000005</v>
      </c>
      <c r="X18" s="1096">
        <f t="shared" si="4"/>
        <v>74</v>
      </c>
      <c r="Y18" s="1052">
        <v>2.6669999999999998</v>
      </c>
      <c r="Z18" s="1096">
        <f>MROUND(Y18,1)</f>
        <v>3</v>
      </c>
      <c r="AA18" s="1036">
        <v>0.19400000000000001</v>
      </c>
      <c r="AB18" s="1036">
        <v>0</v>
      </c>
      <c r="AC18" s="1036">
        <v>20.503</v>
      </c>
      <c r="AD18" s="1036">
        <v>1.577</v>
      </c>
      <c r="AE18" s="1036">
        <v>0.93100000000000005</v>
      </c>
      <c r="AF18" s="1036">
        <v>5.1710000000000003</v>
      </c>
      <c r="AG18" s="1036">
        <v>132.715</v>
      </c>
      <c r="AH18" s="1036">
        <v>2.8239999999999998</v>
      </c>
    </row>
    <row r="19" spans="1:115">
      <c r="A19" s="1086" t="s">
        <v>296</v>
      </c>
      <c r="B19" s="1095" t="s">
        <v>34</v>
      </c>
      <c r="C19" s="1052">
        <v>303.78399999999999</v>
      </c>
      <c r="D19" s="1033">
        <f t="shared" si="0"/>
        <v>300</v>
      </c>
      <c r="E19" s="1052">
        <v>3.3260000000000001</v>
      </c>
      <c r="F19" s="1033">
        <v>0</v>
      </c>
      <c r="G19" s="1052">
        <v>0.37</v>
      </c>
      <c r="H19" s="1033">
        <v>0</v>
      </c>
      <c r="I19" s="1052">
        <v>0.219</v>
      </c>
      <c r="J19" s="1033">
        <v>0</v>
      </c>
      <c r="K19" s="1052">
        <v>0</v>
      </c>
      <c r="L19" s="1033">
        <v>0</v>
      </c>
      <c r="M19" s="1052">
        <v>0</v>
      </c>
      <c r="N19" s="1096">
        <v>0</v>
      </c>
      <c r="O19" s="1052">
        <v>57.35</v>
      </c>
      <c r="P19" s="1097">
        <f t="shared" si="1"/>
        <v>55</v>
      </c>
      <c r="Q19" s="1052">
        <v>77.442999999999998</v>
      </c>
      <c r="R19" s="1096">
        <f t="shared" si="2"/>
        <v>77</v>
      </c>
      <c r="S19" s="1052">
        <v>1.081</v>
      </c>
      <c r="T19" s="1096">
        <f>MROUND(S19,1)</f>
        <v>1</v>
      </c>
      <c r="U19" s="1052">
        <v>73.567999999999998</v>
      </c>
      <c r="V19" s="1096">
        <f t="shared" si="3"/>
        <v>74</v>
      </c>
      <c r="W19" s="1052">
        <v>73.265000000000001</v>
      </c>
      <c r="X19" s="1096">
        <f t="shared" si="4"/>
        <v>73</v>
      </c>
      <c r="Y19" s="1052">
        <v>0.65900000000000003</v>
      </c>
      <c r="Z19" s="1096" t="s">
        <v>303</v>
      </c>
      <c r="AA19" s="1036">
        <v>0.193</v>
      </c>
      <c r="AB19" s="1036">
        <v>0</v>
      </c>
      <c r="AC19" s="1036">
        <v>13.545999999999999</v>
      </c>
      <c r="AD19" s="1036">
        <v>1.042</v>
      </c>
      <c r="AE19" s="1036">
        <v>0.57399999999999995</v>
      </c>
      <c r="AF19" s="1036">
        <v>3.1779999999999999</v>
      </c>
      <c r="AG19" s="1036">
        <v>77.760999999999996</v>
      </c>
      <c r="AH19" s="1036">
        <v>1.6539999999999999</v>
      </c>
    </row>
    <row r="20" spans="1:115">
      <c r="A20" s="1086" t="s">
        <v>92</v>
      </c>
      <c r="B20" s="1095" t="s">
        <v>103</v>
      </c>
      <c r="C20" s="1052">
        <v>357.935</v>
      </c>
      <c r="D20" s="1033">
        <f t="shared" si="0"/>
        <v>360</v>
      </c>
      <c r="E20" s="1052">
        <v>7.5259999999999998</v>
      </c>
      <c r="F20" s="1033">
        <f>MROUND(E20,5)</f>
        <v>10</v>
      </c>
      <c r="G20" s="1052">
        <v>3.6150000000000002</v>
      </c>
      <c r="H20" s="1096">
        <f>MROUND(G20,0.5)</f>
        <v>3.5</v>
      </c>
      <c r="I20" s="1052">
        <v>2.8340000000000001</v>
      </c>
      <c r="J20" s="1096">
        <f>MROUND(I20,0.5)</f>
        <v>3</v>
      </c>
      <c r="K20" s="1052">
        <v>0</v>
      </c>
      <c r="L20" s="1033">
        <v>0</v>
      </c>
      <c r="M20" s="1052">
        <v>2.9000000000000001E-2</v>
      </c>
      <c r="N20" s="1096">
        <v>0</v>
      </c>
      <c r="O20" s="1052">
        <v>68.736000000000004</v>
      </c>
      <c r="P20" s="1097">
        <f t="shared" si="1"/>
        <v>70</v>
      </c>
      <c r="Q20" s="1052">
        <v>81.912999999999997</v>
      </c>
      <c r="R20" s="1096">
        <f t="shared" si="2"/>
        <v>82</v>
      </c>
      <c r="S20" s="1052">
        <v>9.8000000000000004E-2</v>
      </c>
      <c r="T20" s="1096">
        <v>0</v>
      </c>
      <c r="U20" s="1052">
        <v>77.266000000000005</v>
      </c>
      <c r="V20" s="1096">
        <f t="shared" si="3"/>
        <v>77</v>
      </c>
      <c r="W20" s="1052">
        <v>77.076999999999998</v>
      </c>
      <c r="X20" s="1096">
        <f t="shared" si="4"/>
        <v>77</v>
      </c>
      <c r="Y20" s="1098">
        <v>0.434</v>
      </c>
      <c r="Z20" s="1096">
        <v>0</v>
      </c>
      <c r="AA20" s="1036">
        <v>0</v>
      </c>
      <c r="AB20" s="1036">
        <v>0</v>
      </c>
      <c r="AC20" s="1036">
        <v>8.6449999999999996</v>
      </c>
      <c r="AD20" s="1036">
        <v>0.66500000000000004</v>
      </c>
      <c r="AE20" s="1036">
        <v>0.251</v>
      </c>
      <c r="AF20" s="1036">
        <v>1.3919999999999999</v>
      </c>
      <c r="AG20" s="1036">
        <v>13.404</v>
      </c>
      <c r="AH20" s="1036">
        <v>0.28499999999999998</v>
      </c>
      <c r="AI20" s="1103"/>
      <c r="AJ20" s="1103"/>
      <c r="AK20" s="1103"/>
      <c r="AL20" s="1103"/>
      <c r="AM20" s="1103"/>
      <c r="AN20" s="1103"/>
      <c r="AO20" s="1103"/>
      <c r="AP20" s="1103"/>
      <c r="AQ20" s="1103"/>
      <c r="AR20" s="1103"/>
      <c r="AS20" s="1103"/>
      <c r="AT20" s="1103"/>
      <c r="AU20" s="1103"/>
      <c r="AV20" s="1103"/>
      <c r="AW20" s="1103"/>
      <c r="AX20" s="1103"/>
      <c r="AY20" s="1103"/>
      <c r="AZ20" s="1103"/>
      <c r="BA20" s="1103"/>
      <c r="BB20" s="1103"/>
      <c r="BC20" s="1103"/>
      <c r="BD20" s="1103"/>
      <c r="BE20" s="1103"/>
      <c r="BF20" s="1103"/>
      <c r="BG20" s="1103"/>
      <c r="BH20" s="1103"/>
      <c r="BI20" s="1103"/>
      <c r="BJ20" s="1103"/>
      <c r="BK20" s="1103"/>
      <c r="BL20" s="1103"/>
      <c r="BM20" s="1103"/>
      <c r="BN20" s="1103"/>
      <c r="BO20" s="1103"/>
      <c r="BP20" s="1103"/>
      <c r="BQ20" s="1103"/>
      <c r="BR20" s="1103"/>
      <c r="BS20" s="1103"/>
      <c r="BT20" s="1103"/>
      <c r="BU20" s="1103"/>
      <c r="BV20" s="1103"/>
      <c r="BW20" s="1103"/>
      <c r="BX20" s="1103"/>
      <c r="BY20" s="1103"/>
      <c r="BZ20" s="1103"/>
      <c r="CA20" s="1103"/>
      <c r="CB20" s="1103"/>
      <c r="CC20" s="1103"/>
      <c r="CD20" s="1103"/>
      <c r="CE20" s="1103"/>
      <c r="CF20" s="1103"/>
      <c r="CG20" s="1103"/>
      <c r="CH20" s="1103"/>
      <c r="CI20" s="1103"/>
      <c r="CJ20" s="1103"/>
      <c r="CK20" s="1103"/>
      <c r="CL20" s="1103"/>
      <c r="CM20" s="1103"/>
      <c r="CN20" s="1103"/>
      <c r="CO20" s="1103"/>
      <c r="CP20" s="1103"/>
      <c r="CQ20" s="1103"/>
      <c r="CR20" s="1103"/>
      <c r="CS20" s="1103"/>
      <c r="CT20" s="1103"/>
      <c r="CU20" s="1103"/>
      <c r="CV20" s="1103"/>
      <c r="CW20" s="1103"/>
      <c r="CX20" s="1103"/>
      <c r="CY20" s="1103"/>
      <c r="CZ20" s="1103"/>
      <c r="DA20" s="1103"/>
      <c r="DB20" s="1103"/>
      <c r="DC20" s="1103"/>
      <c r="DD20" s="1103"/>
      <c r="DE20" s="1103"/>
      <c r="DF20" s="1103"/>
      <c r="DG20" s="1103"/>
      <c r="DH20" s="1103"/>
      <c r="DI20" s="1103"/>
      <c r="DJ20" s="1103"/>
      <c r="DK20" s="1103"/>
    </row>
    <row r="21" spans="1:115" s="1108" customFormat="1">
      <c r="A21" s="1103" t="s">
        <v>92</v>
      </c>
      <c r="B21" s="1095" t="s">
        <v>116</v>
      </c>
      <c r="C21" s="1052">
        <v>346.00400000000002</v>
      </c>
      <c r="D21" s="1033">
        <f t="shared" si="0"/>
        <v>350</v>
      </c>
      <c r="E21" s="1052">
        <v>0</v>
      </c>
      <c r="F21" s="1033">
        <v>0</v>
      </c>
      <c r="G21" s="1052">
        <v>4.194</v>
      </c>
      <c r="H21" s="1096">
        <f>MROUND(G21,0.5)</f>
        <v>4</v>
      </c>
      <c r="I21" s="1052">
        <v>3.4220000000000002</v>
      </c>
      <c r="J21" s="1096">
        <f>MROUND(I21,0.5)</f>
        <v>3.5</v>
      </c>
      <c r="K21" s="1052">
        <v>0</v>
      </c>
      <c r="L21" s="1033">
        <v>0</v>
      </c>
      <c r="M21" s="1052">
        <v>0</v>
      </c>
      <c r="N21" s="1096">
        <v>0</v>
      </c>
      <c r="O21" s="1052">
        <v>65.445999999999998</v>
      </c>
      <c r="P21" s="1097">
        <f t="shared" si="1"/>
        <v>65</v>
      </c>
      <c r="Q21" s="1052">
        <v>78.269000000000005</v>
      </c>
      <c r="R21" s="1096">
        <f t="shared" si="2"/>
        <v>78</v>
      </c>
      <c r="S21" s="1052">
        <v>0.47699999999999998</v>
      </c>
      <c r="T21" s="1096">
        <v>0</v>
      </c>
      <c r="U21" s="1052">
        <v>74.590999999999994</v>
      </c>
      <c r="V21" s="1096">
        <f t="shared" si="3"/>
        <v>75</v>
      </c>
      <c r="W21" s="1052">
        <v>74.438999999999993</v>
      </c>
      <c r="X21" s="1096">
        <f t="shared" si="4"/>
        <v>74</v>
      </c>
      <c r="Y21" s="1098">
        <v>0.52500000000000002</v>
      </c>
      <c r="Z21" s="1096" t="s">
        <v>303</v>
      </c>
      <c r="AA21" s="1036">
        <v>0.32600000000000001</v>
      </c>
      <c r="AB21" s="1036">
        <v>0</v>
      </c>
      <c r="AC21" s="1036">
        <v>10.759</v>
      </c>
      <c r="AD21" s="1036">
        <v>0.82799999999999996</v>
      </c>
      <c r="AE21" s="1036">
        <v>0.79600000000000004</v>
      </c>
      <c r="AF21" s="1036">
        <v>4.4240000000000004</v>
      </c>
      <c r="AG21" s="1036">
        <v>44.091000000000001</v>
      </c>
      <c r="AH21" s="1036">
        <v>0.93799999999999994</v>
      </c>
      <c r="AI21" s="1086"/>
      <c r="AJ21" s="1086"/>
      <c r="AK21" s="1086"/>
      <c r="AL21" s="1086"/>
      <c r="AM21" s="1086"/>
      <c r="AN21" s="1086"/>
      <c r="AO21" s="1086"/>
      <c r="AP21" s="1086"/>
      <c r="AQ21" s="1086"/>
      <c r="AR21" s="1086"/>
      <c r="AS21" s="1086"/>
      <c r="AT21" s="1086"/>
      <c r="AU21" s="1086"/>
      <c r="AV21" s="1086"/>
      <c r="AW21" s="1086"/>
      <c r="AX21" s="1086"/>
      <c r="AY21" s="1086"/>
      <c r="AZ21" s="1086"/>
      <c r="BA21" s="1086"/>
      <c r="BB21" s="1086"/>
      <c r="BC21" s="1086"/>
      <c r="BD21" s="1086"/>
      <c r="BE21" s="1086"/>
      <c r="BF21" s="1086"/>
      <c r="BG21" s="1086"/>
      <c r="BH21" s="1086"/>
      <c r="BI21" s="1086"/>
      <c r="BJ21" s="1086"/>
      <c r="BK21" s="1086"/>
      <c r="BL21" s="1086"/>
      <c r="BM21" s="1086"/>
      <c r="BN21" s="1086"/>
      <c r="BO21" s="1086"/>
      <c r="BP21" s="1086"/>
      <c r="BQ21" s="1086"/>
      <c r="BR21" s="1086"/>
      <c r="BS21" s="1086"/>
      <c r="BT21" s="1086"/>
      <c r="BU21" s="1086"/>
      <c r="BV21" s="1086"/>
      <c r="BW21" s="1086"/>
      <c r="BX21" s="1086"/>
      <c r="BY21" s="1086"/>
      <c r="BZ21" s="1086"/>
      <c r="CA21" s="1086"/>
      <c r="CB21" s="1086"/>
      <c r="CC21" s="1086"/>
      <c r="CD21" s="1086"/>
      <c r="CE21" s="1086"/>
      <c r="CF21" s="1086"/>
      <c r="CG21" s="1086"/>
      <c r="CH21" s="1086"/>
      <c r="CI21" s="1086"/>
      <c r="CJ21" s="1086"/>
      <c r="CK21" s="1086"/>
      <c r="CL21" s="1086"/>
      <c r="CM21" s="1086"/>
      <c r="CN21" s="1086"/>
      <c r="CO21" s="1086"/>
      <c r="CP21" s="1086"/>
      <c r="CQ21" s="1086"/>
      <c r="CR21" s="1086"/>
      <c r="CS21" s="1086"/>
      <c r="CT21" s="1086"/>
      <c r="CU21" s="1086"/>
      <c r="CV21" s="1086"/>
      <c r="CW21" s="1086"/>
      <c r="CX21" s="1086"/>
      <c r="CY21" s="1086"/>
      <c r="CZ21" s="1086"/>
      <c r="DA21" s="1086"/>
      <c r="DB21" s="1086"/>
      <c r="DC21" s="1086"/>
      <c r="DD21" s="1086"/>
      <c r="DE21" s="1086"/>
      <c r="DF21" s="1086"/>
      <c r="DG21" s="1086"/>
      <c r="DH21" s="1086"/>
      <c r="DI21" s="1086"/>
      <c r="DJ21" s="1086"/>
      <c r="DK21" s="1086"/>
    </row>
    <row r="22" spans="1:115">
      <c r="A22" s="1086" t="s">
        <v>296</v>
      </c>
      <c r="B22" s="1095" t="s">
        <v>72</v>
      </c>
      <c r="C22" s="1052">
        <v>292.976</v>
      </c>
      <c r="D22" s="1033">
        <f t="shared" si="0"/>
        <v>290</v>
      </c>
      <c r="E22" s="1052">
        <v>0</v>
      </c>
      <c r="F22" s="1033">
        <v>0</v>
      </c>
      <c r="G22" s="1052">
        <v>0</v>
      </c>
      <c r="H22" s="1033">
        <v>0</v>
      </c>
      <c r="I22" s="1052">
        <v>0</v>
      </c>
      <c r="J22" s="1033">
        <v>0</v>
      </c>
      <c r="K22" s="1052">
        <v>0</v>
      </c>
      <c r="L22" s="1033">
        <v>0</v>
      </c>
      <c r="M22" s="1052">
        <v>0</v>
      </c>
      <c r="N22" s="1096">
        <v>0</v>
      </c>
      <c r="O22" s="1052">
        <v>65.850999999999999</v>
      </c>
      <c r="P22" s="1097">
        <f t="shared" si="1"/>
        <v>65</v>
      </c>
      <c r="Q22" s="1052">
        <v>74.614999999999995</v>
      </c>
      <c r="R22" s="1096">
        <f t="shared" si="2"/>
        <v>75</v>
      </c>
      <c r="S22" s="1052">
        <v>2.3E-2</v>
      </c>
      <c r="T22" s="1096">
        <v>0</v>
      </c>
      <c r="U22" s="1052">
        <v>72.603999999999999</v>
      </c>
      <c r="V22" s="1096">
        <f t="shared" si="3"/>
        <v>73</v>
      </c>
      <c r="W22" s="1052">
        <v>72.603999999999999</v>
      </c>
      <c r="X22" s="1096">
        <f t="shared" si="4"/>
        <v>73</v>
      </c>
      <c r="Y22" s="1052">
        <v>0.27800000000000002</v>
      </c>
      <c r="Z22" s="1096">
        <v>0</v>
      </c>
      <c r="AA22" s="1036">
        <v>0</v>
      </c>
      <c r="AB22" s="1036">
        <v>0</v>
      </c>
      <c r="AC22" s="1036">
        <v>7.8920000000000003</v>
      </c>
      <c r="AD22" s="1036">
        <v>0.60699999999999998</v>
      </c>
      <c r="AE22" s="1036">
        <v>7.1999999999999995E-2</v>
      </c>
      <c r="AF22" s="1036">
        <v>0.40100000000000002</v>
      </c>
      <c r="AG22" s="1036">
        <v>1.0629999999999999</v>
      </c>
      <c r="AH22" s="1036">
        <v>2.3E-2</v>
      </c>
      <c r="AI22" s="1088"/>
      <c r="AJ22" s="1088"/>
      <c r="AK22" s="1088"/>
      <c r="AL22" s="1088"/>
      <c r="AM22" s="1088"/>
      <c r="AN22" s="1088"/>
      <c r="AO22" s="1088"/>
      <c r="AP22" s="1088"/>
      <c r="AQ22" s="1088"/>
      <c r="AR22" s="1088"/>
      <c r="AS22" s="1088"/>
      <c r="AT22" s="1088"/>
      <c r="AU22" s="1088"/>
      <c r="AV22" s="1088"/>
      <c r="AW22" s="1088"/>
      <c r="AX22" s="1088"/>
      <c r="AY22" s="1088"/>
      <c r="AZ22" s="1088"/>
      <c r="BA22" s="1088"/>
      <c r="BB22" s="1088"/>
      <c r="BC22" s="1088"/>
      <c r="BD22" s="1088"/>
      <c r="BE22" s="1088"/>
      <c r="BF22" s="1088"/>
      <c r="BG22" s="1088"/>
      <c r="BH22" s="1088"/>
      <c r="BI22" s="1088"/>
      <c r="BJ22" s="1088"/>
      <c r="BK22" s="1088"/>
      <c r="BL22" s="1088"/>
      <c r="BM22" s="1088"/>
      <c r="BN22" s="1088"/>
      <c r="BO22" s="1088"/>
      <c r="BP22" s="1088"/>
      <c r="BQ22" s="1088"/>
      <c r="BR22" s="1088"/>
      <c r="BS22" s="1088"/>
      <c r="BT22" s="1088"/>
      <c r="BU22" s="1088"/>
      <c r="BV22" s="1088"/>
      <c r="BW22" s="1088"/>
      <c r="BX22" s="1088"/>
      <c r="BY22" s="1088"/>
      <c r="BZ22" s="1088"/>
      <c r="CA22" s="1088"/>
      <c r="CB22" s="1088"/>
      <c r="CC22" s="1088"/>
      <c r="CD22" s="1088"/>
      <c r="CE22" s="1088"/>
      <c r="CF22" s="1088"/>
      <c r="CG22" s="1088"/>
      <c r="CH22" s="1088"/>
      <c r="CI22" s="1088"/>
      <c r="CJ22" s="1088"/>
      <c r="CK22" s="1088"/>
      <c r="CL22" s="1088"/>
      <c r="CM22" s="1088"/>
      <c r="CN22" s="1088"/>
      <c r="CO22" s="1088"/>
      <c r="CP22" s="1088"/>
      <c r="CQ22" s="1088"/>
      <c r="CR22" s="1088"/>
      <c r="CS22" s="1088"/>
      <c r="CT22" s="1088"/>
      <c r="CU22" s="1088"/>
      <c r="CV22" s="1088"/>
      <c r="CW22" s="1088"/>
      <c r="CX22" s="1088"/>
      <c r="CY22" s="1088"/>
      <c r="CZ22" s="1088"/>
      <c r="DA22" s="1088"/>
      <c r="DB22" s="1088"/>
      <c r="DC22" s="1088"/>
      <c r="DD22" s="1088"/>
      <c r="DE22" s="1088"/>
      <c r="DF22" s="1088"/>
      <c r="DG22" s="1088"/>
      <c r="DH22" s="1088"/>
      <c r="DI22" s="1088"/>
      <c r="DJ22" s="1088"/>
      <c r="DK22" s="1088"/>
    </row>
    <row r="23" spans="1:115" s="1107" customFormat="1">
      <c r="A23" s="1086" t="s">
        <v>296</v>
      </c>
      <c r="B23" s="1095" t="s">
        <v>306</v>
      </c>
      <c r="C23" s="1099">
        <v>309.10599999999999</v>
      </c>
      <c r="D23" s="1033">
        <f t="shared" si="0"/>
        <v>310</v>
      </c>
      <c r="E23" s="1099">
        <v>0.623</v>
      </c>
      <c r="F23" s="1033">
        <v>0</v>
      </c>
      <c r="G23" s="1099">
        <v>6.9000000000000006E-2</v>
      </c>
      <c r="H23" s="1033">
        <v>0</v>
      </c>
      <c r="I23" s="1099">
        <v>0</v>
      </c>
      <c r="J23" s="1033">
        <v>0</v>
      </c>
      <c r="K23" s="1099">
        <v>0</v>
      </c>
      <c r="L23" s="1033">
        <v>0</v>
      </c>
      <c r="M23" s="1099">
        <v>0</v>
      </c>
      <c r="N23" s="1096">
        <v>0</v>
      </c>
      <c r="O23" s="1099">
        <v>31.545000000000002</v>
      </c>
      <c r="P23" s="1097">
        <f t="shared" si="1"/>
        <v>30</v>
      </c>
      <c r="Q23" s="1099">
        <v>77.215000000000003</v>
      </c>
      <c r="R23" s="1096">
        <f t="shared" si="2"/>
        <v>77</v>
      </c>
      <c r="S23" s="1099">
        <v>0</v>
      </c>
      <c r="T23" s="1096">
        <v>0</v>
      </c>
      <c r="U23" s="1099">
        <v>71.102999999999994</v>
      </c>
      <c r="V23" s="1096">
        <f t="shared" si="3"/>
        <v>71</v>
      </c>
      <c r="W23" s="1099">
        <v>71.102999999999994</v>
      </c>
      <c r="X23" s="1096">
        <f t="shared" si="4"/>
        <v>71</v>
      </c>
      <c r="Y23" s="1099">
        <v>0.55400000000000005</v>
      </c>
      <c r="Z23" s="1096" t="s">
        <v>303</v>
      </c>
      <c r="AA23" s="1036">
        <v>0</v>
      </c>
      <c r="AB23" s="1036">
        <v>0</v>
      </c>
      <c r="AC23" s="1036">
        <v>6.6879999999999997</v>
      </c>
      <c r="AD23" s="1036">
        <v>0.51400000000000001</v>
      </c>
      <c r="AE23" s="1036">
        <v>1.4E-2</v>
      </c>
      <c r="AF23" s="1036">
        <v>7.6999999999999999E-2</v>
      </c>
      <c r="AG23" s="1036">
        <v>1.238</v>
      </c>
      <c r="AH23" s="1036">
        <v>2.5999999999999999E-2</v>
      </c>
      <c r="AI23" s="1102"/>
      <c r="AJ23" s="1102"/>
      <c r="AK23" s="1102"/>
      <c r="AL23" s="1102"/>
      <c r="AM23" s="1102"/>
      <c r="AN23" s="1102"/>
      <c r="AO23" s="1102"/>
      <c r="AP23" s="1102"/>
      <c r="AQ23" s="1102"/>
      <c r="AR23" s="1102"/>
      <c r="AS23" s="1102"/>
      <c r="AT23" s="1102"/>
      <c r="AU23" s="1102"/>
      <c r="AV23" s="1102"/>
      <c r="AW23" s="1102"/>
      <c r="AX23" s="1102"/>
      <c r="AY23" s="1102"/>
      <c r="AZ23" s="1102"/>
      <c r="BA23" s="1102"/>
      <c r="BB23" s="1102"/>
      <c r="BC23" s="1102"/>
      <c r="BD23" s="1102"/>
      <c r="BE23" s="1102"/>
      <c r="BF23" s="1102"/>
      <c r="BG23" s="1102"/>
      <c r="BH23" s="1102"/>
      <c r="BI23" s="1102"/>
      <c r="BJ23" s="1102"/>
      <c r="BK23" s="1102"/>
      <c r="BL23" s="1102"/>
      <c r="BM23" s="1102"/>
      <c r="BN23" s="1102"/>
      <c r="BO23" s="1102"/>
      <c r="BP23" s="1102"/>
      <c r="BQ23" s="1102"/>
      <c r="BR23" s="1102"/>
      <c r="BS23" s="1102"/>
      <c r="BT23" s="1102"/>
      <c r="BU23" s="1102"/>
      <c r="BV23" s="1102"/>
      <c r="BW23" s="1102"/>
      <c r="BX23" s="1102"/>
      <c r="BY23" s="1102"/>
      <c r="BZ23" s="1102"/>
      <c r="CA23" s="1102"/>
      <c r="CB23" s="1102"/>
      <c r="CC23" s="1102"/>
      <c r="CD23" s="1102"/>
      <c r="CE23" s="1102"/>
      <c r="CF23" s="1102"/>
      <c r="CG23" s="1102"/>
      <c r="CH23" s="1102"/>
      <c r="CI23" s="1102"/>
      <c r="CJ23" s="1102"/>
      <c r="CK23" s="1102"/>
      <c r="CL23" s="1102"/>
      <c r="CM23" s="1102"/>
      <c r="CN23" s="1102"/>
      <c r="CO23" s="1102"/>
      <c r="CP23" s="1102"/>
      <c r="CQ23" s="1102"/>
      <c r="CR23" s="1102"/>
      <c r="CS23" s="1102"/>
      <c r="CT23" s="1102"/>
      <c r="CU23" s="1102"/>
      <c r="CV23" s="1102"/>
      <c r="CW23" s="1102"/>
    </row>
    <row r="24" spans="1:115">
      <c r="A24" s="1086" t="s">
        <v>296</v>
      </c>
      <c r="B24" s="1095" t="s">
        <v>26</v>
      </c>
      <c r="C24" s="1052">
        <v>283.20100000000002</v>
      </c>
      <c r="D24" s="1033">
        <f t="shared" si="0"/>
        <v>280</v>
      </c>
      <c r="E24" s="1052">
        <v>0.68700000000000006</v>
      </c>
      <c r="F24" s="1033">
        <v>0</v>
      </c>
      <c r="G24" s="1052">
        <v>7.5999999999999998E-2</v>
      </c>
      <c r="H24" s="1033">
        <v>0</v>
      </c>
      <c r="I24" s="1052">
        <v>6.4000000000000001E-2</v>
      </c>
      <c r="J24" s="1033">
        <v>0</v>
      </c>
      <c r="K24" s="1052">
        <v>2E-3</v>
      </c>
      <c r="L24" s="1033">
        <v>0</v>
      </c>
      <c r="M24" s="1052">
        <v>0</v>
      </c>
      <c r="N24" s="1096">
        <v>0</v>
      </c>
      <c r="O24" s="1052">
        <v>32.555999999999997</v>
      </c>
      <c r="P24" s="1097">
        <f t="shared" si="1"/>
        <v>35</v>
      </c>
      <c r="Q24" s="1052">
        <v>71.671000000000006</v>
      </c>
      <c r="R24" s="1096">
        <f t="shared" si="2"/>
        <v>72</v>
      </c>
      <c r="S24" s="1052">
        <v>0.308</v>
      </c>
      <c r="T24" s="1096">
        <v>0</v>
      </c>
      <c r="U24" s="1052">
        <v>68.44</v>
      </c>
      <c r="V24" s="1096">
        <f t="shared" si="3"/>
        <v>68</v>
      </c>
      <c r="W24" s="1052">
        <v>66.41</v>
      </c>
      <c r="X24" s="1096">
        <f t="shared" si="4"/>
        <v>66</v>
      </c>
      <c r="Y24" s="1052">
        <v>0.11</v>
      </c>
      <c r="Z24" s="1096">
        <v>0</v>
      </c>
      <c r="AA24" s="1034">
        <v>0</v>
      </c>
      <c r="AB24" s="1034">
        <v>0</v>
      </c>
      <c r="AC24" s="1034">
        <v>7.2850000000000001</v>
      </c>
      <c r="AD24" s="1034">
        <v>0.56000000000000005</v>
      </c>
      <c r="AE24" s="1034">
        <v>5.5E-2</v>
      </c>
      <c r="AF24" s="1034">
        <v>0.307</v>
      </c>
      <c r="AG24" s="1034">
        <v>55.537999999999997</v>
      </c>
      <c r="AH24" s="1034">
        <v>1.1819999999999999</v>
      </c>
      <c r="AI24" s="1088"/>
      <c r="AJ24" s="1088"/>
      <c r="AK24" s="1088"/>
      <c r="AL24" s="1088"/>
      <c r="AM24" s="1088"/>
      <c r="AN24" s="1088"/>
      <c r="AO24" s="1088"/>
      <c r="AP24" s="1088"/>
      <c r="AQ24" s="1088"/>
      <c r="AR24" s="1088"/>
      <c r="AS24" s="1088"/>
      <c r="AT24" s="1088"/>
      <c r="AU24" s="1088"/>
      <c r="AV24" s="1088"/>
      <c r="AW24" s="1088"/>
      <c r="AX24" s="1088"/>
      <c r="AY24" s="1088"/>
      <c r="AZ24" s="1088"/>
      <c r="BA24" s="1088"/>
      <c r="BB24" s="1088"/>
      <c r="BC24" s="1088"/>
      <c r="BD24" s="1088"/>
      <c r="BE24" s="1088"/>
      <c r="BF24" s="1088"/>
      <c r="BG24" s="1088"/>
      <c r="BH24" s="1088"/>
      <c r="BI24" s="1088"/>
      <c r="BJ24" s="1088"/>
      <c r="BK24" s="1088"/>
      <c r="BL24" s="1088"/>
      <c r="BM24" s="1088"/>
      <c r="BN24" s="1088"/>
      <c r="BO24" s="1088"/>
      <c r="BP24" s="1088"/>
      <c r="BQ24" s="1088"/>
      <c r="BR24" s="1088"/>
      <c r="BS24" s="1088"/>
      <c r="BT24" s="1088"/>
      <c r="BU24" s="1088"/>
      <c r="BV24" s="1088"/>
      <c r="BW24" s="1088"/>
      <c r="BX24" s="1088"/>
      <c r="BY24" s="1088"/>
      <c r="BZ24" s="1088"/>
      <c r="CA24" s="1088"/>
      <c r="CB24" s="1088"/>
      <c r="CC24" s="1088"/>
      <c r="CD24" s="1088"/>
      <c r="CE24" s="1088"/>
      <c r="CF24" s="1088"/>
      <c r="CG24" s="1088"/>
      <c r="CH24" s="1088"/>
      <c r="CI24" s="1088"/>
      <c r="CJ24" s="1088"/>
      <c r="CK24" s="1088"/>
      <c r="CL24" s="1088"/>
      <c r="CM24" s="1088"/>
      <c r="CN24" s="1088"/>
      <c r="CO24" s="1088"/>
      <c r="CP24" s="1088"/>
      <c r="CQ24" s="1088"/>
      <c r="CR24" s="1088"/>
      <c r="CS24" s="1088"/>
      <c r="CT24" s="1088"/>
      <c r="CU24" s="1088"/>
      <c r="CV24" s="1088"/>
      <c r="CW24" s="1088"/>
      <c r="CX24" s="1088"/>
      <c r="CY24" s="1088"/>
      <c r="CZ24" s="1088"/>
      <c r="DA24" s="1088"/>
      <c r="DB24" s="1088"/>
      <c r="DC24" s="1088"/>
      <c r="DD24" s="1088"/>
      <c r="DE24" s="1088"/>
      <c r="DF24" s="1088"/>
      <c r="DG24" s="1088"/>
      <c r="DH24" s="1088"/>
      <c r="DI24" s="1088"/>
      <c r="DJ24" s="1088"/>
      <c r="DK24" s="1088"/>
    </row>
    <row r="25" spans="1:115" s="1107" customFormat="1">
      <c r="A25" s="1109" t="s">
        <v>92</v>
      </c>
      <c r="B25" s="1095" t="s">
        <v>322</v>
      </c>
      <c r="C25" s="1051">
        <v>306.16899999999998</v>
      </c>
      <c r="D25" s="1033">
        <f t="shared" si="0"/>
        <v>310</v>
      </c>
      <c r="E25" s="1051">
        <v>0</v>
      </c>
      <c r="F25" s="1033">
        <v>0</v>
      </c>
      <c r="G25" s="1051">
        <v>2.754</v>
      </c>
      <c r="H25" s="1096">
        <f>MROUND(G25,0.5)</f>
        <v>3</v>
      </c>
      <c r="I25" s="1051">
        <v>2.5539999999999998</v>
      </c>
      <c r="J25" s="1096">
        <f>MROUND(I25,0.5)</f>
        <v>2.5</v>
      </c>
      <c r="K25" s="1051">
        <v>0</v>
      </c>
      <c r="L25" s="1033">
        <v>0</v>
      </c>
      <c r="M25" s="1051">
        <v>0</v>
      </c>
      <c r="N25" s="1096">
        <v>0</v>
      </c>
      <c r="O25" s="1051">
        <v>54.125</v>
      </c>
      <c r="P25" s="1097">
        <f t="shared" si="1"/>
        <v>55</v>
      </c>
      <c r="Q25" s="1051">
        <v>70.494</v>
      </c>
      <c r="R25" s="1096">
        <f t="shared" si="2"/>
        <v>70</v>
      </c>
      <c r="S25" s="1051">
        <v>8.9999999999999993E-3</v>
      </c>
      <c r="T25" s="1096">
        <v>0</v>
      </c>
      <c r="U25" s="1051">
        <v>67.346999999999994</v>
      </c>
      <c r="V25" s="1096">
        <f t="shared" si="3"/>
        <v>67</v>
      </c>
      <c r="W25" s="1051">
        <v>67.179000000000002</v>
      </c>
      <c r="X25" s="1096">
        <f t="shared" si="4"/>
        <v>67</v>
      </c>
      <c r="Y25" s="1110">
        <v>0.25</v>
      </c>
      <c r="Z25" s="1096">
        <v>0</v>
      </c>
      <c r="AA25" s="1036"/>
      <c r="AB25" s="1036"/>
      <c r="AC25" s="1036">
        <v>7.117</v>
      </c>
      <c r="AD25" s="1036">
        <v>0.54700000000000004</v>
      </c>
      <c r="AE25" s="1036">
        <v>6.7000000000000004E-2</v>
      </c>
      <c r="AF25" s="1036">
        <v>0.372</v>
      </c>
      <c r="AG25" s="1036">
        <v>7.1440000000000001</v>
      </c>
      <c r="AH25" s="1036">
        <v>0.152</v>
      </c>
      <c r="AI25" s="1102"/>
      <c r="AJ25" s="1102"/>
      <c r="AK25" s="1102"/>
      <c r="AL25" s="1102"/>
      <c r="AM25" s="1102"/>
      <c r="AN25" s="1102"/>
      <c r="AO25" s="1102"/>
      <c r="AP25" s="1102"/>
      <c r="AQ25" s="1102"/>
      <c r="AR25" s="1102"/>
      <c r="AS25" s="1102"/>
      <c r="AT25" s="1102"/>
      <c r="AU25" s="1102"/>
      <c r="AV25" s="1102"/>
      <c r="AW25" s="1102"/>
      <c r="AX25" s="1102"/>
      <c r="AY25" s="1102"/>
      <c r="AZ25" s="1102"/>
      <c r="BA25" s="1102"/>
      <c r="BB25" s="1102"/>
      <c r="BC25" s="1102"/>
      <c r="BD25" s="1102"/>
      <c r="BE25" s="1102"/>
      <c r="BF25" s="1102"/>
      <c r="BG25" s="1102"/>
      <c r="BH25" s="1102"/>
      <c r="BI25" s="1102"/>
      <c r="BJ25" s="1102"/>
      <c r="BK25" s="1102"/>
      <c r="BL25" s="1102"/>
      <c r="BM25" s="1102"/>
      <c r="BN25" s="1102"/>
      <c r="BO25" s="1102"/>
      <c r="BP25" s="1102"/>
      <c r="BQ25" s="1102"/>
      <c r="BR25" s="1102"/>
      <c r="BS25" s="1102"/>
      <c r="BT25" s="1102"/>
      <c r="BU25" s="1102"/>
      <c r="BV25" s="1102"/>
      <c r="BW25" s="1102"/>
      <c r="BX25" s="1102"/>
      <c r="BY25" s="1102"/>
      <c r="BZ25" s="1102"/>
      <c r="CA25" s="1102"/>
      <c r="CB25" s="1102"/>
      <c r="CC25" s="1102"/>
      <c r="CD25" s="1102"/>
      <c r="CE25" s="1102"/>
      <c r="CF25" s="1102"/>
      <c r="CG25" s="1102"/>
      <c r="CH25" s="1102"/>
      <c r="CI25" s="1102"/>
      <c r="CJ25" s="1102"/>
      <c r="CK25" s="1102"/>
      <c r="CL25" s="1102"/>
      <c r="CM25" s="1102"/>
      <c r="CN25" s="1102"/>
      <c r="CO25" s="1102"/>
      <c r="CP25" s="1102"/>
      <c r="CQ25" s="1102"/>
      <c r="CR25" s="1102"/>
      <c r="CS25" s="1102"/>
      <c r="CT25" s="1102"/>
      <c r="CU25" s="1102"/>
      <c r="CV25" s="1102"/>
      <c r="CW25" s="1102"/>
      <c r="CX25" s="1102"/>
      <c r="CY25" s="1102"/>
      <c r="CZ25" s="1102"/>
      <c r="DA25" s="1102"/>
      <c r="DB25" s="1102"/>
      <c r="DC25" s="1102"/>
      <c r="DD25" s="1102"/>
      <c r="DE25" s="1102"/>
      <c r="DF25" s="1102"/>
      <c r="DG25" s="1102"/>
      <c r="DH25" s="1102"/>
      <c r="DI25" s="1102"/>
      <c r="DJ25" s="1102"/>
      <c r="DK25" s="1102"/>
    </row>
    <row r="26" spans="1:115">
      <c r="A26" s="1106" t="s">
        <v>92</v>
      </c>
      <c r="B26" s="1095" t="s">
        <v>118</v>
      </c>
      <c r="C26" s="1052">
        <v>338.55200000000002</v>
      </c>
      <c r="D26" s="1033">
        <f t="shared" si="0"/>
        <v>340</v>
      </c>
      <c r="E26" s="1052">
        <v>19.637</v>
      </c>
      <c r="F26" s="1033">
        <f>MROUND(E26,5)</f>
        <v>20</v>
      </c>
      <c r="G26" s="1052">
        <v>4.9740000000000002</v>
      </c>
      <c r="H26" s="1096">
        <f>MROUND(G26,0.5)</f>
        <v>5</v>
      </c>
      <c r="I26" s="1052">
        <v>3.992</v>
      </c>
      <c r="J26" s="1096">
        <f>MROUND(I26,0.5)</f>
        <v>4</v>
      </c>
      <c r="K26" s="1052">
        <v>4.5999999999999999E-2</v>
      </c>
      <c r="L26" s="1033">
        <v>0</v>
      </c>
      <c r="M26" s="1052">
        <v>5.4020000000000001</v>
      </c>
      <c r="N26" s="1096" t="s">
        <v>332</v>
      </c>
      <c r="O26" s="1052">
        <v>73.921999999999997</v>
      </c>
      <c r="P26" s="1097">
        <f t="shared" si="1"/>
        <v>75</v>
      </c>
      <c r="Q26" s="1052">
        <v>73.701999999999998</v>
      </c>
      <c r="R26" s="1096">
        <f t="shared" si="2"/>
        <v>74</v>
      </c>
      <c r="S26" s="1052">
        <v>0.16200000000000001</v>
      </c>
      <c r="T26" s="1096">
        <v>0</v>
      </c>
      <c r="U26" s="1052">
        <v>66.876999999999995</v>
      </c>
      <c r="V26" s="1096">
        <f t="shared" si="3"/>
        <v>67</v>
      </c>
      <c r="W26" s="1052">
        <v>65.103999999999999</v>
      </c>
      <c r="X26" s="1096">
        <f t="shared" si="4"/>
        <v>65</v>
      </c>
      <c r="Y26" s="1098">
        <v>0.65700000000000003</v>
      </c>
      <c r="Z26" s="1096" t="s">
        <v>303</v>
      </c>
      <c r="AA26" s="1036">
        <v>0</v>
      </c>
      <c r="AB26" s="1036">
        <v>0</v>
      </c>
      <c r="AC26" s="1036">
        <v>19.363</v>
      </c>
      <c r="AD26" s="1036">
        <v>1.4890000000000001</v>
      </c>
      <c r="AE26" s="1036">
        <v>0.14199999999999999</v>
      </c>
      <c r="AF26" s="1036">
        <v>0.78900000000000003</v>
      </c>
      <c r="AG26" s="1036">
        <v>0.84499999999999997</v>
      </c>
      <c r="AH26" s="1036">
        <v>6.8000000000000005E-2</v>
      </c>
      <c r="AI26" s="1107"/>
      <c r="AJ26" s="1107"/>
      <c r="AK26" s="1107"/>
      <c r="AL26" s="1107"/>
      <c r="AM26" s="1107"/>
      <c r="AN26" s="1107"/>
      <c r="AO26" s="1107"/>
      <c r="AP26" s="1107"/>
      <c r="AQ26" s="1107"/>
      <c r="AR26" s="1107"/>
      <c r="AS26" s="1107"/>
      <c r="AT26" s="1107"/>
      <c r="AU26" s="1107"/>
      <c r="AV26" s="1107"/>
      <c r="AW26" s="1107"/>
      <c r="AX26" s="1107"/>
      <c r="AY26" s="1107"/>
      <c r="AZ26" s="1107"/>
      <c r="BA26" s="1107"/>
      <c r="BB26" s="1107"/>
      <c r="BC26" s="1107"/>
      <c r="BD26" s="1107"/>
      <c r="BE26" s="1107"/>
      <c r="BF26" s="1107"/>
      <c r="BG26" s="1107"/>
      <c r="BH26" s="1107"/>
      <c r="BI26" s="1107"/>
      <c r="BJ26" s="1107"/>
      <c r="BK26" s="1107"/>
      <c r="BL26" s="1107"/>
      <c r="BM26" s="1107"/>
      <c r="BN26" s="1107"/>
      <c r="BO26" s="1107"/>
      <c r="BP26" s="1107"/>
      <c r="BQ26" s="1107"/>
      <c r="BR26" s="1107"/>
      <c r="BS26" s="1107"/>
      <c r="BT26" s="1107"/>
      <c r="BU26" s="1107"/>
      <c r="BV26" s="1107"/>
      <c r="BW26" s="1107"/>
      <c r="BX26" s="1107"/>
      <c r="BY26" s="1107"/>
      <c r="BZ26" s="1107"/>
      <c r="CA26" s="1107"/>
      <c r="CB26" s="1107"/>
      <c r="CC26" s="1107"/>
      <c r="CD26" s="1107"/>
      <c r="CE26" s="1107"/>
      <c r="CF26" s="1107"/>
      <c r="CG26" s="1107"/>
      <c r="CH26" s="1107"/>
      <c r="CI26" s="1107"/>
      <c r="CJ26" s="1107"/>
      <c r="CK26" s="1107"/>
      <c r="CL26" s="1107"/>
      <c r="CM26" s="1107"/>
      <c r="CN26" s="1107"/>
      <c r="CO26" s="1107"/>
      <c r="CP26" s="1107"/>
      <c r="CQ26" s="1107"/>
      <c r="CR26" s="1107"/>
      <c r="CS26" s="1107"/>
      <c r="CT26" s="1107"/>
      <c r="CU26" s="1107"/>
      <c r="CV26" s="1107"/>
      <c r="CW26" s="1107"/>
      <c r="CX26" s="1107"/>
      <c r="CY26" s="1107"/>
      <c r="CZ26" s="1107"/>
      <c r="DA26" s="1107"/>
      <c r="DB26" s="1107"/>
      <c r="DC26" s="1107"/>
      <c r="DD26" s="1107"/>
      <c r="DE26" s="1107"/>
      <c r="DF26" s="1107"/>
      <c r="DG26" s="1107"/>
      <c r="DH26" s="1107"/>
      <c r="DI26" s="1107"/>
      <c r="DJ26" s="1107"/>
      <c r="DK26" s="1107"/>
    </row>
    <row r="27" spans="1:115">
      <c r="A27" s="1086" t="s">
        <v>296</v>
      </c>
      <c r="B27" s="1095" t="s">
        <v>42</v>
      </c>
      <c r="C27" s="1052">
        <v>275.745</v>
      </c>
      <c r="D27" s="1033">
        <f t="shared" si="0"/>
        <v>280</v>
      </c>
      <c r="E27" s="1052">
        <v>0.107</v>
      </c>
      <c r="F27" s="1033">
        <v>0</v>
      </c>
      <c r="G27" s="1052">
        <v>1.2E-2</v>
      </c>
      <c r="H27" s="1033">
        <v>0</v>
      </c>
      <c r="I27" s="1052">
        <v>6.0000000000000001E-3</v>
      </c>
      <c r="J27" s="1033">
        <v>0</v>
      </c>
      <c r="K27" s="1052">
        <v>6.0000000000000001E-3</v>
      </c>
      <c r="L27" s="1033">
        <v>0</v>
      </c>
      <c r="M27" s="1052">
        <v>0</v>
      </c>
      <c r="N27" s="1096">
        <v>0</v>
      </c>
      <c r="O27" s="1052">
        <v>28.901</v>
      </c>
      <c r="P27" s="1097">
        <f t="shared" si="1"/>
        <v>30</v>
      </c>
      <c r="Q27" s="1052">
        <v>69.662000000000006</v>
      </c>
      <c r="R27" s="1096">
        <f t="shared" si="2"/>
        <v>70</v>
      </c>
      <c r="S27" s="1052">
        <v>0.184</v>
      </c>
      <c r="T27" s="1096">
        <v>0</v>
      </c>
      <c r="U27" s="1052">
        <v>66.77</v>
      </c>
      <c r="V27" s="1096">
        <f t="shared" si="3"/>
        <v>67</v>
      </c>
      <c r="W27" s="1052">
        <v>65.548000000000002</v>
      </c>
      <c r="X27" s="1096">
        <f t="shared" si="4"/>
        <v>66</v>
      </c>
      <c r="Y27" s="1052">
        <v>0.16</v>
      </c>
      <c r="Z27" s="1096">
        <v>0</v>
      </c>
      <c r="AA27" s="1036">
        <v>28.937999999999999</v>
      </c>
      <c r="AB27" s="1036">
        <v>0</v>
      </c>
      <c r="AC27" s="1036">
        <v>8.1340000000000003</v>
      </c>
      <c r="AD27" s="1036">
        <v>0.626</v>
      </c>
      <c r="AE27" s="1036">
        <v>5.7000000000000002E-2</v>
      </c>
      <c r="AF27" s="1036">
        <v>0.316</v>
      </c>
      <c r="AG27" s="1036">
        <v>40.978000000000002</v>
      </c>
      <c r="AH27" s="1036">
        <v>0.872</v>
      </c>
    </row>
    <row r="28" spans="1:115">
      <c r="A28" s="1094" t="s">
        <v>92</v>
      </c>
      <c r="B28" s="1095" t="s">
        <v>96</v>
      </c>
      <c r="C28" s="1052">
        <v>348.37799999999999</v>
      </c>
      <c r="D28" s="1033">
        <f t="shared" si="0"/>
        <v>350</v>
      </c>
      <c r="E28" s="1052">
        <v>23.363</v>
      </c>
      <c r="F28" s="1033">
        <f>MROUND(E28,5)</f>
        <v>25</v>
      </c>
      <c r="G28" s="1052">
        <v>5.4340000000000002</v>
      </c>
      <c r="H28" s="1096">
        <f>MROUND(G28,1)</f>
        <v>5</v>
      </c>
      <c r="I28" s="1052">
        <v>4.1189999999999998</v>
      </c>
      <c r="J28" s="1096">
        <f>MROUND(I28,0.5)</f>
        <v>4</v>
      </c>
      <c r="K28" s="1052">
        <v>0</v>
      </c>
      <c r="L28" s="1033">
        <v>0</v>
      </c>
      <c r="M28" s="1052">
        <v>2.2250000000000001</v>
      </c>
      <c r="N28" s="1096" t="s">
        <v>332</v>
      </c>
      <c r="O28" s="1052">
        <v>104.809</v>
      </c>
      <c r="P28" s="1097">
        <f t="shared" si="1"/>
        <v>105</v>
      </c>
      <c r="Q28" s="1052">
        <v>74.647000000000006</v>
      </c>
      <c r="R28" s="1096">
        <f t="shared" si="2"/>
        <v>75</v>
      </c>
      <c r="S28" s="1052">
        <v>0.47499999999999998</v>
      </c>
      <c r="T28" s="1096">
        <v>0</v>
      </c>
      <c r="U28" s="1052">
        <v>66.537999999999997</v>
      </c>
      <c r="V28" s="1096">
        <f t="shared" si="3"/>
        <v>67</v>
      </c>
      <c r="W28" s="1052">
        <v>66.281000000000006</v>
      </c>
      <c r="X28" s="1096">
        <f t="shared" si="4"/>
        <v>66</v>
      </c>
      <c r="Y28" s="1111">
        <v>0.97799999999999998</v>
      </c>
      <c r="Z28" s="1096" t="s">
        <v>303</v>
      </c>
      <c r="AA28" s="1050">
        <v>1E-3</v>
      </c>
      <c r="AB28" s="1050">
        <v>3.0000000000000001E-3</v>
      </c>
      <c r="AC28" s="1050">
        <v>14.443</v>
      </c>
      <c r="AD28" s="1050">
        <v>1.111</v>
      </c>
      <c r="AE28" s="1050">
        <v>0.51100000000000001</v>
      </c>
      <c r="AF28" s="1050">
        <v>2.8370000000000002</v>
      </c>
      <c r="AG28" s="1050">
        <v>76.373000000000005</v>
      </c>
      <c r="AH28" s="1050">
        <v>1.625</v>
      </c>
    </row>
    <row r="29" spans="1:115">
      <c r="A29" s="1088" t="s">
        <v>296</v>
      </c>
      <c r="B29" s="1095" t="s">
        <v>29</v>
      </c>
      <c r="C29" s="1052">
        <v>268.63299999999998</v>
      </c>
      <c r="D29" s="1033">
        <f t="shared" si="0"/>
        <v>270</v>
      </c>
      <c r="E29" s="1052">
        <v>0</v>
      </c>
      <c r="F29" s="1033">
        <v>0</v>
      </c>
      <c r="G29" s="1052">
        <v>0</v>
      </c>
      <c r="H29" s="1033">
        <v>0</v>
      </c>
      <c r="I29" s="1052">
        <v>0</v>
      </c>
      <c r="J29" s="1033">
        <v>0</v>
      </c>
      <c r="K29" s="1052">
        <v>0</v>
      </c>
      <c r="L29" s="1033">
        <v>0</v>
      </c>
      <c r="M29" s="1052">
        <v>0</v>
      </c>
      <c r="N29" s="1096">
        <v>0</v>
      </c>
      <c r="O29" s="1052">
        <v>37.049999999999997</v>
      </c>
      <c r="P29" s="1097">
        <f t="shared" si="1"/>
        <v>35</v>
      </c>
      <c r="Q29" s="1052">
        <v>68.131</v>
      </c>
      <c r="R29" s="1096">
        <f t="shared" si="2"/>
        <v>68</v>
      </c>
      <c r="S29" s="1052">
        <v>2.7E-2</v>
      </c>
      <c r="T29" s="1096">
        <v>0</v>
      </c>
      <c r="U29" s="1052">
        <v>66.397000000000006</v>
      </c>
      <c r="V29" s="1096">
        <f t="shared" si="3"/>
        <v>66</v>
      </c>
      <c r="W29" s="1052">
        <v>66.397000000000006</v>
      </c>
      <c r="X29" s="1096">
        <f t="shared" si="4"/>
        <v>66</v>
      </c>
      <c r="Y29" s="1052">
        <v>0</v>
      </c>
      <c r="Z29" s="1096">
        <v>0</v>
      </c>
      <c r="AA29" s="1034">
        <v>0</v>
      </c>
      <c r="AB29" s="1034">
        <v>0</v>
      </c>
      <c r="AC29" s="1034">
        <v>8.6809999999999992</v>
      </c>
      <c r="AD29" s="1034">
        <v>0.66800000000000004</v>
      </c>
      <c r="AE29" s="1034">
        <v>5.7000000000000002E-2</v>
      </c>
      <c r="AF29" s="1034">
        <v>0.316</v>
      </c>
      <c r="AG29" s="1034">
        <v>0.92</v>
      </c>
      <c r="AH29" s="1034">
        <v>0.02</v>
      </c>
    </row>
    <row r="30" spans="1:115" s="1102" customFormat="1">
      <c r="A30" s="1086" t="s">
        <v>296</v>
      </c>
      <c r="B30" s="1095" t="s">
        <v>30</v>
      </c>
      <c r="C30" s="1052">
        <v>269.64299999999997</v>
      </c>
      <c r="D30" s="1033">
        <f t="shared" si="0"/>
        <v>270</v>
      </c>
      <c r="E30" s="1052">
        <v>0.318</v>
      </c>
      <c r="F30" s="1033">
        <v>0</v>
      </c>
      <c r="G30" s="1052">
        <v>3.5000000000000003E-2</v>
      </c>
      <c r="H30" s="1033">
        <v>0</v>
      </c>
      <c r="I30" s="1052">
        <v>3.0000000000000001E-3</v>
      </c>
      <c r="J30" s="1033">
        <v>0</v>
      </c>
      <c r="K30" s="1052">
        <v>0</v>
      </c>
      <c r="L30" s="1033">
        <v>0</v>
      </c>
      <c r="M30" s="1052">
        <v>0</v>
      </c>
      <c r="N30" s="1096">
        <v>0</v>
      </c>
      <c r="O30" s="1052">
        <v>37.414999999999999</v>
      </c>
      <c r="P30" s="1097">
        <f t="shared" si="1"/>
        <v>35</v>
      </c>
      <c r="Q30" s="1052">
        <v>68.311999999999998</v>
      </c>
      <c r="R30" s="1096">
        <f t="shared" si="2"/>
        <v>68</v>
      </c>
      <c r="S30" s="1052">
        <v>0.17699999999999999</v>
      </c>
      <c r="T30" s="1096">
        <v>0</v>
      </c>
      <c r="U30" s="1052">
        <v>66.341999999999999</v>
      </c>
      <c r="V30" s="1096">
        <f t="shared" si="3"/>
        <v>66</v>
      </c>
      <c r="W30" s="1052">
        <v>65.875</v>
      </c>
      <c r="X30" s="1096">
        <f t="shared" si="4"/>
        <v>66</v>
      </c>
      <c r="Y30" s="1052">
        <v>2.3E-2</v>
      </c>
      <c r="Z30" s="1096">
        <v>0</v>
      </c>
      <c r="AA30" s="1112">
        <v>0</v>
      </c>
      <c r="AB30" s="1112">
        <v>0</v>
      </c>
      <c r="AC30" s="1112">
        <v>8.984</v>
      </c>
      <c r="AD30" s="1112">
        <v>0.69099999999999995</v>
      </c>
      <c r="AE30" s="1112">
        <v>6.7000000000000004E-2</v>
      </c>
      <c r="AF30" s="1112">
        <v>3.72</v>
      </c>
      <c r="AG30" s="1112">
        <v>3.8849999999999998</v>
      </c>
      <c r="AH30" s="1112">
        <v>8.3000000000000004E-2</v>
      </c>
      <c r="AI30" s="1086"/>
      <c r="AJ30" s="1086"/>
      <c r="AK30" s="1086"/>
      <c r="AL30" s="1086"/>
      <c r="AM30" s="1086"/>
      <c r="AN30" s="1086"/>
      <c r="AO30" s="1086"/>
      <c r="AP30" s="1086"/>
      <c r="AQ30" s="1086"/>
      <c r="AR30" s="1086"/>
      <c r="AS30" s="1086"/>
      <c r="AT30" s="1086"/>
      <c r="AU30" s="1086"/>
      <c r="AV30" s="1086"/>
      <c r="AW30" s="1086"/>
      <c r="AX30" s="1086"/>
      <c r="AY30" s="1086"/>
      <c r="AZ30" s="1086"/>
      <c r="BA30" s="1086"/>
      <c r="BB30" s="1086"/>
      <c r="BC30" s="1086"/>
      <c r="BD30" s="1086"/>
      <c r="BE30" s="1086"/>
      <c r="BF30" s="1086"/>
      <c r="BG30" s="1086"/>
      <c r="BH30" s="1086"/>
      <c r="BI30" s="1086"/>
      <c r="BJ30" s="1086"/>
      <c r="BK30" s="1086"/>
      <c r="BL30" s="1086"/>
      <c r="BM30" s="1086"/>
      <c r="BN30" s="1086"/>
      <c r="BO30" s="1086"/>
      <c r="BP30" s="1086"/>
      <c r="BQ30" s="1086"/>
      <c r="BR30" s="1086"/>
      <c r="BS30" s="1086"/>
      <c r="BT30" s="1086"/>
      <c r="BU30" s="1086"/>
      <c r="BV30" s="1086"/>
      <c r="BW30" s="1086"/>
      <c r="BX30" s="1086"/>
      <c r="BY30" s="1086"/>
      <c r="BZ30" s="1086"/>
      <c r="CA30" s="1086"/>
      <c r="CB30" s="1086"/>
      <c r="CC30" s="1086"/>
      <c r="CD30" s="1086"/>
      <c r="CE30" s="1086"/>
      <c r="CF30" s="1086"/>
      <c r="CG30" s="1086"/>
      <c r="CH30" s="1086"/>
      <c r="CI30" s="1086"/>
      <c r="CJ30" s="1086"/>
      <c r="CK30" s="1086"/>
      <c r="CL30" s="1086"/>
      <c r="CM30" s="1086"/>
      <c r="CN30" s="1086"/>
      <c r="CO30" s="1086"/>
      <c r="CP30" s="1086"/>
      <c r="CQ30" s="1086"/>
      <c r="CR30" s="1086"/>
      <c r="CS30" s="1086"/>
      <c r="CT30" s="1086"/>
      <c r="CU30" s="1086"/>
      <c r="CV30" s="1086"/>
      <c r="CW30" s="1086"/>
      <c r="CX30" s="1086"/>
      <c r="CY30" s="1086"/>
      <c r="CZ30" s="1086"/>
      <c r="DA30" s="1086"/>
      <c r="DB30" s="1086"/>
      <c r="DC30" s="1086"/>
      <c r="DD30" s="1086"/>
      <c r="DE30" s="1086"/>
      <c r="DF30" s="1086"/>
      <c r="DG30" s="1086"/>
      <c r="DH30" s="1086"/>
      <c r="DI30" s="1086"/>
      <c r="DJ30" s="1086"/>
      <c r="DK30" s="1086"/>
    </row>
    <row r="31" spans="1:115">
      <c r="A31" s="1086" t="s">
        <v>92</v>
      </c>
      <c r="B31" s="1095" t="s">
        <v>104</v>
      </c>
      <c r="C31" s="1052">
        <v>343.24299999999999</v>
      </c>
      <c r="D31" s="1033">
        <f t="shared" si="0"/>
        <v>340</v>
      </c>
      <c r="E31" s="1052">
        <v>21.542999999999999</v>
      </c>
      <c r="F31" s="1033">
        <f>MROUND(E31,5)</f>
        <v>20</v>
      </c>
      <c r="G31" s="1052">
        <v>5.2359999999999998</v>
      </c>
      <c r="H31" s="1096">
        <f>MROUND(G31,1)</f>
        <v>5</v>
      </c>
      <c r="I31" s="1052">
        <v>3.7240000000000002</v>
      </c>
      <c r="J31" s="1096">
        <f>MROUND(I31,0.5)</f>
        <v>3.5</v>
      </c>
      <c r="K31" s="1052">
        <v>0.189</v>
      </c>
      <c r="L31" s="1033">
        <v>0</v>
      </c>
      <c r="M31" s="1052">
        <v>2.2250000000000001</v>
      </c>
      <c r="N31" s="1096" t="s">
        <v>332</v>
      </c>
      <c r="O31" s="1052">
        <v>100.29</v>
      </c>
      <c r="P31" s="1097">
        <f t="shared" si="1"/>
        <v>100</v>
      </c>
      <c r="Q31" s="1052">
        <v>73.956999999999994</v>
      </c>
      <c r="R31" s="1096">
        <f t="shared" si="2"/>
        <v>74</v>
      </c>
      <c r="S31" s="1052">
        <v>0.36599999999999999</v>
      </c>
      <c r="T31" s="1096">
        <v>0</v>
      </c>
      <c r="U31" s="1052">
        <v>66.290000000000006</v>
      </c>
      <c r="V31" s="1096">
        <f t="shared" si="3"/>
        <v>66</v>
      </c>
      <c r="W31" s="1052">
        <v>64.799000000000007</v>
      </c>
      <c r="X31" s="1096">
        <f t="shared" si="4"/>
        <v>65</v>
      </c>
      <c r="Y31" s="1111">
        <v>0.77300000000000002</v>
      </c>
      <c r="Z31" s="1096" t="s">
        <v>303</v>
      </c>
      <c r="AA31" s="1050">
        <v>1E-3</v>
      </c>
      <c r="AB31" s="1050">
        <v>7.0000000000000001E-3</v>
      </c>
      <c r="AC31" s="1050">
        <v>10.664999999999999</v>
      </c>
      <c r="AD31" s="1050">
        <v>0.82</v>
      </c>
      <c r="AE31" s="1050">
        <v>0.40300000000000002</v>
      </c>
      <c r="AF31" s="1050">
        <v>2.2370000000000001</v>
      </c>
      <c r="AG31" s="1050">
        <v>46.905000000000001</v>
      </c>
      <c r="AH31" s="1050">
        <v>0.998</v>
      </c>
    </row>
    <row r="32" spans="1:115">
      <c r="A32" s="1086" t="s">
        <v>296</v>
      </c>
      <c r="B32" s="1095" t="s">
        <v>66</v>
      </c>
      <c r="C32" s="1052">
        <v>270.69099999999997</v>
      </c>
      <c r="D32" s="1033">
        <f t="shared" si="0"/>
        <v>270</v>
      </c>
      <c r="E32" s="1052">
        <v>8.5000000000000006E-2</v>
      </c>
      <c r="F32" s="1033">
        <v>0</v>
      </c>
      <c r="G32" s="1052">
        <v>8.9999999999999993E-3</v>
      </c>
      <c r="H32" s="1033">
        <v>0</v>
      </c>
      <c r="I32" s="1052">
        <v>0</v>
      </c>
      <c r="J32" s="1033">
        <v>0</v>
      </c>
      <c r="K32" s="1052">
        <v>0</v>
      </c>
      <c r="L32" s="1033">
        <v>0</v>
      </c>
      <c r="M32" s="1052">
        <v>0</v>
      </c>
      <c r="N32" s="1096">
        <v>0</v>
      </c>
      <c r="O32" s="1052">
        <v>38.814999999999998</v>
      </c>
      <c r="P32" s="1097">
        <f t="shared" si="1"/>
        <v>40</v>
      </c>
      <c r="Q32" s="1052">
        <v>68.222999999999999</v>
      </c>
      <c r="R32" s="1096">
        <f t="shared" si="2"/>
        <v>68</v>
      </c>
      <c r="S32" s="1052">
        <v>0.184</v>
      </c>
      <c r="T32" s="1096">
        <v>0</v>
      </c>
      <c r="U32" s="1052">
        <v>66.239999999999995</v>
      </c>
      <c r="V32" s="1096">
        <f t="shared" si="3"/>
        <v>66</v>
      </c>
      <c r="W32" s="1052">
        <v>65.335999999999999</v>
      </c>
      <c r="X32" s="1096">
        <f t="shared" si="4"/>
        <v>65</v>
      </c>
      <c r="Y32" s="1052">
        <v>0.16700000000000001</v>
      </c>
      <c r="Z32" s="1096">
        <v>0</v>
      </c>
      <c r="AA32" s="1036">
        <v>0</v>
      </c>
      <c r="AB32" s="1036">
        <v>0</v>
      </c>
      <c r="AC32" s="1036">
        <v>8.7560000000000002</v>
      </c>
      <c r="AD32" s="1036">
        <v>0.67400000000000004</v>
      </c>
      <c r="AE32" s="1036">
        <v>0.114</v>
      </c>
      <c r="AF32" s="1036">
        <v>0.63600000000000001</v>
      </c>
      <c r="AG32" s="1036">
        <v>11.528</v>
      </c>
      <c r="AH32" s="1036">
        <v>0.245</v>
      </c>
    </row>
    <row r="33" spans="1:115">
      <c r="A33" s="1106" t="s">
        <v>92</v>
      </c>
      <c r="B33" s="1095" t="s">
        <v>95</v>
      </c>
      <c r="C33" s="1052">
        <v>337.43700000000001</v>
      </c>
      <c r="D33" s="1033">
        <f t="shared" si="0"/>
        <v>340</v>
      </c>
      <c r="E33" s="1052">
        <v>19.609000000000002</v>
      </c>
      <c r="F33" s="1033">
        <f>MROUND(E33,5)</f>
        <v>20</v>
      </c>
      <c r="G33" s="1052">
        <v>4.976</v>
      </c>
      <c r="H33" s="1096">
        <f>MROUND(G33,0.5)</f>
        <v>5</v>
      </c>
      <c r="I33" s="1052">
        <v>3.99</v>
      </c>
      <c r="J33" s="1096">
        <f>MROUND(I33,0.5)</f>
        <v>4</v>
      </c>
      <c r="K33" s="1052">
        <v>4.5999999999999999E-2</v>
      </c>
      <c r="L33" s="1033">
        <v>0</v>
      </c>
      <c r="M33" s="1052">
        <v>5.4119999999999999</v>
      </c>
      <c r="N33" s="1096" t="s">
        <v>332</v>
      </c>
      <c r="O33" s="1052">
        <v>71.837000000000003</v>
      </c>
      <c r="P33" s="1097">
        <f t="shared" si="1"/>
        <v>70</v>
      </c>
      <c r="Q33" s="1052">
        <v>72.317999999999998</v>
      </c>
      <c r="R33" s="1096">
        <f t="shared" si="2"/>
        <v>72</v>
      </c>
      <c r="S33" s="1052">
        <v>2.3E-2</v>
      </c>
      <c r="T33" s="1096">
        <v>0</v>
      </c>
      <c r="U33" s="1052">
        <v>66.144999999999996</v>
      </c>
      <c r="V33" s="1096">
        <f t="shared" si="3"/>
        <v>66</v>
      </c>
      <c r="W33" s="1052">
        <v>65.741</v>
      </c>
      <c r="X33" s="1096">
        <f t="shared" si="4"/>
        <v>66</v>
      </c>
      <c r="Y33" s="1098">
        <v>0.621</v>
      </c>
      <c r="Z33" s="1096" t="s">
        <v>303</v>
      </c>
      <c r="AA33" s="1036">
        <v>0</v>
      </c>
      <c r="AB33" s="1036">
        <v>0</v>
      </c>
      <c r="AC33" s="1036">
        <v>21.08</v>
      </c>
      <c r="AD33" s="1036">
        <v>1.6220000000000001</v>
      </c>
      <c r="AE33" s="1036">
        <v>9.1999999999999998E-2</v>
      </c>
      <c r="AF33" s="1036">
        <v>0.51400000000000001</v>
      </c>
      <c r="AG33" s="1036">
        <v>18.879000000000001</v>
      </c>
      <c r="AH33" s="1036">
        <v>0.40200000000000002</v>
      </c>
    </row>
    <row r="34" spans="1:115">
      <c r="A34" s="1107" t="s">
        <v>296</v>
      </c>
      <c r="B34" s="1095" t="s">
        <v>67</v>
      </c>
      <c r="C34" s="1052">
        <v>268.79000000000002</v>
      </c>
      <c r="D34" s="1033">
        <f t="shared" si="0"/>
        <v>270</v>
      </c>
      <c r="E34" s="1052">
        <v>1.7999999999999999E-2</v>
      </c>
      <c r="F34" s="1033">
        <v>0</v>
      </c>
      <c r="G34" s="1052">
        <v>2E-3</v>
      </c>
      <c r="H34" s="1033">
        <v>0</v>
      </c>
      <c r="I34" s="1052">
        <v>0</v>
      </c>
      <c r="J34" s="1033">
        <v>0</v>
      </c>
      <c r="K34" s="1052">
        <v>0</v>
      </c>
      <c r="L34" s="1033">
        <v>0</v>
      </c>
      <c r="M34" s="1052">
        <v>0</v>
      </c>
      <c r="N34" s="1096">
        <v>0</v>
      </c>
      <c r="O34" s="1052">
        <v>38.024999999999999</v>
      </c>
      <c r="P34" s="1097">
        <f t="shared" si="1"/>
        <v>40</v>
      </c>
      <c r="Q34" s="1052">
        <v>67.972999999999999</v>
      </c>
      <c r="R34" s="1096">
        <f t="shared" si="2"/>
        <v>68</v>
      </c>
      <c r="S34" s="1052">
        <v>7.2999999999999995E-2</v>
      </c>
      <c r="T34" s="1096">
        <v>0</v>
      </c>
      <c r="U34" s="1052">
        <v>65.912999999999997</v>
      </c>
      <c r="V34" s="1096">
        <f t="shared" si="3"/>
        <v>66</v>
      </c>
      <c r="W34" s="1052">
        <v>65.543999999999997</v>
      </c>
      <c r="X34" s="1096">
        <f t="shared" si="4"/>
        <v>66</v>
      </c>
      <c r="Y34" s="1052">
        <v>0.81</v>
      </c>
      <c r="Z34" s="1096" t="s">
        <v>303</v>
      </c>
      <c r="AA34" s="1034">
        <v>0</v>
      </c>
      <c r="AB34" s="1034">
        <v>0</v>
      </c>
      <c r="AC34" s="1037">
        <v>8.5449999999999999</v>
      </c>
      <c r="AD34" s="1037">
        <v>0.65700000000000003</v>
      </c>
      <c r="AE34" s="1037">
        <v>6.7000000000000004E-2</v>
      </c>
      <c r="AF34" s="1037">
        <v>0.372</v>
      </c>
      <c r="AG34" s="1037">
        <v>2.5099999999999998</v>
      </c>
      <c r="AH34" s="1037">
        <v>5.2999999999999999E-2</v>
      </c>
    </row>
    <row r="35" spans="1:115">
      <c r="A35" s="1088" t="s">
        <v>296</v>
      </c>
      <c r="B35" s="1095" t="s">
        <v>310</v>
      </c>
      <c r="C35" s="1051">
        <v>267.67200000000003</v>
      </c>
      <c r="D35" s="1033">
        <f t="shared" si="0"/>
        <v>270</v>
      </c>
      <c r="E35" s="1051">
        <v>0</v>
      </c>
      <c r="F35" s="1033">
        <v>0</v>
      </c>
      <c r="G35" s="1051">
        <v>0</v>
      </c>
      <c r="H35" s="1033">
        <v>0</v>
      </c>
      <c r="I35" s="1051">
        <v>0</v>
      </c>
      <c r="J35" s="1033">
        <v>0</v>
      </c>
      <c r="K35" s="1051">
        <v>0</v>
      </c>
      <c r="L35" s="1033">
        <v>0</v>
      </c>
      <c r="M35" s="1051">
        <v>0</v>
      </c>
      <c r="N35" s="1096">
        <v>0</v>
      </c>
      <c r="O35" s="1051">
        <v>29.847000000000001</v>
      </c>
      <c r="P35" s="1097">
        <f t="shared" si="1"/>
        <v>30</v>
      </c>
      <c r="Q35" s="1051">
        <v>67.852999999999994</v>
      </c>
      <c r="R35" s="1096">
        <f t="shared" si="2"/>
        <v>68</v>
      </c>
      <c r="S35" s="1051">
        <v>0</v>
      </c>
      <c r="T35" s="1096">
        <v>0</v>
      </c>
      <c r="U35" s="1051">
        <v>65.123000000000005</v>
      </c>
      <c r="V35" s="1096">
        <f t="shared" si="3"/>
        <v>65</v>
      </c>
      <c r="W35" s="1051">
        <v>65.123000000000005</v>
      </c>
      <c r="X35" s="1096">
        <f t="shared" si="4"/>
        <v>65</v>
      </c>
      <c r="Y35" s="1051">
        <v>0</v>
      </c>
      <c r="Z35" s="1096">
        <v>0</v>
      </c>
      <c r="AA35" s="1110">
        <v>0</v>
      </c>
      <c r="AB35" s="1110">
        <v>0</v>
      </c>
      <c r="AC35" s="1110">
        <v>6.774</v>
      </c>
      <c r="AD35" s="1110">
        <v>0.52100000000000002</v>
      </c>
      <c r="AE35" s="1110">
        <v>1.4999999999999999E-2</v>
      </c>
      <c r="AF35" s="1110">
        <v>8.5999999999999993E-2</v>
      </c>
      <c r="AG35" s="1110">
        <v>0.64700000000000002</v>
      </c>
      <c r="AH35" s="1110">
        <v>1.4E-2</v>
      </c>
      <c r="AI35" s="1102"/>
      <c r="AJ35" s="1102"/>
      <c r="AK35" s="1102"/>
      <c r="AL35" s="1102"/>
      <c r="AM35" s="1102"/>
      <c r="AN35" s="1102"/>
      <c r="AO35" s="1102"/>
      <c r="AP35" s="1102"/>
      <c r="AQ35" s="1102"/>
      <c r="AR35" s="1102"/>
      <c r="AS35" s="1102"/>
      <c r="AT35" s="1102"/>
      <c r="AU35" s="1102"/>
      <c r="AV35" s="1102"/>
      <c r="AW35" s="1102"/>
      <c r="AX35" s="1102"/>
      <c r="AY35" s="1102"/>
      <c r="AZ35" s="1102"/>
      <c r="BA35" s="1102"/>
      <c r="BB35" s="1102"/>
      <c r="BC35" s="1102"/>
      <c r="BD35" s="1102"/>
      <c r="BE35" s="1102"/>
      <c r="BF35" s="1102"/>
      <c r="BG35" s="1102"/>
      <c r="BH35" s="1102"/>
      <c r="BI35" s="1102"/>
      <c r="BJ35" s="1102"/>
      <c r="BK35" s="1102"/>
      <c r="BL35" s="1102"/>
      <c r="BM35" s="1102"/>
      <c r="BN35" s="1102"/>
      <c r="BO35" s="1102"/>
      <c r="BP35" s="1102"/>
      <c r="BQ35" s="1102"/>
      <c r="BR35" s="1102"/>
      <c r="BS35" s="1102"/>
      <c r="BT35" s="1102"/>
      <c r="BU35" s="1102"/>
      <c r="BV35" s="1102"/>
      <c r="BW35" s="1102"/>
      <c r="BX35" s="1102"/>
      <c r="BY35" s="1102"/>
      <c r="BZ35" s="1102"/>
      <c r="CA35" s="1102"/>
      <c r="CB35" s="1102"/>
      <c r="CC35" s="1102"/>
      <c r="CD35" s="1102"/>
      <c r="CE35" s="1102"/>
      <c r="CF35" s="1102"/>
      <c r="CG35" s="1102"/>
      <c r="CH35" s="1102"/>
      <c r="CI35" s="1102"/>
      <c r="CJ35" s="1102"/>
      <c r="CK35" s="1102"/>
      <c r="CL35" s="1102"/>
      <c r="CM35" s="1102"/>
      <c r="CN35" s="1102"/>
      <c r="CO35" s="1102"/>
      <c r="CP35" s="1102"/>
      <c r="CQ35" s="1102"/>
      <c r="CR35" s="1102"/>
      <c r="CS35" s="1102"/>
      <c r="CT35" s="1102"/>
      <c r="CU35" s="1102"/>
      <c r="CV35" s="1102"/>
      <c r="CW35" s="1102"/>
      <c r="CX35" s="1102"/>
      <c r="CY35" s="1102"/>
      <c r="CZ35" s="1102"/>
      <c r="DA35" s="1102"/>
      <c r="DB35" s="1102"/>
      <c r="DC35" s="1102"/>
      <c r="DD35" s="1102"/>
      <c r="DE35" s="1102"/>
      <c r="DF35" s="1102"/>
      <c r="DG35" s="1102"/>
      <c r="DH35" s="1102"/>
      <c r="DI35" s="1102"/>
      <c r="DJ35" s="1102"/>
      <c r="DK35" s="1102"/>
    </row>
    <row r="36" spans="1:115">
      <c r="A36" s="1109" t="s">
        <v>92</v>
      </c>
      <c r="B36" s="1095" t="s">
        <v>102</v>
      </c>
      <c r="C36" s="1052">
        <v>318.97899999999998</v>
      </c>
      <c r="D36" s="1033">
        <f t="shared" ref="D36:D67" si="6">MROUND(C36,10)</f>
        <v>320</v>
      </c>
      <c r="E36" s="1052">
        <v>17.332000000000001</v>
      </c>
      <c r="F36" s="1033">
        <f>MROUND(E36,5)</f>
        <v>15</v>
      </c>
      <c r="G36" s="1052">
        <v>4.774</v>
      </c>
      <c r="H36" s="1096">
        <f>MROUND(G36,0.5)</f>
        <v>5</v>
      </c>
      <c r="I36" s="1052">
        <v>4.1740000000000004</v>
      </c>
      <c r="J36" s="1096">
        <f>MROUND(I36,0.5)</f>
        <v>4</v>
      </c>
      <c r="K36" s="1052">
        <v>5.6000000000000001E-2</v>
      </c>
      <c r="L36" s="1033">
        <v>0</v>
      </c>
      <c r="M36" s="1052">
        <v>0</v>
      </c>
      <c r="N36" s="1096">
        <v>0</v>
      </c>
      <c r="O36" s="1052">
        <v>70.465999999999994</v>
      </c>
      <c r="P36" s="1097">
        <f t="shared" si="1"/>
        <v>70</v>
      </c>
      <c r="Q36" s="1052">
        <v>69.296000000000006</v>
      </c>
      <c r="R36" s="1096">
        <f t="shared" ref="R36:R67" si="7">MROUND(Q36,1)</f>
        <v>69</v>
      </c>
      <c r="S36" s="1052">
        <v>0.46500000000000002</v>
      </c>
      <c r="T36" s="1096">
        <v>0</v>
      </c>
      <c r="U36" s="1052">
        <v>64.847999999999999</v>
      </c>
      <c r="V36" s="1096">
        <f t="shared" ref="V36:V67" si="8">MROUND(U36,1)</f>
        <v>65</v>
      </c>
      <c r="W36" s="1052">
        <v>58.162999999999997</v>
      </c>
      <c r="X36" s="1096">
        <f t="shared" ref="X36:X67" si="9">MROUND(W36,1)</f>
        <v>58</v>
      </c>
      <c r="Y36" s="1111">
        <v>0.26200000000000001</v>
      </c>
      <c r="Z36" s="1096">
        <v>0</v>
      </c>
      <c r="AA36" s="1050">
        <v>0</v>
      </c>
      <c r="AB36" s="1050">
        <v>0</v>
      </c>
      <c r="AC36" s="1050">
        <v>9.609</v>
      </c>
      <c r="AD36" s="1050">
        <v>0.73899999999999999</v>
      </c>
      <c r="AE36" s="1050">
        <v>0.13500000000000001</v>
      </c>
      <c r="AF36" s="1050">
        <v>0.75</v>
      </c>
      <c r="AG36" s="1050">
        <v>9.5779999999999994</v>
      </c>
      <c r="AH36" s="1050">
        <v>0.20399999999999999</v>
      </c>
    </row>
    <row r="37" spans="1:115">
      <c r="A37" s="1086" t="s">
        <v>92</v>
      </c>
      <c r="B37" s="1095" t="s">
        <v>323</v>
      </c>
      <c r="C37" s="1051">
        <v>296.63400000000001</v>
      </c>
      <c r="D37" s="1033">
        <f t="shared" si="6"/>
        <v>300</v>
      </c>
      <c r="E37" s="1051">
        <v>4.5999999999999999E-2</v>
      </c>
      <c r="F37" s="1033">
        <v>0</v>
      </c>
      <c r="G37" s="1051">
        <v>2.8420000000000001</v>
      </c>
      <c r="H37" s="1096">
        <f>MROUND(G37,0.5)</f>
        <v>3</v>
      </c>
      <c r="I37" s="1051">
        <v>2.6309999999999998</v>
      </c>
      <c r="J37" s="1096">
        <f>MROUND(I37,0.5)</f>
        <v>2.5</v>
      </c>
      <c r="K37" s="1051">
        <v>0</v>
      </c>
      <c r="L37" s="1033">
        <v>0</v>
      </c>
      <c r="M37" s="1051">
        <v>0</v>
      </c>
      <c r="N37" s="1096">
        <v>0</v>
      </c>
      <c r="O37" s="1051">
        <v>58.155000000000001</v>
      </c>
      <c r="P37" s="1097">
        <f t="shared" si="1"/>
        <v>60</v>
      </c>
      <c r="Q37" s="1051">
        <v>68.311000000000007</v>
      </c>
      <c r="R37" s="1096">
        <f t="shared" si="7"/>
        <v>68</v>
      </c>
      <c r="S37" s="1051">
        <v>0.108</v>
      </c>
      <c r="T37" s="1096">
        <v>0</v>
      </c>
      <c r="U37" s="1051">
        <v>64.662999999999997</v>
      </c>
      <c r="V37" s="1096">
        <f t="shared" si="8"/>
        <v>65</v>
      </c>
      <c r="W37" s="1051">
        <v>63.524999999999999</v>
      </c>
      <c r="X37" s="1096">
        <f t="shared" si="9"/>
        <v>64</v>
      </c>
      <c r="Y37" s="1110">
        <v>0.30199999999999999</v>
      </c>
      <c r="Z37" s="1096">
        <v>0</v>
      </c>
      <c r="AA37" s="1036">
        <v>0</v>
      </c>
      <c r="AB37" s="1036">
        <v>0</v>
      </c>
      <c r="AC37" s="1036">
        <v>7.8840000000000003</v>
      </c>
      <c r="AD37" s="1036">
        <v>0.60599999999999998</v>
      </c>
      <c r="AE37" s="1036">
        <v>0.106</v>
      </c>
      <c r="AF37" s="1036">
        <v>0.58799999999999997</v>
      </c>
      <c r="AG37" s="1036">
        <v>14.571</v>
      </c>
      <c r="AH37" s="1036">
        <v>0.31</v>
      </c>
      <c r="AI37" s="1107"/>
      <c r="AJ37" s="1107"/>
      <c r="AK37" s="1107"/>
      <c r="AL37" s="1107"/>
      <c r="AM37" s="1107"/>
      <c r="AN37" s="1107"/>
      <c r="AO37" s="1107"/>
      <c r="AP37" s="1107"/>
      <c r="AQ37" s="1107"/>
      <c r="AR37" s="1107"/>
      <c r="AS37" s="1107"/>
      <c r="AT37" s="1107"/>
      <c r="AU37" s="1107"/>
      <c r="AV37" s="1107"/>
      <c r="AW37" s="1107"/>
      <c r="AX37" s="1107"/>
      <c r="AY37" s="1107"/>
      <c r="AZ37" s="1107"/>
      <c r="BA37" s="1107"/>
      <c r="BB37" s="1107"/>
      <c r="BC37" s="1107"/>
      <c r="BD37" s="1107"/>
      <c r="BE37" s="1107"/>
      <c r="BF37" s="1107"/>
      <c r="BG37" s="1107"/>
      <c r="BH37" s="1107"/>
      <c r="BI37" s="1107"/>
      <c r="BJ37" s="1107"/>
      <c r="BK37" s="1107"/>
      <c r="BL37" s="1107"/>
      <c r="BM37" s="1107"/>
      <c r="BN37" s="1107"/>
      <c r="BO37" s="1107"/>
      <c r="BP37" s="1107"/>
      <c r="BQ37" s="1107"/>
      <c r="BR37" s="1107"/>
      <c r="BS37" s="1107"/>
      <c r="BT37" s="1107"/>
      <c r="BU37" s="1107"/>
      <c r="BV37" s="1107"/>
      <c r="BW37" s="1107"/>
      <c r="BX37" s="1107"/>
      <c r="BY37" s="1107"/>
      <c r="BZ37" s="1107"/>
      <c r="CA37" s="1107"/>
      <c r="CB37" s="1107"/>
      <c r="CC37" s="1107"/>
      <c r="CD37" s="1107"/>
      <c r="CE37" s="1107"/>
      <c r="CF37" s="1107"/>
      <c r="CG37" s="1107"/>
      <c r="CH37" s="1107"/>
      <c r="CI37" s="1107"/>
      <c r="CJ37" s="1107"/>
      <c r="CK37" s="1107"/>
      <c r="CL37" s="1107"/>
      <c r="CM37" s="1107"/>
      <c r="CN37" s="1107"/>
      <c r="CO37" s="1107"/>
      <c r="CP37" s="1107"/>
      <c r="CQ37" s="1107"/>
      <c r="CR37" s="1107"/>
      <c r="CS37" s="1107"/>
      <c r="CT37" s="1107"/>
      <c r="CU37" s="1107"/>
      <c r="CV37" s="1107"/>
      <c r="CW37" s="1107"/>
      <c r="CX37" s="1107"/>
      <c r="CY37" s="1107"/>
      <c r="CZ37" s="1107"/>
      <c r="DA37" s="1107"/>
      <c r="DB37" s="1107"/>
      <c r="DC37" s="1107"/>
      <c r="DD37" s="1107"/>
      <c r="DE37" s="1107"/>
      <c r="DF37" s="1107"/>
      <c r="DG37" s="1107"/>
      <c r="DH37" s="1107"/>
      <c r="DI37" s="1107"/>
      <c r="DJ37" s="1107"/>
      <c r="DK37" s="1107"/>
    </row>
    <row r="38" spans="1:115">
      <c r="A38" s="1086" t="s">
        <v>296</v>
      </c>
      <c r="B38" s="1095" t="s">
        <v>324</v>
      </c>
      <c r="C38" s="1113">
        <v>261.084</v>
      </c>
      <c r="D38" s="1033">
        <f t="shared" si="6"/>
        <v>260</v>
      </c>
      <c r="E38" s="1113">
        <v>0</v>
      </c>
      <c r="F38" s="1033">
        <v>0</v>
      </c>
      <c r="G38" s="1113">
        <v>0</v>
      </c>
      <c r="H38" s="1033">
        <v>0</v>
      </c>
      <c r="I38" s="1113">
        <v>0</v>
      </c>
      <c r="J38" s="1033">
        <v>0</v>
      </c>
      <c r="K38" s="1113">
        <v>0</v>
      </c>
      <c r="L38" s="1033">
        <v>0</v>
      </c>
      <c r="M38" s="1113">
        <v>0</v>
      </c>
      <c r="N38" s="1096">
        <v>0</v>
      </c>
      <c r="O38" s="1113">
        <v>51.716000000000001</v>
      </c>
      <c r="P38" s="1097">
        <f t="shared" si="1"/>
        <v>50</v>
      </c>
      <c r="Q38" s="1113">
        <v>66.274000000000001</v>
      </c>
      <c r="R38" s="1096">
        <f t="shared" si="7"/>
        <v>66</v>
      </c>
      <c r="S38" s="1113">
        <v>2.5000000000000001E-2</v>
      </c>
      <c r="T38" s="1096">
        <v>0</v>
      </c>
      <c r="U38" s="1113">
        <v>64.403000000000006</v>
      </c>
      <c r="V38" s="1096">
        <f t="shared" si="8"/>
        <v>64</v>
      </c>
      <c r="W38" s="1113">
        <v>64.403000000000006</v>
      </c>
      <c r="X38" s="1096">
        <f t="shared" si="9"/>
        <v>64</v>
      </c>
      <c r="Y38" s="1113">
        <v>0.13900000000000001</v>
      </c>
      <c r="Z38" s="1096">
        <v>0</v>
      </c>
      <c r="AA38" s="1114">
        <v>0</v>
      </c>
      <c r="AB38" s="1114">
        <v>0</v>
      </c>
      <c r="AC38" s="1114">
        <v>8.3919999999999995</v>
      </c>
      <c r="AD38" s="1114">
        <v>0.64600000000000002</v>
      </c>
      <c r="AE38" s="1114">
        <v>6.2E-2</v>
      </c>
      <c r="AF38" s="1114">
        <v>0.34599999999999997</v>
      </c>
      <c r="AG38" s="1114">
        <v>0.88800000000000001</v>
      </c>
      <c r="AH38" s="1114">
        <v>1.9E-2</v>
      </c>
      <c r="AI38" s="1109"/>
      <c r="AJ38" s="1109"/>
      <c r="AK38" s="1109"/>
      <c r="AL38" s="1109"/>
      <c r="AM38" s="1109"/>
      <c r="AN38" s="1109"/>
      <c r="AO38" s="1109"/>
      <c r="AP38" s="1109"/>
      <c r="AQ38" s="1109"/>
      <c r="AR38" s="1109"/>
      <c r="AS38" s="1109"/>
      <c r="AT38" s="1109"/>
      <c r="AU38" s="1109"/>
      <c r="AV38" s="1109"/>
      <c r="AW38" s="1109"/>
      <c r="AX38" s="1109"/>
      <c r="AY38" s="1109"/>
      <c r="AZ38" s="1109"/>
      <c r="BA38" s="1109"/>
      <c r="BB38" s="1109"/>
      <c r="BC38" s="1109"/>
      <c r="BD38" s="1109"/>
      <c r="BE38" s="1109"/>
      <c r="BF38" s="1109"/>
      <c r="BG38" s="1109"/>
      <c r="BH38" s="1109"/>
      <c r="BI38" s="1109"/>
      <c r="BJ38" s="1109"/>
      <c r="BK38" s="1109"/>
      <c r="BL38" s="1115"/>
      <c r="BM38" s="1115"/>
      <c r="BN38" s="1115"/>
      <c r="BO38" s="1115"/>
      <c r="BP38" s="1115"/>
      <c r="BQ38" s="1115"/>
      <c r="BR38" s="1115"/>
      <c r="BS38" s="1115"/>
      <c r="BT38" s="1115"/>
      <c r="BU38" s="1115"/>
      <c r="BV38" s="1115"/>
      <c r="BW38" s="1115"/>
      <c r="BX38" s="1115"/>
      <c r="BY38" s="1115"/>
      <c r="BZ38" s="1115"/>
      <c r="CA38" s="1115"/>
      <c r="CB38" s="1115"/>
      <c r="CC38" s="1115"/>
      <c r="CD38" s="1115"/>
      <c r="CE38" s="1115"/>
      <c r="CF38" s="1115"/>
      <c r="CG38" s="1115"/>
      <c r="CH38" s="1115"/>
      <c r="CI38" s="1115"/>
      <c r="CJ38" s="1115"/>
      <c r="CK38" s="1115"/>
      <c r="CL38" s="1115"/>
      <c r="CM38" s="1115"/>
      <c r="CN38" s="1115"/>
      <c r="CO38" s="1115"/>
      <c r="CP38" s="1115"/>
      <c r="CQ38" s="1115"/>
      <c r="CR38" s="1115"/>
      <c r="CS38" s="1115"/>
      <c r="CT38" s="1115"/>
      <c r="CU38" s="1115"/>
      <c r="CV38" s="1115"/>
      <c r="CW38" s="1115"/>
      <c r="CX38" s="1115"/>
      <c r="CY38" s="1115"/>
      <c r="CZ38" s="1115"/>
      <c r="DA38" s="1115"/>
      <c r="DB38" s="1115"/>
      <c r="DC38" s="1115"/>
      <c r="DD38" s="1115"/>
      <c r="DE38" s="1115"/>
      <c r="DF38" s="1115"/>
      <c r="DG38" s="1115"/>
      <c r="DH38" s="1115"/>
      <c r="DI38" s="1115"/>
      <c r="DJ38" s="1115"/>
      <c r="DK38" s="1115"/>
    </row>
    <row r="39" spans="1:115" s="1107" customFormat="1">
      <c r="A39" s="1086" t="s">
        <v>296</v>
      </c>
      <c r="B39" s="1095" t="s">
        <v>69</v>
      </c>
      <c r="C39" s="1052">
        <v>264.77100000000002</v>
      </c>
      <c r="D39" s="1033">
        <f t="shared" si="6"/>
        <v>260</v>
      </c>
      <c r="E39" s="1052">
        <v>0.219</v>
      </c>
      <c r="F39" s="1033">
        <v>0</v>
      </c>
      <c r="G39" s="1052">
        <v>2.4E-2</v>
      </c>
      <c r="H39" s="1033">
        <v>0</v>
      </c>
      <c r="I39" s="1052">
        <v>1E-3</v>
      </c>
      <c r="J39" s="1033">
        <v>0</v>
      </c>
      <c r="K39" s="1052">
        <v>0</v>
      </c>
      <c r="L39" s="1033">
        <v>0</v>
      </c>
      <c r="M39" s="1052">
        <v>0</v>
      </c>
      <c r="N39" s="1096">
        <v>0</v>
      </c>
      <c r="O39" s="1052">
        <v>43.143999999999998</v>
      </c>
      <c r="P39" s="1097">
        <f t="shared" si="1"/>
        <v>45</v>
      </c>
      <c r="Q39" s="1052">
        <v>67.272000000000006</v>
      </c>
      <c r="R39" s="1096">
        <f t="shared" si="7"/>
        <v>67</v>
      </c>
      <c r="S39" s="1052">
        <v>0.183</v>
      </c>
      <c r="T39" s="1096">
        <v>0</v>
      </c>
      <c r="U39" s="1052">
        <v>64.388999999999996</v>
      </c>
      <c r="V39" s="1096">
        <f t="shared" si="8"/>
        <v>64</v>
      </c>
      <c r="W39" s="1052">
        <v>63.715000000000003</v>
      </c>
      <c r="X39" s="1096">
        <f t="shared" si="9"/>
        <v>64</v>
      </c>
      <c r="Y39" s="1052">
        <v>0.15</v>
      </c>
      <c r="Z39" s="1096">
        <v>0</v>
      </c>
      <c r="AA39" s="1036">
        <v>0</v>
      </c>
      <c r="AB39" s="1036">
        <v>0</v>
      </c>
      <c r="AC39" s="1036">
        <v>9.7409999999999997</v>
      </c>
      <c r="AD39" s="1036">
        <v>0.749</v>
      </c>
      <c r="AE39" s="1036">
        <v>6.8000000000000005E-2</v>
      </c>
      <c r="AF39" s="1036">
        <v>0.38</v>
      </c>
      <c r="AG39" s="1036">
        <v>16.716000000000001</v>
      </c>
      <c r="AH39" s="1036">
        <v>0.35599999999999998</v>
      </c>
      <c r="AI39" s="1106"/>
      <c r="AJ39" s="1106"/>
      <c r="AK39" s="1106"/>
      <c r="AL39" s="1106"/>
      <c r="AM39" s="1106"/>
      <c r="AN39" s="1106"/>
      <c r="AO39" s="1106"/>
      <c r="AP39" s="1106"/>
      <c r="AQ39" s="1106"/>
      <c r="AR39" s="1106"/>
      <c r="AS39" s="1106"/>
      <c r="AT39" s="1106"/>
      <c r="AU39" s="1106"/>
      <c r="AV39" s="1106"/>
      <c r="AW39" s="1106"/>
      <c r="AX39" s="1106"/>
      <c r="AY39" s="1106"/>
      <c r="AZ39" s="1106"/>
      <c r="BA39" s="1106"/>
      <c r="BB39" s="1106"/>
      <c r="BC39" s="1106"/>
      <c r="BD39" s="1106"/>
      <c r="BE39" s="1106"/>
      <c r="BF39" s="1106"/>
      <c r="BG39" s="1106"/>
      <c r="BH39" s="1106"/>
      <c r="BI39" s="1106"/>
      <c r="BJ39" s="1106"/>
      <c r="BK39" s="1106"/>
      <c r="BL39" s="1106"/>
      <c r="BM39" s="1106"/>
      <c r="BN39" s="1106"/>
      <c r="BO39" s="1106"/>
      <c r="BP39" s="1106"/>
      <c r="BQ39" s="1106"/>
      <c r="BR39" s="1106"/>
      <c r="BS39" s="1106"/>
      <c r="BT39" s="1106"/>
      <c r="BU39" s="1106"/>
      <c r="BV39" s="1106"/>
      <c r="BW39" s="1106"/>
      <c r="BX39" s="1106"/>
      <c r="BY39" s="1106"/>
      <c r="BZ39" s="1106"/>
      <c r="CA39" s="1106"/>
      <c r="CB39" s="1106"/>
      <c r="CC39" s="1106"/>
      <c r="CD39" s="1106"/>
      <c r="CE39" s="1106"/>
      <c r="CF39" s="1106"/>
      <c r="CG39" s="1106"/>
      <c r="CH39" s="1106"/>
      <c r="CI39" s="1106"/>
      <c r="CJ39" s="1106"/>
      <c r="CK39" s="1106"/>
      <c r="CL39" s="1106"/>
      <c r="CM39" s="1106"/>
      <c r="CN39" s="1106"/>
      <c r="CO39" s="1106"/>
      <c r="CP39" s="1106"/>
      <c r="CQ39" s="1106"/>
      <c r="CR39" s="1106"/>
      <c r="CS39" s="1106"/>
      <c r="CT39" s="1106"/>
      <c r="CU39" s="1106"/>
      <c r="CV39" s="1106"/>
      <c r="CW39" s="1106"/>
      <c r="CX39" s="1106"/>
      <c r="CY39" s="1106"/>
      <c r="CZ39" s="1106"/>
      <c r="DA39" s="1106"/>
      <c r="DB39" s="1106"/>
      <c r="DC39" s="1106"/>
      <c r="DD39" s="1106"/>
      <c r="DE39" s="1106"/>
      <c r="DF39" s="1106"/>
      <c r="DG39" s="1106"/>
      <c r="DH39" s="1106"/>
      <c r="DI39" s="1106"/>
      <c r="DJ39" s="1106"/>
      <c r="DK39" s="1106"/>
    </row>
    <row r="40" spans="1:115">
      <c r="A40" s="1086" t="s">
        <v>296</v>
      </c>
      <c r="B40" s="1095" t="s">
        <v>54</v>
      </c>
      <c r="C40" s="1104">
        <v>263.69099999999997</v>
      </c>
      <c r="D40" s="1033">
        <f t="shared" si="6"/>
        <v>260</v>
      </c>
      <c r="E40" s="1104">
        <v>0.123</v>
      </c>
      <c r="F40" s="1033">
        <v>0</v>
      </c>
      <c r="G40" s="1104">
        <v>1.4E-2</v>
      </c>
      <c r="H40" s="1033">
        <v>0</v>
      </c>
      <c r="I40" s="1104">
        <v>2E-3</v>
      </c>
      <c r="J40" s="1033">
        <v>0</v>
      </c>
      <c r="K40" s="1104">
        <v>8.9999999999999993E-3</v>
      </c>
      <c r="L40" s="1033">
        <v>0</v>
      </c>
      <c r="M40" s="1104">
        <v>0</v>
      </c>
      <c r="N40" s="1096">
        <v>0</v>
      </c>
      <c r="O40" s="1104">
        <v>38.872</v>
      </c>
      <c r="P40" s="1097">
        <f t="shared" si="1"/>
        <v>40</v>
      </c>
      <c r="Q40" s="1104">
        <v>66.775000000000006</v>
      </c>
      <c r="R40" s="1096">
        <f t="shared" si="7"/>
        <v>67</v>
      </c>
      <c r="S40" s="1052">
        <v>0.151</v>
      </c>
      <c r="T40" s="1096">
        <v>0</v>
      </c>
      <c r="U40" s="1104">
        <v>64.274000000000001</v>
      </c>
      <c r="V40" s="1096">
        <f t="shared" si="8"/>
        <v>64</v>
      </c>
      <c r="W40" s="1104">
        <v>63.347999999999999</v>
      </c>
      <c r="X40" s="1096">
        <f t="shared" si="9"/>
        <v>63</v>
      </c>
      <c r="Y40" s="1104">
        <v>9.8000000000000004E-2</v>
      </c>
      <c r="Z40" s="1096">
        <v>0</v>
      </c>
      <c r="AA40" s="1036">
        <v>0</v>
      </c>
      <c r="AB40" s="1036">
        <v>0</v>
      </c>
      <c r="AC40" s="1036">
        <v>8.7379999999999995</v>
      </c>
      <c r="AD40" s="1036">
        <v>0.67200000000000004</v>
      </c>
      <c r="AE40" s="1036">
        <v>9.7000000000000003E-2</v>
      </c>
      <c r="AF40" s="1036">
        <v>0.53800000000000003</v>
      </c>
      <c r="AG40" s="1036">
        <v>15.26</v>
      </c>
      <c r="AH40" s="1036">
        <v>0.32500000000000001</v>
      </c>
    </row>
    <row r="41" spans="1:115">
      <c r="A41" s="1106" t="s">
        <v>92</v>
      </c>
      <c r="B41" s="1095" t="s">
        <v>98</v>
      </c>
      <c r="C41" s="1052">
        <v>325.12799999999999</v>
      </c>
      <c r="D41" s="1033">
        <f t="shared" si="6"/>
        <v>330</v>
      </c>
      <c r="E41" s="1052">
        <v>19.725000000000001</v>
      </c>
      <c r="F41" s="1033">
        <f>MROUND(E41,5)</f>
        <v>20</v>
      </c>
      <c r="G41" s="1052">
        <v>5.0060000000000002</v>
      </c>
      <c r="H41" s="1096">
        <f>MROUND(G41,1)</f>
        <v>5</v>
      </c>
      <c r="I41" s="1052">
        <v>4.0229999999999997</v>
      </c>
      <c r="J41" s="1096">
        <f>MROUND(I41,0.5)</f>
        <v>4</v>
      </c>
      <c r="K41" s="1052">
        <v>4.5999999999999999E-2</v>
      </c>
      <c r="L41" s="1033">
        <v>0</v>
      </c>
      <c r="M41" s="1052">
        <v>5.4450000000000003</v>
      </c>
      <c r="N41" s="1096" t="s">
        <v>332</v>
      </c>
      <c r="O41" s="1052">
        <v>72.649000000000001</v>
      </c>
      <c r="P41" s="1097">
        <f t="shared" si="1"/>
        <v>75</v>
      </c>
      <c r="Q41" s="1052">
        <v>69.885000000000005</v>
      </c>
      <c r="R41" s="1096">
        <f t="shared" si="7"/>
        <v>70</v>
      </c>
      <c r="S41" s="1052">
        <v>2.3E-2</v>
      </c>
      <c r="T41" s="1096">
        <v>0</v>
      </c>
      <c r="U41" s="1052">
        <v>63.676000000000002</v>
      </c>
      <c r="V41" s="1096">
        <f t="shared" si="8"/>
        <v>64</v>
      </c>
      <c r="W41" s="1052">
        <v>63.268000000000001</v>
      </c>
      <c r="X41" s="1096">
        <f t="shared" si="9"/>
        <v>63</v>
      </c>
      <c r="Y41" s="1098">
        <v>0.625</v>
      </c>
      <c r="Z41" s="1096" t="s">
        <v>303</v>
      </c>
      <c r="AA41" s="1034">
        <v>0</v>
      </c>
      <c r="AB41" s="1034">
        <v>0</v>
      </c>
      <c r="AC41" s="1037">
        <v>18.632000000000001</v>
      </c>
      <c r="AD41" s="1037">
        <v>1.4330000000000001</v>
      </c>
      <c r="AE41" s="1037">
        <v>9.2999999999999999E-2</v>
      </c>
      <c r="AF41" s="1037">
        <v>0.51700000000000002</v>
      </c>
      <c r="AG41" s="1037">
        <v>16.129000000000001</v>
      </c>
      <c r="AH41" s="1037">
        <v>0.34300000000000003</v>
      </c>
    </row>
    <row r="42" spans="1:115">
      <c r="A42" s="1088" t="s">
        <v>296</v>
      </c>
      <c r="B42" s="1095" t="s">
        <v>65</v>
      </c>
      <c r="C42" s="1052">
        <v>267.197</v>
      </c>
      <c r="D42" s="1033">
        <f t="shared" si="6"/>
        <v>270</v>
      </c>
      <c r="E42" s="1052">
        <v>0</v>
      </c>
      <c r="F42" s="1033">
        <v>0</v>
      </c>
      <c r="G42" s="1052">
        <v>0</v>
      </c>
      <c r="H42" s="1033">
        <v>0</v>
      </c>
      <c r="I42" s="1052">
        <v>0</v>
      </c>
      <c r="J42" s="1033">
        <v>0</v>
      </c>
      <c r="K42" s="1052">
        <v>0</v>
      </c>
      <c r="L42" s="1033">
        <v>0</v>
      </c>
      <c r="M42" s="1052">
        <v>0</v>
      </c>
      <c r="N42" s="1096">
        <v>0</v>
      </c>
      <c r="O42" s="1052">
        <v>38.226999999999997</v>
      </c>
      <c r="P42" s="1097">
        <f t="shared" si="1"/>
        <v>40</v>
      </c>
      <c r="Q42" s="1052">
        <v>67.522999999999996</v>
      </c>
      <c r="R42" s="1096">
        <f t="shared" si="7"/>
        <v>68</v>
      </c>
      <c r="S42" s="1052">
        <v>0</v>
      </c>
      <c r="T42" s="1096">
        <v>0</v>
      </c>
      <c r="U42" s="1052">
        <v>63.56</v>
      </c>
      <c r="V42" s="1096">
        <f t="shared" si="8"/>
        <v>64</v>
      </c>
      <c r="W42" s="1052">
        <v>63.56</v>
      </c>
      <c r="X42" s="1096">
        <f t="shared" si="9"/>
        <v>64</v>
      </c>
      <c r="Y42" s="1052">
        <v>0</v>
      </c>
      <c r="Z42" s="1096">
        <v>0</v>
      </c>
      <c r="AA42" s="1036">
        <v>0</v>
      </c>
      <c r="AB42" s="1036">
        <v>0</v>
      </c>
      <c r="AC42" s="1036">
        <v>6.8940000000000001</v>
      </c>
      <c r="AD42" s="1036">
        <v>0.53</v>
      </c>
      <c r="AE42" s="1036">
        <v>0.21</v>
      </c>
      <c r="AF42" s="1036">
        <v>0.11700000000000001</v>
      </c>
      <c r="AG42" s="1036">
        <v>0.87</v>
      </c>
      <c r="AH42" s="1036">
        <v>1.9E-2</v>
      </c>
    </row>
    <row r="43" spans="1:115">
      <c r="A43" s="1086" t="s">
        <v>296</v>
      </c>
      <c r="B43" s="1095" t="s">
        <v>53</v>
      </c>
      <c r="C43" s="1052">
        <v>261.32499999999999</v>
      </c>
      <c r="D43" s="1033">
        <f t="shared" si="6"/>
        <v>260</v>
      </c>
      <c r="E43" s="1052">
        <v>6.9000000000000006E-2</v>
      </c>
      <c r="F43" s="1033">
        <v>0</v>
      </c>
      <c r="G43" s="1052">
        <v>8.0000000000000002E-3</v>
      </c>
      <c r="H43" s="1033">
        <v>0</v>
      </c>
      <c r="I43" s="1052">
        <v>2E-3</v>
      </c>
      <c r="J43" s="1033">
        <v>0</v>
      </c>
      <c r="K43" s="1052">
        <v>8.0000000000000002E-3</v>
      </c>
      <c r="L43" s="1033">
        <v>0</v>
      </c>
      <c r="M43" s="1052">
        <v>0</v>
      </c>
      <c r="N43" s="1096">
        <v>0</v>
      </c>
      <c r="O43" s="1052">
        <v>37.436999999999998</v>
      </c>
      <c r="P43" s="1097">
        <f t="shared" si="1"/>
        <v>35</v>
      </c>
      <c r="Q43" s="1052">
        <v>65.911000000000001</v>
      </c>
      <c r="R43" s="1096">
        <f t="shared" si="7"/>
        <v>66</v>
      </c>
      <c r="S43" s="1052">
        <v>8.4000000000000005E-2</v>
      </c>
      <c r="T43" s="1096">
        <v>0</v>
      </c>
      <c r="U43" s="1052">
        <v>63.478999999999999</v>
      </c>
      <c r="V43" s="1096">
        <f t="shared" si="8"/>
        <v>63</v>
      </c>
      <c r="W43" s="1052">
        <v>62.515000000000001</v>
      </c>
      <c r="X43" s="1096">
        <f t="shared" si="9"/>
        <v>63</v>
      </c>
      <c r="Y43" s="1052">
        <v>3.9E-2</v>
      </c>
      <c r="Z43" s="1096">
        <v>0</v>
      </c>
      <c r="AA43" s="1036">
        <v>0</v>
      </c>
      <c r="AB43" s="1036">
        <v>0</v>
      </c>
      <c r="AC43" s="1036">
        <v>8.5289999999999999</v>
      </c>
      <c r="AD43" s="1036">
        <v>0.65600000000000003</v>
      </c>
      <c r="AE43" s="1036">
        <v>0.20100000000000001</v>
      </c>
      <c r="AF43" s="1036">
        <v>1.119</v>
      </c>
      <c r="AG43" s="1036">
        <v>15.512</v>
      </c>
      <c r="AH43" s="1036">
        <v>0.33</v>
      </c>
    </row>
    <row r="44" spans="1:115">
      <c r="A44" s="1086" t="s">
        <v>296</v>
      </c>
      <c r="B44" s="1095" t="s">
        <v>50</v>
      </c>
      <c r="C44" s="1052">
        <v>260.00299999999999</v>
      </c>
      <c r="D44" s="1033">
        <f t="shared" si="6"/>
        <v>260</v>
      </c>
      <c r="E44" s="1052">
        <v>0.161</v>
      </c>
      <c r="F44" s="1033">
        <v>0</v>
      </c>
      <c r="G44" s="1052">
        <v>1.7999999999999999E-2</v>
      </c>
      <c r="H44" s="1033">
        <v>0</v>
      </c>
      <c r="I44" s="1052">
        <v>5.0000000000000001E-3</v>
      </c>
      <c r="J44" s="1033">
        <v>0</v>
      </c>
      <c r="K44" s="1052">
        <v>1.7999999999999999E-2</v>
      </c>
      <c r="L44" s="1033">
        <v>0</v>
      </c>
      <c r="M44" s="1052">
        <v>0</v>
      </c>
      <c r="N44" s="1096">
        <v>0</v>
      </c>
      <c r="O44" s="1052">
        <v>39.145000000000003</v>
      </c>
      <c r="P44" s="1097">
        <f t="shared" si="1"/>
        <v>40</v>
      </c>
      <c r="Q44" s="1052">
        <v>66.117999999999995</v>
      </c>
      <c r="R44" s="1096">
        <f t="shared" si="7"/>
        <v>66</v>
      </c>
      <c r="S44" s="1052">
        <v>0.121</v>
      </c>
      <c r="T44" s="1096">
        <v>0</v>
      </c>
      <c r="U44" s="1052">
        <v>63.094000000000001</v>
      </c>
      <c r="V44" s="1096">
        <f t="shared" si="8"/>
        <v>63</v>
      </c>
      <c r="W44" s="1052">
        <v>62.125</v>
      </c>
      <c r="X44" s="1096">
        <f t="shared" si="9"/>
        <v>62</v>
      </c>
      <c r="Y44" s="1052">
        <v>3.5999999999999997E-2</v>
      </c>
      <c r="Z44" s="1096">
        <v>0</v>
      </c>
      <c r="AA44" s="1036">
        <v>0</v>
      </c>
      <c r="AB44" s="1036">
        <v>0</v>
      </c>
      <c r="AC44" s="1036">
        <v>8.7080000000000002</v>
      </c>
      <c r="AD44" s="1036">
        <v>0.67</v>
      </c>
      <c r="AE44" s="1036">
        <v>8.1000000000000003E-2</v>
      </c>
      <c r="AF44" s="1036">
        <v>0.45</v>
      </c>
      <c r="AG44" s="1036">
        <v>18.95</v>
      </c>
      <c r="AH44" s="1036">
        <v>0.40300000000000002</v>
      </c>
    </row>
    <row r="45" spans="1:115">
      <c r="A45" s="1088" t="s">
        <v>296</v>
      </c>
      <c r="B45" s="1095" t="s">
        <v>36</v>
      </c>
      <c r="C45" s="1052">
        <v>257.71100000000001</v>
      </c>
      <c r="D45" s="1033">
        <f t="shared" si="6"/>
        <v>260</v>
      </c>
      <c r="E45" s="1052">
        <v>0</v>
      </c>
      <c r="F45" s="1033">
        <v>0</v>
      </c>
      <c r="G45" s="1052">
        <v>0</v>
      </c>
      <c r="H45" s="1033">
        <v>0</v>
      </c>
      <c r="I45" s="1052">
        <v>0</v>
      </c>
      <c r="J45" s="1033">
        <v>0</v>
      </c>
      <c r="K45" s="1052">
        <v>0</v>
      </c>
      <c r="L45" s="1033">
        <v>0</v>
      </c>
      <c r="M45" s="1052">
        <v>0</v>
      </c>
      <c r="N45" s="1096">
        <v>0</v>
      </c>
      <c r="O45" s="1052">
        <v>27.914000000000001</v>
      </c>
      <c r="P45" s="1097">
        <f t="shared" si="1"/>
        <v>30</v>
      </c>
      <c r="Q45" s="1052">
        <v>65.123000000000005</v>
      </c>
      <c r="R45" s="1096">
        <f t="shared" si="7"/>
        <v>65</v>
      </c>
      <c r="S45" s="1052">
        <v>0</v>
      </c>
      <c r="T45" s="1096">
        <v>0</v>
      </c>
      <c r="U45" s="1052">
        <v>63.085000000000001</v>
      </c>
      <c r="V45" s="1096">
        <f t="shared" si="8"/>
        <v>63</v>
      </c>
      <c r="W45" s="1052">
        <v>63.085000000000001</v>
      </c>
      <c r="X45" s="1096">
        <f t="shared" si="9"/>
        <v>63</v>
      </c>
      <c r="Y45" s="1052">
        <v>0</v>
      </c>
      <c r="Z45" s="1096">
        <v>0</v>
      </c>
      <c r="AA45" s="1036">
        <v>0</v>
      </c>
      <c r="AB45" s="1036">
        <v>0</v>
      </c>
      <c r="AC45" s="1036">
        <v>7.1340000000000003</v>
      </c>
      <c r="AD45" s="1036">
        <v>0.54900000000000004</v>
      </c>
      <c r="AE45" s="1036">
        <v>1.2E-2</v>
      </c>
      <c r="AF45" s="1036">
        <v>6.6000000000000003E-2</v>
      </c>
      <c r="AG45" s="1036">
        <v>1.3819999999999999</v>
      </c>
      <c r="AH45" s="1036">
        <v>2.9000000000000001E-2</v>
      </c>
    </row>
    <row r="46" spans="1:115">
      <c r="A46" s="1088" t="s">
        <v>296</v>
      </c>
      <c r="B46" s="1095" t="s">
        <v>307</v>
      </c>
      <c r="C46" s="1052">
        <v>258.73899999999998</v>
      </c>
      <c r="D46" s="1033">
        <f t="shared" si="6"/>
        <v>260</v>
      </c>
      <c r="E46" s="1052">
        <v>0</v>
      </c>
      <c r="F46" s="1033">
        <v>0</v>
      </c>
      <c r="G46" s="1052">
        <v>0</v>
      </c>
      <c r="H46" s="1033">
        <v>0</v>
      </c>
      <c r="I46" s="1052">
        <v>0</v>
      </c>
      <c r="J46" s="1033">
        <v>0</v>
      </c>
      <c r="K46" s="1052">
        <v>0</v>
      </c>
      <c r="L46" s="1033">
        <v>0</v>
      </c>
      <c r="M46" s="1052">
        <v>0</v>
      </c>
      <c r="N46" s="1096">
        <v>0</v>
      </c>
      <c r="O46" s="1052">
        <v>29.222000000000001</v>
      </c>
      <c r="P46" s="1097">
        <f t="shared" si="1"/>
        <v>30</v>
      </c>
      <c r="Q46" s="1052">
        <v>65.587000000000003</v>
      </c>
      <c r="R46" s="1096">
        <f t="shared" si="7"/>
        <v>66</v>
      </c>
      <c r="S46" s="1052">
        <v>0</v>
      </c>
      <c r="T46" s="1096">
        <v>0</v>
      </c>
      <c r="U46" s="1052">
        <v>62.945999999999998</v>
      </c>
      <c r="V46" s="1096">
        <f t="shared" si="8"/>
        <v>63</v>
      </c>
      <c r="W46" s="1052">
        <v>62.945999999999998</v>
      </c>
      <c r="X46" s="1096">
        <f t="shared" si="9"/>
        <v>63</v>
      </c>
      <c r="Y46" s="1052">
        <v>0</v>
      </c>
      <c r="Z46" s="1096">
        <v>0</v>
      </c>
      <c r="AA46" s="1036">
        <v>0</v>
      </c>
      <c r="AB46" s="1036">
        <v>0</v>
      </c>
      <c r="AC46" s="1036">
        <v>6.8529999999999998</v>
      </c>
      <c r="AD46" s="1036">
        <v>0.52700000000000002</v>
      </c>
      <c r="AE46" s="1036">
        <v>1.4999999999999999E-2</v>
      </c>
      <c r="AF46" s="1036">
        <v>8.3000000000000004E-2</v>
      </c>
      <c r="AG46" s="1036">
        <v>6.2069999999999999</v>
      </c>
      <c r="AH46" s="1036">
        <v>0.13200000000000001</v>
      </c>
    </row>
    <row r="47" spans="1:115">
      <c r="A47" s="1106" t="s">
        <v>92</v>
      </c>
      <c r="B47" s="1095" t="s">
        <v>94</v>
      </c>
      <c r="C47" s="1052">
        <v>314.76799999999997</v>
      </c>
      <c r="D47" s="1033">
        <f t="shared" si="6"/>
        <v>310</v>
      </c>
      <c r="E47" s="1052">
        <v>9.4619999999999997</v>
      </c>
      <c r="F47" s="1033">
        <f>MROUND(E47,5)</f>
        <v>10</v>
      </c>
      <c r="G47" s="1052">
        <v>3.8820000000000001</v>
      </c>
      <c r="H47" s="1096">
        <f>MROUND(G47,0.5)</f>
        <v>4</v>
      </c>
      <c r="I47" s="1052">
        <v>3.1480000000000001</v>
      </c>
      <c r="J47" s="1096">
        <f>MROUND(I47,0.5)</f>
        <v>3</v>
      </c>
      <c r="K47" s="1052">
        <v>0.01</v>
      </c>
      <c r="L47" s="1033">
        <v>0</v>
      </c>
      <c r="M47" s="1052">
        <v>0</v>
      </c>
      <c r="N47" s="1096">
        <v>0</v>
      </c>
      <c r="O47" s="1052">
        <v>163.261</v>
      </c>
      <c r="P47" s="1097">
        <f>MROUND(O47,10)</f>
        <v>160</v>
      </c>
      <c r="Q47" s="1052">
        <v>69.992999999999995</v>
      </c>
      <c r="R47" s="1096">
        <f t="shared" si="7"/>
        <v>70</v>
      </c>
      <c r="S47" s="1052">
        <v>0.112</v>
      </c>
      <c r="T47" s="1096">
        <v>0</v>
      </c>
      <c r="U47" s="1052">
        <v>62.726999999999997</v>
      </c>
      <c r="V47" s="1096">
        <f t="shared" si="8"/>
        <v>63</v>
      </c>
      <c r="W47" s="1052">
        <v>54.244</v>
      </c>
      <c r="X47" s="1096">
        <f t="shared" si="9"/>
        <v>54</v>
      </c>
      <c r="Y47" s="1098">
        <v>0.59399999999999997</v>
      </c>
      <c r="Z47" s="1096" t="s">
        <v>303</v>
      </c>
      <c r="AA47" s="1036">
        <v>0</v>
      </c>
      <c r="AB47" s="1036">
        <v>0</v>
      </c>
      <c r="AC47" s="1036">
        <v>34.76</v>
      </c>
      <c r="AD47" s="1036">
        <v>2.6739999999999999</v>
      </c>
      <c r="AE47" s="1036">
        <v>0.26</v>
      </c>
      <c r="AF47" s="1036">
        <v>1.4419999999999999</v>
      </c>
      <c r="AG47" s="1036">
        <v>6.6319999999999997</v>
      </c>
      <c r="AH47" s="1036">
        <v>0.14099999999999999</v>
      </c>
      <c r="AI47" s="1108"/>
      <c r="AJ47" s="1108"/>
      <c r="AK47" s="1108"/>
      <c r="AL47" s="1108"/>
      <c r="AM47" s="1108"/>
      <c r="AN47" s="1108"/>
      <c r="AO47" s="1108"/>
      <c r="AP47" s="1108"/>
      <c r="AQ47" s="1108"/>
      <c r="AR47" s="1108"/>
      <c r="AS47" s="1108"/>
      <c r="AT47" s="1108"/>
      <c r="AU47" s="1108"/>
      <c r="AV47" s="1108"/>
      <c r="AW47" s="1108"/>
      <c r="AX47" s="1108"/>
      <c r="AY47" s="1108"/>
      <c r="AZ47" s="1108"/>
      <c r="BA47" s="1108"/>
      <c r="BB47" s="1108"/>
      <c r="BC47" s="1108"/>
      <c r="BD47" s="1108"/>
      <c r="BE47" s="1108"/>
      <c r="BF47" s="1108"/>
      <c r="BG47" s="1108"/>
      <c r="BH47" s="1108"/>
      <c r="BI47" s="1108"/>
      <c r="BJ47" s="1108"/>
      <c r="BK47" s="1108"/>
      <c r="BL47" s="1108"/>
      <c r="BM47" s="1108"/>
      <c r="BN47" s="1108"/>
      <c r="BO47" s="1108"/>
      <c r="BP47" s="1108"/>
      <c r="BQ47" s="1108"/>
      <c r="BR47" s="1108"/>
      <c r="BS47" s="1108"/>
      <c r="BT47" s="1108"/>
      <c r="BU47" s="1108"/>
      <c r="BV47" s="1108"/>
      <c r="BW47" s="1108"/>
      <c r="BX47" s="1108"/>
      <c r="BY47" s="1108"/>
      <c r="BZ47" s="1108"/>
      <c r="CA47" s="1108"/>
      <c r="CB47" s="1108"/>
      <c r="CC47" s="1108"/>
      <c r="CD47" s="1108"/>
      <c r="CE47" s="1108"/>
      <c r="CF47" s="1108"/>
      <c r="CG47" s="1108"/>
      <c r="CH47" s="1108"/>
      <c r="CI47" s="1108"/>
      <c r="CJ47" s="1108"/>
      <c r="CK47" s="1108"/>
      <c r="CL47" s="1108"/>
      <c r="CM47" s="1108"/>
      <c r="CN47" s="1108"/>
      <c r="CO47" s="1108"/>
      <c r="CP47" s="1108"/>
      <c r="CQ47" s="1108"/>
      <c r="CR47" s="1108"/>
      <c r="CS47" s="1108"/>
      <c r="CT47" s="1108"/>
      <c r="CU47" s="1108"/>
      <c r="CV47" s="1108"/>
      <c r="CW47" s="1108"/>
      <c r="CX47" s="1108"/>
      <c r="CY47" s="1108"/>
      <c r="CZ47" s="1108"/>
      <c r="DA47" s="1108"/>
      <c r="DB47" s="1108"/>
      <c r="DC47" s="1108"/>
      <c r="DD47" s="1108"/>
      <c r="DE47" s="1108"/>
      <c r="DF47" s="1108"/>
      <c r="DG47" s="1108"/>
      <c r="DH47" s="1108"/>
      <c r="DI47" s="1108"/>
      <c r="DJ47" s="1108"/>
      <c r="DK47" s="1108"/>
    </row>
    <row r="48" spans="1:115">
      <c r="A48" s="1086" t="s">
        <v>296</v>
      </c>
      <c r="B48" s="1095" t="s">
        <v>71</v>
      </c>
      <c r="C48" s="1052">
        <v>254.95400000000001</v>
      </c>
      <c r="D48" s="1033">
        <f t="shared" si="6"/>
        <v>250</v>
      </c>
      <c r="E48" s="1052">
        <v>9.9000000000000005E-2</v>
      </c>
      <c r="F48" s="1033">
        <v>0</v>
      </c>
      <c r="G48" s="1052">
        <v>1.0999999999999999E-2</v>
      </c>
      <c r="H48" s="1033">
        <v>0</v>
      </c>
      <c r="I48" s="1052">
        <v>1E-3</v>
      </c>
      <c r="J48" s="1033">
        <v>0</v>
      </c>
      <c r="K48" s="1052">
        <v>0</v>
      </c>
      <c r="L48" s="1033">
        <v>0</v>
      </c>
      <c r="M48" s="1052">
        <v>0</v>
      </c>
      <c r="N48" s="1096">
        <v>0</v>
      </c>
      <c r="O48" s="1052">
        <v>38.878</v>
      </c>
      <c r="P48" s="1097">
        <f t="shared" ref="P48:P53" si="10">MROUND(O48,5)</f>
        <v>40</v>
      </c>
      <c r="Q48" s="1052">
        <v>64.387</v>
      </c>
      <c r="R48" s="1096">
        <f t="shared" si="7"/>
        <v>64</v>
      </c>
      <c r="S48" s="1052">
        <v>7.2999999999999995E-2</v>
      </c>
      <c r="T48" s="1096">
        <v>0</v>
      </c>
      <c r="U48" s="1052">
        <v>62.298000000000002</v>
      </c>
      <c r="V48" s="1096">
        <f t="shared" si="8"/>
        <v>62</v>
      </c>
      <c r="W48" s="1052">
        <v>61.581000000000003</v>
      </c>
      <c r="X48" s="1096">
        <f t="shared" si="9"/>
        <v>62</v>
      </c>
      <c r="Y48" s="1052">
        <v>0.121</v>
      </c>
      <c r="Z48" s="1096">
        <v>0</v>
      </c>
      <c r="AA48" s="1036">
        <v>0</v>
      </c>
      <c r="AB48" s="1036">
        <v>0</v>
      </c>
      <c r="AC48" s="1036">
        <v>8.2669999999999995</v>
      </c>
      <c r="AD48" s="1036">
        <v>0.63600000000000001</v>
      </c>
      <c r="AE48" s="1036">
        <v>7.9000000000000001E-2</v>
      </c>
      <c r="AF48" s="1036">
        <v>0.438</v>
      </c>
      <c r="AG48" s="1036">
        <v>9.0449999999999999</v>
      </c>
      <c r="AH48" s="1036">
        <v>0.192</v>
      </c>
      <c r="AI48" s="1088"/>
      <c r="AJ48" s="1088"/>
      <c r="AK48" s="1088"/>
      <c r="AL48" s="1088"/>
      <c r="AM48" s="1088"/>
      <c r="AN48" s="1088"/>
      <c r="AO48" s="1088"/>
      <c r="AP48" s="1088"/>
      <c r="AQ48" s="1088"/>
      <c r="AR48" s="1088"/>
      <c r="AS48" s="1088"/>
      <c r="AT48" s="1088"/>
      <c r="AU48" s="1088"/>
      <c r="AV48" s="1088"/>
      <c r="AW48" s="1088"/>
      <c r="AX48" s="1088"/>
      <c r="AY48" s="1088"/>
      <c r="AZ48" s="1088"/>
      <c r="BA48" s="1088"/>
      <c r="BB48" s="1088"/>
      <c r="BC48" s="1088"/>
      <c r="BD48" s="1088"/>
      <c r="BE48" s="1088"/>
      <c r="BF48" s="1088"/>
      <c r="BG48" s="1088"/>
      <c r="BH48" s="1088"/>
      <c r="BI48" s="1088"/>
      <c r="BJ48" s="1088"/>
      <c r="BK48" s="1088"/>
      <c r="BL48" s="1088"/>
      <c r="BM48" s="1088"/>
      <c r="BN48" s="1088"/>
      <c r="BO48" s="1088"/>
      <c r="BP48" s="1088"/>
      <c r="BQ48" s="1088"/>
      <c r="BR48" s="1088"/>
      <c r="BS48" s="1088"/>
      <c r="BT48" s="1088"/>
      <c r="BU48" s="1088"/>
      <c r="BV48" s="1088"/>
      <c r="BW48" s="1088"/>
      <c r="BX48" s="1088"/>
      <c r="BY48" s="1088"/>
      <c r="BZ48" s="1088"/>
      <c r="CA48" s="1088"/>
      <c r="CB48" s="1088"/>
      <c r="CC48" s="1088"/>
      <c r="CD48" s="1088"/>
      <c r="CE48" s="1088"/>
      <c r="CF48" s="1088"/>
      <c r="CG48" s="1088"/>
      <c r="CH48" s="1088"/>
      <c r="CI48" s="1088"/>
      <c r="CJ48" s="1088"/>
      <c r="CK48" s="1088"/>
      <c r="CL48" s="1088"/>
      <c r="CM48" s="1088"/>
      <c r="CN48" s="1088"/>
      <c r="CO48" s="1088"/>
      <c r="CP48" s="1088"/>
      <c r="CQ48" s="1088"/>
      <c r="CR48" s="1088"/>
      <c r="CS48" s="1088"/>
      <c r="CT48" s="1088"/>
      <c r="CU48" s="1088"/>
      <c r="CV48" s="1088"/>
      <c r="CW48" s="1088"/>
      <c r="CX48" s="1088"/>
      <c r="CY48" s="1088"/>
      <c r="CZ48" s="1088"/>
      <c r="DA48" s="1088"/>
      <c r="DB48" s="1088"/>
      <c r="DC48" s="1088"/>
      <c r="DD48" s="1088"/>
      <c r="DE48" s="1088"/>
      <c r="DF48" s="1088"/>
      <c r="DG48" s="1088"/>
      <c r="DH48" s="1088"/>
      <c r="DI48" s="1088"/>
      <c r="DJ48" s="1088"/>
      <c r="DK48" s="1088"/>
    </row>
    <row r="49" spans="1:115">
      <c r="A49" s="1086" t="s">
        <v>296</v>
      </c>
      <c r="B49" s="1095" t="s">
        <v>76</v>
      </c>
      <c r="C49" s="1052">
        <v>254.95400000000001</v>
      </c>
      <c r="D49" s="1033">
        <f t="shared" si="6"/>
        <v>250</v>
      </c>
      <c r="E49" s="1052">
        <v>9.9000000000000005E-2</v>
      </c>
      <c r="F49" s="1033">
        <v>0</v>
      </c>
      <c r="G49" s="1052">
        <v>1.0999999999999999E-2</v>
      </c>
      <c r="H49" s="1033">
        <v>0</v>
      </c>
      <c r="I49" s="1052">
        <v>1E-3</v>
      </c>
      <c r="J49" s="1033">
        <v>0</v>
      </c>
      <c r="K49" s="1052">
        <v>0</v>
      </c>
      <c r="L49" s="1033">
        <v>0</v>
      </c>
      <c r="M49" s="1052">
        <v>0</v>
      </c>
      <c r="N49" s="1096">
        <v>0</v>
      </c>
      <c r="O49" s="1052">
        <v>38.878</v>
      </c>
      <c r="P49" s="1097">
        <f t="shared" si="10"/>
        <v>40</v>
      </c>
      <c r="Q49" s="1052">
        <v>64.387</v>
      </c>
      <c r="R49" s="1096">
        <f t="shared" si="7"/>
        <v>64</v>
      </c>
      <c r="S49" s="1052">
        <v>7.2999999999999995E-2</v>
      </c>
      <c r="T49" s="1096">
        <v>0</v>
      </c>
      <c r="U49" s="1052">
        <v>62.298000000000002</v>
      </c>
      <c r="V49" s="1096">
        <f t="shared" si="8"/>
        <v>62</v>
      </c>
      <c r="W49" s="1052">
        <v>61.581000000000003</v>
      </c>
      <c r="X49" s="1096">
        <f t="shared" si="9"/>
        <v>62</v>
      </c>
      <c r="Y49" s="1052">
        <v>0.121</v>
      </c>
      <c r="Z49" s="1096">
        <v>0</v>
      </c>
      <c r="AA49" s="1036">
        <v>0</v>
      </c>
      <c r="AB49" s="1036">
        <v>0</v>
      </c>
      <c r="AC49" s="1036">
        <v>8.2669999999999995</v>
      </c>
      <c r="AD49" s="1036">
        <v>0.63600000000000001</v>
      </c>
      <c r="AE49" s="1036">
        <v>7.9000000000000001E-2</v>
      </c>
      <c r="AF49" s="1036">
        <v>0.438</v>
      </c>
      <c r="AG49" s="1036">
        <v>9.0449999999999999</v>
      </c>
      <c r="AH49" s="1036">
        <v>0.192</v>
      </c>
      <c r="AI49" s="1106"/>
      <c r="AJ49" s="1106"/>
      <c r="AK49" s="1106"/>
      <c r="AL49" s="1106"/>
      <c r="AM49" s="1106"/>
      <c r="AN49" s="1106"/>
      <c r="AO49" s="1106"/>
      <c r="AP49" s="1106"/>
      <c r="AQ49" s="1106"/>
      <c r="AR49" s="1106"/>
      <c r="AS49" s="1106"/>
      <c r="AT49" s="1106"/>
      <c r="AU49" s="1106"/>
      <c r="AV49" s="1106"/>
      <c r="AW49" s="1106"/>
      <c r="AX49" s="1106"/>
      <c r="AY49" s="1106"/>
      <c r="AZ49" s="1106"/>
      <c r="BA49" s="1106"/>
      <c r="BB49" s="1106"/>
      <c r="BC49" s="1106"/>
      <c r="BD49" s="1106"/>
      <c r="BE49" s="1106"/>
      <c r="BF49" s="1106"/>
      <c r="BG49" s="1106"/>
      <c r="BH49" s="1106"/>
      <c r="BI49" s="1106"/>
      <c r="BJ49" s="1106"/>
      <c r="BK49" s="1106"/>
      <c r="BL49" s="1116"/>
      <c r="BM49" s="1116"/>
      <c r="BN49" s="1116"/>
      <c r="BO49" s="1116"/>
      <c r="BP49" s="1116"/>
      <c r="BQ49" s="1116"/>
      <c r="BR49" s="1116"/>
      <c r="BS49" s="1116"/>
      <c r="BT49" s="1116"/>
      <c r="BU49" s="1116"/>
      <c r="BV49" s="1116"/>
      <c r="BW49" s="1116"/>
      <c r="BX49" s="1116"/>
      <c r="BY49" s="1116"/>
      <c r="BZ49" s="1116"/>
      <c r="CA49" s="1116"/>
      <c r="CB49" s="1116"/>
      <c r="CC49" s="1116"/>
      <c r="CD49" s="1116"/>
      <c r="CE49" s="1116"/>
      <c r="CF49" s="1116"/>
      <c r="CG49" s="1116"/>
      <c r="CH49" s="1116"/>
      <c r="CI49" s="1116"/>
      <c r="CJ49" s="1116"/>
      <c r="CK49" s="1116"/>
      <c r="CL49" s="1116"/>
      <c r="CM49" s="1116"/>
      <c r="CN49" s="1116"/>
      <c r="CO49" s="1116"/>
      <c r="CP49" s="1116"/>
      <c r="CQ49" s="1116"/>
      <c r="CR49" s="1116"/>
      <c r="CS49" s="1116"/>
      <c r="CT49" s="1116"/>
      <c r="CU49" s="1116"/>
      <c r="CV49" s="1116"/>
      <c r="CW49" s="1116"/>
      <c r="CX49" s="1116"/>
      <c r="CY49" s="1116"/>
      <c r="CZ49" s="1116"/>
      <c r="DA49" s="1116"/>
      <c r="DB49" s="1116"/>
      <c r="DC49" s="1116"/>
      <c r="DD49" s="1116"/>
      <c r="DE49" s="1116"/>
      <c r="DF49" s="1116"/>
      <c r="DG49" s="1116"/>
      <c r="DH49" s="1116"/>
      <c r="DI49" s="1116"/>
      <c r="DJ49" s="1116"/>
      <c r="DK49" s="1116"/>
    </row>
    <row r="50" spans="1:115">
      <c r="A50" s="1086" t="s">
        <v>92</v>
      </c>
      <c r="B50" s="1095" t="s">
        <v>109</v>
      </c>
      <c r="C50" s="1052">
        <v>296.37599999999998</v>
      </c>
      <c r="D50" s="1033">
        <f t="shared" si="6"/>
        <v>300</v>
      </c>
      <c r="E50" s="1052">
        <v>7.7190000000000003</v>
      </c>
      <c r="F50" s="1033">
        <f>MROUND(E50,5)</f>
        <v>10</v>
      </c>
      <c r="G50" s="1052">
        <v>3.7069999999999999</v>
      </c>
      <c r="H50" s="1096">
        <f>MROUND(G50,0.5)</f>
        <v>3.5</v>
      </c>
      <c r="I50" s="1052">
        <v>2.907</v>
      </c>
      <c r="J50" s="1096">
        <f>MROUND(I50,0.5)</f>
        <v>3</v>
      </c>
      <c r="K50" s="1052">
        <v>0</v>
      </c>
      <c r="L50" s="1033">
        <v>0</v>
      </c>
      <c r="M50" s="1052">
        <v>2.9000000000000001E-2</v>
      </c>
      <c r="N50" s="1096">
        <v>0</v>
      </c>
      <c r="O50" s="1052">
        <v>71.441999999999993</v>
      </c>
      <c r="P50" s="1097">
        <f t="shared" si="10"/>
        <v>70</v>
      </c>
      <c r="Q50" s="1052">
        <v>66.540999999999997</v>
      </c>
      <c r="R50" s="1096">
        <f t="shared" si="7"/>
        <v>67</v>
      </c>
      <c r="S50" s="1052">
        <v>8.8999999999999996E-2</v>
      </c>
      <c r="T50" s="1096">
        <v>0</v>
      </c>
      <c r="U50" s="1052">
        <v>62.154000000000003</v>
      </c>
      <c r="V50" s="1096">
        <f t="shared" si="8"/>
        <v>62</v>
      </c>
      <c r="W50" s="1052">
        <v>61.984000000000002</v>
      </c>
      <c r="X50" s="1096">
        <f t="shared" si="9"/>
        <v>62</v>
      </c>
      <c r="Y50" s="1098">
        <v>0.44500000000000001</v>
      </c>
      <c r="Z50" s="1096">
        <v>0</v>
      </c>
      <c r="AA50" s="1034">
        <v>0</v>
      </c>
      <c r="AB50" s="1034">
        <v>0</v>
      </c>
      <c r="AC50" s="1037">
        <v>9.3800000000000008</v>
      </c>
      <c r="AD50" s="1037">
        <v>0.72199999999999998</v>
      </c>
      <c r="AE50" s="1037">
        <v>0.25700000000000001</v>
      </c>
      <c r="AF50" s="1037">
        <v>1.4279999999999999</v>
      </c>
      <c r="AG50" s="1037">
        <v>13.529</v>
      </c>
      <c r="AH50" s="1037">
        <v>0.28799999999999998</v>
      </c>
    </row>
    <row r="51" spans="1:115">
      <c r="A51" s="1086" t="s">
        <v>296</v>
      </c>
      <c r="B51" s="1095" t="s">
        <v>58</v>
      </c>
      <c r="C51" s="1052">
        <v>255.33600000000001</v>
      </c>
      <c r="D51" s="1033">
        <f t="shared" si="6"/>
        <v>260</v>
      </c>
      <c r="E51" s="1052">
        <v>5.6719999999999997</v>
      </c>
      <c r="F51" s="1033">
        <f>MROUND(E51,5)</f>
        <v>5</v>
      </c>
      <c r="G51" s="1052">
        <v>0.63</v>
      </c>
      <c r="H51" s="1096">
        <f>MROUND(G51,0.5)</f>
        <v>0.5</v>
      </c>
      <c r="I51" s="1052">
        <v>0</v>
      </c>
      <c r="J51" s="1033">
        <v>0</v>
      </c>
      <c r="K51" s="1052">
        <v>0</v>
      </c>
      <c r="L51" s="1033">
        <v>0</v>
      </c>
      <c r="M51" s="1052">
        <v>0</v>
      </c>
      <c r="N51" s="1096">
        <v>0</v>
      </c>
      <c r="O51" s="1052">
        <v>37.637</v>
      </c>
      <c r="P51" s="1097">
        <f t="shared" si="10"/>
        <v>40</v>
      </c>
      <c r="Q51" s="1052">
        <v>64.733000000000004</v>
      </c>
      <c r="R51" s="1096">
        <f t="shared" si="7"/>
        <v>65</v>
      </c>
      <c r="S51" s="1052">
        <v>0.121</v>
      </c>
      <c r="T51" s="1096">
        <v>0</v>
      </c>
      <c r="U51" s="1052">
        <v>62.098999999999997</v>
      </c>
      <c r="V51" s="1096">
        <f t="shared" si="8"/>
        <v>62</v>
      </c>
      <c r="W51" s="1052">
        <v>61.575000000000003</v>
      </c>
      <c r="X51" s="1096">
        <f t="shared" si="9"/>
        <v>62</v>
      </c>
      <c r="Y51" s="1052">
        <v>0.04</v>
      </c>
      <c r="Z51" s="1096">
        <v>0</v>
      </c>
      <c r="AA51" s="1036">
        <v>0</v>
      </c>
      <c r="AB51" s="1036">
        <v>0</v>
      </c>
      <c r="AC51" s="1036">
        <v>10.044</v>
      </c>
      <c r="AD51" s="1036">
        <v>0.77300000000000002</v>
      </c>
      <c r="AE51" s="1036">
        <v>5.6000000000000001E-2</v>
      </c>
      <c r="AF51" s="1036">
        <v>0.32100000000000001</v>
      </c>
      <c r="AG51" s="1036">
        <v>10.56</v>
      </c>
      <c r="AH51" s="1036">
        <v>2.1999999999999999E-2</v>
      </c>
    </row>
    <row r="52" spans="1:115">
      <c r="A52" s="1088" t="s">
        <v>296</v>
      </c>
      <c r="B52" s="1095" t="s">
        <v>40</v>
      </c>
      <c r="C52" s="1052">
        <v>252.41900000000001</v>
      </c>
      <c r="D52" s="1033">
        <f t="shared" si="6"/>
        <v>250</v>
      </c>
      <c r="E52" s="1052">
        <v>0</v>
      </c>
      <c r="F52" s="1033">
        <v>0</v>
      </c>
      <c r="G52" s="1052">
        <v>0</v>
      </c>
      <c r="H52" s="1033">
        <v>0</v>
      </c>
      <c r="I52" s="1052">
        <v>0</v>
      </c>
      <c r="J52" s="1033">
        <v>0</v>
      </c>
      <c r="K52" s="1052">
        <v>0</v>
      </c>
      <c r="L52" s="1033">
        <v>0</v>
      </c>
      <c r="M52" s="1052">
        <v>0</v>
      </c>
      <c r="N52" s="1096">
        <v>0</v>
      </c>
      <c r="O52" s="1052">
        <v>38.228000000000002</v>
      </c>
      <c r="P52" s="1097">
        <f t="shared" si="10"/>
        <v>40</v>
      </c>
      <c r="Q52" s="1052">
        <v>64.004999999999995</v>
      </c>
      <c r="R52" s="1096">
        <f t="shared" si="7"/>
        <v>64</v>
      </c>
      <c r="S52" s="1052">
        <v>1.4E-2</v>
      </c>
      <c r="T52" s="1096">
        <v>0</v>
      </c>
      <c r="U52" s="1052">
        <v>62.073</v>
      </c>
      <c r="V52" s="1096">
        <f t="shared" si="8"/>
        <v>62</v>
      </c>
      <c r="W52" s="1052">
        <v>58.438000000000002</v>
      </c>
      <c r="X52" s="1096">
        <f t="shared" si="9"/>
        <v>58</v>
      </c>
      <c r="Y52" s="1052">
        <v>0</v>
      </c>
      <c r="Z52" s="1096">
        <v>0</v>
      </c>
      <c r="AA52" s="1036">
        <v>0</v>
      </c>
      <c r="AB52" s="1036">
        <v>0</v>
      </c>
      <c r="AC52" s="1036">
        <v>6.82</v>
      </c>
      <c r="AD52" s="1036">
        <v>0.52500000000000002</v>
      </c>
      <c r="AE52" s="1036">
        <v>1.6E-2</v>
      </c>
      <c r="AF52" s="1036">
        <v>8.5999999999999993E-2</v>
      </c>
      <c r="AG52" s="1036">
        <v>0.65100000000000002</v>
      </c>
      <c r="AH52" s="1036">
        <v>1.4E-2</v>
      </c>
    </row>
    <row r="53" spans="1:115" s="1106" customFormat="1">
      <c r="A53" s="1088" t="s">
        <v>296</v>
      </c>
      <c r="B53" s="1095" t="s">
        <v>314</v>
      </c>
      <c r="C53" s="1049">
        <v>262.23700000000002</v>
      </c>
      <c r="D53" s="1033">
        <f t="shared" si="6"/>
        <v>260</v>
      </c>
      <c r="E53" s="1049">
        <v>0</v>
      </c>
      <c r="F53" s="1033">
        <v>0</v>
      </c>
      <c r="G53" s="1049">
        <v>0</v>
      </c>
      <c r="H53" s="1033">
        <v>0</v>
      </c>
      <c r="I53" s="1049">
        <v>0</v>
      </c>
      <c r="J53" s="1033">
        <v>0</v>
      </c>
      <c r="K53" s="1049">
        <v>0</v>
      </c>
      <c r="L53" s="1033">
        <v>0</v>
      </c>
      <c r="M53" s="1049">
        <v>0</v>
      </c>
      <c r="N53" s="1096">
        <v>0</v>
      </c>
      <c r="O53" s="1049">
        <v>29.3</v>
      </c>
      <c r="P53" s="1097">
        <f t="shared" si="10"/>
        <v>30</v>
      </c>
      <c r="Q53" s="1049">
        <v>65.45</v>
      </c>
      <c r="R53" s="1096">
        <f t="shared" si="7"/>
        <v>65</v>
      </c>
      <c r="S53" s="1049">
        <v>4.2999999999999997E-2</v>
      </c>
      <c r="T53" s="1096">
        <v>0</v>
      </c>
      <c r="U53" s="1049">
        <v>61.707000000000001</v>
      </c>
      <c r="V53" s="1096">
        <f t="shared" si="8"/>
        <v>62</v>
      </c>
      <c r="W53" s="1049">
        <v>63.546999999999997</v>
      </c>
      <c r="X53" s="1096">
        <f t="shared" si="9"/>
        <v>64</v>
      </c>
      <c r="Y53" s="1049">
        <v>5.0000000000000001E-3</v>
      </c>
      <c r="Z53" s="1096">
        <v>0</v>
      </c>
      <c r="AA53" s="1036">
        <v>0</v>
      </c>
      <c r="AB53" s="1036">
        <v>0</v>
      </c>
      <c r="AC53" s="1036">
        <v>6.9480000000000004</v>
      </c>
      <c r="AD53" s="1036">
        <v>0.53400000000000003</v>
      </c>
      <c r="AE53" s="1036">
        <v>1.6E-2</v>
      </c>
      <c r="AF53" s="1036">
        <v>8.5999999999999993E-2</v>
      </c>
      <c r="AG53" s="1036">
        <v>1.077</v>
      </c>
      <c r="AH53" s="1036">
        <v>2.3E-2</v>
      </c>
      <c r="AI53" s="1086"/>
      <c r="AJ53" s="1086"/>
      <c r="AK53" s="1086"/>
      <c r="AL53" s="1086"/>
      <c r="AM53" s="1086"/>
      <c r="AN53" s="1086"/>
      <c r="AO53" s="1086"/>
      <c r="AP53" s="1086"/>
      <c r="AQ53" s="1086"/>
      <c r="AR53" s="1086"/>
      <c r="AS53" s="1086"/>
      <c r="AT53" s="1086"/>
      <c r="AU53" s="1086"/>
      <c r="AV53" s="1086"/>
      <c r="AW53" s="1086"/>
      <c r="AX53" s="1086"/>
      <c r="AY53" s="1086"/>
      <c r="AZ53" s="1086"/>
      <c r="BA53" s="1086"/>
      <c r="BB53" s="1086"/>
      <c r="BC53" s="1086"/>
      <c r="BD53" s="1086"/>
      <c r="BE53" s="1086"/>
      <c r="BF53" s="1086"/>
      <c r="BG53" s="1086"/>
      <c r="BH53" s="1086"/>
      <c r="BI53" s="1086"/>
      <c r="BJ53" s="1086"/>
      <c r="BK53" s="1086"/>
      <c r="BL53" s="1086"/>
      <c r="BM53" s="1086"/>
      <c r="BN53" s="1086"/>
      <c r="BO53" s="1086"/>
      <c r="BP53" s="1086"/>
      <c r="BQ53" s="1086"/>
      <c r="BR53" s="1086"/>
      <c r="BS53" s="1086"/>
      <c r="BT53" s="1086"/>
      <c r="BU53" s="1086"/>
      <c r="BV53" s="1086"/>
      <c r="BW53" s="1086"/>
      <c r="BX53" s="1086"/>
      <c r="BY53" s="1086"/>
      <c r="BZ53" s="1086"/>
      <c r="CA53" s="1086"/>
      <c r="CB53" s="1086"/>
      <c r="CC53" s="1086"/>
      <c r="CD53" s="1086"/>
      <c r="CE53" s="1086"/>
      <c r="CF53" s="1086"/>
      <c r="CG53" s="1086"/>
      <c r="CH53" s="1086"/>
      <c r="CI53" s="1086"/>
      <c r="CJ53" s="1086"/>
      <c r="CK53" s="1086"/>
      <c r="CL53" s="1086"/>
      <c r="CM53" s="1086"/>
      <c r="CN53" s="1086"/>
      <c r="CO53" s="1086"/>
      <c r="CP53" s="1086"/>
      <c r="CQ53" s="1086"/>
      <c r="CR53" s="1086"/>
      <c r="CS53" s="1086"/>
      <c r="CT53" s="1086"/>
      <c r="CU53" s="1086"/>
      <c r="CV53" s="1086"/>
      <c r="CW53" s="1086"/>
      <c r="CX53" s="1086"/>
      <c r="CY53" s="1086"/>
      <c r="CZ53" s="1086"/>
      <c r="DA53" s="1086"/>
      <c r="DB53" s="1086"/>
      <c r="DC53" s="1086"/>
      <c r="DD53" s="1086"/>
      <c r="DE53" s="1086"/>
      <c r="DF53" s="1086"/>
      <c r="DG53" s="1086"/>
      <c r="DH53" s="1086"/>
      <c r="DI53" s="1086"/>
      <c r="DJ53" s="1086"/>
      <c r="DK53" s="1086"/>
    </row>
    <row r="54" spans="1:115" s="1088" customFormat="1">
      <c r="A54" s="1086" t="s">
        <v>296</v>
      </c>
      <c r="B54" s="1095" t="s">
        <v>51</v>
      </c>
      <c r="C54" s="1052">
        <v>259.24400000000003</v>
      </c>
      <c r="D54" s="1033">
        <f t="shared" si="6"/>
        <v>260</v>
      </c>
      <c r="E54" s="1052">
        <v>8.1000000000000003E-2</v>
      </c>
      <c r="F54" s="1033">
        <v>0</v>
      </c>
      <c r="G54" s="1052">
        <v>8.9999999999999993E-3</v>
      </c>
      <c r="H54" s="1033">
        <v>0</v>
      </c>
      <c r="I54" s="1052">
        <v>2E-3</v>
      </c>
      <c r="J54" s="1033">
        <v>0</v>
      </c>
      <c r="K54" s="1052">
        <v>8.9999999999999993E-3</v>
      </c>
      <c r="L54" s="1033">
        <v>0</v>
      </c>
      <c r="M54" s="1052">
        <v>0</v>
      </c>
      <c r="N54" s="1096">
        <v>0</v>
      </c>
      <c r="O54" s="1052">
        <v>399.11399999999998</v>
      </c>
      <c r="P54" s="1097">
        <f>MROUND(O54,10)</f>
        <v>400</v>
      </c>
      <c r="Q54" s="1052">
        <v>65.843999999999994</v>
      </c>
      <c r="R54" s="1096">
        <f t="shared" si="7"/>
        <v>66</v>
      </c>
      <c r="S54" s="1052">
        <v>6.0999999999999999E-2</v>
      </c>
      <c r="T54" s="1096">
        <v>0</v>
      </c>
      <c r="U54" s="1052">
        <v>61.573</v>
      </c>
      <c r="V54" s="1096">
        <f t="shared" si="8"/>
        <v>62</v>
      </c>
      <c r="W54" s="1052">
        <v>60.137</v>
      </c>
      <c r="X54" s="1096">
        <f t="shared" si="9"/>
        <v>60</v>
      </c>
      <c r="Y54" s="1052">
        <v>0.02</v>
      </c>
      <c r="Z54" s="1096">
        <v>0</v>
      </c>
      <c r="AA54" s="1036">
        <v>0</v>
      </c>
      <c r="AB54" s="1036">
        <v>0</v>
      </c>
      <c r="AC54" s="1036">
        <v>7.7720000000000002</v>
      </c>
      <c r="AD54" s="1036">
        <v>0.59799999999999998</v>
      </c>
      <c r="AE54" s="1036">
        <v>4.8000000000000001E-2</v>
      </c>
      <c r="AF54" s="1036">
        <v>0.26900000000000002</v>
      </c>
      <c r="AG54" s="1036">
        <v>9.8350000000000009</v>
      </c>
      <c r="AH54" s="1036">
        <v>0.20899999999999999</v>
      </c>
      <c r="AI54" s="1086"/>
      <c r="AJ54" s="1086"/>
      <c r="AK54" s="1086"/>
      <c r="AL54" s="1086"/>
      <c r="AM54" s="1086"/>
      <c r="AN54" s="1086"/>
      <c r="AO54" s="1086"/>
      <c r="AP54" s="1086"/>
      <c r="AQ54" s="1086"/>
      <c r="AR54" s="1086"/>
      <c r="AS54" s="1086"/>
      <c r="AT54" s="1086"/>
      <c r="AU54" s="1086"/>
      <c r="AV54" s="1086"/>
      <c r="AW54" s="1086"/>
      <c r="AX54" s="1086"/>
      <c r="AY54" s="1086"/>
      <c r="AZ54" s="1086"/>
      <c r="BA54" s="1086"/>
      <c r="BB54" s="1086"/>
      <c r="BC54" s="1086"/>
      <c r="BD54" s="1086"/>
      <c r="BE54" s="1086"/>
      <c r="BF54" s="1086"/>
      <c r="BG54" s="1086"/>
      <c r="BH54" s="1086"/>
      <c r="BI54" s="1086"/>
      <c r="BJ54" s="1086"/>
      <c r="BK54" s="1086"/>
      <c r="BL54" s="1086"/>
      <c r="BM54" s="1086"/>
      <c r="BN54" s="1086"/>
      <c r="BO54" s="1086"/>
      <c r="BP54" s="1086"/>
      <c r="BQ54" s="1086"/>
      <c r="BR54" s="1086"/>
      <c r="BS54" s="1086"/>
      <c r="BT54" s="1086"/>
      <c r="BU54" s="1086"/>
      <c r="BV54" s="1086"/>
      <c r="BW54" s="1086"/>
      <c r="BX54" s="1086"/>
      <c r="BY54" s="1086"/>
      <c r="BZ54" s="1086"/>
      <c r="CA54" s="1086"/>
      <c r="CB54" s="1086"/>
      <c r="CC54" s="1086"/>
      <c r="CD54" s="1086"/>
      <c r="CE54" s="1086"/>
      <c r="CF54" s="1086"/>
      <c r="CG54" s="1086"/>
      <c r="CH54" s="1086"/>
      <c r="CI54" s="1086"/>
      <c r="CJ54" s="1086"/>
      <c r="CK54" s="1086"/>
      <c r="CL54" s="1086"/>
      <c r="CM54" s="1086"/>
      <c r="CN54" s="1086"/>
      <c r="CO54" s="1086"/>
      <c r="CP54" s="1086"/>
      <c r="CQ54" s="1086"/>
      <c r="CR54" s="1086"/>
      <c r="CS54" s="1086"/>
      <c r="CT54" s="1086"/>
      <c r="CU54" s="1086"/>
      <c r="CV54" s="1086"/>
      <c r="CW54" s="1086"/>
      <c r="CX54" s="1086"/>
      <c r="CY54" s="1086"/>
      <c r="CZ54" s="1086"/>
      <c r="DA54" s="1086"/>
      <c r="DB54" s="1086"/>
      <c r="DC54" s="1086"/>
      <c r="DD54" s="1086"/>
      <c r="DE54" s="1086"/>
      <c r="DF54" s="1086"/>
      <c r="DG54" s="1086"/>
      <c r="DH54" s="1086"/>
      <c r="DI54" s="1086"/>
      <c r="DJ54" s="1086"/>
      <c r="DK54" s="1086"/>
    </row>
    <row r="55" spans="1:115" s="1088" customFormat="1">
      <c r="A55" s="1086" t="s">
        <v>296</v>
      </c>
      <c r="B55" s="1095" t="s">
        <v>33</v>
      </c>
      <c r="C55" s="1052">
        <v>251.64599999999999</v>
      </c>
      <c r="D55" s="1033">
        <f t="shared" si="6"/>
        <v>250</v>
      </c>
      <c r="E55" s="1052">
        <v>4.7E-2</v>
      </c>
      <c r="F55" s="1033">
        <v>0</v>
      </c>
      <c r="G55" s="1052">
        <v>5.0000000000000001E-3</v>
      </c>
      <c r="H55" s="1033">
        <v>0</v>
      </c>
      <c r="I55" s="1052">
        <v>1E-3</v>
      </c>
      <c r="J55" s="1033">
        <v>0</v>
      </c>
      <c r="K55" s="1052">
        <v>0</v>
      </c>
      <c r="L55" s="1033">
        <v>0</v>
      </c>
      <c r="M55" s="1052">
        <v>0</v>
      </c>
      <c r="N55" s="1096">
        <v>0</v>
      </c>
      <c r="O55" s="1052">
        <v>51.427999999999997</v>
      </c>
      <c r="P55" s="1097">
        <f t="shared" ref="P55:P93" si="11">MROUND(O55,5)</f>
        <v>50</v>
      </c>
      <c r="Q55" s="1052">
        <v>64.307000000000002</v>
      </c>
      <c r="R55" s="1096">
        <f t="shared" si="7"/>
        <v>64</v>
      </c>
      <c r="S55" s="1052">
        <v>0.115</v>
      </c>
      <c r="T55" s="1096">
        <v>0</v>
      </c>
      <c r="U55" s="1052">
        <v>61.161000000000001</v>
      </c>
      <c r="V55" s="1096">
        <f t="shared" si="8"/>
        <v>61</v>
      </c>
      <c r="W55" s="1052">
        <v>61.116999999999997</v>
      </c>
      <c r="X55" s="1096">
        <f t="shared" si="9"/>
        <v>61</v>
      </c>
      <c r="Y55" s="1052">
        <v>3.1E-2</v>
      </c>
      <c r="Z55" s="1096">
        <v>0</v>
      </c>
      <c r="AA55" s="1034">
        <v>0</v>
      </c>
      <c r="AB55" s="1034">
        <v>0</v>
      </c>
      <c r="AC55" s="1037">
        <v>8.1649999999999991</v>
      </c>
      <c r="AD55" s="1037">
        <v>0.628</v>
      </c>
      <c r="AE55" s="1037">
        <v>3.5000000000000003E-2</v>
      </c>
      <c r="AF55" s="1037">
        <v>0.19500000000000001</v>
      </c>
      <c r="AG55" s="1037">
        <v>3.4279999999999999</v>
      </c>
      <c r="AH55" s="1037">
        <v>7.2999999999999995E-2</v>
      </c>
      <c r="AI55" s="1086"/>
      <c r="AJ55" s="1086"/>
      <c r="AK55" s="1086"/>
      <c r="AL55" s="1086"/>
      <c r="AM55" s="1086"/>
      <c r="AN55" s="1086"/>
      <c r="AO55" s="1086"/>
      <c r="AP55" s="1086"/>
      <c r="AQ55" s="1086"/>
      <c r="AR55" s="1086"/>
      <c r="AS55" s="1086"/>
      <c r="AT55" s="1086"/>
      <c r="AU55" s="1086"/>
      <c r="AV55" s="1086"/>
      <c r="AW55" s="1086"/>
      <c r="AX55" s="1086"/>
      <c r="AY55" s="1086"/>
      <c r="AZ55" s="1086"/>
      <c r="BA55" s="1086"/>
      <c r="BB55" s="1086"/>
      <c r="BC55" s="1086"/>
      <c r="BD55" s="1086"/>
      <c r="BE55" s="1086"/>
      <c r="BF55" s="1086"/>
      <c r="BG55" s="1086"/>
      <c r="BH55" s="1086"/>
      <c r="BI55" s="1086"/>
      <c r="BJ55" s="1086"/>
      <c r="BK55" s="1086"/>
      <c r="BL55" s="1086"/>
      <c r="BM55" s="1086"/>
      <c r="BN55" s="1086"/>
      <c r="BO55" s="1086"/>
      <c r="BP55" s="1086"/>
      <c r="BQ55" s="1086"/>
      <c r="BR55" s="1086"/>
      <c r="BS55" s="1086"/>
      <c r="BT55" s="1086"/>
      <c r="BU55" s="1086"/>
      <c r="BV55" s="1086"/>
      <c r="BW55" s="1086"/>
      <c r="BX55" s="1086"/>
      <c r="BY55" s="1086"/>
      <c r="BZ55" s="1086"/>
      <c r="CA55" s="1086"/>
      <c r="CB55" s="1086"/>
      <c r="CC55" s="1086"/>
      <c r="CD55" s="1086"/>
      <c r="CE55" s="1086"/>
      <c r="CF55" s="1086"/>
      <c r="CG55" s="1086"/>
      <c r="CH55" s="1086"/>
      <c r="CI55" s="1086"/>
      <c r="CJ55" s="1086"/>
      <c r="CK55" s="1086"/>
      <c r="CL55" s="1086"/>
      <c r="CM55" s="1086"/>
      <c r="CN55" s="1086"/>
      <c r="CO55" s="1086"/>
      <c r="CP55" s="1086"/>
      <c r="CQ55" s="1086"/>
      <c r="CR55" s="1086"/>
      <c r="CS55" s="1086"/>
      <c r="CT55" s="1086"/>
      <c r="CU55" s="1086"/>
      <c r="CV55" s="1086"/>
      <c r="CW55" s="1086"/>
      <c r="CX55" s="1086"/>
      <c r="CY55" s="1086"/>
      <c r="CZ55" s="1086"/>
      <c r="DA55" s="1086"/>
      <c r="DB55" s="1086"/>
      <c r="DC55" s="1086"/>
      <c r="DD55" s="1086"/>
      <c r="DE55" s="1086"/>
      <c r="DF55" s="1086"/>
      <c r="DG55" s="1086"/>
      <c r="DH55" s="1086"/>
      <c r="DI55" s="1086"/>
      <c r="DJ55" s="1086"/>
      <c r="DK55" s="1086"/>
    </row>
    <row r="56" spans="1:115" s="1117" customFormat="1">
      <c r="A56" s="1088" t="s">
        <v>296</v>
      </c>
      <c r="B56" s="1095" t="s">
        <v>302</v>
      </c>
      <c r="C56" s="1051">
        <v>246.441</v>
      </c>
      <c r="D56" s="1033">
        <f t="shared" si="6"/>
        <v>250</v>
      </c>
      <c r="E56" s="1051">
        <v>0</v>
      </c>
      <c r="F56" s="1033">
        <v>0</v>
      </c>
      <c r="G56" s="1051">
        <v>0</v>
      </c>
      <c r="H56" s="1033">
        <v>0</v>
      </c>
      <c r="I56" s="1051">
        <v>0</v>
      </c>
      <c r="J56" s="1033">
        <v>0</v>
      </c>
      <c r="K56" s="1051">
        <v>0</v>
      </c>
      <c r="L56" s="1033">
        <v>0</v>
      </c>
      <c r="M56" s="1051">
        <v>0</v>
      </c>
      <c r="N56" s="1096">
        <v>0</v>
      </c>
      <c r="O56" s="1051">
        <v>27.968</v>
      </c>
      <c r="P56" s="1097">
        <f t="shared" si="11"/>
        <v>30</v>
      </c>
      <c r="Q56" s="1051">
        <v>62.296999999999997</v>
      </c>
      <c r="R56" s="1096">
        <f t="shared" si="7"/>
        <v>62</v>
      </c>
      <c r="S56" s="1051">
        <v>0</v>
      </c>
      <c r="T56" s="1096">
        <v>0</v>
      </c>
      <c r="U56" s="1051">
        <v>60.305</v>
      </c>
      <c r="V56" s="1096">
        <f t="shared" si="8"/>
        <v>60</v>
      </c>
      <c r="W56" s="1051">
        <v>60.305</v>
      </c>
      <c r="X56" s="1096">
        <f t="shared" si="9"/>
        <v>60</v>
      </c>
      <c r="Y56" s="1051">
        <v>0</v>
      </c>
      <c r="Z56" s="1096">
        <v>0</v>
      </c>
      <c r="AA56" s="1035">
        <v>0</v>
      </c>
      <c r="AB56" s="1035">
        <v>0</v>
      </c>
      <c r="AC56" s="1035">
        <v>7.085</v>
      </c>
      <c r="AD56" s="1035">
        <v>0.54500000000000004</v>
      </c>
      <c r="AE56" s="1035">
        <v>1.2E-2</v>
      </c>
      <c r="AF56" s="1035">
        <v>6.6000000000000003E-2</v>
      </c>
      <c r="AG56" s="1035">
        <v>0.998</v>
      </c>
      <c r="AH56" s="1035">
        <v>2.1000000000000001E-2</v>
      </c>
      <c r="AI56" s="1102"/>
      <c r="AJ56" s="1102"/>
      <c r="AK56" s="1102"/>
      <c r="AL56" s="1102"/>
      <c r="AM56" s="1102"/>
      <c r="AN56" s="1102"/>
      <c r="AO56" s="1102"/>
      <c r="AP56" s="1102"/>
      <c r="AQ56" s="1102"/>
      <c r="AR56" s="1102"/>
      <c r="AS56" s="1102"/>
      <c r="AT56" s="1102"/>
      <c r="AU56" s="1102"/>
      <c r="AV56" s="1102"/>
      <c r="AW56" s="1102"/>
      <c r="AX56" s="1102"/>
      <c r="AY56" s="1102"/>
      <c r="AZ56" s="1102"/>
      <c r="BA56" s="1102"/>
      <c r="BB56" s="1102"/>
      <c r="BC56" s="1102"/>
      <c r="BD56" s="1102"/>
      <c r="BE56" s="1102"/>
      <c r="BF56" s="1102"/>
      <c r="BG56" s="1102"/>
      <c r="BH56" s="1102"/>
      <c r="BI56" s="1102"/>
      <c r="BJ56" s="1102"/>
      <c r="BK56" s="1102"/>
      <c r="BL56" s="1102"/>
      <c r="BM56" s="1102"/>
      <c r="BN56" s="1102"/>
      <c r="BO56" s="1102"/>
      <c r="BP56" s="1102"/>
      <c r="BQ56" s="1102"/>
      <c r="BR56" s="1102"/>
      <c r="BS56" s="1102"/>
      <c r="BT56" s="1102"/>
      <c r="BU56" s="1102"/>
      <c r="BV56" s="1102"/>
      <c r="BW56" s="1102"/>
      <c r="BX56" s="1102"/>
      <c r="BY56" s="1102"/>
      <c r="BZ56" s="1102"/>
      <c r="CA56" s="1102"/>
      <c r="CB56" s="1102"/>
      <c r="CC56" s="1102"/>
      <c r="CD56" s="1102"/>
      <c r="CE56" s="1102"/>
      <c r="CF56" s="1102"/>
      <c r="CG56" s="1102"/>
      <c r="CH56" s="1102"/>
      <c r="CI56" s="1102"/>
      <c r="CJ56" s="1102"/>
      <c r="CK56" s="1102"/>
      <c r="CL56" s="1102"/>
      <c r="CM56" s="1102"/>
      <c r="CN56" s="1102"/>
      <c r="CO56" s="1102"/>
      <c r="CP56" s="1102"/>
      <c r="CQ56" s="1102"/>
      <c r="CR56" s="1102"/>
      <c r="CS56" s="1102"/>
      <c r="CT56" s="1102"/>
      <c r="CU56" s="1102"/>
      <c r="CV56" s="1102"/>
      <c r="CW56" s="1102"/>
      <c r="CX56" s="1102"/>
      <c r="CY56" s="1102"/>
      <c r="CZ56" s="1102"/>
      <c r="DA56" s="1102"/>
      <c r="DB56" s="1102"/>
      <c r="DC56" s="1102"/>
      <c r="DD56" s="1102"/>
      <c r="DE56" s="1102"/>
      <c r="DF56" s="1102"/>
      <c r="DG56" s="1102"/>
      <c r="DH56" s="1102"/>
      <c r="DI56" s="1102"/>
      <c r="DJ56" s="1102"/>
      <c r="DK56" s="1102"/>
    </row>
    <row r="57" spans="1:115" s="1106" customFormat="1">
      <c r="A57" s="1088" t="s">
        <v>296</v>
      </c>
      <c r="B57" s="1095" t="s">
        <v>308</v>
      </c>
      <c r="C57" s="1051">
        <v>306.16899999999998</v>
      </c>
      <c r="D57" s="1033">
        <f t="shared" si="6"/>
        <v>310</v>
      </c>
      <c r="E57" s="1051">
        <v>0</v>
      </c>
      <c r="F57" s="1033">
        <v>0</v>
      </c>
      <c r="G57" s="1051">
        <v>0</v>
      </c>
      <c r="H57" s="1033">
        <v>0</v>
      </c>
      <c r="I57" s="1051">
        <v>0</v>
      </c>
      <c r="J57" s="1033">
        <v>0</v>
      </c>
      <c r="K57" s="1051">
        <v>0</v>
      </c>
      <c r="L57" s="1033">
        <v>0</v>
      </c>
      <c r="M57" s="1051">
        <v>0</v>
      </c>
      <c r="N57" s="1096">
        <v>0</v>
      </c>
      <c r="O57" s="1051">
        <v>29.882999999999999</v>
      </c>
      <c r="P57" s="1097">
        <f t="shared" si="11"/>
        <v>30</v>
      </c>
      <c r="Q57" s="1051">
        <v>60.402000000000001</v>
      </c>
      <c r="R57" s="1096">
        <f t="shared" si="7"/>
        <v>60</v>
      </c>
      <c r="S57" s="1051">
        <v>0</v>
      </c>
      <c r="T57" s="1096">
        <v>0</v>
      </c>
      <c r="U57" s="1051">
        <v>59.984000000000002</v>
      </c>
      <c r="V57" s="1096">
        <f t="shared" si="8"/>
        <v>60</v>
      </c>
      <c r="W57" s="1051">
        <v>59.984000000000002</v>
      </c>
      <c r="X57" s="1096">
        <f t="shared" si="9"/>
        <v>60</v>
      </c>
      <c r="Y57" s="1051">
        <v>0</v>
      </c>
      <c r="Z57" s="1096">
        <v>0</v>
      </c>
      <c r="AA57" s="1036">
        <v>0</v>
      </c>
      <c r="AB57" s="1036">
        <v>0</v>
      </c>
      <c r="AC57" s="1036">
        <v>6.9169999999999998</v>
      </c>
      <c r="AD57" s="1036">
        <v>0.53200000000000003</v>
      </c>
      <c r="AE57" s="1036">
        <v>1.2999999999999999E-2</v>
      </c>
      <c r="AF57" s="1036">
        <v>7.0000000000000007E-2</v>
      </c>
      <c r="AG57" s="1036">
        <v>4.5019999999999998</v>
      </c>
      <c r="AH57" s="1036">
        <v>9.6000000000000002E-2</v>
      </c>
      <c r="AI57" s="1102"/>
      <c r="AJ57" s="1102"/>
      <c r="AK57" s="1102"/>
      <c r="AL57" s="1102"/>
      <c r="AM57" s="1102"/>
      <c r="AN57" s="1102"/>
      <c r="AO57" s="1102"/>
      <c r="AP57" s="1102"/>
      <c r="AQ57" s="1102"/>
      <c r="AR57" s="1102"/>
      <c r="AS57" s="1102"/>
      <c r="AT57" s="1102"/>
      <c r="AU57" s="1102"/>
      <c r="AV57" s="1102"/>
      <c r="AW57" s="1102"/>
      <c r="AX57" s="1102"/>
      <c r="AY57" s="1102"/>
      <c r="AZ57" s="1102"/>
      <c r="BA57" s="1102"/>
      <c r="BB57" s="1102"/>
      <c r="BC57" s="1102"/>
      <c r="BD57" s="1102"/>
      <c r="BE57" s="1102"/>
      <c r="BF57" s="1102"/>
      <c r="BG57" s="1102"/>
      <c r="BH57" s="1102"/>
      <c r="BI57" s="1102"/>
      <c r="BJ57" s="1102"/>
      <c r="BK57" s="1102"/>
      <c r="BL57" s="1102"/>
      <c r="BM57" s="1102"/>
      <c r="BN57" s="1102"/>
      <c r="BO57" s="1102"/>
      <c r="BP57" s="1102"/>
      <c r="BQ57" s="1102"/>
      <c r="BR57" s="1102"/>
      <c r="BS57" s="1102"/>
      <c r="BT57" s="1102"/>
      <c r="BU57" s="1102"/>
      <c r="BV57" s="1102"/>
      <c r="BW57" s="1102"/>
      <c r="BX57" s="1102"/>
      <c r="BY57" s="1102"/>
      <c r="BZ57" s="1102"/>
      <c r="CA57" s="1102"/>
      <c r="CB57" s="1102"/>
      <c r="CC57" s="1102"/>
      <c r="CD57" s="1102"/>
      <c r="CE57" s="1102"/>
      <c r="CF57" s="1102"/>
      <c r="CG57" s="1102"/>
      <c r="CH57" s="1102"/>
      <c r="CI57" s="1102"/>
      <c r="CJ57" s="1102"/>
      <c r="CK57" s="1102"/>
      <c r="CL57" s="1102"/>
      <c r="CM57" s="1102"/>
      <c r="CN57" s="1102"/>
      <c r="CO57" s="1102"/>
      <c r="CP57" s="1102"/>
      <c r="CQ57" s="1102"/>
      <c r="CR57" s="1102"/>
      <c r="CS57" s="1102"/>
      <c r="CT57" s="1102"/>
      <c r="CU57" s="1102"/>
      <c r="CV57" s="1102"/>
      <c r="CW57" s="1102"/>
      <c r="CX57" s="1102"/>
      <c r="CY57" s="1102"/>
      <c r="CZ57" s="1102"/>
      <c r="DA57" s="1102"/>
      <c r="DB57" s="1102"/>
      <c r="DC57" s="1102"/>
      <c r="DD57" s="1102"/>
      <c r="DE57" s="1102"/>
      <c r="DF57" s="1102"/>
      <c r="DG57" s="1102"/>
      <c r="DH57" s="1102"/>
      <c r="DI57" s="1102"/>
      <c r="DJ57" s="1102"/>
      <c r="DK57" s="1102"/>
    </row>
    <row r="58" spans="1:115" s="1106" customFormat="1">
      <c r="A58" s="1088" t="s">
        <v>296</v>
      </c>
      <c r="B58" s="1095" t="s">
        <v>64</v>
      </c>
      <c r="C58" s="1052">
        <v>243.68299999999999</v>
      </c>
      <c r="D58" s="1033">
        <f t="shared" si="6"/>
        <v>240</v>
      </c>
      <c r="E58" s="1052">
        <v>0</v>
      </c>
      <c r="F58" s="1033">
        <v>0</v>
      </c>
      <c r="G58" s="1052">
        <v>0</v>
      </c>
      <c r="H58" s="1033">
        <v>0</v>
      </c>
      <c r="I58" s="1052">
        <v>0</v>
      </c>
      <c r="J58" s="1033">
        <v>0</v>
      </c>
      <c r="K58" s="1052">
        <v>0</v>
      </c>
      <c r="L58" s="1033">
        <v>0</v>
      </c>
      <c r="M58" s="1052">
        <v>0</v>
      </c>
      <c r="N58" s="1096">
        <v>0</v>
      </c>
      <c r="O58" s="1052">
        <v>37.905999999999999</v>
      </c>
      <c r="P58" s="1097">
        <f t="shared" si="11"/>
        <v>40</v>
      </c>
      <c r="Q58" s="1052">
        <v>61.569000000000003</v>
      </c>
      <c r="R58" s="1096">
        <f t="shared" si="7"/>
        <v>62</v>
      </c>
      <c r="S58" s="1052">
        <v>0.02</v>
      </c>
      <c r="T58" s="1096">
        <v>0</v>
      </c>
      <c r="U58" s="1052">
        <v>59.807000000000002</v>
      </c>
      <c r="V58" s="1096">
        <f t="shared" si="8"/>
        <v>60</v>
      </c>
      <c r="W58" s="1052">
        <v>59.807000000000002</v>
      </c>
      <c r="X58" s="1096">
        <f t="shared" si="9"/>
        <v>60</v>
      </c>
      <c r="Y58" s="1052">
        <v>0</v>
      </c>
      <c r="Z58" s="1096">
        <v>0</v>
      </c>
      <c r="AA58" s="1036">
        <v>0</v>
      </c>
      <c r="AB58" s="1036">
        <v>0</v>
      </c>
      <c r="AC58" s="1036">
        <v>8.7910000000000004</v>
      </c>
      <c r="AD58" s="1036">
        <v>0.67600000000000005</v>
      </c>
      <c r="AE58" s="1036">
        <v>5.6000000000000001E-2</v>
      </c>
      <c r="AF58" s="1036">
        <v>0.309</v>
      </c>
      <c r="AG58" s="1036">
        <v>19.097000000000001</v>
      </c>
      <c r="AH58" s="1036">
        <v>0.40600000000000003</v>
      </c>
      <c r="AI58" s="1086"/>
      <c r="AJ58" s="1086"/>
      <c r="AK58" s="1086"/>
      <c r="AL58" s="1086"/>
      <c r="AM58" s="1086"/>
      <c r="AN58" s="1086"/>
      <c r="AO58" s="1086"/>
      <c r="AP58" s="1086"/>
      <c r="AQ58" s="1086"/>
      <c r="AR58" s="1086"/>
      <c r="AS58" s="1086"/>
      <c r="AT58" s="1086"/>
      <c r="AU58" s="1086"/>
      <c r="AV58" s="1086"/>
      <c r="AW58" s="1086"/>
      <c r="AX58" s="1086"/>
      <c r="AY58" s="1086"/>
      <c r="AZ58" s="1086"/>
      <c r="BA58" s="1086"/>
      <c r="BB58" s="1086"/>
      <c r="BC58" s="1086"/>
      <c r="BD58" s="1086"/>
      <c r="BE58" s="1086"/>
      <c r="BF58" s="1086"/>
      <c r="BG58" s="1086"/>
      <c r="BH58" s="1086"/>
      <c r="BI58" s="1086"/>
      <c r="BJ58" s="1086"/>
      <c r="BK58" s="1086"/>
      <c r="BL58" s="1086"/>
      <c r="BM58" s="1086"/>
      <c r="BN58" s="1086"/>
      <c r="BO58" s="1086"/>
      <c r="BP58" s="1086"/>
      <c r="BQ58" s="1086"/>
      <c r="BR58" s="1086"/>
      <c r="BS58" s="1086"/>
      <c r="BT58" s="1086"/>
      <c r="BU58" s="1086"/>
      <c r="BV58" s="1086"/>
      <c r="BW58" s="1086"/>
      <c r="BX58" s="1086"/>
      <c r="BY58" s="1086"/>
      <c r="BZ58" s="1086"/>
      <c r="CA58" s="1086"/>
      <c r="CB58" s="1086"/>
      <c r="CC58" s="1086"/>
      <c r="CD58" s="1086"/>
      <c r="CE58" s="1086"/>
      <c r="CF58" s="1086"/>
      <c r="CG58" s="1086"/>
      <c r="CH58" s="1086"/>
      <c r="CI58" s="1086"/>
      <c r="CJ58" s="1086"/>
      <c r="CK58" s="1086"/>
      <c r="CL58" s="1086"/>
      <c r="CM58" s="1086"/>
      <c r="CN58" s="1086"/>
      <c r="CO58" s="1086"/>
      <c r="CP58" s="1086"/>
      <c r="CQ58" s="1086"/>
      <c r="CR58" s="1086"/>
      <c r="CS58" s="1086"/>
      <c r="CT58" s="1086"/>
      <c r="CU58" s="1086"/>
      <c r="CV58" s="1086"/>
      <c r="CW58" s="1086"/>
      <c r="CX58" s="1086"/>
      <c r="CY58" s="1086"/>
      <c r="CZ58" s="1086"/>
      <c r="DA58" s="1086"/>
      <c r="DB58" s="1086"/>
      <c r="DC58" s="1086"/>
      <c r="DD58" s="1086"/>
      <c r="DE58" s="1086"/>
      <c r="DF58" s="1086"/>
      <c r="DG58" s="1086"/>
      <c r="DH58" s="1086"/>
      <c r="DI58" s="1086"/>
      <c r="DJ58" s="1086"/>
      <c r="DK58" s="1086"/>
    </row>
    <row r="59" spans="1:115" s="1109" customFormat="1">
      <c r="A59" s="1088" t="s">
        <v>296</v>
      </c>
      <c r="B59" s="1095" t="s">
        <v>309</v>
      </c>
      <c r="C59" s="1049">
        <v>246.91200000000001</v>
      </c>
      <c r="D59" s="1033">
        <f t="shared" si="6"/>
        <v>250</v>
      </c>
      <c r="E59" s="1049">
        <v>0</v>
      </c>
      <c r="F59" s="1033">
        <v>0</v>
      </c>
      <c r="G59" s="1049">
        <v>0</v>
      </c>
      <c r="H59" s="1033">
        <v>0</v>
      </c>
      <c r="I59" s="1049">
        <v>0</v>
      </c>
      <c r="J59" s="1033">
        <v>0</v>
      </c>
      <c r="K59" s="1049">
        <v>0</v>
      </c>
      <c r="L59" s="1033">
        <v>0</v>
      </c>
      <c r="M59" s="1049">
        <v>0</v>
      </c>
      <c r="N59" s="1096">
        <v>0</v>
      </c>
      <c r="O59" s="1049">
        <v>30.158000000000001</v>
      </c>
      <c r="P59" s="1097">
        <f t="shared" si="11"/>
        <v>30</v>
      </c>
      <c r="Q59" s="1049">
        <v>61.338000000000001</v>
      </c>
      <c r="R59" s="1096">
        <f t="shared" si="7"/>
        <v>61</v>
      </c>
      <c r="S59" s="1049">
        <v>0</v>
      </c>
      <c r="T59" s="1096">
        <v>0</v>
      </c>
      <c r="U59" s="1049">
        <v>59.761000000000003</v>
      </c>
      <c r="V59" s="1096">
        <f t="shared" si="8"/>
        <v>60</v>
      </c>
      <c r="W59" s="1049">
        <v>59.761000000000003</v>
      </c>
      <c r="X59" s="1096">
        <f t="shared" si="9"/>
        <v>60</v>
      </c>
      <c r="Y59" s="1049">
        <v>0</v>
      </c>
      <c r="Z59" s="1096">
        <v>0</v>
      </c>
      <c r="AA59" s="1050">
        <v>0</v>
      </c>
      <c r="AB59" s="1050">
        <v>0</v>
      </c>
      <c r="AC59" s="1050">
        <v>6.8819999999999997</v>
      </c>
      <c r="AD59" s="1050">
        <v>0.52900000000000003</v>
      </c>
      <c r="AE59" s="1050">
        <v>1.2999999999999999E-2</v>
      </c>
      <c r="AF59" s="1050">
        <v>7.0999999999999994E-2</v>
      </c>
      <c r="AG59" s="1050">
        <v>0.54</v>
      </c>
      <c r="AH59" s="1050">
        <v>1.0999999999999999E-2</v>
      </c>
      <c r="AI59" s="1086"/>
      <c r="AJ59" s="1086"/>
      <c r="AK59" s="1086"/>
      <c r="AL59" s="1086"/>
      <c r="AM59" s="1086"/>
      <c r="AN59" s="1086"/>
      <c r="AO59" s="1086"/>
      <c r="AP59" s="1086"/>
      <c r="AQ59" s="1086"/>
      <c r="AR59" s="1086"/>
      <c r="AS59" s="1086"/>
      <c r="AT59" s="1086"/>
      <c r="AU59" s="1086"/>
      <c r="AV59" s="1086"/>
      <c r="AW59" s="1086"/>
      <c r="AX59" s="1086"/>
      <c r="AY59" s="1086"/>
      <c r="AZ59" s="1086"/>
      <c r="BA59" s="1086"/>
      <c r="BB59" s="1086"/>
      <c r="BC59" s="1086"/>
      <c r="BD59" s="1086"/>
      <c r="BE59" s="1086"/>
      <c r="BF59" s="1086"/>
      <c r="BG59" s="1086"/>
      <c r="BH59" s="1086"/>
      <c r="BI59" s="1086"/>
      <c r="BJ59" s="1086"/>
      <c r="BK59" s="1086"/>
      <c r="BL59" s="1086"/>
      <c r="BM59" s="1086"/>
      <c r="BN59" s="1086"/>
      <c r="BO59" s="1086"/>
      <c r="BP59" s="1086"/>
      <c r="BQ59" s="1086"/>
      <c r="BR59" s="1086"/>
      <c r="BS59" s="1086"/>
      <c r="BT59" s="1086"/>
      <c r="BU59" s="1086"/>
      <c r="BV59" s="1086"/>
      <c r="BW59" s="1086"/>
      <c r="BX59" s="1086"/>
      <c r="BY59" s="1086"/>
      <c r="BZ59" s="1086"/>
      <c r="CA59" s="1086"/>
      <c r="CB59" s="1086"/>
      <c r="CC59" s="1086"/>
      <c r="CD59" s="1086"/>
      <c r="CE59" s="1086"/>
      <c r="CF59" s="1086"/>
      <c r="CG59" s="1086"/>
      <c r="CH59" s="1086"/>
      <c r="CI59" s="1086"/>
      <c r="CJ59" s="1086"/>
      <c r="CK59" s="1086"/>
      <c r="CL59" s="1086"/>
      <c r="CM59" s="1086"/>
      <c r="CN59" s="1086"/>
      <c r="CO59" s="1086"/>
      <c r="CP59" s="1086"/>
      <c r="CQ59" s="1086"/>
      <c r="CR59" s="1086"/>
      <c r="CS59" s="1086"/>
      <c r="CT59" s="1086"/>
      <c r="CU59" s="1086"/>
      <c r="CV59" s="1086"/>
      <c r="CW59" s="1086"/>
      <c r="CX59" s="1086"/>
      <c r="CY59" s="1086"/>
      <c r="CZ59" s="1086"/>
      <c r="DA59" s="1086"/>
      <c r="DB59" s="1086"/>
      <c r="DC59" s="1086"/>
      <c r="DD59" s="1086"/>
      <c r="DE59" s="1086"/>
      <c r="DF59" s="1086"/>
      <c r="DG59" s="1086"/>
      <c r="DH59" s="1086"/>
      <c r="DI59" s="1086"/>
      <c r="DJ59" s="1086"/>
      <c r="DK59" s="1086"/>
    </row>
    <row r="60" spans="1:115" s="1109" customFormat="1">
      <c r="A60" s="1086" t="s">
        <v>296</v>
      </c>
      <c r="B60" s="1095" t="s">
        <v>39</v>
      </c>
      <c r="C60" s="1052">
        <v>240.22499999999999</v>
      </c>
      <c r="D60" s="1033">
        <f t="shared" si="6"/>
        <v>240</v>
      </c>
      <c r="E60" s="1052">
        <v>0</v>
      </c>
      <c r="F60" s="1033">
        <v>0</v>
      </c>
      <c r="G60" s="1052">
        <v>0</v>
      </c>
      <c r="H60" s="1033">
        <v>0</v>
      </c>
      <c r="I60" s="1052">
        <v>0</v>
      </c>
      <c r="J60" s="1033">
        <v>0</v>
      </c>
      <c r="K60" s="1052">
        <v>0</v>
      </c>
      <c r="L60" s="1033">
        <v>0</v>
      </c>
      <c r="M60" s="1052">
        <v>0</v>
      </c>
      <c r="N60" s="1096">
        <v>0</v>
      </c>
      <c r="O60" s="1052">
        <v>28.201000000000001</v>
      </c>
      <c r="P60" s="1097">
        <f t="shared" si="11"/>
        <v>30</v>
      </c>
      <c r="Q60" s="1052">
        <v>60.511000000000003</v>
      </c>
      <c r="R60" s="1096">
        <f t="shared" si="7"/>
        <v>61</v>
      </c>
      <c r="S60" s="1052">
        <v>0.23599999999999999</v>
      </c>
      <c r="T60" s="1096">
        <v>0</v>
      </c>
      <c r="U60" s="1052">
        <v>58.633000000000003</v>
      </c>
      <c r="V60" s="1096">
        <f t="shared" si="8"/>
        <v>59</v>
      </c>
      <c r="W60" s="1052">
        <v>57.316000000000003</v>
      </c>
      <c r="X60" s="1096">
        <f t="shared" si="9"/>
        <v>57</v>
      </c>
      <c r="Y60" s="1052">
        <v>0.14599999999999999</v>
      </c>
      <c r="Z60" s="1096">
        <v>0</v>
      </c>
      <c r="AA60" s="1036">
        <v>0</v>
      </c>
      <c r="AB60" s="1036">
        <v>0</v>
      </c>
      <c r="AC60" s="1036">
        <v>8.1690000000000005</v>
      </c>
      <c r="AD60" s="1036">
        <v>0.628</v>
      </c>
      <c r="AE60" s="1036">
        <v>5.0999999999999997E-2</v>
      </c>
      <c r="AF60" s="1036">
        <v>0.28499999999999998</v>
      </c>
      <c r="AG60" s="1036">
        <v>0.98599999999999999</v>
      </c>
      <c r="AH60" s="1036">
        <v>2.1000000000000001E-2</v>
      </c>
      <c r="AI60" s="1108"/>
      <c r="AJ60" s="1108"/>
      <c r="AK60" s="1108"/>
      <c r="AL60" s="1108"/>
      <c r="AM60" s="1108"/>
      <c r="AN60" s="1108"/>
      <c r="AO60" s="1108"/>
      <c r="AP60" s="1108"/>
      <c r="AQ60" s="1108"/>
      <c r="AR60" s="1108"/>
      <c r="AS60" s="1108"/>
      <c r="AT60" s="1108"/>
      <c r="AU60" s="1108"/>
      <c r="AV60" s="1108"/>
      <c r="AW60" s="1108"/>
      <c r="AX60" s="1108"/>
      <c r="AY60" s="1108"/>
      <c r="AZ60" s="1108"/>
      <c r="BA60" s="1108"/>
      <c r="BB60" s="1108"/>
      <c r="BC60" s="1108"/>
      <c r="BD60" s="1108"/>
      <c r="BE60" s="1108"/>
      <c r="BF60" s="1108"/>
      <c r="BG60" s="1108"/>
      <c r="BH60" s="1108"/>
      <c r="BI60" s="1108"/>
      <c r="BJ60" s="1108"/>
      <c r="BK60" s="1108"/>
      <c r="BL60" s="1108"/>
      <c r="BM60" s="1108"/>
      <c r="BN60" s="1108"/>
      <c r="BO60" s="1108"/>
      <c r="BP60" s="1108"/>
      <c r="BQ60" s="1108"/>
      <c r="BR60" s="1108"/>
      <c r="BS60" s="1108"/>
      <c r="BT60" s="1108"/>
      <c r="BU60" s="1108"/>
      <c r="BV60" s="1108"/>
      <c r="BW60" s="1108"/>
      <c r="BX60" s="1108"/>
      <c r="BY60" s="1108"/>
      <c r="BZ60" s="1108"/>
      <c r="CA60" s="1108"/>
      <c r="CB60" s="1108"/>
      <c r="CC60" s="1108"/>
      <c r="CD60" s="1108"/>
      <c r="CE60" s="1108"/>
      <c r="CF60" s="1108"/>
      <c r="CG60" s="1108"/>
      <c r="CH60" s="1108"/>
      <c r="CI60" s="1108"/>
      <c r="CJ60" s="1108"/>
      <c r="CK60" s="1108"/>
      <c r="CL60" s="1108"/>
      <c r="CM60" s="1108"/>
      <c r="CN60" s="1108"/>
      <c r="CO60" s="1108"/>
      <c r="CP60" s="1108"/>
      <c r="CQ60" s="1108"/>
      <c r="CR60" s="1108"/>
      <c r="CS60" s="1108"/>
      <c r="CT60" s="1108"/>
      <c r="CU60" s="1108"/>
      <c r="CV60" s="1108"/>
      <c r="CW60" s="1108"/>
      <c r="CX60" s="1108"/>
      <c r="CY60" s="1108"/>
      <c r="CZ60" s="1108"/>
      <c r="DA60" s="1108"/>
      <c r="DB60" s="1108"/>
      <c r="DC60" s="1108"/>
      <c r="DD60" s="1108"/>
      <c r="DE60" s="1108"/>
      <c r="DF60" s="1108"/>
      <c r="DG60" s="1108"/>
      <c r="DH60" s="1108"/>
      <c r="DI60" s="1108"/>
      <c r="DJ60" s="1108"/>
      <c r="DK60" s="1108"/>
    </row>
    <row r="61" spans="1:115" s="1109" customFormat="1">
      <c r="A61" s="1088" t="s">
        <v>296</v>
      </c>
      <c r="B61" s="1095" t="s">
        <v>25</v>
      </c>
      <c r="C61" s="1049">
        <v>237.827</v>
      </c>
      <c r="D61" s="1033">
        <f t="shared" si="6"/>
        <v>240</v>
      </c>
      <c r="E61" s="1049">
        <v>0</v>
      </c>
      <c r="F61" s="1033">
        <v>0</v>
      </c>
      <c r="G61" s="1049">
        <v>0</v>
      </c>
      <c r="H61" s="1033">
        <v>0</v>
      </c>
      <c r="I61" s="1049">
        <v>0</v>
      </c>
      <c r="J61" s="1033">
        <v>0</v>
      </c>
      <c r="K61" s="1049">
        <v>0</v>
      </c>
      <c r="L61" s="1033">
        <v>0</v>
      </c>
      <c r="M61" s="1049">
        <v>0</v>
      </c>
      <c r="N61" s="1096">
        <v>0</v>
      </c>
      <c r="O61" s="1049">
        <v>38.308</v>
      </c>
      <c r="P61" s="1097">
        <f t="shared" si="11"/>
        <v>40</v>
      </c>
      <c r="Q61" s="1049">
        <v>60.204999999999998</v>
      </c>
      <c r="R61" s="1096">
        <f t="shared" si="7"/>
        <v>60</v>
      </c>
      <c r="S61" s="1049">
        <v>0.02</v>
      </c>
      <c r="T61" s="1096">
        <v>0</v>
      </c>
      <c r="U61" s="1049">
        <v>58.351999999999997</v>
      </c>
      <c r="V61" s="1096">
        <f t="shared" si="8"/>
        <v>58</v>
      </c>
      <c r="W61" s="1049">
        <v>56.44</v>
      </c>
      <c r="X61" s="1096">
        <f t="shared" si="9"/>
        <v>56</v>
      </c>
      <c r="Y61" s="1049">
        <v>0</v>
      </c>
      <c r="Z61" s="1096">
        <v>0</v>
      </c>
      <c r="AA61" s="1112">
        <v>0</v>
      </c>
      <c r="AB61" s="1112">
        <v>0</v>
      </c>
      <c r="AC61" s="1112">
        <v>7.8150000000000004</v>
      </c>
      <c r="AD61" s="1112">
        <v>0.60099999999999998</v>
      </c>
      <c r="AE61" s="1112">
        <v>3.2000000000000001E-2</v>
      </c>
      <c r="AF61" s="1112">
        <v>0.17899999999999999</v>
      </c>
      <c r="AG61" s="1112">
        <v>0.66400000000000003</v>
      </c>
      <c r="AH61" s="1112">
        <v>1.4E-2</v>
      </c>
      <c r="AI61" s="1088"/>
      <c r="AJ61" s="1088"/>
      <c r="AK61" s="1088"/>
      <c r="AL61" s="1088"/>
      <c r="AM61" s="1088"/>
      <c r="AN61" s="1088"/>
      <c r="AO61" s="1088"/>
      <c r="AP61" s="1088"/>
      <c r="AQ61" s="1088"/>
      <c r="AR61" s="1088"/>
      <c r="AS61" s="1088"/>
      <c r="AT61" s="1088"/>
      <c r="AU61" s="1088"/>
      <c r="AV61" s="1088"/>
      <c r="AW61" s="1088"/>
      <c r="AX61" s="1088"/>
      <c r="AY61" s="1088"/>
      <c r="AZ61" s="1088"/>
      <c r="BA61" s="1088"/>
      <c r="BB61" s="1088"/>
      <c r="BC61" s="1088"/>
      <c r="BD61" s="1088"/>
      <c r="BE61" s="1088"/>
      <c r="BF61" s="1088"/>
      <c r="BG61" s="1088"/>
      <c r="BH61" s="1088"/>
      <c r="BI61" s="1088"/>
      <c r="BJ61" s="1088"/>
      <c r="BK61" s="1088"/>
      <c r="BL61" s="1088"/>
      <c r="BM61" s="1088"/>
      <c r="BN61" s="1088"/>
      <c r="BO61" s="1088"/>
      <c r="BP61" s="1088"/>
      <c r="BQ61" s="1088"/>
      <c r="BR61" s="1088"/>
      <c r="BS61" s="1088"/>
      <c r="BT61" s="1088"/>
      <c r="BU61" s="1088"/>
      <c r="BV61" s="1088"/>
      <c r="BW61" s="1088"/>
      <c r="BX61" s="1088"/>
      <c r="BY61" s="1088"/>
      <c r="BZ61" s="1088"/>
      <c r="CA61" s="1088"/>
      <c r="CB61" s="1088"/>
      <c r="CC61" s="1088"/>
      <c r="CD61" s="1088"/>
      <c r="CE61" s="1088"/>
      <c r="CF61" s="1088"/>
      <c r="CG61" s="1088"/>
      <c r="CH61" s="1088"/>
      <c r="CI61" s="1088"/>
      <c r="CJ61" s="1088"/>
      <c r="CK61" s="1088"/>
      <c r="CL61" s="1088"/>
      <c r="CM61" s="1088"/>
      <c r="CN61" s="1088"/>
      <c r="CO61" s="1088"/>
      <c r="CP61" s="1088"/>
      <c r="CQ61" s="1088"/>
      <c r="CR61" s="1088"/>
      <c r="CS61" s="1088"/>
      <c r="CT61" s="1088"/>
      <c r="CU61" s="1088"/>
      <c r="CV61" s="1088"/>
      <c r="CW61" s="1088"/>
      <c r="CX61" s="1088"/>
      <c r="CY61" s="1088"/>
      <c r="CZ61" s="1088"/>
      <c r="DA61" s="1088"/>
      <c r="DB61" s="1088"/>
      <c r="DC61" s="1088"/>
      <c r="DD61" s="1088"/>
      <c r="DE61" s="1088"/>
      <c r="DF61" s="1088"/>
      <c r="DG61" s="1088"/>
      <c r="DH61" s="1088"/>
      <c r="DI61" s="1088"/>
      <c r="DJ61" s="1088"/>
      <c r="DK61" s="1088"/>
    </row>
    <row r="62" spans="1:115" s="1106" customFormat="1">
      <c r="A62" s="1088" t="s">
        <v>296</v>
      </c>
      <c r="B62" s="1095" t="s">
        <v>75</v>
      </c>
      <c r="C62" s="1052">
        <v>236.74100000000001</v>
      </c>
      <c r="D62" s="1033">
        <f t="shared" si="6"/>
        <v>240</v>
      </c>
      <c r="E62" s="1052">
        <v>0</v>
      </c>
      <c r="F62" s="1033">
        <v>0</v>
      </c>
      <c r="G62" s="1052">
        <v>0</v>
      </c>
      <c r="H62" s="1033">
        <v>0</v>
      </c>
      <c r="I62" s="1052">
        <v>0</v>
      </c>
      <c r="J62" s="1033">
        <v>0</v>
      </c>
      <c r="K62" s="1052">
        <v>0</v>
      </c>
      <c r="L62" s="1033">
        <v>0</v>
      </c>
      <c r="M62" s="1052">
        <v>0</v>
      </c>
      <c r="N62" s="1096">
        <v>0</v>
      </c>
      <c r="O62" s="1052">
        <v>39.298000000000002</v>
      </c>
      <c r="P62" s="1097">
        <f t="shared" si="11"/>
        <v>40</v>
      </c>
      <c r="Q62" s="1052">
        <v>59.664000000000001</v>
      </c>
      <c r="R62" s="1096">
        <f t="shared" si="7"/>
        <v>60</v>
      </c>
      <c r="S62" s="1052">
        <v>3.7999999999999999E-2</v>
      </c>
      <c r="T62" s="1096">
        <v>0</v>
      </c>
      <c r="U62" s="1052">
        <v>57.834000000000003</v>
      </c>
      <c r="V62" s="1096">
        <f t="shared" si="8"/>
        <v>58</v>
      </c>
      <c r="W62" s="1052">
        <v>57.762999999999998</v>
      </c>
      <c r="X62" s="1096">
        <f t="shared" si="9"/>
        <v>58</v>
      </c>
      <c r="Y62" s="1052">
        <v>0</v>
      </c>
      <c r="Z62" s="1096">
        <v>0</v>
      </c>
      <c r="AA62" s="1036">
        <v>0</v>
      </c>
      <c r="AB62" s="1036">
        <v>0</v>
      </c>
      <c r="AC62" s="1036">
        <v>7.9710000000000001</v>
      </c>
      <c r="AD62" s="1036">
        <v>0.61299999999999999</v>
      </c>
      <c r="AE62" s="1036">
        <v>5.3999999999999999E-2</v>
      </c>
      <c r="AF62" s="1036">
        <v>0.3</v>
      </c>
      <c r="AG62" s="1036">
        <v>18.056999999999999</v>
      </c>
      <c r="AH62" s="1036">
        <v>0.38400000000000001</v>
      </c>
      <c r="BL62" s="1116"/>
      <c r="BM62" s="1116"/>
      <c r="BN62" s="1116"/>
      <c r="BO62" s="1116"/>
      <c r="BP62" s="1116"/>
      <c r="BQ62" s="1116"/>
      <c r="BR62" s="1116"/>
      <c r="BS62" s="1116"/>
      <c r="BT62" s="1116"/>
      <c r="BU62" s="1116"/>
      <c r="BV62" s="1116"/>
      <c r="BW62" s="1116"/>
      <c r="BX62" s="1116"/>
      <c r="BY62" s="1116"/>
      <c r="BZ62" s="1116"/>
      <c r="CA62" s="1116"/>
      <c r="CB62" s="1116"/>
      <c r="CC62" s="1116"/>
      <c r="CD62" s="1116"/>
      <c r="CE62" s="1116"/>
      <c r="CF62" s="1116"/>
      <c r="CG62" s="1116"/>
      <c r="CH62" s="1116"/>
      <c r="CI62" s="1116"/>
      <c r="CJ62" s="1116"/>
      <c r="CK62" s="1116"/>
      <c r="CL62" s="1116"/>
      <c r="CM62" s="1116"/>
      <c r="CN62" s="1116"/>
      <c r="CO62" s="1116"/>
      <c r="CP62" s="1116"/>
      <c r="CQ62" s="1116"/>
      <c r="CR62" s="1116"/>
      <c r="CS62" s="1116"/>
      <c r="CT62" s="1116"/>
      <c r="CU62" s="1116"/>
      <c r="CV62" s="1116"/>
      <c r="CW62" s="1116"/>
      <c r="CX62" s="1116"/>
      <c r="CY62" s="1116"/>
      <c r="CZ62" s="1116"/>
      <c r="DA62" s="1116"/>
      <c r="DB62" s="1116"/>
      <c r="DC62" s="1116"/>
      <c r="DD62" s="1116"/>
      <c r="DE62" s="1116"/>
      <c r="DF62" s="1116"/>
      <c r="DG62" s="1116"/>
      <c r="DH62" s="1116"/>
      <c r="DI62" s="1116"/>
      <c r="DJ62" s="1116"/>
      <c r="DK62" s="1116"/>
    </row>
    <row r="63" spans="1:115" s="1108" customFormat="1">
      <c r="A63" s="1086" t="s">
        <v>296</v>
      </c>
      <c r="B63" s="1095" t="s">
        <v>52</v>
      </c>
      <c r="C63" s="1052">
        <v>237.227</v>
      </c>
      <c r="D63" s="1033">
        <f t="shared" si="6"/>
        <v>240</v>
      </c>
      <c r="E63" s="1052">
        <v>7.4999999999999997E-2</v>
      </c>
      <c r="F63" s="1033">
        <v>0</v>
      </c>
      <c r="G63" s="1052">
        <v>8.0000000000000002E-3</v>
      </c>
      <c r="H63" s="1033">
        <v>0</v>
      </c>
      <c r="I63" s="1052">
        <v>2E-3</v>
      </c>
      <c r="J63" s="1033">
        <v>0</v>
      </c>
      <c r="K63" s="1052">
        <v>8.0000000000000002E-3</v>
      </c>
      <c r="L63" s="1033">
        <v>0</v>
      </c>
      <c r="M63" s="1052">
        <v>0</v>
      </c>
      <c r="N63" s="1096">
        <v>0</v>
      </c>
      <c r="O63" s="1052">
        <v>33.499000000000002</v>
      </c>
      <c r="P63" s="1097">
        <f t="shared" si="11"/>
        <v>35</v>
      </c>
      <c r="Q63" s="1052">
        <v>59.957999999999998</v>
      </c>
      <c r="R63" s="1096">
        <f t="shared" si="7"/>
        <v>60</v>
      </c>
      <c r="S63" s="1052">
        <v>0.184</v>
      </c>
      <c r="T63" s="1096">
        <v>0</v>
      </c>
      <c r="U63" s="1052">
        <v>57.540999999999997</v>
      </c>
      <c r="V63" s="1096">
        <f t="shared" si="8"/>
        <v>58</v>
      </c>
      <c r="W63" s="1052">
        <v>56.378</v>
      </c>
      <c r="X63" s="1096">
        <f t="shared" si="9"/>
        <v>56</v>
      </c>
      <c r="Y63" s="1052">
        <v>9.6000000000000002E-2</v>
      </c>
      <c r="Z63" s="1096">
        <v>0</v>
      </c>
      <c r="AA63" s="1036">
        <v>0</v>
      </c>
      <c r="AB63" s="1036">
        <v>0</v>
      </c>
      <c r="AC63" s="1036">
        <v>8.484</v>
      </c>
      <c r="AD63" s="1036">
        <v>0.65300000000000002</v>
      </c>
      <c r="AE63" s="1036">
        <v>6.4000000000000001E-2</v>
      </c>
      <c r="AF63" s="1036">
        <v>0.35399999999999998</v>
      </c>
      <c r="AG63" s="1036">
        <v>9.2829999999999995</v>
      </c>
      <c r="AH63" s="1036">
        <v>0.19800000000000001</v>
      </c>
      <c r="AI63" s="1086"/>
      <c r="AJ63" s="1086"/>
      <c r="AK63" s="1086"/>
      <c r="AL63" s="1086"/>
      <c r="AM63" s="1086"/>
      <c r="AN63" s="1086"/>
      <c r="AO63" s="1086"/>
      <c r="AP63" s="1086"/>
      <c r="AQ63" s="1086"/>
      <c r="AR63" s="1086"/>
      <c r="AS63" s="1086"/>
      <c r="AT63" s="1086"/>
      <c r="AU63" s="1086"/>
      <c r="AV63" s="1086"/>
      <c r="AW63" s="1086"/>
      <c r="AX63" s="1086"/>
      <c r="AY63" s="1086"/>
      <c r="AZ63" s="1086"/>
      <c r="BA63" s="1086"/>
      <c r="BB63" s="1086"/>
      <c r="BC63" s="1086"/>
      <c r="BD63" s="1086"/>
      <c r="BE63" s="1086"/>
      <c r="BF63" s="1086"/>
      <c r="BG63" s="1086"/>
      <c r="BH63" s="1086"/>
      <c r="BI63" s="1086"/>
      <c r="BJ63" s="1086"/>
      <c r="BK63" s="1086"/>
      <c r="BL63" s="1086"/>
      <c r="BM63" s="1086"/>
      <c r="BN63" s="1086"/>
      <c r="BO63" s="1086"/>
      <c r="BP63" s="1086"/>
      <c r="BQ63" s="1086"/>
      <c r="BR63" s="1086"/>
      <c r="BS63" s="1086"/>
      <c r="BT63" s="1086"/>
      <c r="BU63" s="1086"/>
      <c r="BV63" s="1086"/>
      <c r="BW63" s="1086"/>
      <c r="BX63" s="1086"/>
      <c r="BY63" s="1086"/>
      <c r="BZ63" s="1086"/>
      <c r="CA63" s="1086"/>
      <c r="CB63" s="1086"/>
      <c r="CC63" s="1086"/>
      <c r="CD63" s="1086"/>
      <c r="CE63" s="1086"/>
      <c r="CF63" s="1086"/>
      <c r="CG63" s="1086"/>
      <c r="CH63" s="1086"/>
      <c r="CI63" s="1086"/>
      <c r="CJ63" s="1086"/>
      <c r="CK63" s="1086"/>
      <c r="CL63" s="1086"/>
      <c r="CM63" s="1086"/>
      <c r="CN63" s="1086"/>
      <c r="CO63" s="1086"/>
      <c r="CP63" s="1086"/>
      <c r="CQ63" s="1086"/>
      <c r="CR63" s="1086"/>
      <c r="CS63" s="1086"/>
      <c r="CT63" s="1086"/>
      <c r="CU63" s="1086"/>
      <c r="CV63" s="1086"/>
      <c r="CW63" s="1086"/>
      <c r="CX63" s="1086"/>
      <c r="CY63" s="1086"/>
      <c r="CZ63" s="1086"/>
      <c r="DA63" s="1086"/>
      <c r="DB63" s="1086"/>
      <c r="DC63" s="1086"/>
      <c r="DD63" s="1086"/>
      <c r="DE63" s="1086"/>
      <c r="DF63" s="1086"/>
      <c r="DG63" s="1086"/>
      <c r="DH63" s="1086"/>
      <c r="DI63" s="1086"/>
      <c r="DJ63" s="1086"/>
      <c r="DK63" s="1086"/>
    </row>
    <row r="64" spans="1:115">
      <c r="A64" s="1088" t="s">
        <v>296</v>
      </c>
      <c r="B64" s="1095" t="s">
        <v>180</v>
      </c>
      <c r="C64" s="1052">
        <v>246.46199999999999</v>
      </c>
      <c r="D64" s="1033">
        <f t="shared" si="6"/>
        <v>250</v>
      </c>
      <c r="E64" s="1052">
        <v>0</v>
      </c>
      <c r="F64" s="1033">
        <v>0</v>
      </c>
      <c r="G64" s="1052">
        <v>0</v>
      </c>
      <c r="H64" s="1033">
        <v>0</v>
      </c>
      <c r="I64" s="1052">
        <v>0</v>
      </c>
      <c r="J64" s="1033">
        <v>0</v>
      </c>
      <c r="K64" s="1052">
        <v>0</v>
      </c>
      <c r="L64" s="1033">
        <v>0</v>
      </c>
      <c r="M64" s="1052">
        <v>0</v>
      </c>
      <c r="N64" s="1096">
        <v>0</v>
      </c>
      <c r="O64" s="1052">
        <v>111.2</v>
      </c>
      <c r="P64" s="1097">
        <f t="shared" si="11"/>
        <v>110</v>
      </c>
      <c r="Q64" s="1052">
        <v>63.057000000000002</v>
      </c>
      <c r="R64" s="1096">
        <f t="shared" si="7"/>
        <v>63</v>
      </c>
      <c r="S64" s="1052">
        <v>2.3E-2</v>
      </c>
      <c r="T64" s="1096">
        <v>0</v>
      </c>
      <c r="U64" s="1052">
        <v>57.377000000000002</v>
      </c>
      <c r="V64" s="1096">
        <f t="shared" si="8"/>
        <v>57</v>
      </c>
      <c r="W64" s="1052">
        <v>57.377000000000002</v>
      </c>
      <c r="X64" s="1096">
        <f t="shared" si="9"/>
        <v>57</v>
      </c>
      <c r="Y64" s="1052">
        <v>3.0000000000000001E-3</v>
      </c>
      <c r="Z64" s="1096">
        <v>0</v>
      </c>
      <c r="AA64" s="1036">
        <v>0</v>
      </c>
      <c r="AB64" s="1036">
        <v>0</v>
      </c>
      <c r="AC64" s="1036">
        <v>8.5540000000000003</v>
      </c>
      <c r="AD64" s="1036">
        <v>0.65800000000000003</v>
      </c>
      <c r="AE64" s="1036">
        <v>0.57799999999999996</v>
      </c>
      <c r="AF64" s="1036">
        <v>3.214</v>
      </c>
      <c r="AG64" s="1036">
        <v>22.042000000000002</v>
      </c>
      <c r="AH64" s="1036">
        <v>0.46899999999999997</v>
      </c>
      <c r="AI64" s="1106"/>
      <c r="AJ64" s="1106"/>
      <c r="AK64" s="1106"/>
      <c r="AL64" s="1106"/>
      <c r="AM64" s="1106"/>
      <c r="AN64" s="1106"/>
      <c r="AO64" s="1106"/>
      <c r="AP64" s="1106"/>
      <c r="AQ64" s="1106"/>
      <c r="AR64" s="1106"/>
      <c r="AS64" s="1106"/>
      <c r="AT64" s="1106"/>
      <c r="AU64" s="1106"/>
      <c r="AV64" s="1106"/>
      <c r="AW64" s="1106"/>
      <c r="AX64" s="1106"/>
      <c r="AY64" s="1106"/>
      <c r="AZ64" s="1106"/>
      <c r="BA64" s="1106"/>
      <c r="BB64" s="1106"/>
      <c r="BC64" s="1106"/>
      <c r="BD64" s="1106"/>
      <c r="BE64" s="1106"/>
      <c r="BF64" s="1106"/>
      <c r="BG64" s="1106"/>
      <c r="BH64" s="1106"/>
      <c r="BI64" s="1106"/>
      <c r="BJ64" s="1106"/>
      <c r="BK64" s="1106"/>
      <c r="BL64" s="1106"/>
      <c r="BM64" s="1106"/>
      <c r="BN64" s="1106"/>
      <c r="BO64" s="1106"/>
      <c r="BP64" s="1106"/>
      <c r="BQ64" s="1106"/>
      <c r="BR64" s="1106"/>
      <c r="BS64" s="1106"/>
      <c r="BT64" s="1106"/>
      <c r="BU64" s="1106"/>
      <c r="BV64" s="1106"/>
      <c r="BW64" s="1106"/>
      <c r="BX64" s="1106"/>
      <c r="BY64" s="1106"/>
      <c r="BZ64" s="1106"/>
      <c r="CA64" s="1106"/>
      <c r="CB64" s="1106"/>
      <c r="CC64" s="1106"/>
      <c r="CD64" s="1106"/>
      <c r="CE64" s="1106"/>
      <c r="CF64" s="1106"/>
      <c r="CG64" s="1106"/>
      <c r="CH64" s="1106"/>
      <c r="CI64" s="1106"/>
      <c r="CJ64" s="1106"/>
      <c r="CK64" s="1106"/>
      <c r="CL64" s="1106"/>
      <c r="CM64" s="1106"/>
      <c r="CN64" s="1106"/>
      <c r="CO64" s="1106"/>
      <c r="CP64" s="1106"/>
      <c r="CQ64" s="1106"/>
      <c r="CR64" s="1106"/>
      <c r="CS64" s="1106"/>
      <c r="CT64" s="1106"/>
      <c r="CU64" s="1106"/>
      <c r="CV64" s="1106"/>
      <c r="CW64" s="1106"/>
      <c r="CX64" s="1106"/>
      <c r="CY64" s="1106"/>
      <c r="CZ64" s="1106"/>
      <c r="DA64" s="1106"/>
      <c r="DB64" s="1106"/>
      <c r="DC64" s="1106"/>
      <c r="DD64" s="1106"/>
      <c r="DE64" s="1106"/>
      <c r="DF64" s="1106"/>
      <c r="DG64" s="1106"/>
      <c r="DH64" s="1106"/>
      <c r="DI64" s="1106"/>
      <c r="DJ64" s="1106"/>
      <c r="DK64" s="1106"/>
    </row>
    <row r="65" spans="1:115">
      <c r="A65" s="1088" t="s">
        <v>296</v>
      </c>
      <c r="B65" s="1095" t="s">
        <v>45</v>
      </c>
      <c r="C65" s="1104">
        <v>235.86099999999999</v>
      </c>
      <c r="D65" s="1033">
        <f t="shared" si="6"/>
        <v>240</v>
      </c>
      <c r="E65" s="1104">
        <v>0</v>
      </c>
      <c r="F65" s="1033">
        <v>0</v>
      </c>
      <c r="G65" s="1104">
        <v>0</v>
      </c>
      <c r="H65" s="1033">
        <v>0</v>
      </c>
      <c r="I65" s="1104">
        <v>0</v>
      </c>
      <c r="J65" s="1033">
        <v>0</v>
      </c>
      <c r="K65" s="1104">
        <v>0</v>
      </c>
      <c r="L65" s="1033">
        <v>0</v>
      </c>
      <c r="M65" s="1104">
        <v>0</v>
      </c>
      <c r="N65" s="1096">
        <v>0</v>
      </c>
      <c r="O65" s="1104">
        <v>28.655999999999999</v>
      </c>
      <c r="P65" s="1097">
        <f t="shared" si="11"/>
        <v>30</v>
      </c>
      <c r="Q65" s="1104">
        <v>59.445</v>
      </c>
      <c r="R65" s="1096">
        <f t="shared" si="7"/>
        <v>59</v>
      </c>
      <c r="S65" s="1052">
        <v>0</v>
      </c>
      <c r="T65" s="1096">
        <v>0</v>
      </c>
      <c r="U65" s="1104">
        <v>57.045000000000002</v>
      </c>
      <c r="V65" s="1096">
        <f t="shared" si="8"/>
        <v>57</v>
      </c>
      <c r="W65" s="1104">
        <v>56.820999999999998</v>
      </c>
      <c r="X65" s="1096">
        <f t="shared" si="9"/>
        <v>57</v>
      </c>
      <c r="Y65" s="1104">
        <v>6.0000000000000001E-3</v>
      </c>
      <c r="Z65" s="1096">
        <v>0</v>
      </c>
      <c r="AA65" s="1036">
        <v>6.0000000000000001E-3</v>
      </c>
      <c r="AB65" s="1036">
        <v>0</v>
      </c>
      <c r="AC65" s="1036">
        <v>7.2969999999999997</v>
      </c>
      <c r="AD65" s="1036">
        <v>0.56100000000000005</v>
      </c>
      <c r="AE65" s="1036">
        <v>2.3E-2</v>
      </c>
      <c r="AF65" s="1036">
        <v>0.13</v>
      </c>
      <c r="AG65" s="1036">
        <v>8.4529999999999994</v>
      </c>
      <c r="AH65" s="1036">
        <v>0.18</v>
      </c>
    </row>
    <row r="66" spans="1:115">
      <c r="A66" s="1086" t="s">
        <v>296</v>
      </c>
      <c r="B66" s="1095" t="s">
        <v>59</v>
      </c>
      <c r="C66" s="1052">
        <v>234.62200000000001</v>
      </c>
      <c r="D66" s="1033">
        <f t="shared" si="6"/>
        <v>230</v>
      </c>
      <c r="E66" s="1052">
        <v>0</v>
      </c>
      <c r="F66" s="1033">
        <v>0</v>
      </c>
      <c r="G66" s="1052">
        <v>0</v>
      </c>
      <c r="H66" s="1033">
        <v>0</v>
      </c>
      <c r="I66" s="1052">
        <v>0</v>
      </c>
      <c r="J66" s="1033">
        <v>0</v>
      </c>
      <c r="K66" s="1052">
        <v>0</v>
      </c>
      <c r="L66" s="1033">
        <v>0</v>
      </c>
      <c r="M66" s="1052">
        <v>0</v>
      </c>
      <c r="N66" s="1096">
        <v>0</v>
      </c>
      <c r="O66" s="1052">
        <v>36.743000000000002</v>
      </c>
      <c r="P66" s="1097">
        <f t="shared" si="11"/>
        <v>35</v>
      </c>
      <c r="Q66" s="1052">
        <v>58.567999999999998</v>
      </c>
      <c r="R66" s="1096">
        <f t="shared" si="7"/>
        <v>59</v>
      </c>
      <c r="S66" s="1052">
        <v>5.8000000000000003E-2</v>
      </c>
      <c r="T66" s="1096">
        <v>0</v>
      </c>
      <c r="U66" s="1052">
        <v>56.567</v>
      </c>
      <c r="V66" s="1096">
        <f t="shared" si="8"/>
        <v>57</v>
      </c>
      <c r="W66" s="1052">
        <v>55.594000000000001</v>
      </c>
      <c r="X66" s="1096">
        <f t="shared" si="9"/>
        <v>56</v>
      </c>
      <c r="Y66" s="1052">
        <v>4.1000000000000002E-2</v>
      </c>
      <c r="Z66" s="1096">
        <v>0</v>
      </c>
      <c r="AA66" s="1036">
        <v>0</v>
      </c>
      <c r="AB66" s="1036">
        <v>0</v>
      </c>
      <c r="AC66" s="1036">
        <v>8.5449999999999999</v>
      </c>
      <c r="AD66" s="1036">
        <v>0.65700000000000003</v>
      </c>
      <c r="AE66" s="1036">
        <v>0.29299999999999998</v>
      </c>
      <c r="AF66" s="1036">
        <v>1.6279999999999999</v>
      </c>
      <c r="AG66" s="1036">
        <v>12.939</v>
      </c>
      <c r="AH66" s="1036">
        <v>0.27500000000000002</v>
      </c>
    </row>
    <row r="67" spans="1:115">
      <c r="A67" s="1106" t="s">
        <v>92</v>
      </c>
      <c r="B67" s="1095" t="s">
        <v>111</v>
      </c>
      <c r="C67" s="1052">
        <v>281.80099999999999</v>
      </c>
      <c r="D67" s="1033">
        <f t="shared" si="6"/>
        <v>280</v>
      </c>
      <c r="E67" s="1052">
        <v>9.9369999999999994</v>
      </c>
      <c r="F67" s="1033">
        <f>MROUND(E67,5)</f>
        <v>10</v>
      </c>
      <c r="G67" s="1052">
        <v>3.9319999999999999</v>
      </c>
      <c r="H67" s="1096">
        <f>MROUND(G67,0.5)</f>
        <v>4</v>
      </c>
      <c r="I67" s="1052">
        <v>3.335</v>
      </c>
      <c r="J67" s="1096">
        <f>MROUND(I67,0.5)</f>
        <v>3.5</v>
      </c>
      <c r="K67" s="1052">
        <v>2.3E-2</v>
      </c>
      <c r="L67" s="1033">
        <v>0</v>
      </c>
      <c r="M67" s="1052">
        <v>2.7360000000000002</v>
      </c>
      <c r="N67" s="1096" t="s">
        <v>332</v>
      </c>
      <c r="O67" s="1052">
        <v>65.736999999999995</v>
      </c>
      <c r="P67" s="1097">
        <f t="shared" si="11"/>
        <v>65</v>
      </c>
      <c r="Q67" s="1052">
        <v>56.289000000000001</v>
      </c>
      <c r="R67" s="1096">
        <f t="shared" si="7"/>
        <v>56</v>
      </c>
      <c r="S67" s="1052">
        <v>0.43</v>
      </c>
      <c r="T67" s="1096">
        <v>0</v>
      </c>
      <c r="U67" s="1052">
        <v>56.289000000000001</v>
      </c>
      <c r="V67" s="1096">
        <f t="shared" si="8"/>
        <v>56</v>
      </c>
      <c r="W67" s="1052">
        <v>55.639000000000003</v>
      </c>
      <c r="X67" s="1096">
        <f t="shared" si="9"/>
        <v>56</v>
      </c>
      <c r="Y67" s="1098">
        <v>0.57099999999999995</v>
      </c>
      <c r="Z67" s="1096" t="s">
        <v>303</v>
      </c>
      <c r="AA67" s="1036">
        <v>0</v>
      </c>
      <c r="AB67" s="1036">
        <v>0</v>
      </c>
      <c r="AC67" s="1036">
        <v>16.689</v>
      </c>
      <c r="AD67" s="1036">
        <v>1.284</v>
      </c>
      <c r="AE67" s="1036">
        <v>0.21199999999999999</v>
      </c>
      <c r="AF67" s="1036">
        <v>1.177</v>
      </c>
      <c r="AG67" s="1036">
        <v>36.802</v>
      </c>
      <c r="AH67" s="1036">
        <v>0.78300000000000003</v>
      </c>
    </row>
    <row r="68" spans="1:115">
      <c r="A68" s="1086" t="s">
        <v>296</v>
      </c>
      <c r="B68" s="1095" t="s">
        <v>68</v>
      </c>
      <c r="C68" s="1052">
        <v>230.37799999999999</v>
      </c>
      <c r="D68" s="1033">
        <f t="shared" ref="D68:D99" si="12">MROUND(C68,10)</f>
        <v>230</v>
      </c>
      <c r="E68" s="1052">
        <v>0.20899999999999999</v>
      </c>
      <c r="F68" s="1033">
        <v>0</v>
      </c>
      <c r="G68" s="1052">
        <v>2.3E-2</v>
      </c>
      <c r="H68" s="1033">
        <v>0</v>
      </c>
      <c r="I68" s="1052">
        <v>1E-3</v>
      </c>
      <c r="J68" s="1033">
        <v>0</v>
      </c>
      <c r="K68" s="1052">
        <v>0</v>
      </c>
      <c r="L68" s="1033">
        <v>0</v>
      </c>
      <c r="M68" s="1052">
        <v>0</v>
      </c>
      <c r="N68" s="1096">
        <v>0</v>
      </c>
      <c r="O68" s="1052">
        <v>34.725999999999999</v>
      </c>
      <c r="P68" s="1097">
        <f t="shared" si="11"/>
        <v>35</v>
      </c>
      <c r="Q68" s="1052">
        <v>58.689</v>
      </c>
      <c r="R68" s="1096">
        <f t="shared" ref="R68:R99" si="13">MROUND(Q68,1)</f>
        <v>59</v>
      </c>
      <c r="S68" s="1052">
        <v>0.16600000000000001</v>
      </c>
      <c r="T68" s="1096">
        <v>0</v>
      </c>
      <c r="U68" s="1052">
        <v>56.054000000000002</v>
      </c>
      <c r="V68" s="1096">
        <f t="shared" ref="V68:V99" si="14">MROUND(U68,1)</f>
        <v>56</v>
      </c>
      <c r="W68" s="1052">
        <v>55.371000000000002</v>
      </c>
      <c r="X68" s="1096">
        <f t="shared" ref="X68:X99" si="15">MROUND(W68,1)</f>
        <v>55</v>
      </c>
      <c r="Y68" s="1052">
        <v>0.14299999999999999</v>
      </c>
      <c r="Z68" s="1096">
        <v>0</v>
      </c>
      <c r="AA68" s="1036">
        <v>0</v>
      </c>
      <c r="AB68" s="1036">
        <v>0</v>
      </c>
      <c r="AC68" s="1036">
        <v>9.57</v>
      </c>
      <c r="AD68" s="1036">
        <v>0.73599999999999999</v>
      </c>
      <c r="AE68" s="1036">
        <v>7.8E-2</v>
      </c>
      <c r="AF68" s="1036">
        <v>0.434</v>
      </c>
      <c r="AG68" s="1036">
        <v>18.149000000000001</v>
      </c>
      <c r="AH68" s="1036">
        <v>0.38600000000000001</v>
      </c>
    </row>
    <row r="69" spans="1:115">
      <c r="A69" s="1086" t="s">
        <v>296</v>
      </c>
      <c r="B69" s="1095" t="s">
        <v>301</v>
      </c>
      <c r="C69" s="1052">
        <v>229.42699999999999</v>
      </c>
      <c r="D69" s="1033">
        <f t="shared" si="12"/>
        <v>230</v>
      </c>
      <c r="E69" s="1052">
        <v>9.9000000000000005E-2</v>
      </c>
      <c r="F69" s="1033">
        <v>0</v>
      </c>
      <c r="G69" s="1052">
        <v>1.0999999999999999E-2</v>
      </c>
      <c r="H69" s="1033">
        <v>0</v>
      </c>
      <c r="I69" s="1052">
        <v>3.0000000000000001E-3</v>
      </c>
      <c r="J69" s="1033">
        <v>0</v>
      </c>
      <c r="K69" s="1052">
        <v>0</v>
      </c>
      <c r="L69" s="1033">
        <v>0</v>
      </c>
      <c r="M69" s="1052">
        <v>0</v>
      </c>
      <c r="N69" s="1096">
        <v>0</v>
      </c>
      <c r="O69" s="1052">
        <v>37.814</v>
      </c>
      <c r="P69" s="1097">
        <f t="shared" si="11"/>
        <v>40</v>
      </c>
      <c r="Q69" s="1052">
        <v>58.277000000000001</v>
      </c>
      <c r="R69" s="1096">
        <f t="shared" si="13"/>
        <v>58</v>
      </c>
      <c r="S69" s="1052">
        <v>5.1999999999999998E-2</v>
      </c>
      <c r="T69" s="1096">
        <v>0</v>
      </c>
      <c r="U69" s="1052">
        <v>55.667000000000002</v>
      </c>
      <c r="V69" s="1096">
        <f t="shared" si="14"/>
        <v>56</v>
      </c>
      <c r="W69" s="1052">
        <v>55.210999999999999</v>
      </c>
      <c r="X69" s="1096">
        <f t="shared" si="15"/>
        <v>55</v>
      </c>
      <c r="Y69" s="1052">
        <v>5.5E-2</v>
      </c>
      <c r="Z69" s="1096">
        <v>0</v>
      </c>
      <c r="AA69" s="1036">
        <v>0</v>
      </c>
      <c r="AB69" s="1036">
        <v>0</v>
      </c>
      <c r="AC69" s="1036">
        <v>7.9820000000000002</v>
      </c>
      <c r="AD69" s="1036">
        <v>0.61399999999999999</v>
      </c>
      <c r="AE69" s="1036">
        <v>3.2000000000000001E-2</v>
      </c>
      <c r="AF69" s="1036">
        <v>0.17599999999999999</v>
      </c>
      <c r="AG69" s="1036">
        <v>16.521000000000001</v>
      </c>
      <c r="AH69" s="1036">
        <v>0.35199999999999998</v>
      </c>
    </row>
    <row r="70" spans="1:115">
      <c r="A70" s="1088" t="s">
        <v>296</v>
      </c>
      <c r="B70" s="1095" t="s">
        <v>38</v>
      </c>
      <c r="C70" s="1052">
        <v>241.477</v>
      </c>
      <c r="D70" s="1033">
        <f t="shared" si="12"/>
        <v>240</v>
      </c>
      <c r="E70" s="1052">
        <v>7.4999999999999997E-2</v>
      </c>
      <c r="F70" s="1033">
        <v>0</v>
      </c>
      <c r="G70" s="1052">
        <v>8.0000000000000002E-3</v>
      </c>
      <c r="H70" s="1033" t="s">
        <v>617</v>
      </c>
      <c r="I70" s="1052">
        <v>1E-3</v>
      </c>
      <c r="J70" s="1033" t="s">
        <v>617</v>
      </c>
      <c r="K70" s="1052">
        <v>0</v>
      </c>
      <c r="L70" s="1033">
        <v>0</v>
      </c>
      <c r="M70" s="1052">
        <v>0</v>
      </c>
      <c r="N70" s="1096">
        <v>0</v>
      </c>
      <c r="O70" s="1052">
        <v>39.640999999999998</v>
      </c>
      <c r="P70" s="1097">
        <f t="shared" si="11"/>
        <v>40</v>
      </c>
      <c r="Q70" s="1052">
        <v>61.134999999999998</v>
      </c>
      <c r="R70" s="1096">
        <f t="shared" si="13"/>
        <v>61</v>
      </c>
      <c r="S70" s="1052">
        <v>0.126</v>
      </c>
      <c r="T70" s="1096">
        <v>0</v>
      </c>
      <c r="U70" s="1052">
        <v>55.353999999999999</v>
      </c>
      <c r="V70" s="1096">
        <f t="shared" si="14"/>
        <v>55</v>
      </c>
      <c r="W70" s="1052">
        <v>53.158999999999999</v>
      </c>
      <c r="X70" s="1096">
        <f t="shared" si="15"/>
        <v>53</v>
      </c>
      <c r="Y70" s="1052">
        <v>0.04</v>
      </c>
      <c r="Z70" s="1096">
        <v>0</v>
      </c>
      <c r="AA70" s="1036">
        <v>0</v>
      </c>
      <c r="AB70" s="1036">
        <v>0</v>
      </c>
      <c r="AC70" s="1036">
        <v>8.7739999999999991</v>
      </c>
      <c r="AD70" s="1036">
        <v>0.67500000000000004</v>
      </c>
      <c r="AE70" s="1036">
        <v>3.5000000000000003E-2</v>
      </c>
      <c r="AF70" s="1036">
        <v>0.19600000000000001</v>
      </c>
      <c r="AG70" s="1036">
        <v>6.0030000000000001</v>
      </c>
      <c r="AH70" s="1036">
        <v>0.128</v>
      </c>
    </row>
    <row r="71" spans="1:115">
      <c r="A71" s="1086" t="s">
        <v>296</v>
      </c>
      <c r="B71" s="1095" t="s">
        <v>78</v>
      </c>
      <c r="C71" s="1113">
        <v>245.732</v>
      </c>
      <c r="D71" s="1033">
        <f t="shared" si="12"/>
        <v>250</v>
      </c>
      <c r="E71" s="1113">
        <v>0.01</v>
      </c>
      <c r="F71" s="1033">
        <v>0</v>
      </c>
      <c r="G71" s="1113">
        <v>0.01</v>
      </c>
      <c r="H71" s="1033">
        <v>0</v>
      </c>
      <c r="I71" s="1113">
        <v>0</v>
      </c>
      <c r="J71" s="1033">
        <v>0</v>
      </c>
      <c r="K71" s="1113">
        <v>0</v>
      </c>
      <c r="L71" s="1033">
        <v>0</v>
      </c>
      <c r="M71" s="1113">
        <v>0</v>
      </c>
      <c r="N71" s="1096">
        <v>0</v>
      </c>
      <c r="O71" s="1113">
        <v>41.87</v>
      </c>
      <c r="P71" s="1097">
        <f t="shared" si="11"/>
        <v>40</v>
      </c>
      <c r="Q71" s="1113">
        <v>59.308999999999997</v>
      </c>
      <c r="R71" s="1096">
        <f t="shared" si="13"/>
        <v>59</v>
      </c>
      <c r="S71" s="1113">
        <v>0.22600000000000001</v>
      </c>
      <c r="T71" s="1096">
        <v>0</v>
      </c>
      <c r="U71" s="1113">
        <v>55.238999999999997</v>
      </c>
      <c r="V71" s="1096">
        <f t="shared" si="14"/>
        <v>55</v>
      </c>
      <c r="W71" s="1113">
        <v>53.643999999999998</v>
      </c>
      <c r="X71" s="1096">
        <f t="shared" si="15"/>
        <v>54</v>
      </c>
      <c r="Y71" s="1113">
        <v>0.42099999999999999</v>
      </c>
      <c r="Z71" s="1096">
        <v>0</v>
      </c>
      <c r="AA71" s="1114">
        <v>0</v>
      </c>
      <c r="AB71" s="1114">
        <v>0</v>
      </c>
      <c r="AC71" s="1114">
        <v>13.371</v>
      </c>
      <c r="AD71" s="1114">
        <v>1.0289999999999999</v>
      </c>
      <c r="AE71" s="1114">
        <v>0.17899999999999999</v>
      </c>
      <c r="AF71" s="1114">
        <v>0.99199999999999999</v>
      </c>
      <c r="AG71" s="1114">
        <v>19.643999999999998</v>
      </c>
      <c r="AH71" s="1114">
        <v>0.41799999999999998</v>
      </c>
      <c r="AI71" s="1109"/>
      <c r="AJ71" s="1109"/>
      <c r="AK71" s="1109"/>
      <c r="AL71" s="1109"/>
      <c r="AM71" s="1109"/>
      <c r="AN71" s="1109"/>
      <c r="AO71" s="1109"/>
      <c r="AP71" s="1109"/>
      <c r="AQ71" s="1109"/>
      <c r="AR71" s="1109"/>
      <c r="AS71" s="1109"/>
      <c r="AT71" s="1109"/>
      <c r="AU71" s="1109"/>
      <c r="AV71" s="1109"/>
      <c r="AW71" s="1109"/>
      <c r="AX71" s="1109"/>
      <c r="AY71" s="1109"/>
      <c r="AZ71" s="1109"/>
      <c r="BA71" s="1109"/>
      <c r="BB71" s="1109"/>
      <c r="BC71" s="1109"/>
      <c r="BD71" s="1109"/>
      <c r="BE71" s="1109"/>
      <c r="BF71" s="1109"/>
      <c r="BG71" s="1109"/>
      <c r="BH71" s="1109"/>
      <c r="BI71" s="1109"/>
      <c r="BJ71" s="1109"/>
      <c r="BK71" s="1109"/>
      <c r="BL71" s="1115"/>
      <c r="BM71" s="1115"/>
      <c r="BN71" s="1115"/>
      <c r="BO71" s="1115"/>
      <c r="BP71" s="1115"/>
      <c r="BQ71" s="1115"/>
      <c r="BR71" s="1115"/>
      <c r="BS71" s="1115"/>
      <c r="BT71" s="1115"/>
      <c r="BU71" s="1115"/>
      <c r="BV71" s="1115"/>
      <c r="BW71" s="1115"/>
      <c r="BX71" s="1115"/>
      <c r="BY71" s="1115"/>
      <c r="BZ71" s="1115"/>
      <c r="CA71" s="1115"/>
      <c r="CB71" s="1115"/>
      <c r="CC71" s="1115"/>
      <c r="CD71" s="1115"/>
      <c r="CE71" s="1115"/>
      <c r="CF71" s="1115"/>
      <c r="CG71" s="1115"/>
      <c r="CH71" s="1115"/>
      <c r="CI71" s="1115"/>
      <c r="CJ71" s="1115"/>
      <c r="CK71" s="1115"/>
      <c r="CL71" s="1115"/>
      <c r="CM71" s="1115"/>
      <c r="CN71" s="1115"/>
      <c r="CO71" s="1115"/>
      <c r="CP71" s="1115"/>
      <c r="CQ71" s="1115"/>
      <c r="CR71" s="1115"/>
      <c r="CS71" s="1115"/>
      <c r="CT71" s="1115"/>
      <c r="CU71" s="1115"/>
      <c r="CV71" s="1115"/>
      <c r="CW71" s="1115"/>
      <c r="CX71" s="1115"/>
      <c r="CY71" s="1115"/>
      <c r="CZ71" s="1115"/>
      <c r="DA71" s="1115"/>
      <c r="DB71" s="1115"/>
      <c r="DC71" s="1115"/>
      <c r="DD71" s="1115"/>
      <c r="DE71" s="1115"/>
      <c r="DF71" s="1115"/>
      <c r="DG71" s="1115"/>
      <c r="DH71" s="1115"/>
      <c r="DI71" s="1115"/>
      <c r="DJ71" s="1115"/>
      <c r="DK71" s="1115"/>
    </row>
    <row r="72" spans="1:115">
      <c r="A72" s="1086" t="s">
        <v>296</v>
      </c>
      <c r="B72" s="1095" t="s">
        <v>311</v>
      </c>
      <c r="C72" s="1052">
        <v>222.596</v>
      </c>
      <c r="D72" s="1033">
        <f t="shared" si="12"/>
        <v>220</v>
      </c>
      <c r="E72" s="1052">
        <v>0</v>
      </c>
      <c r="F72" s="1033">
        <v>0</v>
      </c>
      <c r="G72" s="1052">
        <v>0</v>
      </c>
      <c r="H72" s="1033">
        <v>0</v>
      </c>
      <c r="I72" s="1052">
        <v>0</v>
      </c>
      <c r="J72" s="1033">
        <v>0</v>
      </c>
      <c r="K72" s="1052">
        <v>0</v>
      </c>
      <c r="L72" s="1033">
        <v>0</v>
      </c>
      <c r="M72" s="1052">
        <v>0</v>
      </c>
      <c r="N72" s="1096">
        <v>0</v>
      </c>
      <c r="O72" s="1052">
        <v>34.561</v>
      </c>
      <c r="P72" s="1097">
        <f t="shared" si="11"/>
        <v>35</v>
      </c>
      <c r="Q72" s="1052">
        <v>56.859000000000002</v>
      </c>
      <c r="R72" s="1096">
        <f t="shared" si="13"/>
        <v>57</v>
      </c>
      <c r="S72" s="1052">
        <v>0.14599999999999999</v>
      </c>
      <c r="T72" s="1096">
        <v>0</v>
      </c>
      <c r="U72" s="1052">
        <v>55.238</v>
      </c>
      <c r="V72" s="1096">
        <f t="shared" si="14"/>
        <v>55</v>
      </c>
      <c r="W72" s="1052">
        <v>54.720999999999997</v>
      </c>
      <c r="X72" s="1096">
        <f t="shared" si="15"/>
        <v>55</v>
      </c>
      <c r="Y72" s="1052">
        <v>0.10299999999999999</v>
      </c>
      <c r="Z72" s="1096">
        <v>0</v>
      </c>
      <c r="AA72" s="1034">
        <v>0</v>
      </c>
      <c r="AB72" s="1034">
        <v>0</v>
      </c>
      <c r="AC72" s="1037">
        <v>7.3840000000000003</v>
      </c>
      <c r="AD72" s="1037">
        <v>0.56799999999999995</v>
      </c>
      <c r="AE72" s="1037">
        <v>5.6000000000000001E-2</v>
      </c>
      <c r="AF72" s="1037">
        <v>0.31</v>
      </c>
      <c r="AG72" s="1037">
        <v>0.92900000000000005</v>
      </c>
      <c r="AH72" s="1037">
        <v>0.02</v>
      </c>
    </row>
    <row r="73" spans="1:115" s="1103" customFormat="1">
      <c r="A73" s="1086" t="s">
        <v>296</v>
      </c>
      <c r="B73" s="1095" t="s">
        <v>46</v>
      </c>
      <c r="C73" s="1052">
        <v>231.19900000000001</v>
      </c>
      <c r="D73" s="1033">
        <f t="shared" si="12"/>
        <v>230</v>
      </c>
      <c r="E73" s="1052">
        <v>0</v>
      </c>
      <c r="F73" s="1033">
        <v>0</v>
      </c>
      <c r="G73" s="1052">
        <v>1.9E-2</v>
      </c>
      <c r="H73" s="1033">
        <v>0</v>
      </c>
      <c r="I73" s="1052">
        <v>0</v>
      </c>
      <c r="J73" s="1033">
        <v>0</v>
      </c>
      <c r="K73" s="1052">
        <v>0</v>
      </c>
      <c r="L73" s="1033">
        <v>0</v>
      </c>
      <c r="M73" s="1052">
        <v>0</v>
      </c>
      <c r="N73" s="1096">
        <v>0</v>
      </c>
      <c r="O73" s="1052">
        <v>57.802</v>
      </c>
      <c r="P73" s="1097">
        <f t="shared" si="11"/>
        <v>60</v>
      </c>
      <c r="Q73" s="1052">
        <v>58.674999999999997</v>
      </c>
      <c r="R73" s="1096">
        <f t="shared" si="13"/>
        <v>59</v>
      </c>
      <c r="S73" s="1052">
        <v>5.2999999999999999E-2</v>
      </c>
      <c r="T73" s="1096">
        <v>0</v>
      </c>
      <c r="U73" s="1052">
        <v>55.168999999999997</v>
      </c>
      <c r="V73" s="1096">
        <f t="shared" si="14"/>
        <v>55</v>
      </c>
      <c r="W73" s="1052">
        <v>55.012999999999998</v>
      </c>
      <c r="X73" s="1096">
        <f t="shared" si="15"/>
        <v>55</v>
      </c>
      <c r="Y73" s="1052">
        <v>6.2E-2</v>
      </c>
      <c r="Z73" s="1096">
        <v>0</v>
      </c>
      <c r="AA73" s="1036">
        <v>0</v>
      </c>
      <c r="AB73" s="1036">
        <v>0</v>
      </c>
      <c r="AC73" s="1036">
        <v>7.4290000000000003</v>
      </c>
      <c r="AD73" s="1036">
        <v>0.57099999999999995</v>
      </c>
      <c r="AE73" s="1036">
        <v>2.1999999999999999E-2</v>
      </c>
      <c r="AF73" s="1036">
        <v>0.122</v>
      </c>
      <c r="AG73" s="1036">
        <v>9.76</v>
      </c>
      <c r="AH73" s="1036">
        <v>0.20799999999999999</v>
      </c>
      <c r="AI73" s="1086"/>
      <c r="AJ73" s="1086"/>
      <c r="AK73" s="1086"/>
      <c r="AL73" s="1086"/>
      <c r="AM73" s="1086"/>
      <c r="AN73" s="1086"/>
      <c r="AO73" s="1086"/>
      <c r="AP73" s="1086"/>
      <c r="AQ73" s="1086"/>
      <c r="AR73" s="1086"/>
      <c r="AS73" s="1086"/>
      <c r="AT73" s="1086"/>
      <c r="AU73" s="1086"/>
      <c r="AV73" s="1086"/>
      <c r="AW73" s="1086"/>
      <c r="AX73" s="1086"/>
      <c r="AY73" s="1086"/>
      <c r="AZ73" s="1086"/>
      <c r="BA73" s="1086"/>
      <c r="BB73" s="1086"/>
      <c r="BC73" s="1086"/>
      <c r="BD73" s="1086"/>
      <c r="BE73" s="1086"/>
      <c r="BF73" s="1086"/>
      <c r="BG73" s="1086"/>
      <c r="BH73" s="1086"/>
      <c r="BI73" s="1086"/>
      <c r="BJ73" s="1086"/>
      <c r="BK73" s="1086"/>
      <c r="BL73" s="1086"/>
      <c r="BM73" s="1086"/>
      <c r="BN73" s="1086"/>
      <c r="BO73" s="1086"/>
      <c r="BP73" s="1086"/>
      <c r="BQ73" s="1086"/>
      <c r="BR73" s="1086"/>
      <c r="BS73" s="1086"/>
      <c r="BT73" s="1086"/>
      <c r="BU73" s="1086"/>
      <c r="BV73" s="1086"/>
      <c r="BW73" s="1086"/>
      <c r="BX73" s="1086"/>
      <c r="BY73" s="1086"/>
      <c r="BZ73" s="1086"/>
      <c r="CA73" s="1086"/>
      <c r="CB73" s="1086"/>
      <c r="CC73" s="1086"/>
      <c r="CD73" s="1086"/>
      <c r="CE73" s="1086"/>
      <c r="CF73" s="1086"/>
      <c r="CG73" s="1086"/>
      <c r="CH73" s="1086"/>
      <c r="CI73" s="1086"/>
      <c r="CJ73" s="1086"/>
      <c r="CK73" s="1086"/>
      <c r="CL73" s="1086"/>
      <c r="CM73" s="1086"/>
      <c r="CN73" s="1086"/>
      <c r="CO73" s="1086"/>
      <c r="CP73" s="1086"/>
      <c r="CQ73" s="1086"/>
      <c r="CR73" s="1086"/>
      <c r="CS73" s="1086"/>
      <c r="CT73" s="1086"/>
      <c r="CU73" s="1086"/>
      <c r="CV73" s="1086"/>
      <c r="CW73" s="1086"/>
      <c r="CX73" s="1086"/>
      <c r="CY73" s="1086"/>
      <c r="CZ73" s="1086"/>
      <c r="DA73" s="1086"/>
      <c r="DB73" s="1086"/>
      <c r="DC73" s="1086"/>
      <c r="DD73" s="1086"/>
      <c r="DE73" s="1086"/>
      <c r="DF73" s="1086"/>
      <c r="DG73" s="1086"/>
      <c r="DH73" s="1086"/>
      <c r="DI73" s="1086"/>
      <c r="DJ73" s="1086"/>
      <c r="DK73" s="1086"/>
    </row>
    <row r="74" spans="1:115" s="1102" customFormat="1">
      <c r="A74" s="1109" t="s">
        <v>92</v>
      </c>
      <c r="B74" s="1095" t="s">
        <v>320</v>
      </c>
      <c r="C74" s="1049">
        <v>258.21699999999998</v>
      </c>
      <c r="D74" s="1033">
        <f t="shared" si="12"/>
        <v>260</v>
      </c>
      <c r="E74" s="1049">
        <v>0</v>
      </c>
      <c r="F74" s="1033">
        <v>0</v>
      </c>
      <c r="G74" s="1049">
        <v>2.7869999999999999</v>
      </c>
      <c r="H74" s="1096">
        <f>MROUND(G74,0.5)</f>
        <v>3</v>
      </c>
      <c r="I74" s="1049">
        <v>2.5840000000000001</v>
      </c>
      <c r="J74" s="1096">
        <f>MROUND(I74,0.5)</f>
        <v>2.5</v>
      </c>
      <c r="K74" s="1049">
        <v>0</v>
      </c>
      <c r="L74" s="1033">
        <v>0</v>
      </c>
      <c r="M74" s="1049">
        <v>0</v>
      </c>
      <c r="N74" s="1096">
        <v>0</v>
      </c>
      <c r="O74" s="1049">
        <v>55.966000000000001</v>
      </c>
      <c r="P74" s="1097">
        <f t="shared" si="11"/>
        <v>55</v>
      </c>
      <c r="Q74" s="1049">
        <v>58.573</v>
      </c>
      <c r="R74" s="1096">
        <f t="shared" si="13"/>
        <v>59</v>
      </c>
      <c r="S74" s="1049">
        <v>5.0000000000000001E-3</v>
      </c>
      <c r="T74" s="1096">
        <v>0</v>
      </c>
      <c r="U74" s="1049">
        <v>54.948999999999998</v>
      </c>
      <c r="V74" s="1096">
        <f t="shared" si="14"/>
        <v>55</v>
      </c>
      <c r="W74" s="1049">
        <v>54.786999999999999</v>
      </c>
      <c r="X74" s="1096">
        <f t="shared" si="15"/>
        <v>55</v>
      </c>
      <c r="Y74" s="1118">
        <v>0.253</v>
      </c>
      <c r="Z74" s="1096">
        <v>0</v>
      </c>
      <c r="AA74" s="1050">
        <v>0</v>
      </c>
      <c r="AB74" s="1050">
        <v>0</v>
      </c>
      <c r="AC74" s="1050">
        <v>7.3170000000000002</v>
      </c>
      <c r="AD74" s="1050">
        <v>0.56299999999999994</v>
      </c>
      <c r="AE74" s="1050">
        <v>6.2E-2</v>
      </c>
      <c r="AF74" s="1050">
        <v>0.34699999999999998</v>
      </c>
      <c r="AG74" s="1050">
        <v>6.694</v>
      </c>
      <c r="AH74" s="1050">
        <v>0.14199999999999999</v>
      </c>
      <c r="AI74" s="1108"/>
      <c r="AJ74" s="1108"/>
      <c r="AK74" s="1108"/>
      <c r="AL74" s="1108"/>
      <c r="AM74" s="1108"/>
      <c r="AN74" s="1108"/>
      <c r="AO74" s="1108"/>
      <c r="AP74" s="1108"/>
      <c r="AQ74" s="1108"/>
      <c r="AR74" s="1108"/>
      <c r="AS74" s="1108"/>
      <c r="AT74" s="1108"/>
      <c r="AU74" s="1108"/>
      <c r="AV74" s="1108"/>
      <c r="AW74" s="1108"/>
      <c r="AX74" s="1108"/>
      <c r="AY74" s="1108"/>
      <c r="AZ74" s="1108"/>
      <c r="BA74" s="1108"/>
      <c r="BB74" s="1108"/>
      <c r="BC74" s="1108"/>
      <c r="BD74" s="1108"/>
      <c r="BE74" s="1108"/>
      <c r="BF74" s="1108"/>
      <c r="BG74" s="1108"/>
      <c r="BH74" s="1108"/>
      <c r="BI74" s="1108"/>
      <c r="BJ74" s="1108"/>
      <c r="BK74" s="1108"/>
      <c r="BL74" s="1108"/>
      <c r="BM74" s="1108"/>
      <c r="BN74" s="1108"/>
      <c r="BO74" s="1108"/>
      <c r="BP74" s="1108"/>
      <c r="BQ74" s="1108"/>
      <c r="BR74" s="1108"/>
      <c r="BS74" s="1108"/>
      <c r="BT74" s="1108"/>
      <c r="BU74" s="1108"/>
      <c r="BV74" s="1108"/>
      <c r="BW74" s="1108"/>
      <c r="BX74" s="1108"/>
      <c r="BY74" s="1108"/>
      <c r="BZ74" s="1108"/>
      <c r="CA74" s="1108"/>
      <c r="CB74" s="1108"/>
      <c r="CC74" s="1108"/>
      <c r="CD74" s="1108"/>
      <c r="CE74" s="1108"/>
      <c r="CF74" s="1108"/>
      <c r="CG74" s="1108"/>
      <c r="CH74" s="1108"/>
      <c r="CI74" s="1108"/>
      <c r="CJ74" s="1108"/>
      <c r="CK74" s="1108"/>
      <c r="CL74" s="1108"/>
      <c r="CM74" s="1108"/>
      <c r="CN74" s="1108"/>
      <c r="CO74" s="1108"/>
      <c r="CP74" s="1108"/>
      <c r="CQ74" s="1108"/>
      <c r="CR74" s="1108"/>
      <c r="CS74" s="1108"/>
      <c r="CT74" s="1108"/>
      <c r="CU74" s="1108"/>
      <c r="CV74" s="1108"/>
      <c r="CW74" s="1108"/>
      <c r="CX74" s="1108"/>
      <c r="CY74" s="1108"/>
      <c r="CZ74" s="1108"/>
      <c r="DA74" s="1108"/>
      <c r="DB74" s="1108"/>
      <c r="DC74" s="1108"/>
      <c r="DD74" s="1108"/>
      <c r="DE74" s="1108"/>
      <c r="DF74" s="1108"/>
      <c r="DG74" s="1108"/>
      <c r="DH74" s="1108"/>
      <c r="DI74" s="1108"/>
      <c r="DJ74" s="1108"/>
      <c r="DK74" s="1108"/>
    </row>
    <row r="75" spans="1:115">
      <c r="A75" s="1086" t="s">
        <v>296</v>
      </c>
      <c r="B75" s="1095" t="s">
        <v>32</v>
      </c>
      <c r="C75" s="1099">
        <v>224.16800000000001</v>
      </c>
      <c r="D75" s="1033">
        <f t="shared" si="12"/>
        <v>220</v>
      </c>
      <c r="E75" s="1099">
        <v>0.31900000000000001</v>
      </c>
      <c r="F75" s="1033">
        <v>0</v>
      </c>
      <c r="G75" s="1099">
        <v>3.5000000000000003E-2</v>
      </c>
      <c r="H75" s="1033">
        <v>0</v>
      </c>
      <c r="I75" s="1099">
        <v>0</v>
      </c>
      <c r="J75" s="1033">
        <v>0</v>
      </c>
      <c r="K75" s="1099">
        <v>0</v>
      </c>
      <c r="L75" s="1033">
        <v>0</v>
      </c>
      <c r="M75" s="1099">
        <v>0</v>
      </c>
      <c r="N75" s="1096">
        <v>0</v>
      </c>
      <c r="O75" s="1099">
        <v>30.234999999999999</v>
      </c>
      <c r="P75" s="1097">
        <f t="shared" si="11"/>
        <v>30</v>
      </c>
      <c r="Q75" s="1099">
        <v>58.182000000000002</v>
      </c>
      <c r="R75" s="1096">
        <f t="shared" si="13"/>
        <v>58</v>
      </c>
      <c r="S75" s="1099">
        <v>5.5E-2</v>
      </c>
      <c r="T75" s="1096">
        <v>0</v>
      </c>
      <c r="U75" s="1099">
        <v>54.134999999999998</v>
      </c>
      <c r="V75" s="1096">
        <f t="shared" si="14"/>
        <v>54</v>
      </c>
      <c r="W75" s="1099">
        <v>53.768000000000001</v>
      </c>
      <c r="X75" s="1096">
        <f t="shared" si="15"/>
        <v>54</v>
      </c>
      <c r="Y75" s="1099">
        <v>9.8000000000000004E-2</v>
      </c>
      <c r="Z75" s="1096">
        <v>0</v>
      </c>
      <c r="AA75" s="1035">
        <v>0</v>
      </c>
      <c r="AB75" s="1035">
        <v>0</v>
      </c>
      <c r="AC75" s="1035">
        <v>9.3620000000000001</v>
      </c>
      <c r="AD75" s="1035">
        <v>0.72</v>
      </c>
      <c r="AE75" s="1035">
        <v>2.5999999999999999E-2</v>
      </c>
      <c r="AF75" s="1035">
        <v>0.14199999999999999</v>
      </c>
      <c r="AG75" s="1035">
        <v>25.48</v>
      </c>
      <c r="AH75" s="1035">
        <v>0.54200000000000004</v>
      </c>
      <c r="AI75" s="1102"/>
      <c r="AJ75" s="1102"/>
      <c r="AK75" s="1102"/>
      <c r="AL75" s="1102"/>
      <c r="AM75" s="1102"/>
      <c r="AN75" s="1102"/>
      <c r="AO75" s="1102"/>
      <c r="AP75" s="1102"/>
      <c r="AQ75" s="1102"/>
      <c r="AR75" s="1102"/>
      <c r="AS75" s="1102"/>
      <c r="AT75" s="1102"/>
      <c r="AU75" s="1102"/>
      <c r="AV75" s="1102"/>
      <c r="AW75" s="1102"/>
      <c r="AX75" s="1102"/>
      <c r="AY75" s="1102"/>
      <c r="AZ75" s="1102"/>
      <c r="BA75" s="1102"/>
      <c r="BB75" s="1102"/>
      <c r="BC75" s="1102"/>
      <c r="BD75" s="1102"/>
      <c r="BE75" s="1102"/>
      <c r="BF75" s="1102"/>
      <c r="BG75" s="1102"/>
      <c r="BH75" s="1102"/>
      <c r="BI75" s="1102"/>
      <c r="BJ75" s="1102"/>
      <c r="BK75" s="1102"/>
      <c r="BL75" s="1102"/>
      <c r="BM75" s="1102"/>
      <c r="BN75" s="1102"/>
      <c r="BO75" s="1102"/>
      <c r="BP75" s="1102"/>
      <c r="BQ75" s="1102"/>
      <c r="BR75" s="1102"/>
      <c r="BS75" s="1102"/>
      <c r="BT75" s="1102"/>
      <c r="BU75" s="1102"/>
      <c r="BV75" s="1102"/>
      <c r="BW75" s="1102"/>
      <c r="BX75" s="1102"/>
      <c r="BY75" s="1102"/>
      <c r="BZ75" s="1102"/>
      <c r="CA75" s="1102"/>
      <c r="CB75" s="1102"/>
      <c r="CC75" s="1102"/>
      <c r="CD75" s="1102"/>
      <c r="CE75" s="1102"/>
      <c r="CF75" s="1102"/>
      <c r="CG75" s="1102"/>
      <c r="CH75" s="1102"/>
      <c r="CI75" s="1102"/>
      <c r="CJ75" s="1102"/>
      <c r="CK75" s="1102"/>
      <c r="CL75" s="1102"/>
      <c r="CM75" s="1102"/>
      <c r="CN75" s="1102"/>
      <c r="CO75" s="1102"/>
      <c r="CP75" s="1102"/>
      <c r="CQ75" s="1102"/>
      <c r="CR75" s="1102"/>
      <c r="CS75" s="1102"/>
      <c r="CT75" s="1102"/>
      <c r="CU75" s="1102"/>
      <c r="CV75" s="1102"/>
      <c r="CW75" s="1102"/>
      <c r="CX75" s="1107"/>
      <c r="CY75" s="1107"/>
      <c r="CZ75" s="1107"/>
      <c r="DA75" s="1107"/>
      <c r="DB75" s="1107"/>
      <c r="DC75" s="1107"/>
      <c r="DD75" s="1107"/>
      <c r="DE75" s="1107"/>
      <c r="DF75" s="1107"/>
      <c r="DG75" s="1107"/>
      <c r="DH75" s="1107"/>
      <c r="DI75" s="1107"/>
      <c r="DJ75" s="1107"/>
      <c r="DK75" s="1107"/>
    </row>
    <row r="76" spans="1:115">
      <c r="A76" s="1086" t="s">
        <v>296</v>
      </c>
      <c r="B76" s="1095" t="s">
        <v>312</v>
      </c>
      <c r="C76" s="1052">
        <v>218.65100000000001</v>
      </c>
      <c r="D76" s="1033">
        <f t="shared" si="12"/>
        <v>220</v>
      </c>
      <c r="E76" s="1052">
        <v>0.13</v>
      </c>
      <c r="F76" s="1033">
        <v>0</v>
      </c>
      <c r="G76" s="1052">
        <v>1.4E-2</v>
      </c>
      <c r="H76" s="1033">
        <v>0</v>
      </c>
      <c r="I76" s="1052">
        <v>0</v>
      </c>
      <c r="J76" s="1033">
        <v>0</v>
      </c>
      <c r="K76" s="1052">
        <v>0</v>
      </c>
      <c r="L76" s="1033">
        <v>0</v>
      </c>
      <c r="M76" s="1052">
        <v>0</v>
      </c>
      <c r="N76" s="1096">
        <v>0</v>
      </c>
      <c r="O76" s="1052">
        <v>34.279000000000003</v>
      </c>
      <c r="P76" s="1097">
        <f t="shared" si="11"/>
        <v>35</v>
      </c>
      <c r="Q76" s="1052">
        <v>55.843000000000004</v>
      </c>
      <c r="R76" s="1096">
        <f t="shared" si="13"/>
        <v>56</v>
      </c>
      <c r="S76" s="1052">
        <v>2.8000000000000001E-2</v>
      </c>
      <c r="T76" s="1096">
        <v>0</v>
      </c>
      <c r="U76" s="1052">
        <v>53.603999999999999</v>
      </c>
      <c r="V76" s="1096">
        <f t="shared" si="14"/>
        <v>54</v>
      </c>
      <c r="W76" s="1052">
        <v>53.454000000000001</v>
      </c>
      <c r="X76" s="1096">
        <f t="shared" si="15"/>
        <v>53</v>
      </c>
      <c r="Y76" s="1052">
        <v>3.7999999999999999E-2</v>
      </c>
      <c r="Z76" s="1096">
        <v>0</v>
      </c>
      <c r="AA76" s="1036">
        <v>0</v>
      </c>
      <c r="AB76" s="1036">
        <v>0</v>
      </c>
      <c r="AC76" s="1036">
        <v>9.0890000000000004</v>
      </c>
      <c r="AD76" s="1036">
        <v>0.69899999999999995</v>
      </c>
      <c r="AE76" s="1036">
        <v>0.04</v>
      </c>
      <c r="AF76" s="1036">
        <v>0.222</v>
      </c>
      <c r="AG76" s="1036">
        <v>10.811</v>
      </c>
      <c r="AH76" s="1036">
        <v>0.23</v>
      </c>
    </row>
    <row r="77" spans="1:115" s="1106" customFormat="1">
      <c r="A77" s="1086" t="s">
        <v>296</v>
      </c>
      <c r="B77" s="1095" t="s">
        <v>73</v>
      </c>
      <c r="C77" s="1052">
        <v>226.553</v>
      </c>
      <c r="D77" s="1033">
        <f t="shared" si="12"/>
        <v>230</v>
      </c>
      <c r="E77" s="1052">
        <v>13.792</v>
      </c>
      <c r="F77" s="1033">
        <f>MROUND(E77,5)</f>
        <v>15</v>
      </c>
      <c r="G77" s="1052">
        <v>1.532</v>
      </c>
      <c r="H77" s="1096">
        <f>MROUND(G77,0.5)</f>
        <v>1.5</v>
      </c>
      <c r="I77" s="1052">
        <v>1.3740000000000001</v>
      </c>
      <c r="J77" s="1096">
        <f>MROUND(I77,0.5)</f>
        <v>1.5</v>
      </c>
      <c r="K77" s="1052">
        <v>0</v>
      </c>
      <c r="L77" s="1033">
        <v>0</v>
      </c>
      <c r="M77" s="1052">
        <v>0</v>
      </c>
      <c r="N77" s="1096">
        <v>0</v>
      </c>
      <c r="O77" s="1052">
        <v>36.798000000000002</v>
      </c>
      <c r="P77" s="1097">
        <f t="shared" si="11"/>
        <v>35</v>
      </c>
      <c r="Q77" s="1052">
        <v>53.356999999999999</v>
      </c>
      <c r="R77" s="1096">
        <f t="shared" si="13"/>
        <v>53</v>
      </c>
      <c r="S77" s="1052">
        <v>0.34799999999999998</v>
      </c>
      <c r="T77" s="1096">
        <v>0</v>
      </c>
      <c r="U77" s="1052">
        <v>51.344999999999999</v>
      </c>
      <c r="V77" s="1096">
        <f t="shared" si="14"/>
        <v>51</v>
      </c>
      <c r="W77" s="1052">
        <v>44.77</v>
      </c>
      <c r="X77" s="1096">
        <f t="shared" si="15"/>
        <v>45</v>
      </c>
      <c r="Y77" s="1052">
        <v>8.1000000000000003E-2</v>
      </c>
      <c r="Z77" s="1096">
        <v>0</v>
      </c>
      <c r="AA77" s="1036">
        <v>0</v>
      </c>
      <c r="AB77" s="1036">
        <v>0</v>
      </c>
      <c r="AC77" s="1036">
        <v>7.8140000000000001</v>
      </c>
      <c r="AD77" s="1036">
        <v>0.60099999999999998</v>
      </c>
      <c r="AE77" s="1036">
        <v>0.04</v>
      </c>
      <c r="AF77" s="1036">
        <v>0.22500000000000001</v>
      </c>
      <c r="AG77" s="1036">
        <v>4.8929999999999998</v>
      </c>
      <c r="AH77" s="1036">
        <v>0.104</v>
      </c>
      <c r="AI77" s="1117"/>
      <c r="AJ77" s="1117"/>
      <c r="AK77" s="1117"/>
      <c r="AL77" s="1117"/>
      <c r="AM77" s="1117"/>
      <c r="AN77" s="1117"/>
      <c r="AO77" s="1117"/>
      <c r="AP77" s="1117"/>
      <c r="AQ77" s="1117"/>
      <c r="AR77" s="1117"/>
      <c r="AS77" s="1117"/>
      <c r="AT77" s="1117"/>
      <c r="AU77" s="1117"/>
      <c r="AV77" s="1117"/>
      <c r="AW77" s="1117"/>
      <c r="AX77" s="1117"/>
      <c r="AY77" s="1117"/>
      <c r="AZ77" s="1117"/>
      <c r="BA77" s="1117"/>
      <c r="BB77" s="1117"/>
      <c r="BC77" s="1117"/>
      <c r="BD77" s="1117"/>
      <c r="BE77" s="1117"/>
      <c r="BF77" s="1117"/>
      <c r="BG77" s="1117"/>
      <c r="BH77" s="1117"/>
      <c r="BI77" s="1117"/>
      <c r="BJ77" s="1117"/>
      <c r="BK77" s="1117"/>
      <c r="BL77" s="1116"/>
      <c r="BM77" s="1116"/>
      <c r="BN77" s="1116"/>
      <c r="BO77" s="1116"/>
      <c r="BP77" s="1116"/>
      <c r="BQ77" s="1116"/>
      <c r="BR77" s="1116"/>
      <c r="BS77" s="1116"/>
      <c r="BT77" s="1116"/>
      <c r="BU77" s="1116"/>
      <c r="BV77" s="1116"/>
      <c r="BW77" s="1116"/>
      <c r="BX77" s="1116"/>
      <c r="BY77" s="1116"/>
      <c r="BZ77" s="1116"/>
      <c r="CA77" s="1116"/>
      <c r="CB77" s="1116"/>
      <c r="CC77" s="1116"/>
      <c r="CD77" s="1116"/>
      <c r="CE77" s="1116"/>
      <c r="CF77" s="1116"/>
      <c r="CG77" s="1116"/>
      <c r="CH77" s="1116"/>
      <c r="CI77" s="1116"/>
      <c r="CJ77" s="1116"/>
      <c r="CK77" s="1116"/>
      <c r="CL77" s="1116"/>
      <c r="CM77" s="1116"/>
      <c r="CN77" s="1116"/>
      <c r="CO77" s="1116"/>
      <c r="CP77" s="1116"/>
      <c r="CQ77" s="1116"/>
      <c r="CR77" s="1116"/>
      <c r="CS77" s="1116"/>
      <c r="CT77" s="1116"/>
      <c r="CU77" s="1116"/>
      <c r="CV77" s="1116"/>
      <c r="CW77" s="1116"/>
      <c r="CX77" s="1116"/>
      <c r="CY77" s="1116"/>
      <c r="CZ77" s="1116"/>
      <c r="DA77" s="1116"/>
      <c r="DB77" s="1116"/>
      <c r="DC77" s="1116"/>
      <c r="DD77" s="1116"/>
      <c r="DE77" s="1116"/>
      <c r="DF77" s="1116"/>
      <c r="DG77" s="1116"/>
      <c r="DH77" s="1116"/>
      <c r="DI77" s="1116"/>
      <c r="DJ77" s="1116"/>
      <c r="DK77" s="1116"/>
    </row>
    <row r="78" spans="1:115">
      <c r="A78" s="1086" t="s">
        <v>296</v>
      </c>
      <c r="B78" s="1095" t="s">
        <v>304</v>
      </c>
      <c r="C78" s="1052">
        <v>211.976</v>
      </c>
      <c r="D78" s="1033">
        <f t="shared" si="12"/>
        <v>210</v>
      </c>
      <c r="E78" s="1052">
        <v>3.6999999999999998E-2</v>
      </c>
      <c r="F78" s="1033">
        <v>0</v>
      </c>
      <c r="G78" s="1052">
        <v>4.0000000000000001E-3</v>
      </c>
      <c r="H78" s="1033">
        <v>0</v>
      </c>
      <c r="I78" s="1052">
        <v>0</v>
      </c>
      <c r="J78" s="1033">
        <v>0</v>
      </c>
      <c r="K78" s="1052">
        <v>0</v>
      </c>
      <c r="L78" s="1033">
        <v>0</v>
      </c>
      <c r="M78" s="1052">
        <v>0</v>
      </c>
      <c r="N78" s="1096">
        <v>0</v>
      </c>
      <c r="O78" s="1052">
        <v>29.672999999999998</v>
      </c>
      <c r="P78" s="1097">
        <f t="shared" si="11"/>
        <v>30</v>
      </c>
      <c r="Q78" s="1052">
        <v>53.588999999999999</v>
      </c>
      <c r="R78" s="1096">
        <f t="shared" si="13"/>
        <v>54</v>
      </c>
      <c r="S78" s="1052">
        <v>6.2E-2</v>
      </c>
      <c r="T78" s="1096">
        <v>0</v>
      </c>
      <c r="U78" s="1052">
        <v>51.006999999999998</v>
      </c>
      <c r="V78" s="1096">
        <f t="shared" si="14"/>
        <v>51</v>
      </c>
      <c r="W78" s="1052">
        <v>50.878999999999998</v>
      </c>
      <c r="X78" s="1096">
        <f t="shared" si="15"/>
        <v>51</v>
      </c>
      <c r="Y78" s="1052">
        <v>1.7999999999999999E-2</v>
      </c>
      <c r="Z78" s="1096">
        <v>0</v>
      </c>
      <c r="AA78" s="1036">
        <v>0</v>
      </c>
      <c r="AB78" s="1036">
        <v>0</v>
      </c>
      <c r="AC78" s="1036">
        <v>8.1110000000000007</v>
      </c>
      <c r="AD78" s="1036">
        <v>0.624</v>
      </c>
      <c r="AE78" s="1036">
        <v>2.1000000000000001E-2</v>
      </c>
      <c r="AF78" s="1036">
        <v>0.11899999999999999</v>
      </c>
      <c r="AG78" s="1036">
        <v>3.1539999999999999</v>
      </c>
      <c r="AH78" s="1036">
        <v>6.7000000000000004E-2</v>
      </c>
    </row>
    <row r="79" spans="1:115" s="1108" customFormat="1">
      <c r="A79" s="1088" t="s">
        <v>296</v>
      </c>
      <c r="B79" s="1095" t="s">
        <v>313</v>
      </c>
      <c r="C79" s="1052">
        <v>207.47900000000001</v>
      </c>
      <c r="D79" s="1033">
        <f t="shared" si="12"/>
        <v>210</v>
      </c>
      <c r="E79" s="1052">
        <v>0</v>
      </c>
      <c r="F79" s="1033">
        <v>0</v>
      </c>
      <c r="G79" s="1052">
        <v>0</v>
      </c>
      <c r="H79" s="1033">
        <v>0</v>
      </c>
      <c r="I79" s="1052">
        <v>0</v>
      </c>
      <c r="J79" s="1033">
        <v>0</v>
      </c>
      <c r="K79" s="1052">
        <v>0</v>
      </c>
      <c r="L79" s="1033">
        <v>0</v>
      </c>
      <c r="M79" s="1052">
        <v>0</v>
      </c>
      <c r="N79" s="1096">
        <v>0</v>
      </c>
      <c r="O79" s="1052">
        <v>30.286000000000001</v>
      </c>
      <c r="P79" s="1097">
        <f t="shared" si="11"/>
        <v>30</v>
      </c>
      <c r="Q79" s="1052">
        <v>52.375999999999998</v>
      </c>
      <c r="R79" s="1096">
        <f t="shared" si="13"/>
        <v>52</v>
      </c>
      <c r="S79" s="1052">
        <v>0</v>
      </c>
      <c r="T79" s="1096">
        <v>0</v>
      </c>
      <c r="U79" s="1052">
        <v>50.313000000000002</v>
      </c>
      <c r="V79" s="1096">
        <f t="shared" si="14"/>
        <v>50</v>
      </c>
      <c r="W79" s="1052">
        <v>50.313000000000002</v>
      </c>
      <c r="X79" s="1096">
        <f t="shared" si="15"/>
        <v>50</v>
      </c>
      <c r="Y79" s="1052">
        <v>0</v>
      </c>
      <c r="Z79" s="1096">
        <v>0</v>
      </c>
      <c r="AA79" s="1050">
        <v>0</v>
      </c>
      <c r="AB79" s="1050">
        <v>0</v>
      </c>
      <c r="AC79" s="1050">
        <v>7.15</v>
      </c>
      <c r="AD79" s="1050">
        <v>0.55000000000000004</v>
      </c>
      <c r="AE79" s="1050">
        <v>8.9999999999999993E-3</v>
      </c>
      <c r="AF79" s="1050">
        <v>0.05</v>
      </c>
      <c r="AG79" s="1050">
        <v>3.81</v>
      </c>
      <c r="AH79" s="1050">
        <v>8.0000000000000002E-3</v>
      </c>
      <c r="AI79" s="1086"/>
      <c r="AJ79" s="1086"/>
      <c r="AK79" s="1086"/>
      <c r="AL79" s="1086"/>
      <c r="AM79" s="1086"/>
      <c r="AN79" s="1086"/>
      <c r="AO79" s="1086"/>
      <c r="AP79" s="1086"/>
      <c r="AQ79" s="1086"/>
      <c r="AR79" s="1086"/>
      <c r="AS79" s="1086"/>
      <c r="AT79" s="1086"/>
      <c r="AU79" s="1086"/>
      <c r="AV79" s="1086"/>
      <c r="AW79" s="1086"/>
      <c r="AX79" s="1086"/>
      <c r="AY79" s="1086"/>
      <c r="AZ79" s="1086"/>
      <c r="BA79" s="1086"/>
      <c r="BB79" s="1086"/>
      <c r="BC79" s="1086"/>
      <c r="BD79" s="1086"/>
      <c r="BE79" s="1086"/>
      <c r="BF79" s="1086"/>
      <c r="BG79" s="1086"/>
      <c r="BH79" s="1086"/>
      <c r="BI79" s="1086"/>
      <c r="BJ79" s="1086"/>
      <c r="BK79" s="1086"/>
      <c r="BL79" s="1086"/>
      <c r="BM79" s="1086"/>
      <c r="BN79" s="1086"/>
      <c r="BO79" s="1086"/>
      <c r="BP79" s="1086"/>
      <c r="BQ79" s="1086"/>
      <c r="BR79" s="1086"/>
      <c r="BS79" s="1086"/>
      <c r="BT79" s="1086"/>
      <c r="BU79" s="1086"/>
      <c r="BV79" s="1086"/>
      <c r="BW79" s="1086"/>
      <c r="BX79" s="1086"/>
      <c r="BY79" s="1086"/>
      <c r="BZ79" s="1086"/>
      <c r="CA79" s="1086"/>
      <c r="CB79" s="1086"/>
      <c r="CC79" s="1086"/>
      <c r="CD79" s="1086"/>
      <c r="CE79" s="1086"/>
      <c r="CF79" s="1086"/>
      <c r="CG79" s="1086"/>
      <c r="CH79" s="1086"/>
      <c r="CI79" s="1086"/>
      <c r="CJ79" s="1086"/>
      <c r="CK79" s="1086"/>
      <c r="CL79" s="1086"/>
      <c r="CM79" s="1086"/>
      <c r="CN79" s="1086"/>
      <c r="CO79" s="1086"/>
      <c r="CP79" s="1086"/>
      <c r="CQ79" s="1086"/>
      <c r="CR79" s="1086"/>
      <c r="CS79" s="1086"/>
      <c r="CT79" s="1086"/>
      <c r="CU79" s="1086"/>
      <c r="CV79" s="1086"/>
      <c r="CW79" s="1086"/>
      <c r="CX79" s="1086"/>
      <c r="CY79" s="1086"/>
      <c r="CZ79" s="1086"/>
      <c r="DA79" s="1086"/>
      <c r="DB79" s="1086"/>
      <c r="DC79" s="1086"/>
      <c r="DD79" s="1086"/>
      <c r="DE79" s="1086"/>
      <c r="DF79" s="1086"/>
      <c r="DG79" s="1086"/>
      <c r="DH79" s="1086"/>
      <c r="DI79" s="1086"/>
      <c r="DJ79" s="1086"/>
      <c r="DK79" s="1086"/>
    </row>
    <row r="80" spans="1:115">
      <c r="A80" s="1086" t="s">
        <v>296</v>
      </c>
      <c r="B80" s="1095" t="s">
        <v>31</v>
      </c>
      <c r="C80" s="1052">
        <v>207.53899999999999</v>
      </c>
      <c r="D80" s="1033">
        <f t="shared" si="12"/>
        <v>210</v>
      </c>
      <c r="E80" s="1052">
        <v>0</v>
      </c>
      <c r="F80" s="1033">
        <v>0</v>
      </c>
      <c r="G80" s="1052">
        <v>1.7999999999999999E-2</v>
      </c>
      <c r="H80" s="1033">
        <v>0</v>
      </c>
      <c r="I80" s="1052">
        <v>0</v>
      </c>
      <c r="J80" s="1033">
        <v>0</v>
      </c>
      <c r="K80" s="1052">
        <v>0</v>
      </c>
      <c r="L80" s="1033">
        <v>0</v>
      </c>
      <c r="M80" s="1052">
        <v>0</v>
      </c>
      <c r="N80" s="1096">
        <v>0</v>
      </c>
      <c r="O80" s="1052">
        <v>35.567999999999998</v>
      </c>
      <c r="P80" s="1097">
        <f t="shared" si="11"/>
        <v>35</v>
      </c>
      <c r="Q80" s="1052">
        <v>53.384999999999998</v>
      </c>
      <c r="R80" s="1096">
        <f t="shared" si="13"/>
        <v>53</v>
      </c>
      <c r="S80" s="1052">
        <v>0.106</v>
      </c>
      <c r="T80" s="1096">
        <v>0</v>
      </c>
      <c r="U80" s="1052">
        <v>50.195999999999998</v>
      </c>
      <c r="V80" s="1096">
        <f t="shared" si="14"/>
        <v>50</v>
      </c>
      <c r="W80" s="1052">
        <v>0</v>
      </c>
      <c r="X80" s="1096">
        <v>0</v>
      </c>
      <c r="Y80" s="1052">
        <v>2.7E-2</v>
      </c>
      <c r="Z80" s="1096">
        <v>0</v>
      </c>
      <c r="AA80" s="1035">
        <v>0</v>
      </c>
      <c r="AB80" s="1035">
        <v>0</v>
      </c>
      <c r="AC80" s="1035">
        <v>0</v>
      </c>
      <c r="AD80" s="1035">
        <v>0</v>
      </c>
      <c r="AE80" s="1035">
        <v>0</v>
      </c>
      <c r="AF80" s="1035">
        <v>0</v>
      </c>
      <c r="AG80" s="1035">
        <v>0</v>
      </c>
      <c r="AH80" s="1035">
        <v>0</v>
      </c>
    </row>
    <row r="81" spans="1:115">
      <c r="A81" s="1086" t="s">
        <v>296</v>
      </c>
      <c r="B81" s="1095" t="s">
        <v>48</v>
      </c>
      <c r="C81" s="1104">
        <v>199.73400000000001</v>
      </c>
      <c r="D81" s="1033">
        <f t="shared" si="12"/>
        <v>200</v>
      </c>
      <c r="E81" s="1104">
        <v>0.4</v>
      </c>
      <c r="F81" s="1033">
        <v>0</v>
      </c>
      <c r="G81" s="1104">
        <v>4.3999999999999997E-2</v>
      </c>
      <c r="H81" s="1033">
        <v>0</v>
      </c>
      <c r="I81" s="1104">
        <v>1E-3</v>
      </c>
      <c r="J81" s="1033">
        <v>0</v>
      </c>
      <c r="K81" s="1104">
        <v>0</v>
      </c>
      <c r="L81" s="1033">
        <v>0</v>
      </c>
      <c r="M81" s="1104">
        <v>0</v>
      </c>
      <c r="N81" s="1096">
        <v>0</v>
      </c>
      <c r="O81" s="1104">
        <v>10.512</v>
      </c>
      <c r="P81" s="1097">
        <f t="shared" si="11"/>
        <v>10</v>
      </c>
      <c r="Q81" s="1104">
        <v>52.087000000000003</v>
      </c>
      <c r="R81" s="1096">
        <f t="shared" si="13"/>
        <v>52</v>
      </c>
      <c r="S81" s="1052">
        <v>0.13800000000000001</v>
      </c>
      <c r="T81" s="1096">
        <v>0</v>
      </c>
      <c r="U81" s="1104">
        <v>49.756</v>
      </c>
      <c r="V81" s="1096">
        <f t="shared" si="14"/>
        <v>50</v>
      </c>
      <c r="W81" s="1104">
        <v>49.1</v>
      </c>
      <c r="X81" s="1096">
        <f>MROUND(W81,1)</f>
        <v>49</v>
      </c>
      <c r="Y81" s="1104">
        <v>0.11700000000000001</v>
      </c>
      <c r="Z81" s="1096">
        <v>0</v>
      </c>
      <c r="AA81" s="1034">
        <v>0</v>
      </c>
      <c r="AB81" s="1034">
        <v>0</v>
      </c>
      <c r="AC81" s="1037">
        <v>10.622</v>
      </c>
      <c r="AD81" s="1037">
        <v>0.81699999999999995</v>
      </c>
      <c r="AE81" s="1037">
        <v>3.7999999999999999E-2</v>
      </c>
      <c r="AF81" s="1037">
        <v>0.20899999999999999</v>
      </c>
      <c r="AG81" s="1037">
        <v>30.18</v>
      </c>
      <c r="AH81" s="1037">
        <v>0.63900000000000001</v>
      </c>
    </row>
    <row r="82" spans="1:115">
      <c r="A82" s="1086" t="s">
        <v>296</v>
      </c>
      <c r="B82" s="1095" t="s">
        <v>315</v>
      </c>
      <c r="C82" s="1052">
        <v>209.35</v>
      </c>
      <c r="D82" s="1033">
        <f t="shared" si="12"/>
        <v>210</v>
      </c>
      <c r="E82" s="1052">
        <v>6.0000000000000001E-3</v>
      </c>
      <c r="F82" s="1033">
        <v>0</v>
      </c>
      <c r="G82" s="1052">
        <v>1E-3</v>
      </c>
      <c r="H82" s="1033">
        <v>0</v>
      </c>
      <c r="I82" s="1052">
        <v>0</v>
      </c>
      <c r="J82" s="1033">
        <v>0</v>
      </c>
      <c r="K82" s="1052">
        <v>0</v>
      </c>
      <c r="L82" s="1033">
        <v>0</v>
      </c>
      <c r="M82" s="1052">
        <v>0</v>
      </c>
      <c r="N82" s="1096">
        <v>0</v>
      </c>
      <c r="O82" s="1052">
        <v>37.436999999999998</v>
      </c>
      <c r="P82" s="1097">
        <f t="shared" si="11"/>
        <v>35</v>
      </c>
      <c r="Q82" s="1052">
        <v>51.676000000000002</v>
      </c>
      <c r="R82" s="1096">
        <f t="shared" si="13"/>
        <v>52</v>
      </c>
      <c r="S82" s="1052">
        <v>6.2E-2</v>
      </c>
      <c r="T82" s="1096">
        <v>0</v>
      </c>
      <c r="U82" s="1052">
        <v>48.914999999999999</v>
      </c>
      <c r="V82" s="1096">
        <f t="shared" si="14"/>
        <v>49</v>
      </c>
      <c r="W82" s="1052">
        <v>48.914999999999999</v>
      </c>
      <c r="X82" s="1096">
        <f>MROUND(W82,1)</f>
        <v>49</v>
      </c>
      <c r="Y82" s="1052">
        <v>0.246</v>
      </c>
      <c r="Z82" s="1096">
        <v>0</v>
      </c>
      <c r="AA82" s="1036">
        <v>0</v>
      </c>
      <c r="AB82" s="1036">
        <v>0</v>
      </c>
      <c r="AC82" s="1036">
        <v>9.5289999999999999</v>
      </c>
      <c r="AD82" s="1036">
        <v>0.73299999999999998</v>
      </c>
      <c r="AE82" s="1036">
        <v>0.04</v>
      </c>
      <c r="AF82" s="1036">
        <v>0.22</v>
      </c>
      <c r="AG82" s="1036">
        <v>11.882</v>
      </c>
      <c r="AH82" s="1036">
        <v>0.253</v>
      </c>
      <c r="AI82" s="1109"/>
      <c r="AJ82" s="1109"/>
      <c r="AK82" s="1109"/>
      <c r="AL82" s="1109"/>
      <c r="AM82" s="1109"/>
      <c r="AN82" s="1109"/>
      <c r="AO82" s="1109"/>
      <c r="AP82" s="1109"/>
      <c r="AQ82" s="1109"/>
      <c r="AR82" s="1109"/>
      <c r="AS82" s="1109"/>
      <c r="AT82" s="1109"/>
      <c r="AU82" s="1109"/>
      <c r="AV82" s="1109"/>
      <c r="AW82" s="1109"/>
      <c r="AX82" s="1109"/>
      <c r="AY82" s="1109"/>
      <c r="AZ82" s="1109"/>
      <c r="BA82" s="1109"/>
      <c r="BB82" s="1109"/>
      <c r="BC82" s="1109"/>
      <c r="BD82" s="1109"/>
      <c r="BE82" s="1109"/>
      <c r="BF82" s="1109"/>
      <c r="BG82" s="1109"/>
      <c r="BH82" s="1109"/>
      <c r="BI82" s="1109"/>
      <c r="BJ82" s="1109"/>
      <c r="BK82" s="1109"/>
      <c r="BL82" s="1115"/>
      <c r="BM82" s="1115"/>
      <c r="BN82" s="1115"/>
      <c r="BO82" s="1115"/>
      <c r="BP82" s="1115"/>
      <c r="BQ82" s="1115"/>
      <c r="BR82" s="1115"/>
      <c r="BS82" s="1115"/>
      <c r="BT82" s="1115"/>
      <c r="BU82" s="1115"/>
      <c r="BV82" s="1115"/>
      <c r="BW82" s="1115"/>
      <c r="BX82" s="1115"/>
      <c r="BY82" s="1115"/>
      <c r="BZ82" s="1115"/>
      <c r="CA82" s="1115"/>
      <c r="CB82" s="1115"/>
      <c r="CC82" s="1115"/>
      <c r="CD82" s="1115"/>
      <c r="CE82" s="1115"/>
      <c r="CF82" s="1115"/>
      <c r="CG82" s="1115"/>
      <c r="CH82" s="1115"/>
      <c r="CI82" s="1115"/>
      <c r="CJ82" s="1115"/>
      <c r="CK82" s="1115"/>
      <c r="CL82" s="1115"/>
      <c r="CM82" s="1115"/>
      <c r="CN82" s="1115"/>
      <c r="CO82" s="1115"/>
      <c r="CP82" s="1115"/>
      <c r="CQ82" s="1115"/>
      <c r="CR82" s="1115"/>
      <c r="CS82" s="1115"/>
      <c r="CT82" s="1115"/>
      <c r="CU82" s="1115"/>
      <c r="CV82" s="1115"/>
      <c r="CW82" s="1115"/>
      <c r="CX82" s="1115"/>
      <c r="CY82" s="1115"/>
      <c r="CZ82" s="1115"/>
      <c r="DA82" s="1115"/>
      <c r="DB82" s="1115"/>
      <c r="DC82" s="1115"/>
      <c r="DD82" s="1115"/>
      <c r="DE82" s="1115"/>
      <c r="DF82" s="1115"/>
      <c r="DG82" s="1115"/>
      <c r="DH82" s="1115"/>
      <c r="DI82" s="1115"/>
      <c r="DJ82" s="1115"/>
      <c r="DK82" s="1115"/>
    </row>
    <row r="83" spans="1:115">
      <c r="A83" s="1086" t="s">
        <v>296</v>
      </c>
      <c r="B83" s="1095" t="s">
        <v>300</v>
      </c>
      <c r="C83" s="1051">
        <v>192.43299999999999</v>
      </c>
      <c r="D83" s="1033">
        <f t="shared" si="12"/>
        <v>190</v>
      </c>
      <c r="E83" s="1051">
        <v>0.64700000000000002</v>
      </c>
      <c r="F83" s="1033">
        <v>0</v>
      </c>
      <c r="G83" s="1051">
        <v>7.1999999999999995E-2</v>
      </c>
      <c r="H83" s="1033">
        <v>0</v>
      </c>
      <c r="I83" s="1051">
        <v>3.0000000000000001E-3</v>
      </c>
      <c r="J83" s="1033">
        <v>0</v>
      </c>
      <c r="K83" s="1051">
        <v>0</v>
      </c>
      <c r="L83" s="1033">
        <v>0</v>
      </c>
      <c r="M83" s="1051">
        <v>0</v>
      </c>
      <c r="N83" s="1096">
        <v>0</v>
      </c>
      <c r="O83" s="1051">
        <v>31.478999999999999</v>
      </c>
      <c r="P83" s="1097">
        <f t="shared" si="11"/>
        <v>30</v>
      </c>
      <c r="Q83" s="1051">
        <v>50.015000000000001</v>
      </c>
      <c r="R83" s="1096">
        <f t="shared" si="13"/>
        <v>50</v>
      </c>
      <c r="S83" s="1051">
        <v>0.249</v>
      </c>
      <c r="T83" s="1096">
        <v>0</v>
      </c>
      <c r="U83" s="1051">
        <v>46.207999999999998</v>
      </c>
      <c r="V83" s="1096">
        <f t="shared" si="14"/>
        <v>46</v>
      </c>
      <c r="W83" s="1051">
        <v>45.415999999999997</v>
      </c>
      <c r="X83" s="1096">
        <f>MROUND(W83,1)</f>
        <v>45</v>
      </c>
      <c r="Y83" s="1051">
        <v>0.14499999999999999</v>
      </c>
      <c r="Z83" s="1096">
        <v>0</v>
      </c>
      <c r="AA83" s="1101">
        <v>0</v>
      </c>
      <c r="AB83" s="1101">
        <v>0</v>
      </c>
      <c r="AC83" s="1101">
        <v>11.122999999999999</v>
      </c>
      <c r="AD83" s="1101">
        <v>0.85599999999999998</v>
      </c>
      <c r="AE83" s="1101">
        <v>4.3999999999999997E-2</v>
      </c>
      <c r="AF83" s="1101">
        <v>0.247</v>
      </c>
      <c r="AG83" s="1101">
        <v>34.935000000000002</v>
      </c>
      <c r="AH83" s="1101">
        <v>0.74299999999999999</v>
      </c>
      <c r="AI83" s="1102"/>
      <c r="AJ83" s="1102"/>
      <c r="AK83" s="1102"/>
      <c r="AL83" s="1102"/>
      <c r="AM83" s="1102"/>
      <c r="AN83" s="1102"/>
      <c r="AO83" s="1102"/>
      <c r="AP83" s="1102"/>
      <c r="AQ83" s="1102"/>
      <c r="AR83" s="1102"/>
      <c r="AS83" s="1102"/>
      <c r="AT83" s="1102"/>
      <c r="AU83" s="1102"/>
      <c r="AV83" s="1102"/>
      <c r="AW83" s="1102"/>
      <c r="AX83" s="1102"/>
      <c r="AY83" s="1102"/>
      <c r="AZ83" s="1102"/>
      <c r="BA83" s="1102"/>
      <c r="BB83" s="1102"/>
      <c r="BC83" s="1102"/>
      <c r="BD83" s="1102"/>
      <c r="BE83" s="1102"/>
      <c r="BF83" s="1102"/>
      <c r="BG83" s="1102"/>
      <c r="BH83" s="1102"/>
      <c r="BI83" s="1102"/>
      <c r="BJ83" s="1102"/>
      <c r="BK83" s="1102"/>
      <c r="BL83" s="1102"/>
      <c r="BM83" s="1102"/>
      <c r="BN83" s="1102"/>
      <c r="BO83" s="1102"/>
      <c r="BP83" s="1102"/>
      <c r="BQ83" s="1102"/>
      <c r="BR83" s="1102"/>
      <c r="BS83" s="1102"/>
      <c r="BT83" s="1102"/>
      <c r="BU83" s="1102"/>
      <c r="BV83" s="1102"/>
      <c r="BW83" s="1102"/>
      <c r="BX83" s="1102"/>
      <c r="BY83" s="1102"/>
      <c r="BZ83" s="1102"/>
      <c r="CA83" s="1102"/>
      <c r="CB83" s="1102"/>
      <c r="CC83" s="1102"/>
      <c r="CD83" s="1102"/>
      <c r="CE83" s="1102"/>
      <c r="CF83" s="1102"/>
      <c r="CG83" s="1102"/>
      <c r="CH83" s="1102"/>
      <c r="CI83" s="1102"/>
      <c r="CJ83" s="1102"/>
      <c r="CK83" s="1102"/>
      <c r="CL83" s="1102"/>
      <c r="CM83" s="1102"/>
      <c r="CN83" s="1102"/>
      <c r="CO83" s="1102"/>
      <c r="CP83" s="1102"/>
      <c r="CQ83" s="1102"/>
      <c r="CR83" s="1102"/>
      <c r="CS83" s="1102"/>
      <c r="CT83" s="1102"/>
      <c r="CU83" s="1102"/>
      <c r="CV83" s="1102"/>
      <c r="CW83" s="1102"/>
      <c r="CX83" s="1102"/>
      <c r="CY83" s="1102"/>
      <c r="CZ83" s="1102"/>
      <c r="DA83" s="1102"/>
      <c r="DB83" s="1102"/>
      <c r="DC83" s="1102"/>
      <c r="DD83" s="1102"/>
      <c r="DE83" s="1102"/>
      <c r="DF83" s="1102"/>
      <c r="DG83" s="1102"/>
      <c r="DH83" s="1102"/>
      <c r="DI83" s="1102"/>
      <c r="DJ83" s="1102"/>
      <c r="DK83" s="1102"/>
    </row>
    <row r="84" spans="1:115">
      <c r="A84" s="1086" t="s">
        <v>92</v>
      </c>
      <c r="B84" s="1095" t="s">
        <v>117</v>
      </c>
      <c r="C84" s="1052">
        <v>223.154</v>
      </c>
      <c r="D84" s="1033">
        <f t="shared" si="12"/>
        <v>220</v>
      </c>
      <c r="E84" s="1052">
        <v>0</v>
      </c>
      <c r="F84" s="1033">
        <v>0</v>
      </c>
      <c r="G84" s="1052">
        <v>3.1880000000000002</v>
      </c>
      <c r="H84" s="1096">
        <f>MROUND(G84,0.5)</f>
        <v>3</v>
      </c>
      <c r="I84" s="1052">
        <v>2.9470000000000001</v>
      </c>
      <c r="J84" s="1096">
        <f>MROUND(I84,0.5)</f>
        <v>3</v>
      </c>
      <c r="K84" s="1052">
        <v>1E-3</v>
      </c>
      <c r="L84" s="1033">
        <v>0</v>
      </c>
      <c r="M84" s="1052">
        <v>0</v>
      </c>
      <c r="N84" s="1096">
        <v>0</v>
      </c>
      <c r="O84" s="1052">
        <v>69.230999999999995</v>
      </c>
      <c r="P84" s="1097">
        <f t="shared" si="11"/>
        <v>70</v>
      </c>
      <c r="Q84" s="1052">
        <v>48.167999999999999</v>
      </c>
      <c r="R84" s="1096">
        <f t="shared" si="13"/>
        <v>48</v>
      </c>
      <c r="S84" s="1052">
        <v>0.27400000000000002</v>
      </c>
      <c r="T84" s="1096">
        <v>0</v>
      </c>
      <c r="U84" s="1052">
        <v>43.661999999999999</v>
      </c>
      <c r="V84" s="1096">
        <f t="shared" si="14"/>
        <v>44</v>
      </c>
      <c r="W84" s="1052">
        <v>0</v>
      </c>
      <c r="X84" s="1096">
        <v>0</v>
      </c>
      <c r="Y84" s="1098">
        <v>0.436</v>
      </c>
      <c r="Z84" s="1096">
        <v>0</v>
      </c>
      <c r="AA84" s="1036">
        <v>0</v>
      </c>
      <c r="AB84" s="1036">
        <v>0</v>
      </c>
      <c r="AC84" s="1036">
        <v>0</v>
      </c>
      <c r="AD84" s="1036">
        <v>0</v>
      </c>
      <c r="AE84" s="1036">
        <v>0</v>
      </c>
      <c r="AF84" s="1036">
        <v>0</v>
      </c>
      <c r="AG84" s="1036">
        <v>0</v>
      </c>
      <c r="AH84" s="1036">
        <v>0</v>
      </c>
    </row>
    <row r="85" spans="1:115" s="1102" customFormat="1">
      <c r="A85" s="1086" t="s">
        <v>296</v>
      </c>
      <c r="B85" s="1095" t="s">
        <v>61</v>
      </c>
      <c r="C85" s="1052">
        <v>173.012</v>
      </c>
      <c r="D85" s="1033">
        <f t="shared" si="12"/>
        <v>170</v>
      </c>
      <c r="E85" s="1052">
        <v>0.49299999999999999</v>
      </c>
      <c r="F85" s="1033">
        <v>0</v>
      </c>
      <c r="G85" s="1052">
        <v>5.5E-2</v>
      </c>
      <c r="H85" s="1033">
        <v>0</v>
      </c>
      <c r="I85" s="1052">
        <v>2E-3</v>
      </c>
      <c r="J85" s="1033">
        <v>0</v>
      </c>
      <c r="K85" s="1052">
        <v>0</v>
      </c>
      <c r="L85" s="1033">
        <v>0</v>
      </c>
      <c r="M85" s="1052">
        <v>0</v>
      </c>
      <c r="N85" s="1096">
        <v>0</v>
      </c>
      <c r="O85" s="1052">
        <v>31.128</v>
      </c>
      <c r="P85" s="1097">
        <f t="shared" si="11"/>
        <v>30</v>
      </c>
      <c r="Q85" s="1052">
        <v>44.627000000000002</v>
      </c>
      <c r="R85" s="1096">
        <f t="shared" si="13"/>
        <v>45</v>
      </c>
      <c r="S85" s="1052">
        <v>0.21099999999999999</v>
      </c>
      <c r="T85" s="1096">
        <v>0</v>
      </c>
      <c r="U85" s="1052">
        <v>42.286000000000001</v>
      </c>
      <c r="V85" s="1096">
        <f t="shared" si="14"/>
        <v>42</v>
      </c>
      <c r="W85" s="1052">
        <v>41.73</v>
      </c>
      <c r="X85" s="1096">
        <f>MROUND(W85,1)</f>
        <v>42</v>
      </c>
      <c r="Y85" s="1052">
        <v>0.13</v>
      </c>
      <c r="Z85" s="1096">
        <v>0</v>
      </c>
      <c r="AA85" s="1036">
        <v>0</v>
      </c>
      <c r="AB85" s="1036">
        <v>0</v>
      </c>
      <c r="AC85" s="1036">
        <v>10.161</v>
      </c>
      <c r="AD85" s="1036">
        <v>0.78200000000000003</v>
      </c>
      <c r="AE85" s="1036">
        <v>0.05</v>
      </c>
      <c r="AF85" s="1036">
        <v>0.27800000000000002</v>
      </c>
      <c r="AG85" s="1036">
        <v>28.885000000000002</v>
      </c>
      <c r="AH85" s="1036">
        <v>0.61499999999999999</v>
      </c>
      <c r="AI85" s="1086"/>
      <c r="AJ85" s="1086"/>
      <c r="AK85" s="1086"/>
      <c r="AL85" s="1086"/>
      <c r="AM85" s="1086"/>
      <c r="AN85" s="1086"/>
      <c r="AO85" s="1086"/>
      <c r="AP85" s="1086"/>
      <c r="AQ85" s="1086"/>
      <c r="AR85" s="1086"/>
      <c r="AS85" s="1086"/>
      <c r="AT85" s="1086"/>
      <c r="AU85" s="1086"/>
      <c r="AV85" s="1086"/>
      <c r="AW85" s="1086"/>
      <c r="AX85" s="1086"/>
      <c r="AY85" s="1086"/>
      <c r="AZ85" s="1086"/>
      <c r="BA85" s="1086"/>
      <c r="BB85" s="1086"/>
      <c r="BC85" s="1086"/>
      <c r="BD85" s="1086"/>
      <c r="BE85" s="1086"/>
      <c r="BF85" s="1086"/>
      <c r="BG85" s="1086"/>
      <c r="BH85" s="1086"/>
      <c r="BI85" s="1086"/>
      <c r="BJ85" s="1086"/>
      <c r="BK85" s="1086"/>
      <c r="BL85" s="1086"/>
      <c r="BM85" s="1086"/>
      <c r="BN85" s="1086"/>
      <c r="BO85" s="1086"/>
      <c r="BP85" s="1086"/>
      <c r="BQ85" s="1086"/>
      <c r="BR85" s="1086"/>
      <c r="BS85" s="1086"/>
      <c r="BT85" s="1086"/>
      <c r="BU85" s="1086"/>
      <c r="BV85" s="1086"/>
      <c r="BW85" s="1086"/>
      <c r="BX85" s="1086"/>
      <c r="BY85" s="1086"/>
      <c r="BZ85" s="1086"/>
      <c r="CA85" s="1086"/>
      <c r="CB85" s="1086"/>
      <c r="CC85" s="1086"/>
      <c r="CD85" s="1086"/>
      <c r="CE85" s="1086"/>
      <c r="CF85" s="1086"/>
      <c r="CG85" s="1086"/>
      <c r="CH85" s="1086"/>
      <c r="CI85" s="1086"/>
      <c r="CJ85" s="1086"/>
      <c r="CK85" s="1086"/>
      <c r="CL85" s="1086"/>
      <c r="CM85" s="1086"/>
      <c r="CN85" s="1086"/>
      <c r="CO85" s="1086"/>
      <c r="CP85" s="1086"/>
      <c r="CQ85" s="1086"/>
      <c r="CR85" s="1086"/>
      <c r="CS85" s="1086"/>
      <c r="CT85" s="1086"/>
      <c r="CU85" s="1086"/>
      <c r="CV85" s="1086"/>
      <c r="CW85" s="1086"/>
      <c r="CX85" s="1086"/>
      <c r="CY85" s="1086"/>
      <c r="CZ85" s="1086"/>
      <c r="DA85" s="1086"/>
      <c r="DB85" s="1086"/>
      <c r="DC85" s="1086"/>
      <c r="DD85" s="1086"/>
      <c r="DE85" s="1086"/>
      <c r="DF85" s="1086"/>
      <c r="DG85" s="1086"/>
      <c r="DH85" s="1086"/>
      <c r="DI85" s="1086"/>
      <c r="DJ85" s="1086"/>
      <c r="DK85" s="1086"/>
    </row>
    <row r="86" spans="1:115">
      <c r="A86" s="1086" t="s">
        <v>296</v>
      </c>
      <c r="B86" s="1095" t="s">
        <v>55</v>
      </c>
      <c r="C86" s="1104">
        <v>339.46199999999999</v>
      </c>
      <c r="D86" s="1033">
        <f t="shared" si="12"/>
        <v>340</v>
      </c>
      <c r="E86" s="1104">
        <v>0.23200000000000001</v>
      </c>
      <c r="F86" s="1033">
        <v>0</v>
      </c>
      <c r="G86" s="1104">
        <v>2.5999999999999999E-2</v>
      </c>
      <c r="H86" s="1033">
        <v>0</v>
      </c>
      <c r="I86" s="1104">
        <v>2E-3</v>
      </c>
      <c r="J86" s="1033">
        <v>0</v>
      </c>
      <c r="K86" s="1104">
        <v>0</v>
      </c>
      <c r="L86" s="1033">
        <v>0</v>
      </c>
      <c r="M86" s="1104">
        <v>0</v>
      </c>
      <c r="N86" s="1096">
        <v>0</v>
      </c>
      <c r="O86" s="1104">
        <v>80.75</v>
      </c>
      <c r="P86" s="1097">
        <f t="shared" si="11"/>
        <v>80</v>
      </c>
      <c r="Q86" s="1104">
        <v>81.292000000000002</v>
      </c>
      <c r="R86" s="1096">
        <f t="shared" si="13"/>
        <v>81</v>
      </c>
      <c r="S86" s="1052">
        <v>0.22800000000000001</v>
      </c>
      <c r="T86" s="1096">
        <v>0</v>
      </c>
      <c r="U86" s="1104">
        <v>38.082000000000001</v>
      </c>
      <c r="V86" s="1096">
        <f t="shared" si="14"/>
        <v>38</v>
      </c>
      <c r="W86" s="1104">
        <v>37.704000000000001</v>
      </c>
      <c r="X86" s="1096">
        <f>MROUND(W86,1)</f>
        <v>38</v>
      </c>
      <c r="Y86" s="1104">
        <v>8.6999999999999994E-2</v>
      </c>
      <c r="Z86" s="1096">
        <v>0</v>
      </c>
      <c r="AA86" s="1036">
        <v>0</v>
      </c>
      <c r="AB86" s="1036">
        <v>0</v>
      </c>
      <c r="AC86" s="1036">
        <v>9.4719999999999995</v>
      </c>
      <c r="AD86" s="1036">
        <v>0.72899999999999998</v>
      </c>
      <c r="AE86" s="1036">
        <v>4.2000000000000003E-2</v>
      </c>
      <c r="AF86" s="1036">
        <v>0.23499999999999999</v>
      </c>
      <c r="AG86" s="1036">
        <v>16.446000000000002</v>
      </c>
      <c r="AH86" s="1036">
        <v>0.35</v>
      </c>
    </row>
    <row r="87" spans="1:115" s="1107" customFormat="1">
      <c r="A87" s="1088" t="s">
        <v>296</v>
      </c>
      <c r="B87" s="1095" t="s">
        <v>37</v>
      </c>
      <c r="C87" s="1052">
        <v>129.43299999999999</v>
      </c>
      <c r="D87" s="1033">
        <f t="shared" si="12"/>
        <v>130</v>
      </c>
      <c r="E87" s="1052">
        <v>0</v>
      </c>
      <c r="F87" s="1033">
        <v>0</v>
      </c>
      <c r="G87" s="1052">
        <v>0</v>
      </c>
      <c r="H87" s="1033">
        <v>0</v>
      </c>
      <c r="I87" s="1052">
        <v>0</v>
      </c>
      <c r="J87" s="1033">
        <v>0</v>
      </c>
      <c r="K87" s="1052">
        <v>0</v>
      </c>
      <c r="L87" s="1033">
        <v>0</v>
      </c>
      <c r="M87" s="1052">
        <v>0</v>
      </c>
      <c r="N87" s="1096">
        <v>0</v>
      </c>
      <c r="O87" s="1052">
        <v>34.078000000000003</v>
      </c>
      <c r="P87" s="1097">
        <f t="shared" si="11"/>
        <v>35</v>
      </c>
      <c r="Q87" s="1052">
        <v>33.774999999999999</v>
      </c>
      <c r="R87" s="1096">
        <f t="shared" si="13"/>
        <v>34</v>
      </c>
      <c r="S87" s="1052">
        <v>0</v>
      </c>
      <c r="T87" s="1096">
        <v>0</v>
      </c>
      <c r="U87" s="1052">
        <v>32.774000000000001</v>
      </c>
      <c r="V87" s="1096">
        <f t="shared" si="14"/>
        <v>33</v>
      </c>
      <c r="W87" s="1052">
        <v>24.806000000000001</v>
      </c>
      <c r="X87" s="1096">
        <f>MROUND(W87,1)</f>
        <v>25</v>
      </c>
      <c r="Y87" s="1052">
        <v>0</v>
      </c>
      <c r="Z87" s="1096">
        <v>0</v>
      </c>
      <c r="AA87" s="1036">
        <v>0</v>
      </c>
      <c r="AB87" s="1036">
        <v>0</v>
      </c>
      <c r="AC87" s="1036">
        <v>6.48</v>
      </c>
      <c r="AD87" s="1036">
        <v>0.498</v>
      </c>
      <c r="AE87" s="1036">
        <v>1.2E-2</v>
      </c>
      <c r="AF87" s="1036">
        <v>6.6000000000000003E-2</v>
      </c>
      <c r="AG87" s="1036">
        <v>0.497</v>
      </c>
      <c r="AH87" s="1036">
        <v>1.0999999999999999E-2</v>
      </c>
      <c r="AI87" s="1086"/>
      <c r="AJ87" s="1086"/>
      <c r="AK87" s="1086"/>
      <c r="AL87" s="1086"/>
      <c r="AM87" s="1086"/>
      <c r="AN87" s="1086"/>
      <c r="AO87" s="1086"/>
      <c r="AP87" s="1086"/>
      <c r="AQ87" s="1086"/>
      <c r="AR87" s="1086"/>
      <c r="AS87" s="1086"/>
      <c r="AT87" s="1086"/>
      <c r="AU87" s="1086"/>
      <c r="AV87" s="1086"/>
      <c r="AW87" s="1086"/>
      <c r="AX87" s="1086"/>
      <c r="AY87" s="1086"/>
      <c r="AZ87" s="1086"/>
      <c r="BA87" s="1086"/>
      <c r="BB87" s="1086"/>
      <c r="BC87" s="1086"/>
      <c r="BD87" s="1086"/>
      <c r="BE87" s="1086"/>
      <c r="BF87" s="1086"/>
      <c r="BG87" s="1086"/>
      <c r="BH87" s="1086"/>
      <c r="BI87" s="1086"/>
      <c r="BJ87" s="1086"/>
      <c r="BK87" s="1086"/>
      <c r="BL87" s="1086"/>
      <c r="BM87" s="1086"/>
      <c r="BN87" s="1086"/>
      <c r="BO87" s="1086"/>
      <c r="BP87" s="1086"/>
      <c r="BQ87" s="1086"/>
      <c r="BR87" s="1086"/>
      <c r="BS87" s="1086"/>
      <c r="BT87" s="1086"/>
      <c r="BU87" s="1086"/>
      <c r="BV87" s="1086"/>
      <c r="BW87" s="1086"/>
      <c r="BX87" s="1086"/>
      <c r="BY87" s="1086"/>
      <c r="BZ87" s="1086"/>
      <c r="CA87" s="1086"/>
      <c r="CB87" s="1086"/>
      <c r="CC87" s="1086"/>
      <c r="CD87" s="1086"/>
      <c r="CE87" s="1086"/>
      <c r="CF87" s="1086"/>
      <c r="CG87" s="1086"/>
      <c r="CH87" s="1086"/>
      <c r="CI87" s="1086"/>
      <c r="CJ87" s="1086"/>
      <c r="CK87" s="1086"/>
      <c r="CL87" s="1086"/>
      <c r="CM87" s="1086"/>
      <c r="CN87" s="1086"/>
      <c r="CO87" s="1086"/>
      <c r="CP87" s="1086"/>
      <c r="CQ87" s="1086"/>
      <c r="CR87" s="1086"/>
      <c r="CS87" s="1086"/>
      <c r="CT87" s="1086"/>
      <c r="CU87" s="1086"/>
      <c r="CV87" s="1086"/>
      <c r="CW87" s="1086"/>
      <c r="CX87" s="1086"/>
      <c r="CY87" s="1086"/>
      <c r="CZ87" s="1086"/>
      <c r="DA87" s="1086"/>
      <c r="DB87" s="1086"/>
      <c r="DC87" s="1086"/>
      <c r="DD87" s="1086"/>
      <c r="DE87" s="1086"/>
      <c r="DF87" s="1086"/>
      <c r="DG87" s="1086"/>
      <c r="DH87" s="1086"/>
      <c r="DI87" s="1086"/>
      <c r="DJ87" s="1086"/>
      <c r="DK87" s="1086"/>
    </row>
    <row r="88" spans="1:115" s="1107" customFormat="1">
      <c r="A88" s="1086" t="s">
        <v>325</v>
      </c>
      <c r="B88" s="1095" t="s">
        <v>331</v>
      </c>
      <c r="C88" s="1052">
        <v>115.566</v>
      </c>
      <c r="D88" s="1033">
        <f t="shared" si="12"/>
        <v>120</v>
      </c>
      <c r="E88" s="1052">
        <v>8.3000000000000004E-2</v>
      </c>
      <c r="F88" s="1033">
        <v>0</v>
      </c>
      <c r="G88" s="1052">
        <v>8.9999999999999993E-3</v>
      </c>
      <c r="H88" s="1033">
        <v>0</v>
      </c>
      <c r="I88" s="1052">
        <v>8.0000000000000002E-3</v>
      </c>
      <c r="J88" s="1033">
        <v>0</v>
      </c>
      <c r="K88" s="1052">
        <v>0</v>
      </c>
      <c r="L88" s="1033">
        <v>0</v>
      </c>
      <c r="M88" s="1052">
        <v>0</v>
      </c>
      <c r="N88" s="1096">
        <v>0</v>
      </c>
      <c r="O88" s="1052">
        <v>24.15</v>
      </c>
      <c r="P88" s="1097">
        <f t="shared" si="11"/>
        <v>25</v>
      </c>
      <c r="Q88" s="1052">
        <v>40.290999999999997</v>
      </c>
      <c r="R88" s="1096">
        <f t="shared" si="13"/>
        <v>40</v>
      </c>
      <c r="S88" s="1052">
        <v>1.4999999999999999E-2</v>
      </c>
      <c r="T88" s="1096">
        <v>0</v>
      </c>
      <c r="U88" s="1052">
        <v>0.14299999999999999</v>
      </c>
      <c r="V88" s="1096">
        <v>0</v>
      </c>
      <c r="W88" s="1052">
        <v>0</v>
      </c>
      <c r="X88" s="1096">
        <v>0</v>
      </c>
      <c r="Y88" s="1098">
        <v>1.2E-2</v>
      </c>
      <c r="Z88" s="1096">
        <v>0</v>
      </c>
      <c r="AA88" s="1036">
        <v>0</v>
      </c>
      <c r="AB88" s="1036">
        <v>0</v>
      </c>
      <c r="AC88" s="1036">
        <v>12.351000000000001</v>
      </c>
      <c r="AD88" s="1036">
        <v>0.95</v>
      </c>
      <c r="AE88" s="1036">
        <v>6.3E-2</v>
      </c>
      <c r="AF88" s="1036">
        <v>0.35</v>
      </c>
      <c r="AG88" s="1036">
        <v>22.015999999999998</v>
      </c>
      <c r="AH88" s="1036">
        <v>0.46800000000000003</v>
      </c>
      <c r="AI88" s="1086"/>
      <c r="AJ88" s="1086"/>
      <c r="AK88" s="1086"/>
      <c r="AL88" s="1086"/>
      <c r="AM88" s="1086"/>
      <c r="AN88" s="1086"/>
      <c r="AO88" s="1086"/>
      <c r="AP88" s="1086"/>
      <c r="AQ88" s="1086"/>
      <c r="AR88" s="1086"/>
      <c r="AS88" s="1086"/>
      <c r="AT88" s="1086"/>
      <c r="AU88" s="1086"/>
      <c r="AV88" s="1086"/>
      <c r="AW88" s="1086"/>
      <c r="AX88" s="1086"/>
      <c r="AY88" s="1086"/>
      <c r="AZ88" s="1086"/>
      <c r="BA88" s="1086"/>
      <c r="BB88" s="1086"/>
      <c r="BC88" s="1086"/>
      <c r="BD88" s="1086"/>
      <c r="BE88" s="1086"/>
      <c r="BF88" s="1086"/>
      <c r="BG88" s="1086"/>
      <c r="BH88" s="1086"/>
      <c r="BI88" s="1086"/>
      <c r="BJ88" s="1086"/>
      <c r="BK88" s="1086"/>
      <c r="BL88" s="1086"/>
      <c r="BM88" s="1086"/>
      <c r="BN88" s="1086"/>
      <c r="BO88" s="1086"/>
      <c r="BP88" s="1086"/>
      <c r="BQ88" s="1086"/>
      <c r="BR88" s="1086"/>
      <c r="BS88" s="1086"/>
      <c r="BT88" s="1086"/>
      <c r="BU88" s="1086"/>
      <c r="BV88" s="1086"/>
      <c r="BW88" s="1086"/>
      <c r="BX88" s="1086"/>
      <c r="BY88" s="1086"/>
      <c r="BZ88" s="1086"/>
      <c r="CA88" s="1086"/>
      <c r="CB88" s="1086"/>
      <c r="CC88" s="1086"/>
      <c r="CD88" s="1086"/>
      <c r="CE88" s="1086"/>
      <c r="CF88" s="1086"/>
      <c r="CG88" s="1086"/>
      <c r="CH88" s="1086"/>
      <c r="CI88" s="1086"/>
      <c r="CJ88" s="1086"/>
      <c r="CK88" s="1086"/>
      <c r="CL88" s="1086"/>
      <c r="CM88" s="1086"/>
      <c r="CN88" s="1086"/>
      <c r="CO88" s="1086"/>
      <c r="CP88" s="1086"/>
      <c r="CQ88" s="1086"/>
      <c r="CR88" s="1086"/>
      <c r="CS88" s="1086"/>
      <c r="CT88" s="1086"/>
      <c r="CU88" s="1086"/>
      <c r="CV88" s="1086"/>
      <c r="CW88" s="1086"/>
      <c r="CX88" s="1086"/>
      <c r="CY88" s="1086"/>
      <c r="CZ88" s="1086"/>
      <c r="DA88" s="1086"/>
      <c r="DB88" s="1086"/>
      <c r="DC88" s="1086"/>
      <c r="DD88" s="1086"/>
      <c r="DE88" s="1086"/>
      <c r="DF88" s="1086"/>
      <c r="DG88" s="1086"/>
      <c r="DH88" s="1086"/>
      <c r="DI88" s="1086"/>
      <c r="DJ88" s="1086"/>
      <c r="DK88" s="1086"/>
    </row>
    <row r="89" spans="1:115">
      <c r="A89" s="1086" t="s">
        <v>325</v>
      </c>
      <c r="B89" s="1095" t="s">
        <v>124</v>
      </c>
      <c r="C89" s="1052">
        <v>111.38800000000001</v>
      </c>
      <c r="D89" s="1033">
        <f t="shared" si="12"/>
        <v>110</v>
      </c>
      <c r="E89" s="1052">
        <v>0</v>
      </c>
      <c r="F89" s="1033">
        <v>0</v>
      </c>
      <c r="G89" s="1052">
        <v>1.0999999999999999E-2</v>
      </c>
      <c r="H89" s="1033">
        <v>0</v>
      </c>
      <c r="I89" s="1052">
        <v>7.0000000000000001E-3</v>
      </c>
      <c r="J89" s="1033">
        <v>0</v>
      </c>
      <c r="K89" s="1052">
        <v>0</v>
      </c>
      <c r="L89" s="1033">
        <v>0</v>
      </c>
      <c r="M89" s="1052">
        <v>0</v>
      </c>
      <c r="N89" s="1096">
        <v>0</v>
      </c>
      <c r="O89" s="1052">
        <v>28.048999999999999</v>
      </c>
      <c r="P89" s="1097">
        <f t="shared" si="11"/>
        <v>30</v>
      </c>
      <c r="Q89" s="1052">
        <v>39.256999999999998</v>
      </c>
      <c r="R89" s="1096">
        <f t="shared" si="13"/>
        <v>39</v>
      </c>
      <c r="S89" s="1052">
        <v>7.0000000000000001E-3</v>
      </c>
      <c r="T89" s="1096">
        <v>0</v>
      </c>
      <c r="U89" s="1052">
        <v>0.11700000000000001</v>
      </c>
      <c r="V89" s="1096">
        <v>0</v>
      </c>
      <c r="W89" s="1052">
        <v>0.11700000000000001</v>
      </c>
      <c r="X89" s="1096">
        <v>0</v>
      </c>
      <c r="Y89" s="1098">
        <v>1.4E-2</v>
      </c>
      <c r="Z89" s="1096">
        <v>0</v>
      </c>
      <c r="AA89" s="1036">
        <v>0</v>
      </c>
      <c r="AB89" s="1036">
        <v>0</v>
      </c>
      <c r="AC89" s="1036">
        <v>7.6360000000000001</v>
      </c>
      <c r="AD89" s="1036">
        <v>0.58699999999999997</v>
      </c>
      <c r="AE89" s="1036">
        <v>6.8000000000000005E-2</v>
      </c>
      <c r="AF89" s="1036">
        <v>0.379</v>
      </c>
      <c r="AG89" s="1036">
        <v>18.32</v>
      </c>
      <c r="AH89" s="1036">
        <v>0.39</v>
      </c>
    </row>
    <row r="90" spans="1:115">
      <c r="A90" s="1102" t="s">
        <v>325</v>
      </c>
      <c r="B90" s="1095" t="s">
        <v>123</v>
      </c>
      <c r="C90" s="1052">
        <v>116.307</v>
      </c>
      <c r="D90" s="1033">
        <f t="shared" si="12"/>
        <v>120</v>
      </c>
      <c r="E90" s="1052">
        <v>0</v>
      </c>
      <c r="F90" s="1033">
        <v>0</v>
      </c>
      <c r="G90" s="1052">
        <v>8.0000000000000002E-3</v>
      </c>
      <c r="H90" s="1033">
        <v>0</v>
      </c>
      <c r="I90" s="1052">
        <v>8.0000000000000002E-3</v>
      </c>
      <c r="J90" s="1033">
        <v>0</v>
      </c>
      <c r="K90" s="1052">
        <v>0</v>
      </c>
      <c r="L90" s="1033">
        <v>0</v>
      </c>
      <c r="M90" s="1052">
        <v>0</v>
      </c>
      <c r="N90" s="1096">
        <v>0</v>
      </c>
      <c r="O90" s="1052">
        <v>24.914000000000001</v>
      </c>
      <c r="P90" s="1097">
        <f t="shared" si="11"/>
        <v>25</v>
      </c>
      <c r="Q90" s="1052">
        <v>40.709000000000003</v>
      </c>
      <c r="R90" s="1096">
        <f t="shared" si="13"/>
        <v>41</v>
      </c>
      <c r="S90" s="1052">
        <v>8.0000000000000002E-3</v>
      </c>
      <c r="T90" s="1096">
        <v>0</v>
      </c>
      <c r="U90" s="1052">
        <v>8.2000000000000003E-2</v>
      </c>
      <c r="V90" s="1096">
        <v>0</v>
      </c>
      <c r="W90" s="1052">
        <v>0</v>
      </c>
      <c r="X90" s="1096">
        <v>0</v>
      </c>
      <c r="Y90" s="1098">
        <v>2.4E-2</v>
      </c>
      <c r="Z90" s="1096">
        <v>0</v>
      </c>
      <c r="AA90" s="1036">
        <v>0</v>
      </c>
      <c r="AB90" s="1036">
        <v>0</v>
      </c>
      <c r="AC90" s="1036">
        <v>12.368</v>
      </c>
      <c r="AD90" s="1036">
        <v>0.95099999999999996</v>
      </c>
      <c r="AE90" s="1036">
        <v>5.1999999999999998E-2</v>
      </c>
      <c r="AF90" s="1036">
        <v>0.28899999999999998</v>
      </c>
      <c r="AG90" s="1036">
        <v>23.164999999999999</v>
      </c>
      <c r="AH90" s="1036">
        <v>0.49299999999999999</v>
      </c>
    </row>
    <row r="91" spans="1:115">
      <c r="A91" s="1086" t="s">
        <v>325</v>
      </c>
      <c r="B91" s="1095" t="s">
        <v>127</v>
      </c>
      <c r="C91" s="1119">
        <v>117.666</v>
      </c>
      <c r="D91" s="1033">
        <f t="shared" si="12"/>
        <v>120</v>
      </c>
      <c r="E91" s="1119">
        <v>6.9000000000000006E-2</v>
      </c>
      <c r="F91" s="1033">
        <v>0</v>
      </c>
      <c r="G91" s="1119">
        <v>8.0000000000000002E-3</v>
      </c>
      <c r="H91" s="1033">
        <v>0</v>
      </c>
      <c r="I91" s="1119">
        <v>0</v>
      </c>
      <c r="J91" s="1033">
        <v>0</v>
      </c>
      <c r="K91" s="1119">
        <v>0</v>
      </c>
      <c r="L91" s="1033">
        <v>0</v>
      </c>
      <c r="M91" s="1119">
        <v>0</v>
      </c>
      <c r="N91" s="1096">
        <v>0</v>
      </c>
      <c r="O91" s="1119">
        <v>35.286999999999999</v>
      </c>
      <c r="P91" s="1097">
        <f t="shared" si="11"/>
        <v>35</v>
      </c>
      <c r="Q91" s="1119">
        <v>40.637</v>
      </c>
      <c r="R91" s="1096">
        <f t="shared" si="13"/>
        <v>41</v>
      </c>
      <c r="S91" s="1119">
        <v>0</v>
      </c>
      <c r="T91" s="1096">
        <v>0</v>
      </c>
      <c r="U91" s="1119">
        <v>8.1000000000000003E-2</v>
      </c>
      <c r="V91" s="1096">
        <v>0</v>
      </c>
      <c r="W91" s="1119">
        <v>0</v>
      </c>
      <c r="X91" s="1096">
        <v>0</v>
      </c>
      <c r="Y91" s="1120">
        <v>1.2999999999999999E-2</v>
      </c>
      <c r="Z91" s="1096">
        <v>0</v>
      </c>
      <c r="AA91" s="1121">
        <v>0</v>
      </c>
      <c r="AB91" s="1121">
        <v>0</v>
      </c>
      <c r="AC91" s="1121">
        <v>7.8849999999999998</v>
      </c>
      <c r="AD91" s="1121">
        <v>0.60699999999999998</v>
      </c>
      <c r="AE91" s="1121">
        <v>5.1999999999999998E-2</v>
      </c>
      <c r="AF91" s="1121">
        <v>0.28799999999999998</v>
      </c>
      <c r="AG91" s="1121">
        <v>22.64</v>
      </c>
      <c r="AH91" s="1121">
        <v>0.48199999999999998</v>
      </c>
      <c r="AI91" s="1107"/>
      <c r="AJ91" s="1107"/>
      <c r="AK91" s="1107"/>
      <c r="AL91" s="1107"/>
      <c r="AM91" s="1107"/>
      <c r="AN91" s="1107"/>
      <c r="AO91" s="1107"/>
      <c r="AP91" s="1107"/>
      <c r="AQ91" s="1107"/>
      <c r="AR91" s="1107"/>
      <c r="AS91" s="1107"/>
      <c r="AT91" s="1107"/>
      <c r="AU91" s="1107"/>
      <c r="AV91" s="1107"/>
      <c r="AW91" s="1107"/>
      <c r="AX91" s="1107"/>
      <c r="AY91" s="1107"/>
      <c r="AZ91" s="1107"/>
      <c r="BA91" s="1107"/>
      <c r="BB91" s="1107"/>
      <c r="BC91" s="1107"/>
      <c r="BD91" s="1107"/>
      <c r="BE91" s="1107"/>
      <c r="BF91" s="1107"/>
      <c r="BG91" s="1107"/>
      <c r="BH91" s="1107"/>
      <c r="BI91" s="1107"/>
      <c r="BJ91" s="1107"/>
      <c r="BK91" s="1107"/>
      <c r="BL91" s="1107"/>
      <c r="BM91" s="1107"/>
      <c r="BN91" s="1107"/>
      <c r="BO91" s="1107"/>
      <c r="BP91" s="1107"/>
      <c r="BQ91" s="1107"/>
      <c r="BR91" s="1107"/>
      <c r="BS91" s="1107"/>
      <c r="BT91" s="1107"/>
      <c r="BU91" s="1107"/>
      <c r="BV91" s="1107"/>
      <c r="BW91" s="1107"/>
      <c r="BX91" s="1107"/>
      <c r="BY91" s="1107"/>
      <c r="BZ91" s="1107"/>
      <c r="CA91" s="1107"/>
      <c r="CB91" s="1107"/>
      <c r="CC91" s="1107"/>
      <c r="CD91" s="1107"/>
      <c r="CE91" s="1107"/>
      <c r="CF91" s="1107"/>
      <c r="CG91" s="1107"/>
      <c r="CH91" s="1107"/>
      <c r="CI91" s="1107"/>
      <c r="CJ91" s="1107"/>
      <c r="CK91" s="1107"/>
      <c r="CL91" s="1107"/>
      <c r="CM91" s="1107"/>
      <c r="CN91" s="1107"/>
      <c r="CO91" s="1107"/>
      <c r="CP91" s="1107"/>
      <c r="CQ91" s="1107"/>
      <c r="CR91" s="1107"/>
      <c r="CS91" s="1107"/>
      <c r="CT91" s="1107"/>
      <c r="CU91" s="1107"/>
      <c r="CV91" s="1107"/>
      <c r="CW91" s="1107"/>
      <c r="CX91" s="1107"/>
      <c r="CY91" s="1107"/>
      <c r="CZ91" s="1107"/>
      <c r="DA91" s="1107"/>
      <c r="DB91" s="1107"/>
      <c r="DC91" s="1107"/>
      <c r="DD91" s="1107"/>
      <c r="DE91" s="1107"/>
      <c r="DF91" s="1107"/>
      <c r="DG91" s="1107"/>
      <c r="DH91" s="1107"/>
      <c r="DI91" s="1107"/>
      <c r="DJ91" s="1107"/>
      <c r="DK91" s="1107"/>
    </row>
    <row r="92" spans="1:115">
      <c r="A92" s="1086" t="s">
        <v>325</v>
      </c>
      <c r="B92" s="1095" t="s">
        <v>122</v>
      </c>
      <c r="C92" s="1052">
        <v>116.352</v>
      </c>
      <c r="D92" s="1033">
        <f t="shared" si="12"/>
        <v>120</v>
      </c>
      <c r="E92" s="1052">
        <v>6.9000000000000006E-2</v>
      </c>
      <c r="F92" s="1033">
        <v>0</v>
      </c>
      <c r="G92" s="1052">
        <v>8.0000000000000002E-3</v>
      </c>
      <c r="H92" s="1033">
        <v>0</v>
      </c>
      <c r="I92" s="1052">
        <v>8.0000000000000002E-3</v>
      </c>
      <c r="J92" s="1033">
        <v>0</v>
      </c>
      <c r="K92" s="1052">
        <v>0</v>
      </c>
      <c r="L92" s="1033">
        <v>0</v>
      </c>
      <c r="M92" s="1052">
        <v>0</v>
      </c>
      <c r="N92" s="1096">
        <v>0</v>
      </c>
      <c r="O92" s="1052">
        <v>23.593</v>
      </c>
      <c r="P92" s="1097">
        <f t="shared" si="11"/>
        <v>25</v>
      </c>
      <c r="Q92" s="1052">
        <v>40.850999999999999</v>
      </c>
      <c r="R92" s="1096">
        <f t="shared" si="13"/>
        <v>41</v>
      </c>
      <c r="S92" s="1052">
        <v>0.03</v>
      </c>
      <c r="T92" s="1096">
        <v>0</v>
      </c>
      <c r="U92" s="1052">
        <v>8.1000000000000003E-2</v>
      </c>
      <c r="V92" s="1096">
        <v>0</v>
      </c>
      <c r="W92" s="1052">
        <v>0</v>
      </c>
      <c r="X92" s="1096">
        <v>0</v>
      </c>
      <c r="Y92" s="1098">
        <v>0.32900000000000001</v>
      </c>
      <c r="Z92" s="1096">
        <v>0</v>
      </c>
      <c r="AA92" s="1036">
        <v>0</v>
      </c>
      <c r="AB92" s="1036">
        <v>0</v>
      </c>
      <c r="AC92" s="1036">
        <v>7.5119999999999996</v>
      </c>
      <c r="AD92" s="1036">
        <v>0.57799999999999996</v>
      </c>
      <c r="AE92" s="1036">
        <v>5.2999999999999999E-2</v>
      </c>
      <c r="AF92" s="1036">
        <v>0.29699999999999999</v>
      </c>
      <c r="AG92" s="1036">
        <v>20.454000000000001</v>
      </c>
      <c r="AH92" s="1036">
        <v>0.435</v>
      </c>
    </row>
    <row r="93" spans="1:115" s="1107" customFormat="1">
      <c r="A93" s="1086" t="s">
        <v>325</v>
      </c>
      <c r="B93" s="1122" t="s">
        <v>327</v>
      </c>
      <c r="C93" s="1052">
        <v>153.09299999999999</v>
      </c>
      <c r="D93" s="1033">
        <f t="shared" si="12"/>
        <v>150</v>
      </c>
      <c r="E93" s="1052">
        <v>0</v>
      </c>
      <c r="F93" s="1033">
        <v>0</v>
      </c>
      <c r="G93" s="1052">
        <v>0</v>
      </c>
      <c r="H93" s="1033">
        <v>0</v>
      </c>
      <c r="I93" s="1052">
        <v>0</v>
      </c>
      <c r="J93" s="1033">
        <v>0</v>
      </c>
      <c r="K93" s="1052">
        <v>0</v>
      </c>
      <c r="L93" s="1033">
        <v>0</v>
      </c>
      <c r="M93" s="1052">
        <v>0</v>
      </c>
      <c r="N93" s="1096">
        <v>0</v>
      </c>
      <c r="O93" s="1052">
        <v>23.783999999999999</v>
      </c>
      <c r="P93" s="1097">
        <f t="shared" si="11"/>
        <v>25</v>
      </c>
      <c r="Q93" s="1052">
        <v>40.052</v>
      </c>
      <c r="R93" s="1096">
        <f t="shared" si="13"/>
        <v>40</v>
      </c>
      <c r="S93" s="1052">
        <v>0.27200000000000002</v>
      </c>
      <c r="T93" s="1096">
        <v>0</v>
      </c>
      <c r="U93" s="1052">
        <v>0</v>
      </c>
      <c r="V93" s="1096">
        <v>0</v>
      </c>
      <c r="W93" s="1052">
        <v>0</v>
      </c>
      <c r="X93" s="1096">
        <v>0</v>
      </c>
      <c r="Y93" s="1098">
        <v>2.5999999999999999E-2</v>
      </c>
      <c r="Z93" s="1096">
        <v>0</v>
      </c>
      <c r="AA93" s="1105">
        <v>0</v>
      </c>
      <c r="AB93" s="1105">
        <v>0</v>
      </c>
      <c r="AC93" s="1105">
        <v>8.4320000000000004</v>
      </c>
      <c r="AD93" s="1105">
        <v>0.64900000000000002</v>
      </c>
      <c r="AE93" s="1105">
        <v>3.5000000000000003E-2</v>
      </c>
      <c r="AF93" s="1105">
        <v>0.19500000000000001</v>
      </c>
      <c r="AG93" s="1105">
        <v>5.09</v>
      </c>
      <c r="AH93" s="1105">
        <v>0.108</v>
      </c>
      <c r="AI93" s="1086"/>
      <c r="AJ93" s="1086"/>
      <c r="AK93" s="1086"/>
      <c r="AL93" s="1086"/>
      <c r="AM93" s="1086"/>
      <c r="AN93" s="1086"/>
      <c r="AO93" s="1086"/>
      <c r="AP93" s="1086"/>
      <c r="AQ93" s="1086"/>
      <c r="AR93" s="1086"/>
      <c r="AS93" s="1086"/>
      <c r="AT93" s="1086"/>
      <c r="AU93" s="1086"/>
      <c r="AV93" s="1086"/>
      <c r="AW93" s="1086"/>
      <c r="AX93" s="1086"/>
      <c r="AY93" s="1086"/>
      <c r="AZ93" s="1086"/>
      <c r="BA93" s="1086"/>
      <c r="BB93" s="1086"/>
      <c r="BC93" s="1086"/>
      <c r="BD93" s="1086"/>
      <c r="BE93" s="1086"/>
      <c r="BF93" s="1086"/>
      <c r="BG93" s="1086"/>
      <c r="BH93" s="1086"/>
      <c r="BI93" s="1086"/>
      <c r="BJ93" s="1086"/>
      <c r="BK93" s="1086"/>
      <c r="BL93" s="1086"/>
      <c r="BM93" s="1086"/>
      <c r="BN93" s="1086"/>
      <c r="BO93" s="1086"/>
      <c r="BP93" s="1086"/>
      <c r="BQ93" s="1086"/>
      <c r="BR93" s="1086"/>
      <c r="BS93" s="1086"/>
      <c r="BT93" s="1086"/>
      <c r="BU93" s="1086"/>
      <c r="BV93" s="1086"/>
      <c r="BW93" s="1086"/>
      <c r="BX93" s="1086"/>
      <c r="BY93" s="1086"/>
      <c r="BZ93" s="1086"/>
      <c r="CA93" s="1086"/>
      <c r="CB93" s="1086"/>
      <c r="CC93" s="1086"/>
      <c r="CD93" s="1086"/>
      <c r="CE93" s="1086"/>
      <c r="CF93" s="1086"/>
      <c r="CG93" s="1086"/>
      <c r="CH93" s="1086"/>
      <c r="CI93" s="1086"/>
      <c r="CJ93" s="1086"/>
      <c r="CK93" s="1086"/>
      <c r="CL93" s="1086"/>
      <c r="CM93" s="1086"/>
      <c r="CN93" s="1086"/>
      <c r="CO93" s="1086"/>
      <c r="CP93" s="1086"/>
      <c r="CQ93" s="1086"/>
      <c r="CR93" s="1086"/>
      <c r="CS93" s="1086"/>
      <c r="CT93" s="1086"/>
      <c r="CU93" s="1086"/>
      <c r="CV93" s="1086"/>
      <c r="CW93" s="1086"/>
      <c r="CX93" s="1086"/>
      <c r="CY93" s="1086"/>
      <c r="CZ93" s="1086"/>
      <c r="DA93" s="1086"/>
      <c r="DB93" s="1086"/>
      <c r="DC93" s="1086"/>
      <c r="DD93" s="1086"/>
      <c r="DE93" s="1086"/>
      <c r="DF93" s="1086"/>
      <c r="DG93" s="1086"/>
      <c r="DH93" s="1086"/>
      <c r="DI93" s="1086"/>
      <c r="DJ93" s="1086"/>
      <c r="DK93" s="1086"/>
    </row>
    <row r="94" spans="1:115" s="1107" customFormat="1">
      <c r="B94" s="1123"/>
      <c r="C94" s="1124"/>
      <c r="D94" s="1125"/>
      <c r="E94" s="1124"/>
      <c r="F94" s="1125"/>
      <c r="G94" s="1124"/>
      <c r="H94" s="1126"/>
      <c r="I94" s="1124"/>
      <c r="J94" s="1126"/>
      <c r="K94" s="1124"/>
      <c r="L94" s="1127"/>
      <c r="M94" s="1124"/>
      <c r="N94" s="1126"/>
      <c r="O94" s="1124"/>
      <c r="P94" s="1126"/>
      <c r="Q94" s="1124"/>
      <c r="R94" s="1127"/>
      <c r="S94" s="1124"/>
      <c r="T94" s="1126"/>
      <c r="U94" s="1124"/>
      <c r="V94" s="1126"/>
      <c r="W94" s="1124"/>
      <c r="X94" s="1126"/>
      <c r="Y94" s="1124"/>
      <c r="Z94" s="1096"/>
      <c r="AA94" s="1128"/>
      <c r="AB94" s="1128"/>
      <c r="AC94" s="1128"/>
      <c r="AD94" s="1128"/>
      <c r="AE94" s="1128"/>
      <c r="AF94" s="1128"/>
      <c r="AG94" s="1128"/>
      <c r="AH94" s="1128"/>
    </row>
    <row r="95" spans="1:115">
      <c r="B95" s="1352" t="s">
        <v>168</v>
      </c>
      <c r="C95" s="1353"/>
      <c r="D95" s="1353"/>
      <c r="E95" s="1353"/>
      <c r="F95" s="1353"/>
      <c r="G95" s="1353"/>
      <c r="H95" s="1353"/>
      <c r="I95" s="1353"/>
      <c r="J95" s="1353"/>
      <c r="K95" s="1353"/>
      <c r="L95" s="1353"/>
      <c r="M95" s="1353"/>
      <c r="N95" s="1353"/>
      <c r="O95" s="1353"/>
      <c r="P95" s="1353"/>
      <c r="Q95" s="1353"/>
      <c r="R95" s="1353"/>
      <c r="S95" s="1353"/>
      <c r="T95" s="1353"/>
      <c r="U95" s="1353"/>
      <c r="V95" s="1353"/>
      <c r="W95" s="1353"/>
      <c r="X95" s="1353"/>
      <c r="Y95" s="1354"/>
      <c r="Z95" s="1353"/>
      <c r="AA95" s="1353"/>
      <c r="AB95" s="1353"/>
      <c r="AC95" s="1353"/>
      <c r="AD95" s="1353"/>
      <c r="AE95" s="1353"/>
      <c r="AF95" s="1353"/>
      <c r="AG95" s="1353"/>
      <c r="AH95" s="1353"/>
    </row>
    <row r="97" spans="2:2">
      <c r="B97" s="1086"/>
    </row>
    <row r="98" spans="2:2">
      <c r="B98" s="1086"/>
    </row>
    <row r="99" spans="2:2">
      <c r="B99" s="1086"/>
    </row>
    <row r="100" spans="2:2">
      <c r="B100" s="1086"/>
    </row>
    <row r="101" spans="2:2">
      <c r="B101" s="1086"/>
    </row>
    <row r="102" spans="2:2">
      <c r="B102" s="1086"/>
    </row>
    <row r="103" spans="2:2">
      <c r="B103" s="1086"/>
    </row>
    <row r="104" spans="2:2">
      <c r="B104" s="1086"/>
    </row>
    <row r="105" spans="2:2">
      <c r="B105" s="1086"/>
    </row>
    <row r="106" spans="2:2">
      <c r="B106" s="1086"/>
    </row>
    <row r="107" spans="2:2">
      <c r="B107" s="1086"/>
    </row>
    <row r="108" spans="2:2">
      <c r="B108" s="1086"/>
    </row>
    <row r="109" spans="2:2">
      <c r="B109" s="1086"/>
    </row>
    <row r="110" spans="2:2">
      <c r="B110" s="1086"/>
    </row>
    <row r="111" spans="2:2">
      <c r="B111" s="1086"/>
    </row>
    <row r="112" spans="2:2">
      <c r="B112" s="1086"/>
    </row>
    <row r="113" spans="2:2">
      <c r="B113" s="1086"/>
    </row>
  </sheetData>
  <autoFilter ref="A3:DK93" xr:uid="{4C40329F-429A-4C18-9FB9-08391B08D835}">
    <sortState xmlns:xlrd2="http://schemas.microsoft.com/office/spreadsheetml/2017/richdata2" ref="A4:DK93">
      <sortCondition descending="1" ref="T3:T93"/>
    </sortState>
  </autoFilter>
  <mergeCells count="3">
    <mergeCell ref="B95:AH95"/>
    <mergeCell ref="B1:AH1"/>
    <mergeCell ref="B2:AH2"/>
  </mergeCells>
  <pageMargins left="0.7" right="0.7" top="0.75" bottom="0.75" header="0.3" footer="0.3"/>
  <pageSetup scale="43" fitToHeight="0" orientation="landscape" r:id="rId1"/>
  <headerFooter>
    <oddHeader xml:space="preserve">&amp;R&amp;14 2024 Nutrition Information </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FA95C-47BF-4C82-B879-C5E2F0BBE211}">
  <sheetPr>
    <pageSetUpPr fitToPage="1"/>
  </sheetPr>
  <dimension ref="A1:AH50"/>
  <sheetViews>
    <sheetView zoomScale="80" zoomScaleNormal="80" zoomScalePageLayoutView="70" workbookViewId="0">
      <selection activeCell="T52" sqref="T52"/>
    </sheetView>
    <sheetView topLeftCell="H4" zoomScale="80" zoomScaleNormal="80" workbookViewId="1">
      <selection activeCell="AA32" sqref="AA32:AH32"/>
    </sheetView>
    <sheetView workbookViewId="2">
      <selection activeCell="H15" sqref="H15"/>
    </sheetView>
  </sheetViews>
  <sheetFormatPr defaultColWidth="9.15234375" defaultRowHeight="12.9"/>
  <cols>
    <col min="1" max="1" width="9.15234375" style="373"/>
    <col min="2" max="2" width="46.15234375" style="373" customWidth="1"/>
    <col min="3" max="3" width="10.53515625" style="373" bestFit="1" customWidth="1"/>
    <col min="4" max="4" width="10.53515625" style="373" customWidth="1"/>
    <col min="5" max="5" width="10.15234375" style="373" bestFit="1" customWidth="1"/>
    <col min="6" max="6" width="10.15234375" style="844" customWidth="1"/>
    <col min="7" max="7" width="10.15234375" style="373" bestFit="1" customWidth="1"/>
    <col min="8" max="8" width="10.15234375" style="840" customWidth="1"/>
    <col min="9" max="10" width="11.53515625" style="373" customWidth="1"/>
    <col min="11" max="11" width="10.15234375" style="373" bestFit="1" customWidth="1"/>
    <col min="12" max="12" width="10.15234375" style="373" customWidth="1"/>
    <col min="13" max="14" width="13.84375" style="373" customWidth="1"/>
    <col min="15" max="15" width="10.53515625" style="373" bestFit="1" customWidth="1"/>
    <col min="16" max="16" width="10.53515625" style="373" customWidth="1"/>
    <col min="17" max="18" width="17.69140625" style="373" customWidth="1"/>
    <col min="19" max="19" width="10.15234375" style="373" bestFit="1" customWidth="1"/>
    <col min="20" max="20" width="10.15234375" style="373" customWidth="1"/>
    <col min="21" max="21" width="10.15234375" style="373" bestFit="1" customWidth="1"/>
    <col min="22" max="22" width="10.15234375" style="373" customWidth="1"/>
    <col min="23" max="23" width="10.15234375" style="373" bestFit="1" customWidth="1"/>
    <col min="24" max="24" width="10.15234375" style="373" customWidth="1"/>
    <col min="25" max="25" width="10.15234375" style="373" bestFit="1" customWidth="1"/>
    <col min="26" max="26" width="10.15234375" style="373" customWidth="1"/>
    <col min="27" max="27" width="10.15234375" style="373" bestFit="1" customWidth="1"/>
    <col min="28" max="28" width="11" style="373" customWidth="1"/>
    <col min="29" max="29" width="10.15234375" style="373" bestFit="1" customWidth="1"/>
    <col min="30" max="32" width="12.15234375" style="373" bestFit="1" customWidth="1"/>
    <col min="33" max="33" width="14.15234375" style="373" customWidth="1"/>
    <col min="34" max="34" width="14.84375" style="373" customWidth="1"/>
    <col min="35" max="16384" width="9.15234375" style="373"/>
  </cols>
  <sheetData>
    <row r="1" spans="1:34" s="465" customFormat="1" ht="22.5" customHeight="1">
      <c r="A1" s="1250" t="s">
        <v>618</v>
      </c>
      <c r="B1" s="1251"/>
      <c r="C1" s="1251"/>
      <c r="D1" s="1251"/>
      <c r="E1" s="1251"/>
      <c r="F1" s="1251"/>
      <c r="G1" s="1251"/>
      <c r="H1" s="1251"/>
      <c r="I1" s="1251"/>
      <c r="J1" s="1251"/>
      <c r="K1" s="1251"/>
      <c r="L1" s="1251"/>
      <c r="M1" s="1251"/>
      <c r="N1" s="1251"/>
      <c r="O1" s="1251"/>
      <c r="P1" s="1251"/>
      <c r="Q1" s="1251"/>
      <c r="R1" s="1251"/>
      <c r="S1" s="1251"/>
      <c r="T1" s="1251"/>
      <c r="U1" s="1251"/>
      <c r="V1" s="1251"/>
      <c r="W1" s="1251"/>
      <c r="X1" s="1251"/>
      <c r="Y1" s="1251"/>
      <c r="Z1" s="1251"/>
      <c r="AA1" s="1251"/>
      <c r="AB1" s="1251"/>
      <c r="AC1" s="1251"/>
      <c r="AD1" s="1251"/>
      <c r="AE1" s="1251"/>
      <c r="AF1" s="1251"/>
      <c r="AG1" s="1251"/>
      <c r="AH1" s="1251"/>
    </row>
    <row r="2" spans="1:34" s="465" customFormat="1" ht="18" customHeight="1">
      <c r="A2" s="1250" t="s">
        <v>438</v>
      </c>
      <c r="B2" s="1251"/>
      <c r="C2" s="1251"/>
      <c r="D2" s="1251"/>
      <c r="E2" s="1251"/>
      <c r="F2" s="1251"/>
      <c r="G2" s="1251"/>
      <c r="H2" s="1251"/>
      <c r="I2" s="1251"/>
      <c r="J2" s="1251"/>
      <c r="K2" s="1251"/>
      <c r="L2" s="1251"/>
      <c r="M2" s="1251"/>
      <c r="N2" s="1251"/>
      <c r="O2" s="1251"/>
      <c r="P2" s="1251"/>
      <c r="Q2" s="1251"/>
      <c r="R2" s="1251"/>
      <c r="S2" s="1251"/>
      <c r="T2" s="1251"/>
      <c r="U2" s="1251"/>
      <c r="V2" s="1251"/>
      <c r="W2" s="1251"/>
      <c r="X2" s="1251"/>
      <c r="Y2" s="1251"/>
      <c r="Z2" s="1251"/>
      <c r="AA2" s="1251"/>
      <c r="AB2" s="1251"/>
      <c r="AC2" s="1251"/>
      <c r="AD2" s="1251"/>
      <c r="AE2" s="1251"/>
      <c r="AF2" s="1251"/>
      <c r="AG2" s="1251"/>
      <c r="AH2" s="1251"/>
    </row>
    <row r="3" spans="1:34" s="465" customFormat="1" ht="18.75" customHeight="1" thickBot="1">
      <c r="A3" s="1261" t="s">
        <v>619</v>
      </c>
      <c r="B3" s="1262"/>
      <c r="C3" s="1262"/>
      <c r="D3" s="1262"/>
      <c r="E3" s="1262"/>
      <c r="F3" s="1262"/>
      <c r="G3" s="1262"/>
      <c r="H3" s="1262"/>
      <c r="I3" s="1262"/>
      <c r="J3" s="1262"/>
      <c r="K3" s="1262"/>
      <c r="L3" s="1262"/>
      <c r="M3" s="1262"/>
      <c r="N3" s="1262"/>
      <c r="O3" s="1262"/>
      <c r="P3" s="1262"/>
      <c r="Q3" s="1262"/>
      <c r="R3" s="1262"/>
      <c r="S3" s="1262"/>
      <c r="T3" s="1262"/>
      <c r="U3" s="1262"/>
      <c r="V3" s="1262"/>
      <c r="W3" s="1262"/>
      <c r="X3" s="1262"/>
      <c r="Y3" s="1262"/>
      <c r="Z3" s="1262"/>
      <c r="AA3" s="1262"/>
      <c r="AB3" s="1262"/>
      <c r="AC3" s="1262"/>
      <c r="AD3" s="1262"/>
      <c r="AE3" s="1262"/>
      <c r="AF3" s="1262"/>
      <c r="AG3" s="1262"/>
      <c r="AH3" s="1262"/>
    </row>
    <row r="4" spans="1:34" s="465" customFormat="1" ht="66" customHeight="1">
      <c r="A4" s="490"/>
      <c r="B4" s="489" t="s">
        <v>3</v>
      </c>
      <c r="C4" s="460" t="s">
        <v>4</v>
      </c>
      <c r="D4" s="460" t="s">
        <v>4</v>
      </c>
      <c r="E4" s="460" t="s">
        <v>5</v>
      </c>
      <c r="F4" s="460" t="s">
        <v>5</v>
      </c>
      <c r="G4" s="460" t="s">
        <v>6</v>
      </c>
      <c r="H4" s="986" t="s">
        <v>6</v>
      </c>
      <c r="I4" s="460" t="s">
        <v>7</v>
      </c>
      <c r="J4" s="986" t="s">
        <v>7</v>
      </c>
      <c r="K4" s="460" t="s">
        <v>8</v>
      </c>
      <c r="L4" s="460" t="s">
        <v>8</v>
      </c>
      <c r="M4" s="460" t="s">
        <v>9</v>
      </c>
      <c r="N4" s="460" t="s">
        <v>9</v>
      </c>
      <c r="O4" s="460" t="s">
        <v>10</v>
      </c>
      <c r="P4" s="460" t="s">
        <v>10</v>
      </c>
      <c r="Q4" s="460" t="s">
        <v>11</v>
      </c>
      <c r="R4" s="460" t="s">
        <v>11</v>
      </c>
      <c r="S4" s="460" t="s">
        <v>12</v>
      </c>
      <c r="T4" s="460" t="s">
        <v>12</v>
      </c>
      <c r="U4" s="460" t="s">
        <v>13</v>
      </c>
      <c r="V4" s="460" t="s">
        <v>13</v>
      </c>
      <c r="W4" s="460" t="s">
        <v>14</v>
      </c>
      <c r="X4" s="460" t="s">
        <v>14</v>
      </c>
      <c r="Y4" s="460" t="s">
        <v>15</v>
      </c>
      <c r="Z4" s="460" t="s">
        <v>15</v>
      </c>
      <c r="AA4" s="487" t="s">
        <v>16</v>
      </c>
      <c r="AB4" s="487" t="s">
        <v>17</v>
      </c>
      <c r="AC4" s="487" t="s">
        <v>18</v>
      </c>
      <c r="AD4" s="487" t="s">
        <v>19</v>
      </c>
      <c r="AE4" s="487" t="s">
        <v>20</v>
      </c>
      <c r="AF4" s="487" t="s">
        <v>21</v>
      </c>
      <c r="AG4" s="487" t="s">
        <v>22</v>
      </c>
      <c r="AH4" s="487" t="s">
        <v>23</v>
      </c>
    </row>
    <row r="5" spans="1:34" s="465" customFormat="1" ht="15" customHeight="1">
      <c r="A5" s="516"/>
      <c r="B5" s="1181" t="s">
        <v>620</v>
      </c>
      <c r="C5" s="791">
        <v>459.09800000000001</v>
      </c>
      <c r="D5" s="808">
        <f>MROUND(C5,10)</f>
        <v>460</v>
      </c>
      <c r="E5" s="791">
        <v>69.412999999999997</v>
      </c>
      <c r="F5" s="808">
        <f>IF(E5&lt;5,0,(IF(E5&gt;50,MROUND(E5,10),MROUND(E5,5))))</f>
        <v>70</v>
      </c>
      <c r="G5" s="791">
        <v>7.7130000000000001</v>
      </c>
      <c r="H5" s="845">
        <f>IF(G5&lt;0.5,0,IF(G5&gt;5,MROUND(G5,1),MROUND(G5,0.5)))</f>
        <v>8</v>
      </c>
      <c r="I5" s="791">
        <v>4.9000000000000004</v>
      </c>
      <c r="J5" s="845">
        <f>IF(I5&lt;0.5,0,IF(I5&gt;5,MROUND(I5,1),MROUND(I5,0.5)))</f>
        <v>5</v>
      </c>
      <c r="K5" s="791">
        <v>0</v>
      </c>
      <c r="L5" s="845">
        <f>IF(K5&lt;0.5,0,IF(K5&gt;5,MROUND(K5,1),MROUND(K5,0.5)))</f>
        <v>0</v>
      </c>
      <c r="M5" s="791">
        <v>45.65</v>
      </c>
      <c r="N5" s="808">
        <f>IF(M5&lt;2,0,IF(M5&gt;5,MROUND(M5,5),"less than 5 mg"))</f>
        <v>45</v>
      </c>
      <c r="O5" s="791">
        <v>141.52199999999999</v>
      </c>
      <c r="P5" s="808">
        <f>IF(O5&lt;5,0,IF(O5&gt;140,MROUND(O5,10),MROUND(O5,5)))</f>
        <v>140</v>
      </c>
      <c r="Q5" s="791">
        <v>95.108999999999995</v>
      </c>
      <c r="R5" s="808">
        <f>IF(Q5&lt;0.5,0,IF(Q5&gt;1,MROUND(Q5,1),"less than 1 g"))</f>
        <v>95</v>
      </c>
      <c r="S5" s="791">
        <v>0.28999999999999998</v>
      </c>
      <c r="T5" s="808">
        <f>IF(S5&lt;0.5,0,IF(S5&gt;1,MROUND(S5,1),"less than 1 g"))</f>
        <v>0</v>
      </c>
      <c r="U5" s="791">
        <v>80.739000000000004</v>
      </c>
      <c r="V5" s="808">
        <f>IF(U5&lt;0.5,0,IF(U5&gt;1,MROUND(U5,1),"less than 1 g"))</f>
        <v>81</v>
      </c>
      <c r="W5" s="791">
        <v>68.043000000000006</v>
      </c>
      <c r="X5" s="808">
        <f>IF(W5&lt;0.5,0,IF(W5&gt;1,MROUND(W5,1),"less than 1 g"))</f>
        <v>68</v>
      </c>
      <c r="Y5" s="792">
        <v>2.8290000000000002</v>
      </c>
      <c r="Z5" s="808">
        <f>IF(Y5&lt;0.5,0,IF(Y5&gt;1,MROUND(Y5,1),"less than 1 g"))</f>
        <v>3</v>
      </c>
      <c r="AA5" s="792">
        <v>0</v>
      </c>
      <c r="AB5" s="792">
        <v>0</v>
      </c>
      <c r="AC5" s="792">
        <v>148.54400000000001</v>
      </c>
      <c r="AD5" s="793">
        <v>11.426</v>
      </c>
      <c r="AE5" s="793">
        <v>0.13100000000000001</v>
      </c>
      <c r="AF5" s="793">
        <v>0.72699999999999998</v>
      </c>
      <c r="AG5" s="793">
        <v>42.741</v>
      </c>
      <c r="AH5" s="800">
        <v>0.90900000000000003</v>
      </c>
    </row>
    <row r="6" spans="1:34" s="465" customFormat="1" ht="15" hidden="1" customHeight="1" thickBot="1">
      <c r="A6" s="1351" t="s">
        <v>621</v>
      </c>
      <c r="B6" s="1182" t="s">
        <v>88</v>
      </c>
      <c r="C6" s="477"/>
      <c r="D6" s="808">
        <f t="shared" ref="D6:D11" si="0">MROUND(C6,10)</f>
        <v>0</v>
      </c>
      <c r="E6" s="477"/>
      <c r="F6" s="808">
        <f t="shared" ref="F6:F12" si="1">IF(E6&lt;5,0,(IF(E6&gt;50,MROUND(E6,10),MROUND(E6,5))))</f>
        <v>0</v>
      </c>
      <c r="G6" s="477"/>
      <c r="H6" s="845">
        <f t="shared" ref="H6:J11" si="2">IF(G6&lt;0.5,0,IF(G6&gt;5,MROUND(G6,1),MROUND(G6,0.5)))</f>
        <v>0</v>
      </c>
      <c r="I6" s="477"/>
      <c r="J6" s="845">
        <f t="shared" si="2"/>
        <v>0</v>
      </c>
      <c r="K6" s="477"/>
      <c r="L6" s="845">
        <f t="shared" ref="L6" si="3">IF(K6&lt;0.5,0,IF(K6&gt;5,MROUND(K6,1),MROUND(K6,0.5)))</f>
        <v>0</v>
      </c>
      <c r="M6" s="477"/>
      <c r="N6" s="808">
        <f t="shared" ref="N6:N11" si="4">IF(M6&lt;2,0,IF(M6&gt;5,MROUND(M6,5),"less than 5 mg"))</f>
        <v>0</v>
      </c>
      <c r="O6" s="477"/>
      <c r="P6" s="808">
        <f t="shared" ref="P6:P11" si="5">IF(O6&lt;5,0,IF(O6&gt;140,MROUND(O6,10),MROUND(O6,5)))</f>
        <v>0</v>
      </c>
      <c r="Q6" s="477"/>
      <c r="R6" s="808">
        <f t="shared" ref="R6:T11" si="6">IF(Q6&lt;0.5,0,IF(Q6&gt;1,MROUND(Q6,1),"less than 1 g"))</f>
        <v>0</v>
      </c>
      <c r="S6" s="477"/>
      <c r="T6" s="808">
        <f t="shared" si="6"/>
        <v>0</v>
      </c>
      <c r="U6" s="477"/>
      <c r="V6" s="808">
        <f t="shared" ref="V6" si="7">IF(U6&lt;0.5,0,IF(U6&gt;1,MROUND(U6,1),"less than 1 g"))</f>
        <v>0</v>
      </c>
      <c r="W6" s="477"/>
      <c r="X6" s="808">
        <f t="shared" ref="X6" si="8">IF(W6&lt;0.5,0,IF(W6&gt;1,MROUND(W6,1),"less than 1 g"))</f>
        <v>0</v>
      </c>
      <c r="Y6" s="481"/>
      <c r="Z6" s="808">
        <f t="shared" ref="Z6" si="9">IF(Y6&lt;0.5,0,IF(Y6&gt;1,MROUND(Y6,1),"less than 1 g"))</f>
        <v>0</v>
      </c>
      <c r="AA6" s="481"/>
      <c r="AB6" s="481"/>
      <c r="AC6" s="481"/>
      <c r="AD6" s="476"/>
      <c r="AE6" s="476"/>
      <c r="AF6" s="476"/>
      <c r="AG6" s="476"/>
      <c r="AH6" s="476"/>
    </row>
    <row r="7" spans="1:34" s="465" customFormat="1" ht="15" hidden="1" customHeight="1">
      <c r="A7" s="1359"/>
      <c r="B7" s="1182" t="s">
        <v>89</v>
      </c>
      <c r="C7" s="477"/>
      <c r="D7" s="808">
        <f t="shared" si="0"/>
        <v>0</v>
      </c>
      <c r="E7" s="477"/>
      <c r="F7" s="808">
        <f t="shared" si="1"/>
        <v>0</v>
      </c>
      <c r="G7" s="477"/>
      <c r="H7" s="845">
        <f t="shared" si="2"/>
        <v>0</v>
      </c>
      <c r="I7" s="477"/>
      <c r="J7" s="845">
        <f t="shared" si="2"/>
        <v>0</v>
      </c>
      <c r="K7" s="477"/>
      <c r="L7" s="845">
        <f t="shared" ref="L7" si="10">IF(K7&lt;0.5,0,IF(K7&gt;5,MROUND(K7,1),MROUND(K7,0.5)))</f>
        <v>0</v>
      </c>
      <c r="M7" s="477"/>
      <c r="N7" s="808">
        <f t="shared" si="4"/>
        <v>0</v>
      </c>
      <c r="O7" s="477"/>
      <c r="P7" s="808">
        <f t="shared" si="5"/>
        <v>0</v>
      </c>
      <c r="Q7" s="477"/>
      <c r="R7" s="808">
        <f t="shared" si="6"/>
        <v>0</v>
      </c>
      <c r="S7" s="477"/>
      <c r="T7" s="808">
        <f t="shared" si="6"/>
        <v>0</v>
      </c>
      <c r="U7" s="477"/>
      <c r="V7" s="808">
        <f t="shared" ref="V7" si="11">IF(U7&lt;0.5,0,IF(U7&gt;1,MROUND(U7,1),"less than 1 g"))</f>
        <v>0</v>
      </c>
      <c r="W7" s="477"/>
      <c r="X7" s="808">
        <f t="shared" ref="X7" si="12">IF(W7&lt;0.5,0,IF(W7&gt;1,MROUND(W7,1),"less than 1 g"))</f>
        <v>0</v>
      </c>
      <c r="Y7" s="481"/>
      <c r="Z7" s="808">
        <f t="shared" ref="Z7" si="13">IF(Y7&lt;0.5,0,IF(Y7&gt;1,MROUND(Y7,1),"less than 1 g"))</f>
        <v>0</v>
      </c>
      <c r="AA7" s="481"/>
      <c r="AB7" s="481"/>
      <c r="AC7" s="481"/>
      <c r="AD7" s="476"/>
      <c r="AE7" s="476"/>
      <c r="AF7" s="476"/>
      <c r="AG7" s="476"/>
      <c r="AH7" s="476"/>
    </row>
    <row r="8" spans="1:34" s="465" customFormat="1" ht="15" hidden="1" customHeight="1" thickBot="1">
      <c r="A8" s="1360"/>
      <c r="B8" s="1182" t="s">
        <v>91</v>
      </c>
      <c r="C8" s="477"/>
      <c r="D8" s="808">
        <f t="shared" si="0"/>
        <v>0</v>
      </c>
      <c r="E8" s="477"/>
      <c r="F8" s="808">
        <f t="shared" si="1"/>
        <v>0</v>
      </c>
      <c r="G8" s="477"/>
      <c r="H8" s="845">
        <f t="shared" si="2"/>
        <v>0</v>
      </c>
      <c r="I8" s="477"/>
      <c r="J8" s="845">
        <f t="shared" si="2"/>
        <v>0</v>
      </c>
      <c r="K8" s="477"/>
      <c r="L8" s="845">
        <f t="shared" ref="L8" si="14">IF(K8&lt;0.5,0,IF(K8&gt;5,MROUND(K8,1),MROUND(K8,0.5)))</f>
        <v>0</v>
      </c>
      <c r="M8" s="477"/>
      <c r="N8" s="808">
        <f t="shared" si="4"/>
        <v>0</v>
      </c>
      <c r="O8" s="477"/>
      <c r="P8" s="808">
        <f t="shared" si="5"/>
        <v>0</v>
      </c>
      <c r="Q8" s="477"/>
      <c r="R8" s="808">
        <f t="shared" si="6"/>
        <v>0</v>
      </c>
      <c r="S8" s="477"/>
      <c r="T8" s="808">
        <f t="shared" si="6"/>
        <v>0</v>
      </c>
      <c r="U8" s="477"/>
      <c r="V8" s="808">
        <f t="shared" ref="V8" si="15">IF(U8&lt;0.5,0,IF(U8&gt;1,MROUND(U8,1),"less than 1 g"))</f>
        <v>0</v>
      </c>
      <c r="W8" s="477"/>
      <c r="X8" s="808">
        <f t="shared" ref="X8" si="16">IF(W8&lt;0.5,0,IF(W8&gt;1,MROUND(W8,1),"less than 1 g"))</f>
        <v>0</v>
      </c>
      <c r="Y8" s="481"/>
      <c r="Z8" s="808">
        <f t="shared" ref="Z8" si="17">IF(Y8&lt;0.5,0,IF(Y8&gt;1,MROUND(Y8,1),"less than 1 g"))</f>
        <v>0</v>
      </c>
      <c r="AA8" s="481"/>
      <c r="AB8" s="481"/>
      <c r="AC8" s="481"/>
      <c r="AD8" s="476"/>
      <c r="AE8" s="476"/>
      <c r="AF8" s="476"/>
      <c r="AG8" s="476"/>
      <c r="AH8" s="476"/>
    </row>
    <row r="9" spans="1:34" s="465" customFormat="1" ht="15" customHeight="1">
      <c r="A9" s="517"/>
      <c r="B9" s="786" t="s">
        <v>150</v>
      </c>
      <c r="C9" s="536">
        <v>127.224</v>
      </c>
      <c r="D9" s="808">
        <f t="shared" si="0"/>
        <v>130</v>
      </c>
      <c r="E9" s="536">
        <v>17.951000000000001</v>
      </c>
      <c r="F9" s="808">
        <f t="shared" si="1"/>
        <v>20</v>
      </c>
      <c r="G9" s="536">
        <v>1.9950000000000001</v>
      </c>
      <c r="H9" s="845">
        <f t="shared" si="2"/>
        <v>2</v>
      </c>
      <c r="I9" s="536">
        <v>1.228</v>
      </c>
      <c r="J9" s="845">
        <f t="shared" si="2"/>
        <v>1</v>
      </c>
      <c r="K9" s="536">
        <v>0</v>
      </c>
      <c r="L9" s="845">
        <f t="shared" ref="L9" si="18">IF(K9&lt;0.5,0,IF(K9&gt;5,MROUND(K9,1),MROUND(K9,0.5)))</f>
        <v>0</v>
      </c>
      <c r="M9" s="536">
        <v>5.2210000000000001</v>
      </c>
      <c r="N9" s="808">
        <f t="shared" si="4"/>
        <v>5</v>
      </c>
      <c r="O9" s="536">
        <v>102.91200000000001</v>
      </c>
      <c r="P9" s="808">
        <f t="shared" si="5"/>
        <v>105</v>
      </c>
      <c r="Q9" s="536">
        <v>26.513000000000002</v>
      </c>
      <c r="R9" s="808">
        <f t="shared" si="6"/>
        <v>27</v>
      </c>
      <c r="S9" s="536">
        <v>2.8000000000000001E-2</v>
      </c>
      <c r="T9" s="808">
        <f t="shared" si="6"/>
        <v>0</v>
      </c>
      <c r="U9" s="536">
        <v>20.395</v>
      </c>
      <c r="V9" s="808">
        <f t="shared" ref="V9" si="19">IF(U9&lt;0.5,0,IF(U9&gt;1,MROUND(U9,1),"less than 1 g"))</f>
        <v>20</v>
      </c>
      <c r="W9" s="536">
        <v>20.390999999999998</v>
      </c>
      <c r="X9" s="808">
        <f t="shared" ref="X9" si="20">IF(W9&lt;0.5,0,IF(W9&gt;1,MROUND(W9,1),"less than 1 g"))</f>
        <v>20</v>
      </c>
      <c r="Y9" s="536">
        <v>1.0009999999999999</v>
      </c>
      <c r="Z9" s="808">
        <f t="shared" ref="Z9" si="21">IF(Y9&lt;0.5,0,IF(Y9&gt;1,MROUND(Y9,1),"less than 1 g"))</f>
        <v>1</v>
      </c>
      <c r="AA9" s="536">
        <v>0</v>
      </c>
      <c r="AB9" s="536">
        <v>0</v>
      </c>
      <c r="AC9" s="536">
        <v>29.184000000000001</v>
      </c>
      <c r="AD9" s="536">
        <v>2.2450000000000001</v>
      </c>
      <c r="AE9" s="536">
        <v>2.4E-2</v>
      </c>
      <c r="AF9" s="536">
        <v>0.13500000000000001</v>
      </c>
      <c r="AG9" s="536">
        <v>41.162999999999997</v>
      </c>
      <c r="AH9" s="665">
        <v>0.876</v>
      </c>
    </row>
    <row r="10" spans="1:34" s="465" customFormat="1" ht="15" customHeight="1">
      <c r="A10" s="517"/>
      <c r="B10" s="787" t="s">
        <v>66</v>
      </c>
      <c r="C10" s="536">
        <v>69.887</v>
      </c>
      <c r="D10" s="808">
        <f t="shared" si="0"/>
        <v>70</v>
      </c>
      <c r="E10" s="536">
        <v>0.28699999999999998</v>
      </c>
      <c r="F10" s="808">
        <f t="shared" si="1"/>
        <v>0</v>
      </c>
      <c r="G10" s="536">
        <v>3.2000000000000001E-2</v>
      </c>
      <c r="H10" s="845">
        <f t="shared" si="2"/>
        <v>0</v>
      </c>
      <c r="I10" s="536">
        <v>3.0000000000000001E-3</v>
      </c>
      <c r="J10" s="845">
        <f t="shared" si="2"/>
        <v>0</v>
      </c>
      <c r="K10" s="536">
        <v>0</v>
      </c>
      <c r="L10" s="845">
        <f t="shared" ref="L10" si="22">IF(K10&lt;0.5,0,IF(K10&gt;5,MROUND(K10,1),MROUND(K10,0.5)))</f>
        <v>0</v>
      </c>
      <c r="M10" s="536">
        <v>0</v>
      </c>
      <c r="N10" s="808">
        <f t="shared" si="4"/>
        <v>0</v>
      </c>
      <c r="O10" s="536">
        <v>9.7279999999999998</v>
      </c>
      <c r="P10" s="808">
        <f t="shared" si="5"/>
        <v>10</v>
      </c>
      <c r="Q10" s="536">
        <v>19.102</v>
      </c>
      <c r="R10" s="808">
        <f t="shared" si="6"/>
        <v>19</v>
      </c>
      <c r="S10" s="536">
        <v>0.60799999999999998</v>
      </c>
      <c r="T10" s="808" t="str">
        <f t="shared" si="6"/>
        <v>less than 1 g</v>
      </c>
      <c r="U10" s="536">
        <v>16.192</v>
      </c>
      <c r="V10" s="808">
        <f t="shared" ref="V10" si="23">IF(U10&lt;0.5,0,IF(U10&gt;1,MROUND(U10,1),"less than 1 g"))</f>
        <v>16</v>
      </c>
      <c r="W10" s="536">
        <v>10.198</v>
      </c>
      <c r="X10" s="808">
        <f t="shared" ref="X10" si="24">IF(W10&lt;0.5,0,IF(W10&gt;1,MROUND(W10,1),"less than 1 g"))</f>
        <v>10</v>
      </c>
      <c r="Y10" s="536">
        <v>0.16200000000000001</v>
      </c>
      <c r="Z10" s="808">
        <f t="shared" ref="Z10" si="25">IF(Y10&lt;0.5,0,IF(Y10&gt;1,MROUND(Y10,1),"less than 1 g"))</f>
        <v>0</v>
      </c>
      <c r="AA10" s="536">
        <v>0</v>
      </c>
      <c r="AB10" s="536">
        <v>0</v>
      </c>
      <c r="AC10" s="536">
        <v>5.0949999999999998</v>
      </c>
      <c r="AD10" s="536">
        <v>0.39200000000000002</v>
      </c>
      <c r="AE10" s="536">
        <v>0.218</v>
      </c>
      <c r="AF10" s="536">
        <v>1.212</v>
      </c>
      <c r="AG10" s="536">
        <v>48.47</v>
      </c>
      <c r="AH10" s="665">
        <v>1.0309999999999999</v>
      </c>
    </row>
    <row r="11" spans="1:34" s="465" customFormat="1" ht="15" customHeight="1">
      <c r="A11" s="517"/>
      <c r="B11" s="1181" t="s">
        <v>423</v>
      </c>
      <c r="C11" s="457">
        <v>38.271000000000001</v>
      </c>
      <c r="D11" s="808">
        <f t="shared" si="0"/>
        <v>40</v>
      </c>
      <c r="E11" s="457">
        <v>25.513999999999999</v>
      </c>
      <c r="F11" s="808">
        <f t="shared" si="1"/>
        <v>25</v>
      </c>
      <c r="G11" s="457">
        <v>2.835</v>
      </c>
      <c r="H11" s="845">
        <f t="shared" si="2"/>
        <v>3</v>
      </c>
      <c r="I11" s="457">
        <v>1.843</v>
      </c>
      <c r="J11" s="845">
        <f t="shared" si="2"/>
        <v>2</v>
      </c>
      <c r="K11" s="457">
        <v>0</v>
      </c>
      <c r="L11" s="845">
        <f t="shared" ref="L11" si="26">IF(K11&lt;0.5,0,IF(K11&gt;5,MROUND(K11,1),MROUND(K11,0.5)))</f>
        <v>0</v>
      </c>
      <c r="M11" s="457">
        <v>9.2129999999999992</v>
      </c>
      <c r="N11" s="808">
        <f t="shared" si="4"/>
        <v>10</v>
      </c>
      <c r="O11" s="457">
        <v>3.544</v>
      </c>
      <c r="P11" s="808">
        <f t="shared" si="5"/>
        <v>0</v>
      </c>
      <c r="Q11" s="457">
        <v>3.1179999999999999</v>
      </c>
      <c r="R11" s="808">
        <f t="shared" si="6"/>
        <v>3</v>
      </c>
      <c r="S11" s="457">
        <v>0</v>
      </c>
      <c r="T11" s="808">
        <f t="shared" si="6"/>
        <v>0</v>
      </c>
      <c r="U11" s="457">
        <v>1.417</v>
      </c>
      <c r="V11" s="808">
        <f t="shared" ref="V11" si="27">IF(U11&lt;0.5,0,IF(U11&gt;1,MROUND(U11,1),"less than 1 g"))</f>
        <v>1</v>
      </c>
      <c r="W11" s="457">
        <v>1.1339999999999999</v>
      </c>
      <c r="X11" s="808">
        <f t="shared" ref="X11" si="28">IF(W11&lt;0.5,0,IF(W11&gt;1,MROUND(W11,1),"less than 1 g"))</f>
        <v>1</v>
      </c>
      <c r="Y11" s="457">
        <v>0.28299999999999997</v>
      </c>
      <c r="Z11" s="808">
        <f t="shared" ref="Z11" si="29">IF(Y11&lt;0.5,0,IF(Y11&gt;1,MROUND(Y11,1),"less than 1 g"))</f>
        <v>0</v>
      </c>
      <c r="AA11" s="458">
        <v>0</v>
      </c>
      <c r="AB11" s="458">
        <v>0</v>
      </c>
      <c r="AC11" s="457">
        <v>9.9220000000000006</v>
      </c>
      <c r="AD11" s="457">
        <v>0.76300000000000001</v>
      </c>
      <c r="AE11" s="457">
        <v>0</v>
      </c>
      <c r="AF11" s="457">
        <v>0</v>
      </c>
      <c r="AG11" s="457">
        <v>12.757</v>
      </c>
      <c r="AH11" s="457">
        <v>0.27100000000000002</v>
      </c>
    </row>
    <row r="12" spans="1:34" s="465" customFormat="1" ht="15" hidden="1" customHeight="1">
      <c r="A12" s="517"/>
      <c r="B12" s="507" t="s">
        <v>140</v>
      </c>
      <c r="C12" s="474"/>
      <c r="D12" s="474"/>
      <c r="E12" s="474"/>
      <c r="F12" s="808">
        <f t="shared" si="1"/>
        <v>0</v>
      </c>
      <c r="G12" s="474"/>
      <c r="H12" s="1006"/>
      <c r="I12" s="474"/>
      <c r="J12" s="474"/>
      <c r="K12" s="474"/>
      <c r="L12" s="474"/>
      <c r="M12" s="474"/>
      <c r="N12" s="474"/>
      <c r="O12" s="474"/>
      <c r="P12" s="474"/>
      <c r="Q12" s="474"/>
      <c r="R12" s="474"/>
      <c r="S12" s="474"/>
      <c r="T12" s="474"/>
      <c r="U12" s="474"/>
      <c r="V12" s="474"/>
      <c r="W12" s="474"/>
      <c r="X12" s="474"/>
      <c r="Y12" s="519"/>
      <c r="Z12" s="519"/>
      <c r="AA12" s="519"/>
      <c r="AB12" s="519"/>
      <c r="AC12" s="519"/>
      <c r="AD12" s="473"/>
      <c r="AE12" s="473"/>
      <c r="AF12" s="473"/>
      <c r="AG12" s="473"/>
      <c r="AH12" s="473"/>
    </row>
    <row r="13" spans="1:34" s="465" customFormat="1" ht="50.25" customHeight="1">
      <c r="A13" s="1263" t="s">
        <v>168</v>
      </c>
      <c r="B13" s="1263"/>
      <c r="C13" s="1263"/>
      <c r="D13" s="1263"/>
      <c r="E13" s="1263"/>
      <c r="F13" s="1263"/>
      <c r="G13" s="1263"/>
      <c r="H13" s="1263"/>
      <c r="I13" s="1263"/>
      <c r="J13" s="1263"/>
      <c r="K13" s="1263"/>
      <c r="L13" s="1263"/>
      <c r="M13" s="1263"/>
      <c r="N13" s="1263"/>
      <c r="O13" s="1263"/>
      <c r="P13" s="1263"/>
      <c r="Q13" s="1263"/>
      <c r="R13" s="1263"/>
      <c r="S13" s="1263"/>
      <c r="T13" s="1263"/>
      <c r="U13" s="1263"/>
      <c r="V13" s="1263"/>
      <c r="W13" s="1263"/>
      <c r="X13" s="1263"/>
      <c r="Y13" s="1263"/>
      <c r="Z13" s="1263"/>
      <c r="AA13" s="1263"/>
      <c r="AB13" s="1263"/>
      <c r="AC13" s="1263"/>
      <c r="AD13" s="1263"/>
      <c r="AE13" s="1263"/>
      <c r="AF13" s="1263"/>
      <c r="AG13" s="1263"/>
      <c r="AH13" s="1264"/>
    </row>
    <row r="14" spans="1:34" s="465" customFormat="1" ht="28.5" hidden="1" customHeight="1">
      <c r="A14" s="467"/>
      <c r="B14" s="491"/>
      <c r="C14" s="491"/>
      <c r="D14" s="491"/>
      <c r="E14" s="491"/>
      <c r="F14" s="809"/>
      <c r="G14" s="491"/>
      <c r="H14" s="836"/>
      <c r="I14" s="491"/>
      <c r="J14" s="491"/>
      <c r="K14" s="491"/>
      <c r="L14" s="491"/>
      <c r="M14" s="491"/>
      <c r="N14" s="491"/>
      <c r="O14" s="491"/>
      <c r="P14" s="491"/>
      <c r="Q14" s="491"/>
      <c r="R14" s="491"/>
      <c r="S14" s="491"/>
      <c r="T14" s="491"/>
      <c r="U14" s="491"/>
      <c r="V14" s="491"/>
      <c r="W14" s="491"/>
      <c r="X14" s="491"/>
      <c r="Y14" s="491"/>
      <c r="Z14" s="491"/>
      <c r="AA14" s="491"/>
      <c r="AB14" s="491"/>
      <c r="AC14" s="491"/>
      <c r="AD14" s="491"/>
      <c r="AE14" s="491"/>
      <c r="AF14" s="491"/>
      <c r="AG14" s="491"/>
      <c r="AH14" s="491"/>
    </row>
    <row r="15" spans="1:34" s="465" customFormat="1" ht="18.45" hidden="1">
      <c r="A15" s="467"/>
      <c r="B15" s="491"/>
      <c r="C15" s="491"/>
      <c r="D15" s="491"/>
      <c r="E15" s="491"/>
      <c r="F15" s="809"/>
      <c r="G15" s="491"/>
      <c r="H15" s="836"/>
      <c r="I15" s="491"/>
      <c r="J15" s="491"/>
      <c r="K15" s="491"/>
      <c r="L15" s="491"/>
      <c r="M15" s="491"/>
      <c r="N15" s="491"/>
      <c r="O15" s="491"/>
      <c r="P15" s="491"/>
      <c r="Q15" s="491"/>
      <c r="R15" s="491"/>
      <c r="S15" s="491"/>
      <c r="T15" s="491"/>
      <c r="U15" s="491"/>
      <c r="V15" s="491"/>
      <c r="W15" s="491"/>
      <c r="X15" s="491"/>
      <c r="Y15" s="491"/>
      <c r="Z15" s="491"/>
      <c r="AA15" s="491"/>
      <c r="AB15" s="491"/>
      <c r="AC15" s="491"/>
      <c r="AD15" s="491"/>
      <c r="AE15" s="491"/>
      <c r="AF15" s="491"/>
      <c r="AG15" s="491"/>
      <c r="AH15" s="491"/>
    </row>
    <row r="16" spans="1:34" s="465" customFormat="1" ht="18.45" hidden="1">
      <c r="A16" s="472"/>
      <c r="B16" s="472"/>
      <c r="C16" s="472"/>
      <c r="D16" s="472"/>
      <c r="E16" s="472"/>
      <c r="F16" s="842"/>
      <c r="G16" s="472"/>
      <c r="H16" s="837"/>
      <c r="I16" s="472"/>
      <c r="J16" s="472"/>
      <c r="K16" s="472"/>
      <c r="L16" s="472"/>
      <c r="M16" s="472"/>
      <c r="N16" s="472"/>
      <c r="O16" s="472"/>
      <c r="P16" s="472"/>
      <c r="Q16" s="472"/>
      <c r="R16" s="472"/>
      <c r="S16" s="472"/>
      <c r="T16" s="472"/>
      <c r="U16" s="472"/>
      <c r="V16" s="472"/>
      <c r="W16" s="472"/>
      <c r="X16" s="472"/>
      <c r="Y16" s="472"/>
      <c r="Z16" s="472"/>
      <c r="AA16" s="472"/>
      <c r="AB16" s="472"/>
      <c r="AC16" s="467"/>
    </row>
    <row r="17" spans="1:34" s="465" customFormat="1" ht="18.45" hidden="1">
      <c r="A17" s="467"/>
      <c r="B17" s="466" t="s">
        <v>439</v>
      </c>
      <c r="C17" s="468" t="e">
        <f>SUM(AVERAGE(C5:C5),AVERAGE(#REF!))</f>
        <v>#REF!</v>
      </c>
      <c r="D17" s="468"/>
      <c r="E17" s="468" t="e">
        <f>SUM(AVERAGE(E5:E5),AVERAGE(#REF!))</f>
        <v>#REF!</v>
      </c>
      <c r="F17" s="468"/>
      <c r="G17" s="468" t="e">
        <f>SUM(AVERAGE(G5:G5),AVERAGE(#REF!))</f>
        <v>#REF!</v>
      </c>
      <c r="H17" s="838"/>
      <c r="I17" s="468" t="e">
        <f>SUM(AVERAGE(I5:I5),AVERAGE(#REF!))</f>
        <v>#REF!</v>
      </c>
      <c r="J17" s="468"/>
      <c r="K17" s="468" t="e">
        <f>SUM(AVERAGE(K5:K5),AVERAGE(#REF!))</f>
        <v>#REF!</v>
      </c>
      <c r="L17" s="468"/>
      <c r="M17" s="468" t="e">
        <f>SUM(AVERAGE(M5:M5),AVERAGE(#REF!))</f>
        <v>#REF!</v>
      </c>
      <c r="N17" s="468"/>
      <c r="O17" s="468" t="e">
        <f>SUM(AVERAGE(O5:O5),AVERAGE(#REF!))</f>
        <v>#REF!</v>
      </c>
      <c r="P17" s="468"/>
      <c r="Q17" s="468" t="e">
        <f>SUM(AVERAGE(Q5:Q5),AVERAGE(#REF!))</f>
        <v>#REF!</v>
      </c>
      <c r="R17" s="468"/>
      <c r="S17" s="468" t="e">
        <f>SUM(AVERAGE(S5:S5),AVERAGE(#REF!))</f>
        <v>#REF!</v>
      </c>
      <c r="T17" s="468"/>
      <c r="U17" s="468" t="e">
        <f>SUM(AVERAGE(U5:U5),AVERAGE(#REF!))</f>
        <v>#REF!</v>
      </c>
      <c r="V17" s="468"/>
      <c r="W17" s="468" t="e">
        <f>SUM(AVERAGE(W5:W5),AVERAGE(#REF!))</f>
        <v>#REF!</v>
      </c>
      <c r="X17" s="468"/>
      <c r="Y17" s="468" t="e">
        <f>SUM(AVERAGE(Y5:Y5),AVERAGE(#REF!))</f>
        <v>#REF!</v>
      </c>
      <c r="Z17" s="468"/>
      <c r="AA17" s="468" t="e">
        <f>SUM(AVERAGE(AA5:AA5),AVERAGE(#REF!))</f>
        <v>#REF!</v>
      </c>
      <c r="AB17" s="468" t="e">
        <f>SUM(AVERAGE(AB5:AB5),AVERAGE(#REF!))</f>
        <v>#REF!</v>
      </c>
      <c r="AC17" s="468" t="e">
        <f>SUM(AVERAGE(AC5:AC5),AVERAGE(#REF!))</f>
        <v>#REF!</v>
      </c>
      <c r="AD17" s="468" t="e">
        <f>SUM(AVERAGE(AD5:AD5),AVERAGE(#REF!))</f>
        <v>#REF!</v>
      </c>
      <c r="AE17" s="468" t="e">
        <f>SUM(AVERAGE(AE5:AE5),AVERAGE(#REF!))</f>
        <v>#REF!</v>
      </c>
      <c r="AF17" s="468" t="e">
        <f>SUM(AVERAGE(AF5:AF5),AVERAGE(#REF!))</f>
        <v>#REF!</v>
      </c>
      <c r="AG17" s="468" t="e">
        <f>SUM(AVERAGE(AG5:AG5),AVERAGE(#REF!))</f>
        <v>#REF!</v>
      </c>
      <c r="AH17" s="468" t="e">
        <f>SUM(AVERAGE(AH5:AH5),AVERAGE(#REF!))</f>
        <v>#REF!</v>
      </c>
    </row>
    <row r="18" spans="1:34" s="465" customFormat="1" ht="18.45" hidden="1">
      <c r="A18" s="467"/>
      <c r="B18" s="466" t="s">
        <v>440</v>
      </c>
      <c r="C18" s="468" t="e">
        <f>ROUND( MIN(C5:C5)+MIN(#REF!),0) &amp; " - " &amp; ROUND(MAX(C5:C5)+MAX(#REF!), 0)</f>
        <v>#REF!</v>
      </c>
      <c r="D18" s="468"/>
      <c r="E18" s="468" t="e">
        <f>ROUND( MIN(E5:E5)+MIN(#REF!),0) &amp; " - " &amp; ROUND(MAX(E5:E5)+MAX(#REF!), 0)</f>
        <v>#REF!</v>
      </c>
      <c r="F18" s="468"/>
      <c r="G18" s="468" t="e">
        <f>ROUND( MIN(G5:G5)+MIN(#REF!),0) &amp; " - " &amp; ROUND(MAX(G5:G5)+MAX(#REF!), 0)</f>
        <v>#REF!</v>
      </c>
      <c r="H18" s="838"/>
      <c r="I18" s="468" t="e">
        <f>ROUND( MIN(I5:I5)+MIN(#REF!),0) &amp; " - " &amp; ROUND(MAX(I5:I5)+MAX(#REF!), 0)</f>
        <v>#REF!</v>
      </c>
      <c r="J18" s="468"/>
      <c r="K18" s="468" t="e">
        <f>ROUND( MIN(K5:K5)+MIN(#REF!),0) &amp; " - " &amp; ROUND(MAX(K5:K5)+MAX(#REF!), 0)</f>
        <v>#REF!</v>
      </c>
      <c r="L18" s="468"/>
      <c r="M18" s="468" t="e">
        <f>ROUND( MIN(M5:M5)+MIN(#REF!),0) &amp; " - " &amp; ROUND(MAX(M5:M5)+MAX(#REF!), 0)</f>
        <v>#REF!</v>
      </c>
      <c r="N18" s="468"/>
      <c r="O18" s="468" t="e">
        <f>ROUND( MIN(O5:O5)+MIN(#REF!),0) &amp; " - " &amp; ROUND(MAX(O5:O5)+MAX(#REF!), 0)</f>
        <v>#REF!</v>
      </c>
      <c r="P18" s="468"/>
      <c r="Q18" s="468" t="e">
        <f>ROUND( MIN(Q5:Q5)+MIN(#REF!),0) &amp; " - " &amp; ROUND(MAX(Q5:Q5)+MAX(#REF!), 0)</f>
        <v>#REF!</v>
      </c>
      <c r="R18" s="468"/>
      <c r="S18" s="468" t="e">
        <f>ROUND( MIN(S5:S5)+MIN(#REF!),0) &amp; " - " &amp; ROUND(MAX(S5:S5)+MAX(#REF!), 0)</f>
        <v>#REF!</v>
      </c>
      <c r="T18" s="468"/>
      <c r="U18" s="468" t="e">
        <f>ROUND( MIN(U5:U5)+MIN(#REF!),0) &amp; " - " &amp; ROUND(MAX(U5:U5)+MAX(#REF!), 0)</f>
        <v>#REF!</v>
      </c>
      <c r="V18" s="468"/>
      <c r="W18" s="468" t="e">
        <f>ROUND( MIN(W5:W5)+MIN(#REF!),0) &amp; " - " &amp; ROUND(MAX(W5:W5)+MAX(#REF!), 0)</f>
        <v>#REF!</v>
      </c>
      <c r="X18" s="468"/>
      <c r="Y18" s="468" t="e">
        <f>ROUND( MIN(Y5:Y5)+MIN(#REF!),0) &amp; " - " &amp; ROUND(MAX(Y5:Y5)+MAX(#REF!), 0)</f>
        <v>#REF!</v>
      </c>
      <c r="Z18" s="468"/>
      <c r="AA18" s="468" t="e">
        <f>ROUND( MIN(AA5:AA5)+MIN(#REF!),0) &amp; " - " &amp; ROUND(MAX(AA5:AA5)+MAX(#REF!), 0)</f>
        <v>#REF!</v>
      </c>
      <c r="AB18" s="468" t="e">
        <f>ROUND( MIN(AB5:AB5)+MIN(#REF!),0) &amp; " - " &amp; ROUND(MAX(AB5:AB5)+MAX(#REF!), 0)</f>
        <v>#REF!</v>
      </c>
      <c r="AC18" s="468" t="e">
        <f>ROUND( MIN(AC5:AC5)+MIN(#REF!),0) &amp; " - " &amp; ROUND(MAX(AC5:AC5)+MAX(#REF!), 0)</f>
        <v>#REF!</v>
      </c>
      <c r="AD18" s="468" t="e">
        <f>ROUND( MIN(AD5:AD5)+MIN(#REF!),0) &amp; " - " &amp; ROUND(MAX(AD5:AD5)+MAX(#REF!), 0)</f>
        <v>#REF!</v>
      </c>
      <c r="AE18" s="468" t="e">
        <f>ROUND( MIN(AE5:AE5)+MIN(#REF!),0) &amp; " - " &amp; ROUND(MAX(AE5:AE5)+MAX(#REF!), 0)</f>
        <v>#REF!</v>
      </c>
      <c r="AF18" s="468" t="e">
        <f>ROUND( MIN(AF5:AF5)+MIN(#REF!),0) &amp; " - " &amp; ROUND(MAX(AF5:AF5)+MAX(#REF!), 0)</f>
        <v>#REF!</v>
      </c>
      <c r="AG18" s="468" t="e">
        <f>ROUND( MIN(AG5:AG5)+MIN(#REF!),0) &amp; " - " &amp; ROUND(MAX(AG5:AG5)+MAX(#REF!), 0)</f>
        <v>#REF!</v>
      </c>
      <c r="AH18" s="468" t="e">
        <f>ROUND( MIN(AH5:AH5)+MIN(#REF!),0) &amp; " - " &amp; ROUND(MAX(AH5:AH5)+MAX(#REF!), 0)</f>
        <v>#REF!</v>
      </c>
    </row>
    <row r="19" spans="1:34" s="465" customFormat="1" ht="18.45" hidden="1">
      <c r="A19" s="467"/>
      <c r="B19" s="466" t="s">
        <v>441</v>
      </c>
      <c r="C19" s="468" t="e">
        <f>SUM(AVERAGE(C6:C8),AVERAGE(#REF!))</f>
        <v>#DIV/0!</v>
      </c>
      <c r="D19" s="468"/>
      <c r="E19" s="468" t="e">
        <f>SUM(AVERAGE(E6:E8),AVERAGE(#REF!))</f>
        <v>#DIV/0!</v>
      </c>
      <c r="F19" s="468"/>
      <c r="G19" s="468" t="e">
        <f>SUM(AVERAGE(G6:G8),AVERAGE(#REF!))</f>
        <v>#DIV/0!</v>
      </c>
      <c r="H19" s="838"/>
      <c r="I19" s="468" t="e">
        <f>SUM(AVERAGE(I6:I8),AVERAGE(#REF!))</f>
        <v>#DIV/0!</v>
      </c>
      <c r="J19" s="468"/>
      <c r="K19" s="468" t="e">
        <f>SUM(AVERAGE(K6:K8),AVERAGE(#REF!))</f>
        <v>#DIV/0!</v>
      </c>
      <c r="L19" s="468"/>
      <c r="M19" s="468" t="e">
        <f>SUM(AVERAGE(M6:M8),AVERAGE(#REF!))</f>
        <v>#DIV/0!</v>
      </c>
      <c r="N19" s="468"/>
      <c r="O19" s="468" t="e">
        <f>SUM(AVERAGE(O6:O8),AVERAGE(#REF!))</f>
        <v>#DIV/0!</v>
      </c>
      <c r="P19" s="468"/>
      <c r="Q19" s="468" t="e">
        <f>SUM(AVERAGE(Q6:Q8),AVERAGE(#REF!))</f>
        <v>#DIV/0!</v>
      </c>
      <c r="R19" s="468"/>
      <c r="S19" s="468" t="e">
        <f>SUM(AVERAGE(S6:S8),AVERAGE(#REF!))</f>
        <v>#DIV/0!</v>
      </c>
      <c r="T19" s="468"/>
      <c r="U19" s="468" t="e">
        <f>SUM(AVERAGE(U6:U8),AVERAGE(#REF!))</f>
        <v>#DIV/0!</v>
      </c>
      <c r="V19" s="468"/>
      <c r="W19" s="468" t="e">
        <f>SUM(AVERAGE(W6:W8),AVERAGE(#REF!))</f>
        <v>#DIV/0!</v>
      </c>
      <c r="X19" s="468"/>
      <c r="Y19" s="468" t="e">
        <f>SUM(AVERAGE(Y6:Y8),AVERAGE(#REF!))</f>
        <v>#DIV/0!</v>
      </c>
      <c r="Z19" s="468"/>
      <c r="AA19" s="468" t="e">
        <f>SUM(AVERAGE(AA6:AA8),AVERAGE(#REF!))</f>
        <v>#DIV/0!</v>
      </c>
      <c r="AB19" s="468" t="e">
        <f>SUM(AVERAGE(AB6:AB8),AVERAGE(#REF!))</f>
        <v>#DIV/0!</v>
      </c>
      <c r="AC19" s="468" t="e">
        <f>SUM(AVERAGE(AC6:AC8),AVERAGE(#REF!))</f>
        <v>#DIV/0!</v>
      </c>
      <c r="AD19" s="468" t="e">
        <f>SUM(AVERAGE(AD6:AD8),AVERAGE(#REF!))</f>
        <v>#DIV/0!</v>
      </c>
      <c r="AE19" s="468" t="e">
        <f>SUM(AVERAGE(AE6:AE8),AVERAGE(#REF!))</f>
        <v>#DIV/0!</v>
      </c>
      <c r="AF19" s="468" t="e">
        <f>SUM(AVERAGE(AF6:AF8),AVERAGE(#REF!))</f>
        <v>#DIV/0!</v>
      </c>
      <c r="AG19" s="468" t="e">
        <f>SUM(AVERAGE(AG6:AG8),AVERAGE(#REF!))</f>
        <v>#DIV/0!</v>
      </c>
      <c r="AH19" s="468" t="e">
        <f>SUM(AVERAGE(AH6:AH8),AVERAGE(#REF!))</f>
        <v>#DIV/0!</v>
      </c>
    </row>
    <row r="20" spans="1:34" s="465" customFormat="1" ht="18.45" hidden="1">
      <c r="A20" s="467"/>
      <c r="B20" s="466" t="s">
        <v>442</v>
      </c>
      <c r="C20" s="468" t="e">
        <f>ROUND( MIN(C6:C8)+MIN(#REF!),0) &amp; " - " &amp; ROUND(MAX(C6:C8)+MAX(#REF!), 0)</f>
        <v>#REF!</v>
      </c>
      <c r="D20" s="468"/>
      <c r="E20" s="468" t="e">
        <f>ROUND( MIN(E6:E8)+MIN(#REF!),0) &amp; " - " &amp; ROUND(MAX(E6:E8)+MAX(#REF!), 0)</f>
        <v>#REF!</v>
      </c>
      <c r="F20" s="468"/>
      <c r="G20" s="468" t="e">
        <f>ROUND( MIN(G6:G8)+MIN(#REF!),0) &amp; " - " &amp; ROUND(MAX(G6:G8)+MAX(#REF!), 0)</f>
        <v>#REF!</v>
      </c>
      <c r="H20" s="838"/>
      <c r="I20" s="468" t="e">
        <f>ROUND( MIN(I6:I8)+MIN(#REF!),0) &amp; " - " &amp; ROUND(MAX(I6:I8)+MAX(#REF!), 0)</f>
        <v>#REF!</v>
      </c>
      <c r="J20" s="468"/>
      <c r="K20" s="468" t="e">
        <f>ROUND( MIN(K6:K8)+MIN(#REF!),0) &amp; " - " &amp; ROUND(MAX(K6:K8)+MAX(#REF!), 0)</f>
        <v>#REF!</v>
      </c>
      <c r="L20" s="468"/>
      <c r="M20" s="468" t="e">
        <f>ROUND( MIN(M6:M8)+MIN(#REF!),0) &amp; " - " &amp; ROUND(MAX(M6:M8)+MAX(#REF!), 0)</f>
        <v>#REF!</v>
      </c>
      <c r="N20" s="468"/>
      <c r="O20" s="468" t="e">
        <f>ROUND( MIN(O6:O8)+MIN(#REF!),0) &amp; " - " &amp; ROUND(MAX(O6:O8)+MAX(#REF!), 0)</f>
        <v>#REF!</v>
      </c>
      <c r="P20" s="468"/>
      <c r="Q20" s="468" t="e">
        <f>ROUND( MIN(Q6:Q8)+MIN(#REF!),0) &amp; " - " &amp; ROUND(MAX(Q6:Q8)+MAX(#REF!), 0)</f>
        <v>#REF!</v>
      </c>
      <c r="R20" s="468"/>
      <c r="S20" s="468" t="e">
        <f>ROUND( MIN(S6:S8)+MIN(#REF!),0) &amp; " - " &amp; ROUND(MAX(S6:S8)+MAX(#REF!), 0)</f>
        <v>#REF!</v>
      </c>
      <c r="T20" s="468"/>
      <c r="U20" s="468" t="e">
        <f>ROUND( MIN(U6:U8)+MIN(#REF!),0) &amp; " - " &amp; ROUND(MAX(U6:U8)+MAX(#REF!), 0)</f>
        <v>#REF!</v>
      </c>
      <c r="V20" s="468"/>
      <c r="W20" s="468" t="e">
        <f>ROUND( MIN(W6:W8)+MIN(#REF!),0) &amp; " - " &amp; ROUND(MAX(W6:W8)+MAX(#REF!), 0)</f>
        <v>#REF!</v>
      </c>
      <c r="X20" s="468"/>
      <c r="Y20" s="468" t="e">
        <f>ROUND( MIN(Y6:Y8)+MIN(#REF!),0) &amp; " - " &amp; ROUND(MAX(Y6:Y8)+MAX(#REF!), 0)</f>
        <v>#REF!</v>
      </c>
      <c r="Z20" s="468"/>
      <c r="AA20" s="468" t="e">
        <f>ROUND( MIN(AA6:AA8)+MIN(#REF!),0) &amp; " - " &amp; ROUND(MAX(AA6:AA8)+MAX(#REF!), 0)</f>
        <v>#REF!</v>
      </c>
      <c r="AB20" s="468" t="e">
        <f>ROUND( MIN(AB6:AB8)+MIN(#REF!),0) &amp; " - " &amp; ROUND(MAX(AB6:AB8)+MAX(#REF!), 0)</f>
        <v>#REF!</v>
      </c>
      <c r="AC20" s="468" t="e">
        <f>ROUND( MIN(AC6:AC8)+MIN(#REF!),0) &amp; " - " &amp; ROUND(MAX(AC6:AC8)+MAX(#REF!), 0)</f>
        <v>#REF!</v>
      </c>
      <c r="AD20" s="468" t="e">
        <f>ROUND( MIN(AD6:AD8)+MIN(#REF!),0) &amp; " - " &amp; ROUND(MAX(AD6:AD8)+MAX(#REF!), 0)</f>
        <v>#REF!</v>
      </c>
      <c r="AE20" s="468" t="e">
        <f>ROUND( MIN(AE6:AE8)+MIN(#REF!),0) &amp; " - " &amp; ROUND(MAX(AE6:AE8)+MAX(#REF!), 0)</f>
        <v>#REF!</v>
      </c>
      <c r="AF20" s="468" t="e">
        <f>ROUND( MIN(AF6:AF8)+MIN(#REF!),0) &amp; " - " &amp; ROUND(MAX(AF6:AF8)+MAX(#REF!), 0)</f>
        <v>#REF!</v>
      </c>
      <c r="AG20" s="468" t="e">
        <f>ROUND( MIN(AG6:AG8)+MIN(#REF!),0) &amp; " - " &amp; ROUND(MAX(AG6:AG8)+MAX(#REF!), 0)</f>
        <v>#REF!</v>
      </c>
      <c r="AH20" s="468" t="e">
        <f>ROUND( MIN(AH6:AH8)+MIN(#REF!),0) &amp; " - " &amp; ROUND(MAX(AH6:AH8)+MAX(#REF!), 0)</f>
        <v>#REF!</v>
      </c>
    </row>
    <row r="21" spans="1:34" s="465" customFormat="1" ht="18.45" hidden="1">
      <c r="A21" s="467"/>
      <c r="B21" s="466" t="s">
        <v>443</v>
      </c>
      <c r="C21" s="468" t="e">
        <f>SUM(AVERAGE(#REF!),AVERAGE(#REF!))</f>
        <v>#REF!</v>
      </c>
      <c r="D21" s="468"/>
      <c r="E21" s="468" t="e">
        <f>SUM(AVERAGE(#REF!),AVERAGE(#REF!))</f>
        <v>#REF!</v>
      </c>
      <c r="F21" s="468"/>
      <c r="G21" s="468" t="e">
        <f>SUM(AVERAGE(#REF!),AVERAGE(#REF!))</f>
        <v>#REF!</v>
      </c>
      <c r="H21" s="838"/>
      <c r="I21" s="468" t="e">
        <f>SUM(AVERAGE(#REF!),AVERAGE(#REF!))</f>
        <v>#REF!</v>
      </c>
      <c r="J21" s="468"/>
      <c r="K21" s="468" t="e">
        <f>SUM(AVERAGE(#REF!),AVERAGE(#REF!))</f>
        <v>#REF!</v>
      </c>
      <c r="L21" s="468"/>
      <c r="M21" s="468" t="e">
        <f>SUM(AVERAGE(#REF!),AVERAGE(#REF!))</f>
        <v>#REF!</v>
      </c>
      <c r="N21" s="468"/>
      <c r="O21" s="468" t="e">
        <f>SUM(AVERAGE(#REF!),AVERAGE(#REF!))</f>
        <v>#REF!</v>
      </c>
      <c r="P21" s="468"/>
      <c r="Q21" s="468" t="e">
        <f>SUM(AVERAGE(#REF!),AVERAGE(#REF!))</f>
        <v>#REF!</v>
      </c>
      <c r="R21" s="468"/>
      <c r="S21" s="468" t="e">
        <f>SUM(AVERAGE(#REF!),AVERAGE(#REF!))</f>
        <v>#REF!</v>
      </c>
      <c r="T21" s="468"/>
      <c r="U21" s="468" t="e">
        <f>SUM(AVERAGE(#REF!),AVERAGE(#REF!))</f>
        <v>#REF!</v>
      </c>
      <c r="V21" s="468"/>
      <c r="W21" s="468" t="e">
        <f>SUM(AVERAGE(#REF!),AVERAGE(#REF!))</f>
        <v>#REF!</v>
      </c>
      <c r="X21" s="468"/>
      <c r="Y21" s="468" t="e">
        <f>SUM(AVERAGE(#REF!),AVERAGE(#REF!))</f>
        <v>#REF!</v>
      </c>
      <c r="Z21" s="468"/>
      <c r="AA21" s="468" t="e">
        <f>SUM(AVERAGE(#REF!),AVERAGE(#REF!))</f>
        <v>#REF!</v>
      </c>
      <c r="AB21" s="468" t="e">
        <f>SUM(AVERAGE(#REF!),AVERAGE(#REF!))</f>
        <v>#REF!</v>
      </c>
      <c r="AC21" s="468" t="e">
        <f>SUM(AVERAGE(#REF!),AVERAGE(#REF!))</f>
        <v>#REF!</v>
      </c>
      <c r="AD21" s="468" t="e">
        <f>SUM(AVERAGE(#REF!),AVERAGE(#REF!))</f>
        <v>#REF!</v>
      </c>
      <c r="AE21" s="468" t="e">
        <f>SUM(AVERAGE(#REF!),AVERAGE(#REF!))</f>
        <v>#REF!</v>
      </c>
      <c r="AF21" s="468" t="e">
        <f>SUM(AVERAGE(#REF!),AVERAGE(#REF!))</f>
        <v>#REF!</v>
      </c>
      <c r="AG21" s="468" t="e">
        <f>SUM(AVERAGE(#REF!),AVERAGE(#REF!))</f>
        <v>#REF!</v>
      </c>
      <c r="AH21" s="468" t="e">
        <f>SUM(AVERAGE(#REF!),AVERAGE(#REF!))</f>
        <v>#REF!</v>
      </c>
    </row>
    <row r="22" spans="1:34" s="465" customFormat="1" ht="18.45" hidden="1">
      <c r="A22" s="467"/>
      <c r="B22" s="466" t="s">
        <v>444</v>
      </c>
      <c r="C22" s="468" t="e">
        <f>ROUND( MIN(#REF!)+MIN(#REF!),0) &amp; " - " &amp; ROUND(MAX(#REF!)+MAX(#REF!), 0)</f>
        <v>#REF!</v>
      </c>
      <c r="D22" s="468"/>
      <c r="E22" s="468" t="e">
        <f>ROUND( MIN(E6:E8)+MIN(#REF!),0) &amp; " - " &amp; ROUND(MAX(E6:E8)+MAX(#REF!), 0)</f>
        <v>#REF!</v>
      </c>
      <c r="F22" s="468"/>
      <c r="G22" s="468" t="e">
        <f>ROUND( MIN(G6:G8)+MIN(#REF!),0) &amp; " - " &amp; ROUND(MAX(G6:G8)+MAX(#REF!), 0)</f>
        <v>#REF!</v>
      </c>
      <c r="H22" s="838"/>
      <c r="I22" s="468" t="e">
        <f>ROUND( MIN(I6:I8)+MIN(#REF!),0) &amp; " - " &amp; ROUND(MAX(I6:I8)+MAX(#REF!), 0)</f>
        <v>#REF!</v>
      </c>
      <c r="J22" s="468"/>
      <c r="K22" s="468" t="e">
        <f>ROUND( MIN(K6:K8)+MIN(#REF!),0) &amp; " - " &amp; ROUND(MAX(K6:K8)+MAX(#REF!), 0)</f>
        <v>#REF!</v>
      </c>
      <c r="L22" s="468"/>
      <c r="M22" s="468" t="e">
        <f>ROUND( MIN(M6:M8)+MIN(#REF!),0) &amp; " - " &amp; ROUND(MAX(M6:M8)+MAX(#REF!), 0)</f>
        <v>#REF!</v>
      </c>
      <c r="N22" s="468"/>
      <c r="O22" s="468" t="e">
        <f>ROUND( MIN(O6:O8)+MIN(#REF!),0) &amp; " - " &amp; ROUND(MAX(O6:O8)+MAX(#REF!), 0)</f>
        <v>#REF!</v>
      </c>
      <c r="P22" s="468"/>
      <c r="Q22" s="468" t="e">
        <f>ROUND( MIN(Q6:Q8)+MIN(#REF!),0) &amp; " - " &amp; ROUND(MAX(Q6:Q8)+MAX(#REF!), 0)</f>
        <v>#REF!</v>
      </c>
      <c r="R22" s="468"/>
      <c r="S22" s="468" t="e">
        <f>ROUND( MIN(S6:S8)+MIN(#REF!),0) &amp; " - " &amp; ROUND(MAX(S6:S8)+MAX(#REF!), 0)</f>
        <v>#REF!</v>
      </c>
      <c r="T22" s="468"/>
      <c r="U22" s="468" t="e">
        <f>ROUND( MIN(U6:U8)+MIN(#REF!),0) &amp; " - " &amp; ROUND(MAX(U6:U8)+MAX(#REF!), 0)</f>
        <v>#REF!</v>
      </c>
      <c r="V22" s="468"/>
      <c r="W22" s="468" t="e">
        <f>ROUND( MIN(W6:W8)+MIN(#REF!),0) &amp; " - " &amp; ROUND(MAX(W6:W8)+MAX(#REF!), 0)</f>
        <v>#REF!</v>
      </c>
      <c r="X22" s="468"/>
      <c r="Y22" s="468" t="e">
        <f>ROUND( MIN(Y6:Y8)+MIN(#REF!),0) &amp; " - " &amp; ROUND(MAX(Y6:Y8)+MAX(#REF!), 0)</f>
        <v>#REF!</v>
      </c>
      <c r="Z22" s="468"/>
      <c r="AA22" s="468" t="e">
        <f>ROUND( MIN(AA6:AA8)+MIN(#REF!),0) &amp; " - " &amp; ROUND(MAX(AA6:AA8)+MAX(#REF!), 0)</f>
        <v>#REF!</v>
      </c>
      <c r="AB22" s="468" t="e">
        <f>ROUND( MIN(AB6:AB8)+MIN(#REF!),0) &amp; " - " &amp; ROUND(MAX(AB6:AB8)+MAX(#REF!), 0)</f>
        <v>#REF!</v>
      </c>
      <c r="AC22" s="468" t="e">
        <f>ROUND( MIN(AC6:AC8)+MIN(#REF!),0) &amp; " - " &amp; ROUND(MAX(AC6:AC8)+MAX(#REF!), 0)</f>
        <v>#REF!</v>
      </c>
      <c r="AD22" s="468" t="e">
        <f>ROUND( MIN(AD6:AD8)+MIN(#REF!),0) &amp; " - " &amp; ROUND(MAX(AD6:AD8)+MAX(#REF!), 0)</f>
        <v>#REF!</v>
      </c>
      <c r="AE22" s="468" t="e">
        <f>ROUND( MIN(AE6:AE8)+MIN(#REF!),0) &amp; " - " &amp; ROUND(MAX(AE6:AE8)+MAX(#REF!), 0)</f>
        <v>#REF!</v>
      </c>
      <c r="AF22" s="468" t="e">
        <f>ROUND( MIN(AF6:AF8)+MIN(#REF!),0) &amp; " - " &amp; ROUND(MAX(AF6:AF8)+MAX(#REF!), 0)</f>
        <v>#REF!</v>
      </c>
      <c r="AG22" s="468" t="e">
        <f>ROUND( MIN(AG6:AG8)+MIN(#REF!),0) &amp; " - " &amp; ROUND(MAX(AG6:AG8)+MAX(#REF!), 0)</f>
        <v>#REF!</v>
      </c>
      <c r="AH22" s="468" t="e">
        <f>ROUND( MIN(AH6:AH8)+MIN(#REF!),0) &amp; " - " &amp; ROUND(MAX(AH6:AH8)+MAX(#REF!), 0)</f>
        <v>#REF!</v>
      </c>
    </row>
    <row r="23" spans="1:34" s="465" customFormat="1" ht="18.45" hidden="1">
      <c r="A23" s="467"/>
      <c r="B23" s="466" t="s">
        <v>445</v>
      </c>
      <c r="C23" s="468" t="e">
        <f>SUM(AVERAGE(#REF!),AVERAGE(#REF!))</f>
        <v>#REF!</v>
      </c>
      <c r="D23" s="468"/>
      <c r="E23" s="468" t="e">
        <f>SUM(AVERAGE(#REF!),AVERAGE(#REF!))</f>
        <v>#REF!</v>
      </c>
      <c r="F23" s="468"/>
      <c r="G23" s="468" t="e">
        <f>SUM(AVERAGE(#REF!),AVERAGE(#REF!))</f>
        <v>#REF!</v>
      </c>
      <c r="H23" s="838"/>
      <c r="I23" s="468" t="e">
        <f>SUM(AVERAGE(#REF!),AVERAGE(#REF!))</f>
        <v>#REF!</v>
      </c>
      <c r="J23" s="468"/>
      <c r="K23" s="468" t="e">
        <f>SUM(AVERAGE(#REF!),AVERAGE(#REF!))</f>
        <v>#REF!</v>
      </c>
      <c r="L23" s="468"/>
      <c r="M23" s="468" t="e">
        <f>SUM(AVERAGE(#REF!),AVERAGE(#REF!))</f>
        <v>#REF!</v>
      </c>
      <c r="N23" s="468"/>
      <c r="O23" s="468" t="e">
        <f>SUM(AVERAGE(#REF!),AVERAGE(#REF!))</f>
        <v>#REF!</v>
      </c>
      <c r="P23" s="468"/>
      <c r="Q23" s="468" t="e">
        <f>SUM(AVERAGE(#REF!),AVERAGE(#REF!))</f>
        <v>#REF!</v>
      </c>
      <c r="R23" s="468"/>
      <c r="S23" s="468" t="e">
        <f>SUM(AVERAGE(#REF!),AVERAGE(#REF!))</f>
        <v>#REF!</v>
      </c>
      <c r="T23" s="468"/>
      <c r="U23" s="468" t="e">
        <f>SUM(AVERAGE(#REF!),AVERAGE(#REF!))</f>
        <v>#REF!</v>
      </c>
      <c r="V23" s="468"/>
      <c r="W23" s="468" t="e">
        <f>SUM(AVERAGE(#REF!),AVERAGE(#REF!))</f>
        <v>#REF!</v>
      </c>
      <c r="X23" s="468"/>
      <c r="Y23" s="468" t="e">
        <f>SUM(AVERAGE(#REF!),AVERAGE(#REF!))</f>
        <v>#REF!</v>
      </c>
      <c r="Z23" s="468"/>
      <c r="AA23" s="468" t="e">
        <f>SUM(AVERAGE(#REF!),AVERAGE(#REF!))</f>
        <v>#REF!</v>
      </c>
      <c r="AB23" s="468" t="e">
        <f>SUM(AVERAGE(#REF!),AVERAGE(#REF!))</f>
        <v>#REF!</v>
      </c>
      <c r="AC23" s="468" t="e">
        <f>SUM(AVERAGE(#REF!),AVERAGE(#REF!))</f>
        <v>#REF!</v>
      </c>
      <c r="AD23" s="468" t="e">
        <f>SUM(AVERAGE(#REF!),AVERAGE(#REF!))</f>
        <v>#REF!</v>
      </c>
      <c r="AE23" s="468" t="e">
        <f>SUM(AVERAGE(#REF!),AVERAGE(#REF!))</f>
        <v>#REF!</v>
      </c>
      <c r="AF23" s="468" t="e">
        <f>SUM(AVERAGE(#REF!),AVERAGE(#REF!))</f>
        <v>#REF!</v>
      </c>
      <c r="AG23" s="468" t="e">
        <f>SUM(AVERAGE(#REF!),AVERAGE(#REF!))</f>
        <v>#REF!</v>
      </c>
      <c r="AH23" s="468" t="e">
        <f>SUM(AVERAGE(#REF!),AVERAGE(#REF!))</f>
        <v>#REF!</v>
      </c>
    </row>
    <row r="24" spans="1:34" s="465" customFormat="1" ht="18.45" hidden="1">
      <c r="A24" s="467"/>
      <c r="B24" s="466" t="s">
        <v>446</v>
      </c>
      <c r="C24" s="468" t="e">
        <f>ROUND( MIN(#REF!)+MIN(#REF!),0) &amp; " - " &amp; ROUND(MAX(#REF!)+MAX(#REF!), 0)</f>
        <v>#REF!</v>
      </c>
      <c r="D24" s="468"/>
      <c r="E24" s="468" t="e">
        <f>ROUND( MIN(#REF!)+MIN(#REF!),0) &amp; " - " &amp; ROUND(MAX(#REF!)+MAX(#REF!), 0)</f>
        <v>#REF!</v>
      </c>
      <c r="F24" s="468"/>
      <c r="G24" s="468" t="e">
        <f>ROUND( MIN(#REF!)+MIN(#REF!),0) &amp; " - " &amp; ROUND(MAX(#REF!)+MAX(#REF!), 0)</f>
        <v>#REF!</v>
      </c>
      <c r="H24" s="838"/>
      <c r="I24" s="468" t="e">
        <f>ROUND( MIN(#REF!)+MIN(#REF!),0) &amp; " - " &amp; ROUND(MAX(#REF!)+MAX(#REF!), 0)</f>
        <v>#REF!</v>
      </c>
      <c r="J24" s="468"/>
      <c r="K24" s="468" t="e">
        <f>ROUND( MIN(#REF!)+MIN(#REF!),0) &amp; " - " &amp; ROUND(MAX(#REF!)+MAX(#REF!), 0)</f>
        <v>#REF!</v>
      </c>
      <c r="L24" s="468"/>
      <c r="M24" s="468" t="e">
        <f>ROUND( MIN(#REF!)+MIN(#REF!),0) &amp; " - " &amp; ROUND(MAX(#REF!)+MAX(#REF!), 0)</f>
        <v>#REF!</v>
      </c>
      <c r="N24" s="468"/>
      <c r="O24" s="468" t="e">
        <f>ROUND( MIN(#REF!)+MIN(#REF!),0) &amp; " - " &amp; ROUND(MAX(#REF!)+MAX(#REF!), 0)</f>
        <v>#REF!</v>
      </c>
      <c r="P24" s="468"/>
      <c r="Q24" s="468" t="e">
        <f>ROUND( MIN(#REF!)+MIN(#REF!),0) &amp; " - " &amp; ROUND(MAX(#REF!)+MAX(#REF!), 0)</f>
        <v>#REF!</v>
      </c>
      <c r="R24" s="468"/>
      <c r="S24" s="468" t="e">
        <f>ROUND( MIN(#REF!)+MIN(#REF!),0) &amp; " - " &amp; ROUND(MAX(#REF!)+MAX(#REF!), 0)</f>
        <v>#REF!</v>
      </c>
      <c r="T24" s="468"/>
      <c r="U24" s="468" t="e">
        <f>ROUND( MIN(#REF!)+MIN(#REF!),0) &amp; " - " &amp; ROUND(MAX(#REF!)+MAX(#REF!), 0)</f>
        <v>#REF!</v>
      </c>
      <c r="V24" s="468"/>
      <c r="W24" s="468" t="e">
        <f>ROUND( MIN(#REF!)+MIN(#REF!),0) &amp; " - " &amp; ROUND(MAX(#REF!)+MAX(#REF!), 0)</f>
        <v>#REF!</v>
      </c>
      <c r="X24" s="468"/>
      <c r="Y24" s="468" t="e">
        <f>ROUND( MIN(#REF!)+MIN(#REF!),0) &amp; " - " &amp; ROUND(MAX(#REF!)+MAX(#REF!), 0)</f>
        <v>#REF!</v>
      </c>
      <c r="Z24" s="468"/>
      <c r="AA24" s="468" t="e">
        <f>ROUND( MIN(#REF!)+MIN(#REF!),0) &amp; " - " &amp; ROUND(MAX(#REF!)+MAX(#REF!), 0)</f>
        <v>#REF!</v>
      </c>
      <c r="AB24" s="468" t="e">
        <f>ROUND( MIN(#REF!)+MIN(#REF!),0) &amp; " - " &amp; ROUND(MAX(#REF!)+MAX(#REF!), 0)</f>
        <v>#REF!</v>
      </c>
      <c r="AC24" s="468" t="e">
        <f>ROUND( MIN(#REF!)+MIN(#REF!),0) &amp; " - " &amp; ROUND(MAX(#REF!)+MAX(#REF!), 0)</f>
        <v>#REF!</v>
      </c>
      <c r="AD24" s="468" t="e">
        <f>ROUND( MIN(#REF!)+MIN(#REF!),0) &amp; " - " &amp; ROUND(MAX(#REF!)+MAX(#REF!), 0)</f>
        <v>#REF!</v>
      </c>
      <c r="AE24" s="468" t="e">
        <f>ROUND( MIN(#REF!)+MIN(#REF!),0) &amp; " - " &amp; ROUND(MAX(#REF!)+MAX(#REF!), 0)</f>
        <v>#REF!</v>
      </c>
      <c r="AF24" s="468" t="e">
        <f>ROUND( MIN(#REF!)+MIN(#REF!),0) &amp; " - " &amp; ROUND(MAX(#REF!)+MAX(#REF!), 0)</f>
        <v>#REF!</v>
      </c>
      <c r="AG24" s="468" t="e">
        <f>ROUND( MIN(#REF!)+MIN(#REF!),0) &amp; " - " &amp; ROUND(MAX(#REF!)+MAX(#REF!), 0)</f>
        <v>#REF!</v>
      </c>
      <c r="AH24" s="468" t="e">
        <f>ROUND( MIN(#REF!)+MIN(#REF!),0) &amp; " - " &amp; ROUND(MAX(#REF!)+MAX(#REF!), 0)</f>
        <v>#REF!</v>
      </c>
    </row>
    <row r="25" spans="1:34" s="465" customFormat="1" ht="18.45" hidden="1">
      <c r="F25" s="843"/>
      <c r="H25" s="839"/>
    </row>
    <row r="26" spans="1:34" s="465" customFormat="1" ht="18.45">
      <c r="F26" s="843"/>
      <c r="H26" s="839"/>
    </row>
    <row r="27" spans="1:34" hidden="1">
      <c r="B27" s="373" t="s">
        <v>407</v>
      </c>
      <c r="C27" s="373">
        <v>330</v>
      </c>
    </row>
    <row r="28" spans="1:34" hidden="1">
      <c r="B28" s="373" t="s">
        <v>406</v>
      </c>
      <c r="C28" s="373">
        <f>330+90+80</f>
        <v>500</v>
      </c>
    </row>
    <row r="29" spans="1:34" ht="18.45">
      <c r="A29" s="1250" t="s">
        <v>618</v>
      </c>
      <c r="B29" s="1251"/>
      <c r="C29" s="1251"/>
      <c r="D29" s="1251"/>
      <c r="E29" s="1251"/>
      <c r="F29" s="1251"/>
      <c r="G29" s="1251"/>
      <c r="H29" s="1251"/>
      <c r="I29" s="1251"/>
      <c r="J29" s="1251"/>
      <c r="K29" s="1251"/>
      <c r="L29" s="1251"/>
      <c r="M29" s="1251"/>
      <c r="N29" s="1251"/>
      <c r="O29" s="1251"/>
      <c r="P29" s="1251"/>
      <c r="Q29" s="1251"/>
      <c r="R29" s="1251"/>
      <c r="S29" s="1251"/>
      <c r="T29" s="1251"/>
      <c r="U29" s="1251"/>
      <c r="V29" s="1251"/>
      <c r="W29" s="1251"/>
      <c r="X29" s="1251"/>
      <c r="Y29" s="1251"/>
      <c r="Z29" s="1251"/>
      <c r="AA29" s="1251"/>
      <c r="AB29" s="1251"/>
      <c r="AC29" s="1251"/>
      <c r="AD29" s="1251"/>
      <c r="AE29" s="1251"/>
      <c r="AF29" s="1251"/>
      <c r="AG29" s="1251"/>
      <c r="AH29" s="1251"/>
    </row>
    <row r="30" spans="1:34" ht="18.45">
      <c r="A30" s="1250" t="s">
        <v>622</v>
      </c>
      <c r="B30" s="1251"/>
      <c r="C30" s="1251"/>
      <c r="D30" s="1251"/>
      <c r="E30" s="1251"/>
      <c r="F30" s="1251"/>
      <c r="G30" s="1251"/>
      <c r="H30" s="1251"/>
      <c r="I30" s="1251"/>
      <c r="J30" s="1251"/>
      <c r="K30" s="1251"/>
      <c r="L30" s="1251"/>
      <c r="M30" s="1251"/>
      <c r="N30" s="1251"/>
      <c r="O30" s="1251"/>
      <c r="P30" s="1251"/>
      <c r="Q30" s="1251"/>
      <c r="R30" s="1251"/>
      <c r="S30" s="1251"/>
      <c r="T30" s="1251"/>
      <c r="U30" s="1251"/>
      <c r="V30" s="1251"/>
      <c r="W30" s="1251"/>
      <c r="X30" s="1251"/>
      <c r="Y30" s="1251"/>
      <c r="Z30" s="1251"/>
      <c r="AA30" s="1251"/>
      <c r="AB30" s="1251"/>
      <c r="AC30" s="1251"/>
      <c r="AD30" s="1251"/>
      <c r="AE30" s="1251"/>
      <c r="AF30" s="1251"/>
      <c r="AG30" s="1251"/>
      <c r="AH30" s="1251"/>
    </row>
    <row r="31" spans="1:34" ht="18.899999999999999" thickBot="1">
      <c r="A31" s="1261" t="s">
        <v>619</v>
      </c>
      <c r="B31" s="1262"/>
      <c r="C31" s="1262"/>
      <c r="D31" s="1262"/>
      <c r="E31" s="1262"/>
      <c r="F31" s="1262"/>
      <c r="G31" s="1262"/>
      <c r="H31" s="1262"/>
      <c r="I31" s="1262"/>
      <c r="J31" s="1262"/>
      <c r="K31" s="1262"/>
      <c r="L31" s="1262"/>
      <c r="M31" s="1262"/>
      <c r="N31" s="1262"/>
      <c r="O31" s="1262"/>
      <c r="P31" s="1262"/>
      <c r="Q31" s="1262"/>
      <c r="R31" s="1262"/>
      <c r="S31" s="1262"/>
      <c r="T31" s="1262"/>
      <c r="U31" s="1262"/>
      <c r="V31" s="1262"/>
      <c r="W31" s="1262"/>
      <c r="X31" s="1262"/>
      <c r="Y31" s="1262"/>
      <c r="Z31" s="1262"/>
      <c r="AA31" s="1262"/>
      <c r="AB31" s="1262"/>
      <c r="AC31" s="1262"/>
      <c r="AD31" s="1262"/>
      <c r="AE31" s="1262"/>
      <c r="AF31" s="1262"/>
      <c r="AG31" s="1262"/>
      <c r="AH31" s="1262"/>
    </row>
    <row r="32" spans="1:34" ht="36.9">
      <c r="A32" s="490"/>
      <c r="B32" s="489" t="s">
        <v>3</v>
      </c>
      <c r="C32" s="460" t="s">
        <v>4</v>
      </c>
      <c r="D32" s="460" t="s">
        <v>4</v>
      </c>
      <c r="E32" s="460" t="s">
        <v>5</v>
      </c>
      <c r="F32" s="460" t="s">
        <v>5</v>
      </c>
      <c r="G32" s="460" t="s">
        <v>6</v>
      </c>
      <c r="H32" s="986" t="s">
        <v>6</v>
      </c>
      <c r="I32" s="460" t="s">
        <v>7</v>
      </c>
      <c r="J32" s="986" t="s">
        <v>7</v>
      </c>
      <c r="K32" s="460" t="s">
        <v>8</v>
      </c>
      <c r="L32" s="460" t="s">
        <v>8</v>
      </c>
      <c r="M32" s="460" t="s">
        <v>9</v>
      </c>
      <c r="N32" s="460" t="s">
        <v>9</v>
      </c>
      <c r="O32" s="460" t="s">
        <v>10</v>
      </c>
      <c r="P32" s="460" t="s">
        <v>10</v>
      </c>
      <c r="Q32" s="460" t="s">
        <v>11</v>
      </c>
      <c r="R32" s="460" t="s">
        <v>11</v>
      </c>
      <c r="S32" s="460" t="s">
        <v>12</v>
      </c>
      <c r="T32" s="460" t="s">
        <v>12</v>
      </c>
      <c r="U32" s="460" t="s">
        <v>13</v>
      </c>
      <c r="V32" s="460" t="s">
        <v>13</v>
      </c>
      <c r="W32" s="460" t="s">
        <v>14</v>
      </c>
      <c r="X32" s="460" t="s">
        <v>14</v>
      </c>
      <c r="Y32" s="460" t="s">
        <v>15</v>
      </c>
      <c r="Z32" s="460" t="s">
        <v>15</v>
      </c>
      <c r="AA32" s="487" t="s">
        <v>16</v>
      </c>
      <c r="AB32" s="487" t="s">
        <v>17</v>
      </c>
      <c r="AC32" s="487" t="s">
        <v>18</v>
      </c>
      <c r="AD32" s="487" t="s">
        <v>19</v>
      </c>
      <c r="AE32" s="487" t="s">
        <v>20</v>
      </c>
      <c r="AF32" s="487" t="s">
        <v>21</v>
      </c>
      <c r="AG32" s="487" t="s">
        <v>22</v>
      </c>
      <c r="AH32" s="487" t="s">
        <v>23</v>
      </c>
    </row>
    <row r="33" spans="1:34" ht="18.45">
      <c r="A33" s="516"/>
      <c r="B33" s="1181" t="s">
        <v>620</v>
      </c>
      <c r="C33" s="808">
        <v>703.76199999999994</v>
      </c>
      <c r="D33" s="808">
        <f t="shared" ref="D33:D36" si="30">MROUND(C33,10)</f>
        <v>700</v>
      </c>
      <c r="E33" s="808">
        <v>101.3</v>
      </c>
      <c r="F33" s="808">
        <f t="shared" ref="F33:F36" si="31">IF(E33&lt;5,0,(IF(E33&gt;50,MROUND(E33,10),MROUND(E33,5))))</f>
        <v>100</v>
      </c>
      <c r="G33" s="808">
        <v>11.256</v>
      </c>
      <c r="H33" s="845">
        <f t="shared" ref="H33:J36" si="32">IF(G33&lt;0.5,0,IF(G33&gt;5,MROUND(G33,1),MROUND(G33,0.5)))</f>
        <v>11</v>
      </c>
      <c r="I33" s="808">
        <v>7.15</v>
      </c>
      <c r="J33" s="845">
        <f t="shared" si="32"/>
        <v>7</v>
      </c>
      <c r="K33" s="808">
        <v>0</v>
      </c>
      <c r="L33" s="845">
        <f t="shared" ref="L33" si="33">IF(K33&lt;0.5,0,IF(K33&gt;5,MROUND(K33,1),MROUND(K33,0.5)))</f>
        <v>0</v>
      </c>
      <c r="M33" s="808">
        <v>66.617999999999995</v>
      </c>
      <c r="N33" s="808">
        <f t="shared" ref="N33:N36" si="34">IF(M33&lt;2,0,IF(M33&gt;5,MROUND(M33,5),"less than 5 mg"))</f>
        <v>65</v>
      </c>
      <c r="O33" s="808">
        <v>211.97</v>
      </c>
      <c r="P33" s="808">
        <f t="shared" ref="P33:P36" si="35">IF(O33&lt;5,0,IF(O33&gt;140,MROUND(O33,10),MROUND(O33,5)))</f>
        <v>210</v>
      </c>
      <c r="Q33" s="808">
        <v>147.28800000000001</v>
      </c>
      <c r="R33" s="808">
        <f t="shared" ref="R33:T36" si="36">IF(Q33&lt;0.5,0,IF(Q33&gt;1,MROUND(Q33,1),"less than 1 g"))</f>
        <v>147</v>
      </c>
      <c r="S33" s="808">
        <v>0.433</v>
      </c>
      <c r="T33" s="808">
        <f t="shared" si="36"/>
        <v>0</v>
      </c>
      <c r="U33" s="808">
        <v>125.91200000000001</v>
      </c>
      <c r="V33" s="808">
        <f t="shared" ref="V33" si="37">IF(U33&lt;0.5,0,IF(U33&gt;1,MROUND(U33,1),"less than 1 g"))</f>
        <v>126</v>
      </c>
      <c r="W33" s="808">
        <v>107.375</v>
      </c>
      <c r="X33" s="808">
        <f t="shared" ref="X33" si="38">IF(W33&lt;0.5,0,IF(W33&gt;1,MROUND(W33,1),"less than 1 g"))</f>
        <v>107</v>
      </c>
      <c r="Y33" s="809">
        <v>4.1289999999999996</v>
      </c>
      <c r="Z33" s="808">
        <f t="shared" ref="Z33" si="39">IF(Y33&lt;0.5,0,IF(Y33&gt;1,MROUND(Y33,1),"less than 1 g"))</f>
        <v>4</v>
      </c>
      <c r="AA33" s="809">
        <v>0</v>
      </c>
      <c r="AB33" s="809">
        <v>0</v>
      </c>
      <c r="AC33" s="809">
        <v>217.92699999999999</v>
      </c>
      <c r="AD33" s="810">
        <v>16.763999999999999</v>
      </c>
      <c r="AE33" s="810">
        <v>0.2</v>
      </c>
      <c r="AF33" s="810">
        <v>1.109</v>
      </c>
      <c r="AG33" s="810">
        <v>65.265000000000001</v>
      </c>
      <c r="AH33" s="811">
        <v>1.389</v>
      </c>
    </row>
    <row r="34" spans="1:34" ht="18.45">
      <c r="A34" s="517"/>
      <c r="B34" s="786" t="s">
        <v>150</v>
      </c>
      <c r="C34" s="794">
        <f>C9*2</f>
        <v>254.44800000000001</v>
      </c>
      <c r="D34" s="808">
        <f t="shared" si="30"/>
        <v>250</v>
      </c>
      <c r="E34" s="794">
        <f t="shared" ref="E34:AH34" si="40">E9*2</f>
        <v>35.902000000000001</v>
      </c>
      <c r="F34" s="808">
        <f t="shared" si="31"/>
        <v>35</v>
      </c>
      <c r="G34" s="794">
        <f t="shared" si="40"/>
        <v>3.99</v>
      </c>
      <c r="H34" s="845">
        <f t="shared" si="32"/>
        <v>4</v>
      </c>
      <c r="I34" s="794">
        <f t="shared" si="40"/>
        <v>2.456</v>
      </c>
      <c r="J34" s="845">
        <f t="shared" si="32"/>
        <v>2.5</v>
      </c>
      <c r="K34" s="794">
        <f t="shared" si="40"/>
        <v>0</v>
      </c>
      <c r="L34" s="845">
        <f t="shared" ref="L34" si="41">IF(K34&lt;0.5,0,IF(K34&gt;5,MROUND(K34,1),MROUND(K34,0.5)))</f>
        <v>0</v>
      </c>
      <c r="M34" s="794">
        <f t="shared" si="40"/>
        <v>10.442</v>
      </c>
      <c r="N34" s="808">
        <f t="shared" si="34"/>
        <v>10</v>
      </c>
      <c r="O34" s="794">
        <f t="shared" si="40"/>
        <v>205.82400000000001</v>
      </c>
      <c r="P34" s="808">
        <f t="shared" si="35"/>
        <v>210</v>
      </c>
      <c r="Q34" s="794">
        <f t="shared" si="40"/>
        <v>53.026000000000003</v>
      </c>
      <c r="R34" s="808">
        <f t="shared" si="36"/>
        <v>53</v>
      </c>
      <c r="S34" s="794">
        <f t="shared" si="40"/>
        <v>5.6000000000000001E-2</v>
      </c>
      <c r="T34" s="808">
        <f t="shared" si="36"/>
        <v>0</v>
      </c>
      <c r="U34" s="794">
        <f t="shared" si="40"/>
        <v>40.79</v>
      </c>
      <c r="V34" s="808">
        <f t="shared" ref="V34" si="42">IF(U34&lt;0.5,0,IF(U34&gt;1,MROUND(U34,1),"less than 1 g"))</f>
        <v>41</v>
      </c>
      <c r="W34" s="794">
        <f t="shared" si="40"/>
        <v>40.781999999999996</v>
      </c>
      <c r="X34" s="808">
        <f t="shared" ref="X34" si="43">IF(W34&lt;0.5,0,IF(W34&gt;1,MROUND(W34,1),"less than 1 g"))</f>
        <v>41</v>
      </c>
      <c r="Y34" s="794">
        <f t="shared" si="40"/>
        <v>2.0019999999999998</v>
      </c>
      <c r="Z34" s="808">
        <f t="shared" ref="Z34" si="44">IF(Y34&lt;0.5,0,IF(Y34&gt;1,MROUND(Y34,1),"less than 1 g"))</f>
        <v>2</v>
      </c>
      <c r="AA34" s="794">
        <f t="shared" si="40"/>
        <v>0</v>
      </c>
      <c r="AB34" s="794">
        <f t="shared" si="40"/>
        <v>0</v>
      </c>
      <c r="AC34" s="794">
        <f t="shared" si="40"/>
        <v>58.368000000000002</v>
      </c>
      <c r="AD34" s="794">
        <f t="shared" si="40"/>
        <v>4.49</v>
      </c>
      <c r="AE34" s="794">
        <f t="shared" si="40"/>
        <v>4.8000000000000001E-2</v>
      </c>
      <c r="AF34" s="794">
        <f t="shared" si="40"/>
        <v>0.27</v>
      </c>
      <c r="AG34" s="794">
        <f t="shared" si="40"/>
        <v>82.325999999999993</v>
      </c>
      <c r="AH34" s="794">
        <f t="shared" si="40"/>
        <v>1.752</v>
      </c>
    </row>
    <row r="35" spans="1:34" ht="18.45">
      <c r="A35" s="517"/>
      <c r="B35" s="787" t="s">
        <v>66</v>
      </c>
      <c r="C35" s="791">
        <f>C10*2</f>
        <v>139.774</v>
      </c>
      <c r="D35" s="808">
        <f t="shared" si="30"/>
        <v>140</v>
      </c>
      <c r="E35" s="791">
        <f t="shared" ref="E35:AH35" si="45">E10*2</f>
        <v>0.57399999999999995</v>
      </c>
      <c r="F35" s="808">
        <f t="shared" si="31"/>
        <v>0</v>
      </c>
      <c r="G35" s="791">
        <f t="shared" si="45"/>
        <v>6.4000000000000001E-2</v>
      </c>
      <c r="H35" s="845">
        <f t="shared" si="32"/>
        <v>0</v>
      </c>
      <c r="I35" s="791">
        <f t="shared" si="45"/>
        <v>6.0000000000000001E-3</v>
      </c>
      <c r="J35" s="845">
        <f t="shared" si="32"/>
        <v>0</v>
      </c>
      <c r="K35" s="791">
        <f t="shared" si="45"/>
        <v>0</v>
      </c>
      <c r="L35" s="845">
        <f t="shared" ref="L35" si="46">IF(K35&lt;0.5,0,IF(K35&gt;5,MROUND(K35,1),MROUND(K35,0.5)))</f>
        <v>0</v>
      </c>
      <c r="M35" s="791">
        <f t="shared" si="45"/>
        <v>0</v>
      </c>
      <c r="N35" s="808">
        <f t="shared" si="34"/>
        <v>0</v>
      </c>
      <c r="O35" s="791">
        <f t="shared" si="45"/>
        <v>19.456</v>
      </c>
      <c r="P35" s="808">
        <f t="shared" si="35"/>
        <v>20</v>
      </c>
      <c r="Q35" s="791">
        <f t="shared" si="45"/>
        <v>38.204000000000001</v>
      </c>
      <c r="R35" s="808">
        <f t="shared" si="36"/>
        <v>38</v>
      </c>
      <c r="S35" s="791">
        <f t="shared" si="45"/>
        <v>1.216</v>
      </c>
      <c r="T35" s="808">
        <f t="shared" si="36"/>
        <v>1</v>
      </c>
      <c r="U35" s="791">
        <f t="shared" si="45"/>
        <v>32.384</v>
      </c>
      <c r="V35" s="808">
        <f t="shared" ref="V35" si="47">IF(U35&lt;0.5,0,IF(U35&gt;1,MROUND(U35,1),"less than 1 g"))</f>
        <v>32</v>
      </c>
      <c r="W35" s="791">
        <f t="shared" si="45"/>
        <v>20.396000000000001</v>
      </c>
      <c r="X35" s="808">
        <f t="shared" ref="X35" si="48">IF(W35&lt;0.5,0,IF(W35&gt;1,MROUND(W35,1),"less than 1 g"))</f>
        <v>20</v>
      </c>
      <c r="Y35" s="791">
        <f t="shared" si="45"/>
        <v>0.32400000000000001</v>
      </c>
      <c r="Z35" s="808">
        <f t="shared" ref="Z35" si="49">IF(Y35&lt;0.5,0,IF(Y35&gt;1,MROUND(Y35,1),"less than 1 g"))</f>
        <v>0</v>
      </c>
      <c r="AA35" s="791">
        <f t="shared" si="45"/>
        <v>0</v>
      </c>
      <c r="AB35" s="791">
        <f t="shared" si="45"/>
        <v>0</v>
      </c>
      <c r="AC35" s="791">
        <f t="shared" si="45"/>
        <v>10.19</v>
      </c>
      <c r="AD35" s="791">
        <f t="shared" si="45"/>
        <v>0.78400000000000003</v>
      </c>
      <c r="AE35" s="791">
        <f t="shared" si="45"/>
        <v>0.436</v>
      </c>
      <c r="AF35" s="791">
        <f t="shared" si="45"/>
        <v>2.4239999999999999</v>
      </c>
      <c r="AG35" s="791">
        <f t="shared" si="45"/>
        <v>96.94</v>
      </c>
      <c r="AH35" s="791">
        <f t="shared" si="45"/>
        <v>2.0619999999999998</v>
      </c>
    </row>
    <row r="36" spans="1:34" ht="18.45">
      <c r="A36" s="517"/>
      <c r="B36" s="1181" t="s">
        <v>423</v>
      </c>
      <c r="C36" s="457">
        <v>38.271000000000001</v>
      </c>
      <c r="D36" s="808">
        <f t="shared" si="30"/>
        <v>40</v>
      </c>
      <c r="E36" s="457">
        <v>25.513999999999999</v>
      </c>
      <c r="F36" s="808">
        <f t="shared" si="31"/>
        <v>25</v>
      </c>
      <c r="G36" s="457">
        <v>2.835</v>
      </c>
      <c r="H36" s="845">
        <f t="shared" si="32"/>
        <v>3</v>
      </c>
      <c r="I36" s="457">
        <v>1.843</v>
      </c>
      <c r="J36" s="845">
        <f t="shared" si="32"/>
        <v>2</v>
      </c>
      <c r="K36" s="457">
        <v>0</v>
      </c>
      <c r="L36" s="845">
        <f t="shared" ref="L36" si="50">IF(K36&lt;0.5,0,IF(K36&gt;5,MROUND(K36,1),MROUND(K36,0.5)))</f>
        <v>0</v>
      </c>
      <c r="M36" s="457">
        <v>9.2129999999999992</v>
      </c>
      <c r="N36" s="808">
        <f t="shared" si="34"/>
        <v>10</v>
      </c>
      <c r="O36" s="457">
        <v>3.544</v>
      </c>
      <c r="P36" s="808">
        <f t="shared" si="35"/>
        <v>0</v>
      </c>
      <c r="Q36" s="457">
        <v>3.1179999999999999</v>
      </c>
      <c r="R36" s="808">
        <f t="shared" si="36"/>
        <v>3</v>
      </c>
      <c r="S36" s="457">
        <v>0</v>
      </c>
      <c r="T36" s="808">
        <f t="shared" si="36"/>
        <v>0</v>
      </c>
      <c r="U36" s="457">
        <v>1.417</v>
      </c>
      <c r="V36" s="808">
        <f t="shared" ref="V36" si="51">IF(U36&lt;0.5,0,IF(U36&gt;1,MROUND(U36,1),"less than 1 g"))</f>
        <v>1</v>
      </c>
      <c r="W36" s="457">
        <v>1.1339999999999999</v>
      </c>
      <c r="X36" s="808">
        <f t="shared" ref="X36" si="52">IF(W36&lt;0.5,0,IF(W36&gt;1,MROUND(W36,1),"less than 1 g"))</f>
        <v>1</v>
      </c>
      <c r="Y36" s="457">
        <v>0.28299999999999997</v>
      </c>
      <c r="Z36" s="808">
        <f t="shared" ref="Z36" si="53">IF(Y36&lt;0.5,0,IF(Y36&gt;1,MROUND(Y36,1),"less than 1 g"))</f>
        <v>0</v>
      </c>
      <c r="AA36" s="458">
        <v>0</v>
      </c>
      <c r="AB36" s="458">
        <v>0</v>
      </c>
      <c r="AC36" s="457">
        <v>9.9220000000000006</v>
      </c>
      <c r="AD36" s="457">
        <v>0.76300000000000001</v>
      </c>
      <c r="AE36" s="457">
        <v>0</v>
      </c>
      <c r="AF36" s="457">
        <v>0</v>
      </c>
      <c r="AG36" s="457">
        <v>12.757</v>
      </c>
      <c r="AH36" s="457">
        <v>0.27100000000000002</v>
      </c>
    </row>
    <row r="37" spans="1:34" ht="15.9">
      <c r="A37" s="1263" t="s">
        <v>168</v>
      </c>
      <c r="B37" s="1263"/>
      <c r="C37" s="1263"/>
      <c r="D37" s="1263"/>
      <c r="E37" s="1263"/>
      <c r="F37" s="1263"/>
      <c r="G37" s="1263"/>
      <c r="H37" s="1263"/>
      <c r="I37" s="1263"/>
      <c r="J37" s="1263"/>
      <c r="K37" s="1263"/>
      <c r="L37" s="1263"/>
      <c r="M37" s="1263"/>
      <c r="N37" s="1263"/>
      <c r="O37" s="1263"/>
      <c r="P37" s="1263"/>
      <c r="Q37" s="1263"/>
      <c r="R37" s="1263"/>
      <c r="S37" s="1263"/>
      <c r="T37" s="1263"/>
      <c r="U37" s="1263"/>
      <c r="V37" s="1263"/>
      <c r="W37" s="1263"/>
      <c r="X37" s="1263"/>
      <c r="Y37" s="1263"/>
      <c r="Z37" s="1263"/>
      <c r="AA37" s="1263"/>
      <c r="AB37" s="1263"/>
      <c r="AC37" s="1263"/>
      <c r="AD37" s="1263"/>
      <c r="AE37" s="1263"/>
      <c r="AF37" s="1263"/>
      <c r="AG37" s="1263"/>
      <c r="AH37" s="1264"/>
    </row>
    <row r="40" spans="1:34" ht="13.3" thickBot="1"/>
    <row r="41" spans="1:34" ht="36.9">
      <c r="B41" s="982" t="s">
        <v>623</v>
      </c>
      <c r="C41" s="460" t="s">
        <v>4</v>
      </c>
      <c r="D41" s="460" t="s">
        <v>4</v>
      </c>
      <c r="E41" s="460" t="s">
        <v>5</v>
      </c>
      <c r="F41" s="460" t="s">
        <v>5</v>
      </c>
      <c r="G41" s="460" t="s">
        <v>6</v>
      </c>
      <c r="H41" s="986" t="s">
        <v>6</v>
      </c>
      <c r="I41" s="460" t="s">
        <v>7</v>
      </c>
      <c r="J41" s="460" t="s">
        <v>7</v>
      </c>
      <c r="K41" s="460" t="s">
        <v>8</v>
      </c>
      <c r="L41" s="460" t="s">
        <v>8</v>
      </c>
      <c r="M41" s="460" t="s">
        <v>9</v>
      </c>
      <c r="N41" s="460" t="s">
        <v>9</v>
      </c>
      <c r="O41" s="460" t="s">
        <v>10</v>
      </c>
      <c r="P41" s="460" t="s">
        <v>10</v>
      </c>
      <c r="Q41" s="460" t="s">
        <v>11</v>
      </c>
      <c r="R41" s="460" t="s">
        <v>11</v>
      </c>
      <c r="S41" s="460" t="s">
        <v>12</v>
      </c>
      <c r="T41" s="460" t="s">
        <v>12</v>
      </c>
      <c r="U41" s="460" t="s">
        <v>13</v>
      </c>
      <c r="V41" s="460" t="s">
        <v>13</v>
      </c>
      <c r="W41" s="460" t="s">
        <v>14</v>
      </c>
      <c r="X41" s="460" t="s">
        <v>14</v>
      </c>
      <c r="Y41" s="460" t="s">
        <v>15</v>
      </c>
      <c r="Z41" s="460" t="s">
        <v>15</v>
      </c>
    </row>
    <row r="42" spans="1:34" ht="18.45">
      <c r="B42" s="983"/>
      <c r="C42" s="984">
        <f>D5</f>
        <v>460</v>
      </c>
      <c r="D42" s="990">
        <f>D5+D9+D11</f>
        <v>630</v>
      </c>
      <c r="E42" s="984">
        <f>F5</f>
        <v>70</v>
      </c>
      <c r="F42" s="990">
        <f>F5+F9+F11</f>
        <v>115</v>
      </c>
      <c r="G42" s="984">
        <f>H5</f>
        <v>8</v>
      </c>
      <c r="H42" s="990">
        <f>H5+H9+H11</f>
        <v>13</v>
      </c>
      <c r="I42" s="984">
        <f>J5</f>
        <v>5</v>
      </c>
      <c r="J42" s="990">
        <f>J5+J9+J11</f>
        <v>8</v>
      </c>
      <c r="K42" s="984">
        <f>L5</f>
        <v>0</v>
      </c>
      <c r="L42" s="990">
        <f>L5+L9+L11</f>
        <v>0</v>
      </c>
      <c r="M42" s="984">
        <f>N5</f>
        <v>45</v>
      </c>
      <c r="N42" s="990">
        <f>N5+N9+N11</f>
        <v>60</v>
      </c>
      <c r="O42" s="984">
        <f>P5</f>
        <v>140</v>
      </c>
      <c r="P42" s="990">
        <f>P5+P9+P11</f>
        <v>245</v>
      </c>
      <c r="Q42" s="984">
        <f>R5</f>
        <v>95</v>
      </c>
      <c r="R42" s="990">
        <f>R5+R9+R11</f>
        <v>125</v>
      </c>
      <c r="S42" s="984">
        <f>T5</f>
        <v>0</v>
      </c>
      <c r="T42" s="990">
        <f>T5+T9+T11</f>
        <v>0</v>
      </c>
      <c r="U42" s="984">
        <f>V5</f>
        <v>81</v>
      </c>
      <c r="V42" s="990">
        <f>V5+V9+V11</f>
        <v>102</v>
      </c>
      <c r="W42" s="984">
        <f>X5</f>
        <v>68</v>
      </c>
      <c r="X42" s="990">
        <f>X5+X9+X11</f>
        <v>89</v>
      </c>
      <c r="Y42" s="984">
        <f>Z5</f>
        <v>3</v>
      </c>
      <c r="Z42" s="990">
        <f>Z5+Z9+Z11</f>
        <v>4</v>
      </c>
    </row>
    <row r="43" spans="1:34" ht="18.45">
      <c r="B43" s="982"/>
      <c r="C43" s="984"/>
      <c r="D43" s="990"/>
      <c r="E43" s="984"/>
      <c r="F43" s="990"/>
      <c r="G43" s="984"/>
      <c r="H43" s="987"/>
      <c r="I43" s="984"/>
      <c r="J43" s="990"/>
      <c r="K43" s="984"/>
      <c r="L43" s="990"/>
      <c r="M43" s="984"/>
      <c r="N43" s="990"/>
      <c r="O43" s="984"/>
      <c r="P43" s="990"/>
      <c r="Q43" s="984"/>
      <c r="R43" s="990"/>
      <c r="S43" s="984"/>
      <c r="T43" s="990"/>
      <c r="U43" s="984"/>
      <c r="V43" s="990"/>
      <c r="W43" s="984"/>
      <c r="X43" s="990"/>
      <c r="Y43" s="984"/>
      <c r="Z43" s="990"/>
    </row>
    <row r="44" spans="1:34" ht="18.45">
      <c r="B44" s="857"/>
      <c r="C44" s="985"/>
      <c r="D44" s="984"/>
      <c r="E44" s="985"/>
      <c r="F44" s="984"/>
      <c r="G44" s="985"/>
      <c r="H44" s="988"/>
      <c r="I44" s="985"/>
      <c r="J44" s="984"/>
      <c r="K44" s="985"/>
      <c r="L44" s="984"/>
      <c r="M44" s="985"/>
      <c r="N44" s="984"/>
      <c r="O44" s="985"/>
      <c r="P44" s="984"/>
      <c r="Q44" s="985"/>
      <c r="R44" s="984"/>
      <c r="S44" s="985"/>
      <c r="T44" s="984"/>
      <c r="U44" s="985"/>
      <c r="V44" s="984"/>
      <c r="W44" s="985"/>
      <c r="X44" s="984"/>
      <c r="Y44" s="985"/>
      <c r="Z44" s="984"/>
    </row>
    <row r="45" spans="1:34">
      <c r="C45" s="901"/>
      <c r="D45" s="844"/>
      <c r="E45" s="901"/>
      <c r="G45" s="901"/>
      <c r="I45" s="901"/>
      <c r="K45" s="901"/>
      <c r="M45" s="901"/>
      <c r="O45" s="901"/>
      <c r="Q45" s="901"/>
      <c r="R45" s="844"/>
      <c r="S45" s="901"/>
      <c r="U45" s="901"/>
      <c r="W45" s="901"/>
      <c r="X45" s="844"/>
      <c r="Y45" s="901"/>
    </row>
    <row r="46" spans="1:34" ht="13.3" thickBot="1">
      <c r="C46" s="991">
        <f>SUM(C42:C44)</f>
        <v>460</v>
      </c>
      <c r="D46" s="991">
        <f>SUM(D42:D44)</f>
        <v>630</v>
      </c>
      <c r="E46" s="991">
        <f t="shared" ref="E46:Z46" si="54">SUM(E42:E44)</f>
        <v>70</v>
      </c>
      <c r="F46" s="991">
        <f t="shared" si="54"/>
        <v>115</v>
      </c>
      <c r="G46" s="991">
        <f t="shared" si="54"/>
        <v>8</v>
      </c>
      <c r="H46" s="999">
        <f t="shared" si="54"/>
        <v>13</v>
      </c>
      <c r="I46" s="991">
        <f t="shared" si="54"/>
        <v>5</v>
      </c>
      <c r="J46" s="991">
        <f t="shared" si="54"/>
        <v>8</v>
      </c>
      <c r="K46" s="991">
        <f t="shared" si="54"/>
        <v>0</v>
      </c>
      <c r="L46" s="991">
        <f t="shared" si="54"/>
        <v>0</v>
      </c>
      <c r="M46" s="991">
        <f t="shared" si="54"/>
        <v>45</v>
      </c>
      <c r="N46" s="991">
        <f t="shared" si="54"/>
        <v>60</v>
      </c>
      <c r="O46" s="991">
        <f t="shared" si="54"/>
        <v>140</v>
      </c>
      <c r="P46" s="991">
        <f t="shared" si="54"/>
        <v>245</v>
      </c>
      <c r="Q46" s="991">
        <f t="shared" si="54"/>
        <v>95</v>
      </c>
      <c r="R46" s="991">
        <f t="shared" si="54"/>
        <v>125</v>
      </c>
      <c r="S46" s="991">
        <f t="shared" si="54"/>
        <v>0</v>
      </c>
      <c r="T46" s="991">
        <f t="shared" si="54"/>
        <v>0</v>
      </c>
      <c r="U46" s="991">
        <f t="shared" si="54"/>
        <v>81</v>
      </c>
      <c r="V46" s="991">
        <f t="shared" si="54"/>
        <v>102</v>
      </c>
      <c r="W46" s="991">
        <f t="shared" si="54"/>
        <v>68</v>
      </c>
      <c r="X46" s="991">
        <f t="shared" si="54"/>
        <v>89</v>
      </c>
      <c r="Y46" s="991">
        <f t="shared" si="54"/>
        <v>3</v>
      </c>
      <c r="Z46" s="991">
        <f t="shared" si="54"/>
        <v>4</v>
      </c>
    </row>
    <row r="47" spans="1:34" ht="36.9">
      <c r="B47" s="982" t="s">
        <v>591</v>
      </c>
      <c r="C47" s="460" t="s">
        <v>4</v>
      </c>
      <c r="D47" s="460" t="s">
        <v>4</v>
      </c>
      <c r="E47" s="460" t="s">
        <v>5</v>
      </c>
      <c r="F47" s="460" t="s">
        <v>5</v>
      </c>
      <c r="G47" s="460" t="s">
        <v>6</v>
      </c>
      <c r="H47" s="986" t="s">
        <v>6</v>
      </c>
      <c r="I47" s="460" t="s">
        <v>7</v>
      </c>
      <c r="J47" s="460" t="s">
        <v>7</v>
      </c>
      <c r="K47" s="460" t="s">
        <v>8</v>
      </c>
      <c r="L47" s="460" t="s">
        <v>8</v>
      </c>
      <c r="M47" s="460" t="s">
        <v>9</v>
      </c>
      <c r="N47" s="460" t="s">
        <v>9</v>
      </c>
      <c r="O47" s="460" t="s">
        <v>10</v>
      </c>
      <c r="P47" s="460" t="s">
        <v>10</v>
      </c>
      <c r="Q47" s="460" t="s">
        <v>11</v>
      </c>
      <c r="R47" s="460" t="s">
        <v>11</v>
      </c>
      <c r="S47" s="460" t="s">
        <v>12</v>
      </c>
      <c r="T47" s="460" t="s">
        <v>12</v>
      </c>
      <c r="U47" s="460" t="s">
        <v>13</v>
      </c>
      <c r="V47" s="460" t="s">
        <v>13</v>
      </c>
      <c r="W47" s="460" t="s">
        <v>14</v>
      </c>
      <c r="X47" s="460" t="s">
        <v>14</v>
      </c>
      <c r="Y47" s="460" t="s">
        <v>15</v>
      </c>
      <c r="Z47" s="460" t="s">
        <v>15</v>
      </c>
    </row>
    <row r="48" spans="1:34" ht="18.45">
      <c r="B48" s="983"/>
      <c r="C48" s="984">
        <f>D33</f>
        <v>700</v>
      </c>
      <c r="D48" s="990">
        <f>D33+D34+D36</f>
        <v>990</v>
      </c>
      <c r="E48" s="984">
        <f>F33</f>
        <v>100</v>
      </c>
      <c r="F48" s="990">
        <f>F33+F34+F36</f>
        <v>160</v>
      </c>
      <c r="G48" s="984">
        <f>H33</f>
        <v>11</v>
      </c>
      <c r="H48" s="990">
        <f>H33+H34+H36</f>
        <v>18</v>
      </c>
      <c r="I48" s="984">
        <f>J33</f>
        <v>7</v>
      </c>
      <c r="J48" s="990">
        <f>J33+J34+J36</f>
        <v>11.5</v>
      </c>
      <c r="K48" s="984">
        <f>L33</f>
        <v>0</v>
      </c>
      <c r="L48" s="990">
        <f>L33+L34+L36</f>
        <v>0</v>
      </c>
      <c r="M48" s="984">
        <f>N33</f>
        <v>65</v>
      </c>
      <c r="N48" s="990">
        <f>N33+N34+N36</f>
        <v>85</v>
      </c>
      <c r="O48" s="984">
        <f>P33</f>
        <v>210</v>
      </c>
      <c r="P48" s="990">
        <f>P33+P34+P36</f>
        <v>420</v>
      </c>
      <c r="Q48" s="984">
        <f>R33</f>
        <v>147</v>
      </c>
      <c r="R48" s="990">
        <f>R33+R34+R36</f>
        <v>203</v>
      </c>
      <c r="S48" s="984">
        <f>T33</f>
        <v>0</v>
      </c>
      <c r="T48" s="990">
        <f>T33+T34+T36</f>
        <v>0</v>
      </c>
      <c r="U48" s="984">
        <f>V33</f>
        <v>126</v>
      </c>
      <c r="V48" s="990">
        <f>V33+V34+V36</f>
        <v>168</v>
      </c>
      <c r="W48" s="984">
        <f>X33</f>
        <v>107</v>
      </c>
      <c r="X48" s="990">
        <f>X33+X34+X36</f>
        <v>149</v>
      </c>
      <c r="Y48" s="984">
        <f>Z33</f>
        <v>4</v>
      </c>
      <c r="Z48" s="990">
        <f>Z33+Z34+Z36</f>
        <v>6</v>
      </c>
    </row>
    <row r="49" spans="2:26">
      <c r="C49" s="901"/>
      <c r="D49" s="844"/>
      <c r="E49" s="901"/>
      <c r="G49" s="901"/>
      <c r="I49" s="901"/>
      <c r="K49" s="901"/>
      <c r="M49" s="901"/>
      <c r="O49" s="901"/>
      <c r="Q49" s="901"/>
      <c r="R49" s="844"/>
      <c r="S49" s="901"/>
      <c r="U49" s="901"/>
      <c r="W49" s="901"/>
      <c r="X49" s="844"/>
      <c r="Y49" s="901"/>
    </row>
    <row r="50" spans="2:26" ht="18.45">
      <c r="B50" s="857"/>
      <c r="C50" s="990">
        <f>C48+C43+C44</f>
        <v>700</v>
      </c>
      <c r="D50" s="990">
        <f t="shared" ref="D50:Z50" si="55">D48+D43+D44</f>
        <v>990</v>
      </c>
      <c r="E50" s="990">
        <f t="shared" si="55"/>
        <v>100</v>
      </c>
      <c r="F50" s="990">
        <f t="shared" si="55"/>
        <v>160</v>
      </c>
      <c r="G50" s="990">
        <f t="shared" si="55"/>
        <v>11</v>
      </c>
      <c r="H50" s="987">
        <f t="shared" si="55"/>
        <v>18</v>
      </c>
      <c r="I50" s="990">
        <f t="shared" si="55"/>
        <v>7</v>
      </c>
      <c r="J50" s="990">
        <f t="shared" si="55"/>
        <v>11.5</v>
      </c>
      <c r="K50" s="990">
        <f t="shared" si="55"/>
        <v>0</v>
      </c>
      <c r="L50" s="990">
        <f t="shared" si="55"/>
        <v>0</v>
      </c>
      <c r="M50" s="990">
        <f t="shared" si="55"/>
        <v>65</v>
      </c>
      <c r="N50" s="990">
        <f t="shared" si="55"/>
        <v>85</v>
      </c>
      <c r="O50" s="990">
        <f t="shared" si="55"/>
        <v>210</v>
      </c>
      <c r="P50" s="990">
        <f t="shared" si="55"/>
        <v>420</v>
      </c>
      <c r="Q50" s="990">
        <f t="shared" si="55"/>
        <v>147</v>
      </c>
      <c r="R50" s="990">
        <f t="shared" si="55"/>
        <v>203</v>
      </c>
      <c r="S50" s="990">
        <f t="shared" si="55"/>
        <v>0</v>
      </c>
      <c r="T50" s="990">
        <f t="shared" si="55"/>
        <v>0</v>
      </c>
      <c r="U50" s="990">
        <f t="shared" si="55"/>
        <v>126</v>
      </c>
      <c r="V50" s="990">
        <f t="shared" si="55"/>
        <v>168</v>
      </c>
      <c r="W50" s="990">
        <f t="shared" si="55"/>
        <v>107</v>
      </c>
      <c r="X50" s="990">
        <f t="shared" si="55"/>
        <v>149</v>
      </c>
      <c r="Y50" s="990">
        <f t="shared" si="55"/>
        <v>4</v>
      </c>
      <c r="Z50" s="990">
        <f t="shared" si="55"/>
        <v>6</v>
      </c>
    </row>
  </sheetData>
  <mergeCells count="9">
    <mergeCell ref="A29:AH29"/>
    <mergeCell ref="A30:AH30"/>
    <mergeCell ref="A31:AH31"/>
    <mergeCell ref="A37:AH37"/>
    <mergeCell ref="A1:AH1"/>
    <mergeCell ref="A2:AH2"/>
    <mergeCell ref="A3:AH3"/>
    <mergeCell ref="A6:A8"/>
    <mergeCell ref="A13:AH13"/>
  </mergeCells>
  <pageMargins left="0.7" right="0.7" top="0.75" bottom="0.75" header="0.3" footer="0.3"/>
  <pageSetup scale="46" fitToHeight="0" orientation="landscape" r:id="rId1"/>
  <headerFooter>
    <oddHeader xml:space="preserve">&amp;R&amp;14 2026 Nutrition Information </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85EF1-8E86-4AFC-AF9B-37B5B1C41DA2}">
  <sheetPr>
    <tabColor rgb="FF92D050"/>
    <pageSetUpPr fitToPage="1"/>
  </sheetPr>
  <dimension ref="A1:V40"/>
  <sheetViews>
    <sheetView zoomScale="80" zoomScaleNormal="80" zoomScalePageLayoutView="70" workbookViewId="0">
      <selection activeCell="C11" sqref="C11"/>
    </sheetView>
    <sheetView workbookViewId="1">
      <selection sqref="A1:V1"/>
    </sheetView>
    <sheetView workbookViewId="2">
      <selection sqref="A1:V1"/>
    </sheetView>
  </sheetViews>
  <sheetFormatPr defaultColWidth="9.15234375" defaultRowHeight="12.9"/>
  <cols>
    <col min="1" max="1" width="9.15234375" style="373"/>
    <col min="2" max="2" width="46.15234375" style="373" customWidth="1"/>
    <col min="3" max="15" width="10" style="373" bestFit="1" customWidth="1"/>
    <col min="16" max="16" width="11" style="373" customWidth="1"/>
    <col min="17" max="17" width="10" style="373" bestFit="1" customWidth="1"/>
    <col min="18" max="22" width="12" style="373" bestFit="1" customWidth="1"/>
    <col min="23" max="16384" width="9.15234375" style="373"/>
  </cols>
  <sheetData>
    <row r="1" spans="1:22" s="465" customFormat="1" ht="22.5" customHeight="1">
      <c r="A1" s="1250" t="s">
        <v>618</v>
      </c>
      <c r="B1" s="1251"/>
      <c r="C1" s="1251"/>
      <c r="D1" s="1251"/>
      <c r="E1" s="1251"/>
      <c r="F1" s="1251"/>
      <c r="G1" s="1251"/>
      <c r="H1" s="1251"/>
      <c r="I1" s="1251"/>
      <c r="J1" s="1251"/>
      <c r="K1" s="1251"/>
      <c r="L1" s="1251"/>
      <c r="M1" s="1251"/>
      <c r="N1" s="1251"/>
      <c r="O1" s="1251"/>
      <c r="P1" s="1251"/>
      <c r="Q1" s="1251"/>
      <c r="R1" s="1251"/>
      <c r="S1" s="1251"/>
      <c r="T1" s="1251"/>
      <c r="U1" s="1251"/>
      <c r="V1" s="1251"/>
    </row>
    <row r="2" spans="1:22" s="465" customFormat="1" ht="18" customHeight="1">
      <c r="A2" s="1250" t="s">
        <v>448</v>
      </c>
      <c r="B2" s="1251"/>
      <c r="C2" s="1251"/>
      <c r="D2" s="1251"/>
      <c r="E2" s="1251"/>
      <c r="F2" s="1251"/>
      <c r="G2" s="1251"/>
      <c r="H2" s="1251"/>
      <c r="I2" s="1251"/>
      <c r="J2" s="1251"/>
      <c r="K2" s="1251"/>
      <c r="L2" s="1251"/>
      <c r="M2" s="1251"/>
      <c r="N2" s="1251"/>
      <c r="O2" s="1251"/>
      <c r="P2" s="1251"/>
      <c r="Q2" s="1251"/>
      <c r="R2" s="1251"/>
      <c r="S2" s="1251"/>
      <c r="T2" s="1251"/>
      <c r="U2" s="1251"/>
      <c r="V2" s="1251"/>
    </row>
    <row r="3" spans="1:22" s="465" customFormat="1" ht="18.75" customHeight="1" thickBot="1">
      <c r="A3" s="1261" t="s">
        <v>619</v>
      </c>
      <c r="B3" s="1262"/>
      <c r="C3" s="1262"/>
      <c r="D3" s="1262"/>
      <c r="E3" s="1262"/>
      <c r="F3" s="1262"/>
      <c r="G3" s="1262"/>
      <c r="H3" s="1262"/>
      <c r="I3" s="1262"/>
      <c r="J3" s="1262"/>
      <c r="K3" s="1262"/>
      <c r="L3" s="1262"/>
      <c r="M3" s="1262"/>
      <c r="N3" s="1262"/>
      <c r="O3" s="1262"/>
      <c r="P3" s="1262"/>
      <c r="Q3" s="1262"/>
      <c r="R3" s="1262"/>
      <c r="S3" s="1262"/>
      <c r="T3" s="1262"/>
      <c r="U3" s="1262"/>
      <c r="V3" s="1262"/>
    </row>
    <row r="4" spans="1:22" s="465" customFormat="1" ht="66" customHeight="1">
      <c r="A4" s="490"/>
      <c r="B4" s="489" t="s">
        <v>3</v>
      </c>
      <c r="C4" s="488" t="s">
        <v>4</v>
      </c>
      <c r="D4" s="488" t="s">
        <v>5</v>
      </c>
      <c r="E4" s="488" t="s">
        <v>6</v>
      </c>
      <c r="F4" s="488" t="s">
        <v>7</v>
      </c>
      <c r="G4" s="488" t="s">
        <v>8</v>
      </c>
      <c r="H4" s="488" t="s">
        <v>9</v>
      </c>
      <c r="I4" s="488" t="s">
        <v>10</v>
      </c>
      <c r="J4" s="488" t="s">
        <v>11</v>
      </c>
      <c r="K4" s="488" t="s">
        <v>12</v>
      </c>
      <c r="L4" s="488" t="s">
        <v>13</v>
      </c>
      <c r="M4" s="488" t="s">
        <v>14</v>
      </c>
      <c r="N4" s="488" t="s">
        <v>15</v>
      </c>
      <c r="O4" s="487" t="s">
        <v>16</v>
      </c>
      <c r="P4" s="487" t="s">
        <v>17</v>
      </c>
      <c r="Q4" s="487" t="s">
        <v>18</v>
      </c>
      <c r="R4" s="487" t="s">
        <v>19</v>
      </c>
      <c r="S4" s="487" t="s">
        <v>20</v>
      </c>
      <c r="T4" s="487" t="s">
        <v>21</v>
      </c>
      <c r="U4" s="487" t="s">
        <v>22</v>
      </c>
      <c r="V4" s="487" t="s">
        <v>23</v>
      </c>
    </row>
    <row r="5" spans="1:22" s="465" customFormat="1" ht="15" customHeight="1">
      <c r="A5" s="516"/>
      <c r="B5" s="1181" t="s">
        <v>620</v>
      </c>
      <c r="C5" s="645"/>
      <c r="D5" s="645"/>
      <c r="E5" s="645"/>
      <c r="F5" s="645"/>
      <c r="G5" s="645"/>
      <c r="H5" s="645"/>
      <c r="I5" s="645"/>
      <c r="J5" s="645"/>
      <c r="K5" s="645"/>
      <c r="L5" s="645"/>
      <c r="M5" s="645"/>
      <c r="N5" s="646"/>
      <c r="O5" s="646"/>
      <c r="P5" s="646"/>
      <c r="Q5" s="646"/>
      <c r="R5" s="647"/>
      <c r="S5" s="647"/>
      <c r="T5" s="647"/>
      <c r="U5" s="647"/>
      <c r="V5" s="648"/>
    </row>
    <row r="6" spans="1:22" s="465" customFormat="1" ht="15" hidden="1" customHeight="1" thickBot="1">
      <c r="A6" s="1351" t="s">
        <v>621</v>
      </c>
      <c r="B6" s="1182" t="s">
        <v>88</v>
      </c>
      <c r="C6" s="477"/>
      <c r="D6" s="477"/>
      <c r="E6" s="477"/>
      <c r="F6" s="477"/>
      <c r="G6" s="477"/>
      <c r="H6" s="477"/>
      <c r="I6" s="477"/>
      <c r="J6" s="477"/>
      <c r="K6" s="477"/>
      <c r="L6" s="477"/>
      <c r="M6" s="477"/>
      <c r="N6" s="481"/>
      <c r="O6" s="481"/>
      <c r="P6" s="481"/>
      <c r="Q6" s="481"/>
      <c r="R6" s="476"/>
      <c r="S6" s="476"/>
      <c r="T6" s="476"/>
      <c r="U6" s="476"/>
      <c r="V6" s="476"/>
    </row>
    <row r="7" spans="1:22" s="465" customFormat="1" ht="15" hidden="1" customHeight="1">
      <c r="A7" s="1359"/>
      <c r="B7" s="1182" t="s">
        <v>89</v>
      </c>
      <c r="C7" s="477"/>
      <c r="D7" s="477"/>
      <c r="E7" s="477"/>
      <c r="F7" s="477"/>
      <c r="G7" s="477"/>
      <c r="H7" s="477"/>
      <c r="I7" s="477"/>
      <c r="J7" s="477"/>
      <c r="K7" s="477"/>
      <c r="L7" s="477"/>
      <c r="M7" s="477"/>
      <c r="N7" s="481"/>
      <c r="O7" s="481"/>
      <c r="P7" s="481"/>
      <c r="Q7" s="481"/>
      <c r="R7" s="476"/>
      <c r="S7" s="476"/>
      <c r="T7" s="476"/>
      <c r="U7" s="476"/>
      <c r="V7" s="476"/>
    </row>
    <row r="8" spans="1:22" s="465" customFormat="1" ht="15" hidden="1" customHeight="1" thickBot="1">
      <c r="A8" s="1360"/>
      <c r="B8" s="1182" t="s">
        <v>91</v>
      </c>
      <c r="C8" s="477"/>
      <c r="D8" s="477"/>
      <c r="E8" s="477"/>
      <c r="F8" s="477"/>
      <c r="G8" s="477"/>
      <c r="H8" s="477"/>
      <c r="I8" s="477"/>
      <c r="J8" s="477"/>
      <c r="K8" s="477"/>
      <c r="L8" s="477"/>
      <c r="M8" s="477"/>
      <c r="N8" s="481"/>
      <c r="O8" s="481"/>
      <c r="P8" s="481"/>
      <c r="Q8" s="481"/>
      <c r="R8" s="476"/>
      <c r="S8" s="476"/>
      <c r="T8" s="476"/>
      <c r="U8" s="476"/>
      <c r="V8" s="476"/>
    </row>
    <row r="9" spans="1:22" s="465" customFormat="1" ht="15" customHeight="1">
      <c r="A9" s="517"/>
      <c r="B9" s="531" t="s">
        <v>624</v>
      </c>
      <c r="C9" s="385"/>
      <c r="D9" s="385"/>
      <c r="E9" s="385"/>
      <c r="F9" s="385"/>
      <c r="G9" s="385"/>
      <c r="H9" s="385"/>
      <c r="I9" s="385"/>
      <c r="J9" s="385"/>
      <c r="K9" s="385"/>
      <c r="L9" s="385"/>
      <c r="M9" s="385"/>
      <c r="N9" s="385"/>
      <c r="O9" s="385"/>
      <c r="P9" s="385"/>
      <c r="Q9" s="385"/>
      <c r="R9" s="385"/>
      <c r="S9" s="385"/>
      <c r="T9" s="385"/>
      <c r="U9" s="385"/>
      <c r="V9" s="385"/>
    </row>
    <row r="10" spans="1:22" s="465" customFormat="1" ht="15" customHeight="1">
      <c r="A10" s="517"/>
      <c r="B10" s="532" t="s">
        <v>624</v>
      </c>
      <c r="C10" s="385"/>
      <c r="D10" s="385"/>
      <c r="E10" s="385"/>
      <c r="F10" s="385"/>
      <c r="G10" s="385"/>
      <c r="H10" s="385"/>
      <c r="I10" s="385"/>
      <c r="J10" s="385"/>
      <c r="K10" s="385"/>
      <c r="L10" s="385"/>
      <c r="M10" s="385"/>
      <c r="N10" s="385"/>
      <c r="O10" s="385"/>
      <c r="P10" s="385"/>
      <c r="Q10" s="385"/>
      <c r="R10" s="385"/>
      <c r="S10" s="385"/>
      <c r="T10" s="385"/>
      <c r="U10" s="385"/>
      <c r="V10" s="385"/>
    </row>
    <row r="11" spans="1:22" s="465" customFormat="1" ht="15" customHeight="1">
      <c r="A11" s="517"/>
      <c r="B11" s="1181" t="s">
        <v>423</v>
      </c>
      <c r="C11" s="667" t="s">
        <v>592</v>
      </c>
      <c r="D11" s="384">
        <v>25.513999999999999</v>
      </c>
      <c r="E11" s="384">
        <v>2.835</v>
      </c>
      <c r="F11" s="384">
        <v>1.843</v>
      </c>
      <c r="G11" s="654">
        <v>0</v>
      </c>
      <c r="H11" s="384">
        <v>9.2129999999999992</v>
      </c>
      <c r="I11" s="384">
        <v>3.544</v>
      </c>
      <c r="J11" s="384">
        <v>3.1179999999999999</v>
      </c>
      <c r="K11" s="654">
        <v>0</v>
      </c>
      <c r="L11" s="384">
        <v>1.417</v>
      </c>
      <c r="M11" s="384">
        <v>1.1339999999999999</v>
      </c>
      <c r="N11" s="384">
        <v>0.28299999999999997</v>
      </c>
      <c r="O11" s="654">
        <v>0</v>
      </c>
      <c r="P11" s="654">
        <v>0</v>
      </c>
      <c r="Q11" s="384">
        <v>9.9220000000000006</v>
      </c>
      <c r="R11" s="384">
        <v>0.76300000000000001</v>
      </c>
      <c r="S11" s="654">
        <v>0</v>
      </c>
      <c r="T11" s="654">
        <v>0</v>
      </c>
      <c r="U11" s="384">
        <v>12.757</v>
      </c>
      <c r="V11" s="384">
        <v>0.27100000000000002</v>
      </c>
    </row>
    <row r="12" spans="1:22" s="465" customFormat="1" ht="15" hidden="1" customHeight="1">
      <c r="A12" s="517"/>
      <c r="B12" s="507" t="s">
        <v>140</v>
      </c>
      <c r="C12" s="474"/>
      <c r="D12" s="474"/>
      <c r="E12" s="474"/>
      <c r="F12" s="474"/>
      <c r="G12" s="474"/>
      <c r="H12" s="474"/>
      <c r="I12" s="474"/>
      <c r="J12" s="474"/>
      <c r="K12" s="474"/>
      <c r="L12" s="474"/>
      <c r="M12" s="474"/>
      <c r="N12" s="519"/>
      <c r="O12" s="519"/>
      <c r="P12" s="519"/>
      <c r="Q12" s="519"/>
      <c r="R12" s="473"/>
      <c r="S12" s="473"/>
      <c r="T12" s="473"/>
      <c r="U12" s="473"/>
      <c r="V12" s="473"/>
    </row>
    <row r="13" spans="1:22" s="465" customFormat="1" ht="50.25" customHeight="1">
      <c r="A13" s="1263" t="s">
        <v>168</v>
      </c>
      <c r="B13" s="1263"/>
      <c r="C13" s="1263"/>
      <c r="D13" s="1263"/>
      <c r="E13" s="1263"/>
      <c r="F13" s="1263"/>
      <c r="G13" s="1263"/>
      <c r="H13" s="1263"/>
      <c r="I13" s="1263"/>
      <c r="J13" s="1263"/>
      <c r="K13" s="1263"/>
      <c r="L13" s="1263"/>
      <c r="M13" s="1263"/>
      <c r="N13" s="1263"/>
      <c r="O13" s="1263"/>
      <c r="P13" s="1263"/>
      <c r="Q13" s="1263"/>
      <c r="R13" s="1263"/>
      <c r="S13" s="1263"/>
      <c r="T13" s="1263"/>
      <c r="U13" s="1263"/>
      <c r="V13" s="1264"/>
    </row>
    <row r="14" spans="1:22" s="465" customFormat="1" ht="28.5" hidden="1" customHeight="1">
      <c r="A14" s="467"/>
      <c r="B14" s="491"/>
      <c r="C14" s="491"/>
      <c r="D14" s="491"/>
      <c r="E14" s="491"/>
      <c r="F14" s="491"/>
      <c r="G14" s="491"/>
      <c r="H14" s="491"/>
      <c r="I14" s="491"/>
      <c r="J14" s="491"/>
      <c r="K14" s="491"/>
      <c r="L14" s="491"/>
      <c r="M14" s="491"/>
      <c r="N14" s="491"/>
      <c r="O14" s="491"/>
      <c r="P14" s="491"/>
      <c r="Q14" s="491"/>
      <c r="R14" s="491"/>
      <c r="S14" s="491"/>
      <c r="T14" s="491"/>
      <c r="U14" s="491"/>
      <c r="V14" s="491"/>
    </row>
    <row r="15" spans="1:22" s="465" customFormat="1" ht="18.45" hidden="1">
      <c r="A15" s="467"/>
      <c r="B15" s="491"/>
      <c r="C15" s="491"/>
      <c r="D15" s="491"/>
      <c r="E15" s="491"/>
      <c r="F15" s="491"/>
      <c r="G15" s="491"/>
      <c r="H15" s="491"/>
      <c r="I15" s="491"/>
      <c r="J15" s="491"/>
      <c r="K15" s="491"/>
      <c r="L15" s="491"/>
      <c r="M15" s="491"/>
      <c r="N15" s="491"/>
      <c r="O15" s="491"/>
      <c r="P15" s="491"/>
      <c r="Q15" s="491"/>
      <c r="R15" s="491"/>
      <c r="S15" s="491"/>
      <c r="T15" s="491"/>
      <c r="U15" s="491"/>
      <c r="V15" s="491"/>
    </row>
    <row r="16" spans="1:22" s="465" customFormat="1" ht="18.45" hidden="1">
      <c r="A16" s="472"/>
      <c r="B16" s="472"/>
      <c r="C16" s="472"/>
      <c r="D16" s="472"/>
      <c r="E16" s="472"/>
      <c r="F16" s="472"/>
      <c r="G16" s="472"/>
      <c r="H16" s="472"/>
      <c r="I16" s="472"/>
      <c r="J16" s="472"/>
      <c r="K16" s="472"/>
      <c r="L16" s="472"/>
      <c r="M16" s="472"/>
      <c r="N16" s="472"/>
      <c r="O16" s="472"/>
      <c r="P16" s="472"/>
      <c r="Q16" s="467"/>
    </row>
    <row r="17" spans="1:22" s="465" customFormat="1" ht="18.45" hidden="1">
      <c r="A17" s="467"/>
      <c r="B17" s="466" t="s">
        <v>439</v>
      </c>
      <c r="C17" s="468" t="e">
        <f>SUM(AVERAGE(C5:C5),AVERAGE(#REF!))</f>
        <v>#DIV/0!</v>
      </c>
      <c r="D17" s="468" t="e">
        <f>SUM(AVERAGE(D5:D5),AVERAGE(#REF!))</f>
        <v>#DIV/0!</v>
      </c>
      <c r="E17" s="468" t="e">
        <f>SUM(AVERAGE(E5:E5),AVERAGE(#REF!))</f>
        <v>#DIV/0!</v>
      </c>
      <c r="F17" s="468" t="e">
        <f>SUM(AVERAGE(F5:F5),AVERAGE(#REF!))</f>
        <v>#DIV/0!</v>
      </c>
      <c r="G17" s="468" t="e">
        <f>SUM(AVERAGE(G5:G5),AVERAGE(#REF!))</f>
        <v>#DIV/0!</v>
      </c>
      <c r="H17" s="468" t="e">
        <f>SUM(AVERAGE(H5:H5),AVERAGE(#REF!))</f>
        <v>#DIV/0!</v>
      </c>
      <c r="I17" s="468" t="e">
        <f>SUM(AVERAGE(I5:I5),AVERAGE(#REF!))</f>
        <v>#DIV/0!</v>
      </c>
      <c r="J17" s="468" t="e">
        <f>SUM(AVERAGE(J5:J5),AVERAGE(#REF!))</f>
        <v>#DIV/0!</v>
      </c>
      <c r="K17" s="468" t="e">
        <f>SUM(AVERAGE(K5:K5),AVERAGE(#REF!))</f>
        <v>#DIV/0!</v>
      </c>
      <c r="L17" s="468" t="e">
        <f>SUM(AVERAGE(L5:L5),AVERAGE(#REF!))</f>
        <v>#DIV/0!</v>
      </c>
      <c r="M17" s="468" t="e">
        <f>SUM(AVERAGE(M5:M5),AVERAGE(#REF!))</f>
        <v>#DIV/0!</v>
      </c>
      <c r="N17" s="468" t="e">
        <f>SUM(AVERAGE(N5:N5),AVERAGE(#REF!))</f>
        <v>#DIV/0!</v>
      </c>
      <c r="O17" s="468" t="e">
        <f>SUM(AVERAGE(O5:O5),AVERAGE(#REF!))</f>
        <v>#DIV/0!</v>
      </c>
      <c r="P17" s="468" t="e">
        <f>SUM(AVERAGE(P5:P5),AVERAGE(#REF!))</f>
        <v>#DIV/0!</v>
      </c>
      <c r="Q17" s="468" t="e">
        <f>SUM(AVERAGE(Q5:Q5),AVERAGE(#REF!))</f>
        <v>#DIV/0!</v>
      </c>
      <c r="R17" s="468" t="e">
        <f>SUM(AVERAGE(R5:R5),AVERAGE(#REF!))</f>
        <v>#DIV/0!</v>
      </c>
      <c r="S17" s="468" t="e">
        <f>SUM(AVERAGE(S5:S5),AVERAGE(#REF!))</f>
        <v>#DIV/0!</v>
      </c>
      <c r="T17" s="468" t="e">
        <f>SUM(AVERAGE(T5:T5),AVERAGE(#REF!))</f>
        <v>#DIV/0!</v>
      </c>
      <c r="U17" s="468" t="e">
        <f>SUM(AVERAGE(U5:U5),AVERAGE(#REF!))</f>
        <v>#DIV/0!</v>
      </c>
      <c r="V17" s="468" t="e">
        <f>SUM(AVERAGE(V5:V5),AVERAGE(#REF!))</f>
        <v>#DIV/0!</v>
      </c>
    </row>
    <row r="18" spans="1:22" s="465" customFormat="1" ht="18.45" hidden="1">
      <c r="A18" s="467"/>
      <c r="B18" s="466" t="s">
        <v>440</v>
      </c>
      <c r="C18" s="468" t="e">
        <f>ROUND( MIN(C5:C5)+MIN(#REF!),0) &amp; " - " &amp; ROUND(MAX(C5:C5)+MAX(#REF!), 0)</f>
        <v>#REF!</v>
      </c>
      <c r="D18" s="468" t="e">
        <f>ROUND( MIN(D5:D5)+MIN(#REF!),0) &amp; " - " &amp; ROUND(MAX(D5:D5)+MAX(#REF!), 0)</f>
        <v>#REF!</v>
      </c>
      <c r="E18" s="468" t="e">
        <f>ROUND( MIN(E5:E5)+MIN(#REF!),0) &amp; " - " &amp; ROUND(MAX(E5:E5)+MAX(#REF!), 0)</f>
        <v>#REF!</v>
      </c>
      <c r="F18" s="468" t="e">
        <f>ROUND( MIN(F5:F5)+MIN(#REF!),0) &amp; " - " &amp; ROUND(MAX(F5:F5)+MAX(#REF!), 0)</f>
        <v>#REF!</v>
      </c>
      <c r="G18" s="468" t="e">
        <f>ROUND( MIN(G5:G5)+MIN(#REF!),0) &amp; " - " &amp; ROUND(MAX(G5:G5)+MAX(#REF!), 0)</f>
        <v>#REF!</v>
      </c>
      <c r="H18" s="468" t="e">
        <f>ROUND( MIN(H5:H5)+MIN(#REF!),0) &amp; " - " &amp; ROUND(MAX(H5:H5)+MAX(#REF!), 0)</f>
        <v>#REF!</v>
      </c>
      <c r="I18" s="468" t="e">
        <f>ROUND( MIN(I5:I5)+MIN(#REF!),0) &amp; " - " &amp; ROUND(MAX(I5:I5)+MAX(#REF!), 0)</f>
        <v>#REF!</v>
      </c>
      <c r="J18" s="468" t="e">
        <f>ROUND( MIN(J5:J5)+MIN(#REF!),0) &amp; " - " &amp; ROUND(MAX(J5:J5)+MAX(#REF!), 0)</f>
        <v>#REF!</v>
      </c>
      <c r="K18" s="468" t="e">
        <f>ROUND( MIN(K5:K5)+MIN(#REF!),0) &amp; " - " &amp; ROUND(MAX(K5:K5)+MAX(#REF!), 0)</f>
        <v>#REF!</v>
      </c>
      <c r="L18" s="468" t="e">
        <f>ROUND( MIN(L5:L5)+MIN(#REF!),0) &amp; " - " &amp; ROUND(MAX(L5:L5)+MAX(#REF!), 0)</f>
        <v>#REF!</v>
      </c>
      <c r="M18" s="468" t="e">
        <f>ROUND( MIN(M5:M5)+MIN(#REF!),0) &amp; " - " &amp; ROUND(MAX(M5:M5)+MAX(#REF!), 0)</f>
        <v>#REF!</v>
      </c>
      <c r="N18" s="468" t="e">
        <f>ROUND( MIN(N5:N5)+MIN(#REF!),0) &amp; " - " &amp; ROUND(MAX(N5:N5)+MAX(#REF!), 0)</f>
        <v>#REF!</v>
      </c>
      <c r="O18" s="468" t="e">
        <f>ROUND( MIN(O5:O5)+MIN(#REF!),0) &amp; " - " &amp; ROUND(MAX(O5:O5)+MAX(#REF!), 0)</f>
        <v>#REF!</v>
      </c>
      <c r="P18" s="468" t="e">
        <f>ROUND( MIN(P5:P5)+MIN(#REF!),0) &amp; " - " &amp; ROUND(MAX(P5:P5)+MAX(#REF!), 0)</f>
        <v>#REF!</v>
      </c>
      <c r="Q18" s="468" t="e">
        <f>ROUND( MIN(Q5:Q5)+MIN(#REF!),0) &amp; " - " &amp; ROUND(MAX(Q5:Q5)+MAX(#REF!), 0)</f>
        <v>#REF!</v>
      </c>
      <c r="R18" s="468" t="e">
        <f>ROUND( MIN(R5:R5)+MIN(#REF!),0) &amp; " - " &amp; ROUND(MAX(R5:R5)+MAX(#REF!), 0)</f>
        <v>#REF!</v>
      </c>
      <c r="S18" s="468" t="e">
        <f>ROUND( MIN(S5:S5)+MIN(#REF!),0) &amp; " - " &amp; ROUND(MAX(S5:S5)+MAX(#REF!), 0)</f>
        <v>#REF!</v>
      </c>
      <c r="T18" s="468" t="e">
        <f>ROUND( MIN(T5:T5)+MIN(#REF!),0) &amp; " - " &amp; ROUND(MAX(T5:T5)+MAX(#REF!), 0)</f>
        <v>#REF!</v>
      </c>
      <c r="U18" s="468" t="e">
        <f>ROUND( MIN(U5:U5)+MIN(#REF!),0) &amp; " - " &amp; ROUND(MAX(U5:U5)+MAX(#REF!), 0)</f>
        <v>#REF!</v>
      </c>
      <c r="V18" s="468" t="e">
        <f>ROUND( MIN(V5:V5)+MIN(#REF!),0) &amp; " - " &amp; ROUND(MAX(V5:V5)+MAX(#REF!), 0)</f>
        <v>#REF!</v>
      </c>
    </row>
    <row r="19" spans="1:22" s="465" customFormat="1" ht="18.45" hidden="1">
      <c r="A19" s="467"/>
      <c r="B19" s="466" t="s">
        <v>441</v>
      </c>
      <c r="C19" s="468" t="e">
        <f>SUM(AVERAGE(C6:C8),AVERAGE(#REF!))</f>
        <v>#DIV/0!</v>
      </c>
      <c r="D19" s="468" t="e">
        <f>SUM(AVERAGE(D6:D8),AVERAGE(#REF!))</f>
        <v>#DIV/0!</v>
      </c>
      <c r="E19" s="468" t="e">
        <f>SUM(AVERAGE(E6:E8),AVERAGE(#REF!))</f>
        <v>#DIV/0!</v>
      </c>
      <c r="F19" s="468" t="e">
        <f>SUM(AVERAGE(F6:F8),AVERAGE(#REF!))</f>
        <v>#DIV/0!</v>
      </c>
      <c r="G19" s="468" t="e">
        <f>SUM(AVERAGE(G6:G8),AVERAGE(#REF!))</f>
        <v>#DIV/0!</v>
      </c>
      <c r="H19" s="468" t="e">
        <f>SUM(AVERAGE(H6:H8),AVERAGE(#REF!))</f>
        <v>#DIV/0!</v>
      </c>
      <c r="I19" s="468" t="e">
        <f>SUM(AVERAGE(I6:I8),AVERAGE(#REF!))</f>
        <v>#DIV/0!</v>
      </c>
      <c r="J19" s="468" t="e">
        <f>SUM(AVERAGE(J6:J8),AVERAGE(#REF!))</f>
        <v>#DIV/0!</v>
      </c>
      <c r="K19" s="468" t="e">
        <f>SUM(AVERAGE(K6:K8),AVERAGE(#REF!))</f>
        <v>#DIV/0!</v>
      </c>
      <c r="L19" s="468" t="e">
        <f>SUM(AVERAGE(L6:L8),AVERAGE(#REF!))</f>
        <v>#DIV/0!</v>
      </c>
      <c r="M19" s="468" t="e">
        <f>SUM(AVERAGE(M6:M8),AVERAGE(#REF!))</f>
        <v>#DIV/0!</v>
      </c>
      <c r="N19" s="468" t="e">
        <f>SUM(AVERAGE(N6:N8),AVERAGE(#REF!))</f>
        <v>#DIV/0!</v>
      </c>
      <c r="O19" s="468" t="e">
        <f>SUM(AVERAGE(O6:O8),AVERAGE(#REF!))</f>
        <v>#DIV/0!</v>
      </c>
      <c r="P19" s="468" t="e">
        <f>SUM(AVERAGE(P6:P8),AVERAGE(#REF!))</f>
        <v>#DIV/0!</v>
      </c>
      <c r="Q19" s="468" t="e">
        <f>SUM(AVERAGE(Q6:Q8),AVERAGE(#REF!))</f>
        <v>#DIV/0!</v>
      </c>
      <c r="R19" s="468" t="e">
        <f>SUM(AVERAGE(R6:R8),AVERAGE(#REF!))</f>
        <v>#DIV/0!</v>
      </c>
      <c r="S19" s="468" t="e">
        <f>SUM(AVERAGE(S6:S8),AVERAGE(#REF!))</f>
        <v>#DIV/0!</v>
      </c>
      <c r="T19" s="468" t="e">
        <f>SUM(AVERAGE(T6:T8),AVERAGE(#REF!))</f>
        <v>#DIV/0!</v>
      </c>
      <c r="U19" s="468" t="e">
        <f>SUM(AVERAGE(U6:U8),AVERAGE(#REF!))</f>
        <v>#DIV/0!</v>
      </c>
      <c r="V19" s="468" t="e">
        <f>SUM(AVERAGE(V6:V8),AVERAGE(#REF!))</f>
        <v>#DIV/0!</v>
      </c>
    </row>
    <row r="20" spans="1:22" s="465" customFormat="1" ht="18.45" hidden="1">
      <c r="A20" s="467"/>
      <c r="B20" s="466" t="s">
        <v>442</v>
      </c>
      <c r="C20" s="468" t="e">
        <f>ROUND( MIN(C6:C8)+MIN(#REF!),0) &amp; " - " &amp; ROUND(MAX(C6:C8)+MAX(#REF!), 0)</f>
        <v>#REF!</v>
      </c>
      <c r="D20" s="468" t="e">
        <f>ROUND( MIN(D6:D8)+MIN(#REF!),0) &amp; " - " &amp; ROUND(MAX(D6:D8)+MAX(#REF!), 0)</f>
        <v>#REF!</v>
      </c>
      <c r="E20" s="468" t="e">
        <f>ROUND( MIN(E6:E8)+MIN(#REF!),0) &amp; " - " &amp; ROUND(MAX(E6:E8)+MAX(#REF!), 0)</f>
        <v>#REF!</v>
      </c>
      <c r="F20" s="468" t="e">
        <f>ROUND( MIN(F6:F8)+MIN(#REF!),0) &amp; " - " &amp; ROUND(MAX(F6:F8)+MAX(#REF!), 0)</f>
        <v>#REF!</v>
      </c>
      <c r="G20" s="468" t="e">
        <f>ROUND( MIN(G6:G8)+MIN(#REF!),0) &amp; " - " &amp; ROUND(MAX(G6:G8)+MAX(#REF!), 0)</f>
        <v>#REF!</v>
      </c>
      <c r="H20" s="468" t="e">
        <f>ROUND( MIN(H6:H8)+MIN(#REF!),0) &amp; " - " &amp; ROUND(MAX(H6:H8)+MAX(#REF!), 0)</f>
        <v>#REF!</v>
      </c>
      <c r="I20" s="468" t="e">
        <f>ROUND( MIN(I6:I8)+MIN(#REF!),0) &amp; " - " &amp; ROUND(MAX(I6:I8)+MAX(#REF!), 0)</f>
        <v>#REF!</v>
      </c>
      <c r="J20" s="468" t="e">
        <f>ROUND( MIN(J6:J8)+MIN(#REF!),0) &amp; " - " &amp; ROUND(MAX(J6:J8)+MAX(#REF!), 0)</f>
        <v>#REF!</v>
      </c>
      <c r="K20" s="468" t="e">
        <f>ROUND( MIN(K6:K8)+MIN(#REF!),0) &amp; " - " &amp; ROUND(MAX(K6:K8)+MAX(#REF!), 0)</f>
        <v>#REF!</v>
      </c>
      <c r="L20" s="468" t="e">
        <f>ROUND( MIN(L6:L8)+MIN(#REF!),0) &amp; " - " &amp; ROUND(MAX(L6:L8)+MAX(#REF!), 0)</f>
        <v>#REF!</v>
      </c>
      <c r="M20" s="468" t="e">
        <f>ROUND( MIN(M6:M8)+MIN(#REF!),0) &amp; " - " &amp; ROUND(MAX(M6:M8)+MAX(#REF!), 0)</f>
        <v>#REF!</v>
      </c>
      <c r="N20" s="468" t="e">
        <f>ROUND( MIN(N6:N8)+MIN(#REF!),0) &amp; " - " &amp; ROUND(MAX(N6:N8)+MAX(#REF!), 0)</f>
        <v>#REF!</v>
      </c>
      <c r="O20" s="468" t="e">
        <f>ROUND( MIN(O6:O8)+MIN(#REF!),0) &amp; " - " &amp; ROUND(MAX(O6:O8)+MAX(#REF!), 0)</f>
        <v>#REF!</v>
      </c>
      <c r="P20" s="468" t="e">
        <f>ROUND( MIN(P6:P8)+MIN(#REF!),0) &amp; " - " &amp; ROUND(MAX(P6:P8)+MAX(#REF!), 0)</f>
        <v>#REF!</v>
      </c>
      <c r="Q20" s="468" t="e">
        <f>ROUND( MIN(Q6:Q8)+MIN(#REF!),0) &amp; " - " &amp; ROUND(MAX(Q6:Q8)+MAX(#REF!), 0)</f>
        <v>#REF!</v>
      </c>
      <c r="R20" s="468" t="e">
        <f>ROUND( MIN(R6:R8)+MIN(#REF!),0) &amp; " - " &amp; ROUND(MAX(R6:R8)+MAX(#REF!), 0)</f>
        <v>#REF!</v>
      </c>
      <c r="S20" s="468" t="e">
        <f>ROUND( MIN(S6:S8)+MIN(#REF!),0) &amp; " - " &amp; ROUND(MAX(S6:S8)+MAX(#REF!), 0)</f>
        <v>#REF!</v>
      </c>
      <c r="T20" s="468" t="e">
        <f>ROUND( MIN(T6:T8)+MIN(#REF!),0) &amp; " - " &amp; ROUND(MAX(T6:T8)+MAX(#REF!), 0)</f>
        <v>#REF!</v>
      </c>
      <c r="U20" s="468" t="e">
        <f>ROUND( MIN(U6:U8)+MIN(#REF!),0) &amp; " - " &amp; ROUND(MAX(U6:U8)+MAX(#REF!), 0)</f>
        <v>#REF!</v>
      </c>
      <c r="V20" s="468" t="e">
        <f>ROUND( MIN(V6:V8)+MIN(#REF!),0) &amp; " - " &amp; ROUND(MAX(V6:V8)+MAX(#REF!), 0)</f>
        <v>#REF!</v>
      </c>
    </row>
    <row r="21" spans="1:22" s="465" customFormat="1" ht="18.45" hidden="1">
      <c r="A21" s="467"/>
      <c r="B21" s="466" t="s">
        <v>443</v>
      </c>
      <c r="C21" s="468" t="e">
        <f>SUM(AVERAGE(#REF!),AVERAGE(#REF!))</f>
        <v>#REF!</v>
      </c>
      <c r="D21" s="468" t="e">
        <f>SUM(AVERAGE(#REF!),AVERAGE(#REF!))</f>
        <v>#REF!</v>
      </c>
      <c r="E21" s="468" t="e">
        <f>SUM(AVERAGE(#REF!),AVERAGE(#REF!))</f>
        <v>#REF!</v>
      </c>
      <c r="F21" s="468" t="e">
        <f>SUM(AVERAGE(#REF!),AVERAGE(#REF!))</f>
        <v>#REF!</v>
      </c>
      <c r="G21" s="468" t="e">
        <f>SUM(AVERAGE(#REF!),AVERAGE(#REF!))</f>
        <v>#REF!</v>
      </c>
      <c r="H21" s="468" t="e">
        <f>SUM(AVERAGE(#REF!),AVERAGE(#REF!))</f>
        <v>#REF!</v>
      </c>
      <c r="I21" s="468" t="e">
        <f>SUM(AVERAGE(#REF!),AVERAGE(#REF!))</f>
        <v>#REF!</v>
      </c>
      <c r="J21" s="468" t="e">
        <f>SUM(AVERAGE(#REF!),AVERAGE(#REF!))</f>
        <v>#REF!</v>
      </c>
      <c r="K21" s="468" t="e">
        <f>SUM(AVERAGE(#REF!),AVERAGE(#REF!))</f>
        <v>#REF!</v>
      </c>
      <c r="L21" s="468" t="e">
        <f>SUM(AVERAGE(#REF!),AVERAGE(#REF!))</f>
        <v>#REF!</v>
      </c>
      <c r="M21" s="468" t="e">
        <f>SUM(AVERAGE(#REF!),AVERAGE(#REF!))</f>
        <v>#REF!</v>
      </c>
      <c r="N21" s="468" t="e">
        <f>SUM(AVERAGE(#REF!),AVERAGE(#REF!))</f>
        <v>#REF!</v>
      </c>
      <c r="O21" s="468" t="e">
        <f>SUM(AVERAGE(#REF!),AVERAGE(#REF!))</f>
        <v>#REF!</v>
      </c>
      <c r="P21" s="468" t="e">
        <f>SUM(AVERAGE(#REF!),AVERAGE(#REF!))</f>
        <v>#REF!</v>
      </c>
      <c r="Q21" s="468" t="e">
        <f>SUM(AVERAGE(#REF!),AVERAGE(#REF!))</f>
        <v>#REF!</v>
      </c>
      <c r="R21" s="468" t="e">
        <f>SUM(AVERAGE(#REF!),AVERAGE(#REF!))</f>
        <v>#REF!</v>
      </c>
      <c r="S21" s="468" t="e">
        <f>SUM(AVERAGE(#REF!),AVERAGE(#REF!))</f>
        <v>#REF!</v>
      </c>
      <c r="T21" s="468" t="e">
        <f>SUM(AVERAGE(#REF!),AVERAGE(#REF!))</f>
        <v>#REF!</v>
      </c>
      <c r="U21" s="468" t="e">
        <f>SUM(AVERAGE(#REF!),AVERAGE(#REF!))</f>
        <v>#REF!</v>
      </c>
      <c r="V21" s="468" t="e">
        <f>SUM(AVERAGE(#REF!),AVERAGE(#REF!))</f>
        <v>#REF!</v>
      </c>
    </row>
    <row r="22" spans="1:22" s="465" customFormat="1" ht="18.45" hidden="1">
      <c r="A22" s="467"/>
      <c r="B22" s="466" t="s">
        <v>444</v>
      </c>
      <c r="C22" s="468" t="e">
        <f>ROUND( MIN(#REF!)+MIN(#REF!),0) &amp; " - " &amp; ROUND(MAX(#REF!)+MAX(#REF!), 0)</f>
        <v>#REF!</v>
      </c>
      <c r="D22" s="468" t="e">
        <f>ROUND( MIN(D6:D8)+MIN(#REF!),0) &amp; " - " &amp; ROUND(MAX(D6:D8)+MAX(#REF!), 0)</f>
        <v>#REF!</v>
      </c>
      <c r="E22" s="468" t="e">
        <f>ROUND( MIN(E6:E8)+MIN(#REF!),0) &amp; " - " &amp; ROUND(MAX(E6:E8)+MAX(#REF!), 0)</f>
        <v>#REF!</v>
      </c>
      <c r="F22" s="468" t="e">
        <f>ROUND( MIN(F6:F8)+MIN(#REF!),0) &amp; " - " &amp; ROUND(MAX(F6:F8)+MAX(#REF!), 0)</f>
        <v>#REF!</v>
      </c>
      <c r="G22" s="468" t="e">
        <f>ROUND( MIN(G6:G8)+MIN(#REF!),0) &amp; " - " &amp; ROUND(MAX(G6:G8)+MAX(#REF!), 0)</f>
        <v>#REF!</v>
      </c>
      <c r="H22" s="468" t="e">
        <f>ROUND( MIN(H6:H8)+MIN(#REF!),0) &amp; " - " &amp; ROUND(MAX(H6:H8)+MAX(#REF!), 0)</f>
        <v>#REF!</v>
      </c>
      <c r="I22" s="468" t="e">
        <f>ROUND( MIN(I6:I8)+MIN(#REF!),0) &amp; " - " &amp; ROUND(MAX(I6:I8)+MAX(#REF!), 0)</f>
        <v>#REF!</v>
      </c>
      <c r="J22" s="468" t="e">
        <f>ROUND( MIN(J6:J8)+MIN(#REF!),0) &amp; " - " &amp; ROUND(MAX(J6:J8)+MAX(#REF!), 0)</f>
        <v>#REF!</v>
      </c>
      <c r="K22" s="468" t="e">
        <f>ROUND( MIN(K6:K8)+MIN(#REF!),0) &amp; " - " &amp; ROUND(MAX(K6:K8)+MAX(#REF!), 0)</f>
        <v>#REF!</v>
      </c>
      <c r="L22" s="468" t="e">
        <f>ROUND( MIN(L6:L8)+MIN(#REF!),0) &amp; " - " &amp; ROUND(MAX(L6:L8)+MAX(#REF!), 0)</f>
        <v>#REF!</v>
      </c>
      <c r="M22" s="468" t="e">
        <f>ROUND( MIN(M6:M8)+MIN(#REF!),0) &amp; " - " &amp; ROUND(MAX(M6:M8)+MAX(#REF!), 0)</f>
        <v>#REF!</v>
      </c>
      <c r="N22" s="468" t="e">
        <f>ROUND( MIN(N6:N8)+MIN(#REF!),0) &amp; " - " &amp; ROUND(MAX(N6:N8)+MAX(#REF!), 0)</f>
        <v>#REF!</v>
      </c>
      <c r="O22" s="468" t="e">
        <f>ROUND( MIN(O6:O8)+MIN(#REF!),0) &amp; " - " &amp; ROUND(MAX(O6:O8)+MAX(#REF!), 0)</f>
        <v>#REF!</v>
      </c>
      <c r="P22" s="468" t="e">
        <f>ROUND( MIN(P6:P8)+MIN(#REF!),0) &amp; " - " &amp; ROUND(MAX(P6:P8)+MAX(#REF!), 0)</f>
        <v>#REF!</v>
      </c>
      <c r="Q22" s="468" t="e">
        <f>ROUND( MIN(Q6:Q8)+MIN(#REF!),0) &amp; " - " &amp; ROUND(MAX(Q6:Q8)+MAX(#REF!), 0)</f>
        <v>#REF!</v>
      </c>
      <c r="R22" s="468" t="e">
        <f>ROUND( MIN(R6:R8)+MIN(#REF!),0) &amp; " - " &amp; ROUND(MAX(R6:R8)+MAX(#REF!), 0)</f>
        <v>#REF!</v>
      </c>
      <c r="S22" s="468" t="e">
        <f>ROUND( MIN(S6:S8)+MIN(#REF!),0) &amp; " - " &amp; ROUND(MAX(S6:S8)+MAX(#REF!), 0)</f>
        <v>#REF!</v>
      </c>
      <c r="T22" s="468" t="e">
        <f>ROUND( MIN(T6:T8)+MIN(#REF!),0) &amp; " - " &amp; ROUND(MAX(T6:T8)+MAX(#REF!), 0)</f>
        <v>#REF!</v>
      </c>
      <c r="U22" s="468" t="e">
        <f>ROUND( MIN(U6:U8)+MIN(#REF!),0) &amp; " - " &amp; ROUND(MAX(U6:U8)+MAX(#REF!), 0)</f>
        <v>#REF!</v>
      </c>
      <c r="V22" s="468" t="e">
        <f>ROUND( MIN(V6:V8)+MIN(#REF!),0) &amp; " - " &amp; ROUND(MAX(V6:V8)+MAX(#REF!), 0)</f>
        <v>#REF!</v>
      </c>
    </row>
    <row r="23" spans="1:22" s="465" customFormat="1" ht="18.45" hidden="1">
      <c r="A23" s="467"/>
      <c r="B23" s="466" t="s">
        <v>445</v>
      </c>
      <c r="C23" s="468" t="e">
        <f>SUM(AVERAGE(#REF!),AVERAGE(#REF!))</f>
        <v>#REF!</v>
      </c>
      <c r="D23" s="468" t="e">
        <f>SUM(AVERAGE(#REF!),AVERAGE(#REF!))</f>
        <v>#REF!</v>
      </c>
      <c r="E23" s="468" t="e">
        <f>SUM(AVERAGE(#REF!),AVERAGE(#REF!))</f>
        <v>#REF!</v>
      </c>
      <c r="F23" s="468" t="e">
        <f>SUM(AVERAGE(#REF!),AVERAGE(#REF!))</f>
        <v>#REF!</v>
      </c>
      <c r="G23" s="468" t="e">
        <f>SUM(AVERAGE(#REF!),AVERAGE(#REF!))</f>
        <v>#REF!</v>
      </c>
      <c r="H23" s="468" t="e">
        <f>SUM(AVERAGE(#REF!),AVERAGE(#REF!))</f>
        <v>#REF!</v>
      </c>
      <c r="I23" s="468" t="e">
        <f>SUM(AVERAGE(#REF!),AVERAGE(#REF!))</f>
        <v>#REF!</v>
      </c>
      <c r="J23" s="468" t="e">
        <f>SUM(AVERAGE(#REF!),AVERAGE(#REF!))</f>
        <v>#REF!</v>
      </c>
      <c r="K23" s="468" t="e">
        <f>SUM(AVERAGE(#REF!),AVERAGE(#REF!))</f>
        <v>#REF!</v>
      </c>
      <c r="L23" s="468" t="e">
        <f>SUM(AVERAGE(#REF!),AVERAGE(#REF!))</f>
        <v>#REF!</v>
      </c>
      <c r="M23" s="468" t="e">
        <f>SUM(AVERAGE(#REF!),AVERAGE(#REF!))</f>
        <v>#REF!</v>
      </c>
      <c r="N23" s="468" t="e">
        <f>SUM(AVERAGE(#REF!),AVERAGE(#REF!))</f>
        <v>#REF!</v>
      </c>
      <c r="O23" s="468" t="e">
        <f>SUM(AVERAGE(#REF!),AVERAGE(#REF!))</f>
        <v>#REF!</v>
      </c>
      <c r="P23" s="468" t="e">
        <f>SUM(AVERAGE(#REF!),AVERAGE(#REF!))</f>
        <v>#REF!</v>
      </c>
      <c r="Q23" s="468" t="e">
        <f>SUM(AVERAGE(#REF!),AVERAGE(#REF!))</f>
        <v>#REF!</v>
      </c>
      <c r="R23" s="468" t="e">
        <f>SUM(AVERAGE(#REF!),AVERAGE(#REF!))</f>
        <v>#REF!</v>
      </c>
      <c r="S23" s="468" t="e">
        <f>SUM(AVERAGE(#REF!),AVERAGE(#REF!))</f>
        <v>#REF!</v>
      </c>
      <c r="T23" s="468" t="e">
        <f>SUM(AVERAGE(#REF!),AVERAGE(#REF!))</f>
        <v>#REF!</v>
      </c>
      <c r="U23" s="468" t="e">
        <f>SUM(AVERAGE(#REF!),AVERAGE(#REF!))</f>
        <v>#REF!</v>
      </c>
      <c r="V23" s="468" t="e">
        <f>SUM(AVERAGE(#REF!),AVERAGE(#REF!))</f>
        <v>#REF!</v>
      </c>
    </row>
    <row r="24" spans="1:22" s="465" customFormat="1" ht="18.45" hidden="1">
      <c r="A24" s="467"/>
      <c r="B24" s="466" t="s">
        <v>446</v>
      </c>
      <c r="C24" s="468" t="e">
        <f>ROUND( MIN(#REF!)+MIN(#REF!),0) &amp; " - " &amp; ROUND(MAX(#REF!)+MAX(#REF!), 0)</f>
        <v>#REF!</v>
      </c>
      <c r="D24" s="468" t="e">
        <f>ROUND( MIN(#REF!)+MIN(#REF!),0) &amp; " - " &amp; ROUND(MAX(#REF!)+MAX(#REF!), 0)</f>
        <v>#REF!</v>
      </c>
      <c r="E24" s="468" t="e">
        <f>ROUND( MIN(#REF!)+MIN(#REF!),0) &amp; " - " &amp; ROUND(MAX(#REF!)+MAX(#REF!), 0)</f>
        <v>#REF!</v>
      </c>
      <c r="F24" s="468" t="e">
        <f>ROUND( MIN(#REF!)+MIN(#REF!),0) &amp; " - " &amp; ROUND(MAX(#REF!)+MAX(#REF!), 0)</f>
        <v>#REF!</v>
      </c>
      <c r="G24" s="468" t="e">
        <f>ROUND( MIN(#REF!)+MIN(#REF!),0) &amp; " - " &amp; ROUND(MAX(#REF!)+MAX(#REF!), 0)</f>
        <v>#REF!</v>
      </c>
      <c r="H24" s="468" t="e">
        <f>ROUND( MIN(#REF!)+MIN(#REF!),0) &amp; " - " &amp; ROUND(MAX(#REF!)+MAX(#REF!), 0)</f>
        <v>#REF!</v>
      </c>
      <c r="I24" s="468" t="e">
        <f>ROUND( MIN(#REF!)+MIN(#REF!),0) &amp; " - " &amp; ROUND(MAX(#REF!)+MAX(#REF!), 0)</f>
        <v>#REF!</v>
      </c>
      <c r="J24" s="468" t="e">
        <f>ROUND( MIN(#REF!)+MIN(#REF!),0) &amp; " - " &amp; ROUND(MAX(#REF!)+MAX(#REF!), 0)</f>
        <v>#REF!</v>
      </c>
      <c r="K24" s="468" t="e">
        <f>ROUND( MIN(#REF!)+MIN(#REF!),0) &amp; " - " &amp; ROUND(MAX(#REF!)+MAX(#REF!), 0)</f>
        <v>#REF!</v>
      </c>
      <c r="L24" s="468" t="e">
        <f>ROUND( MIN(#REF!)+MIN(#REF!),0) &amp; " - " &amp; ROUND(MAX(#REF!)+MAX(#REF!), 0)</f>
        <v>#REF!</v>
      </c>
      <c r="M24" s="468" t="e">
        <f>ROUND( MIN(#REF!)+MIN(#REF!),0) &amp; " - " &amp; ROUND(MAX(#REF!)+MAX(#REF!), 0)</f>
        <v>#REF!</v>
      </c>
      <c r="N24" s="468" t="e">
        <f>ROUND( MIN(#REF!)+MIN(#REF!),0) &amp; " - " &amp; ROUND(MAX(#REF!)+MAX(#REF!), 0)</f>
        <v>#REF!</v>
      </c>
      <c r="O24" s="468" t="e">
        <f>ROUND( MIN(#REF!)+MIN(#REF!),0) &amp; " - " &amp; ROUND(MAX(#REF!)+MAX(#REF!), 0)</f>
        <v>#REF!</v>
      </c>
      <c r="P24" s="468" t="e">
        <f>ROUND( MIN(#REF!)+MIN(#REF!),0) &amp; " - " &amp; ROUND(MAX(#REF!)+MAX(#REF!), 0)</f>
        <v>#REF!</v>
      </c>
      <c r="Q24" s="468" t="e">
        <f>ROUND( MIN(#REF!)+MIN(#REF!),0) &amp; " - " &amp; ROUND(MAX(#REF!)+MAX(#REF!), 0)</f>
        <v>#REF!</v>
      </c>
      <c r="R24" s="468" t="e">
        <f>ROUND( MIN(#REF!)+MIN(#REF!),0) &amp; " - " &amp; ROUND(MAX(#REF!)+MAX(#REF!), 0)</f>
        <v>#REF!</v>
      </c>
      <c r="S24" s="468" t="e">
        <f>ROUND( MIN(#REF!)+MIN(#REF!),0) &amp; " - " &amp; ROUND(MAX(#REF!)+MAX(#REF!), 0)</f>
        <v>#REF!</v>
      </c>
      <c r="T24" s="468" t="e">
        <f>ROUND( MIN(#REF!)+MIN(#REF!),0) &amp; " - " &amp; ROUND(MAX(#REF!)+MAX(#REF!), 0)</f>
        <v>#REF!</v>
      </c>
      <c r="U24" s="468" t="e">
        <f>ROUND( MIN(#REF!)+MIN(#REF!),0) &amp; " - " &amp; ROUND(MAX(#REF!)+MAX(#REF!), 0)</f>
        <v>#REF!</v>
      </c>
      <c r="V24" s="468" t="e">
        <f>ROUND( MIN(#REF!)+MIN(#REF!),0) &amp; " - " &amp; ROUND(MAX(#REF!)+MAX(#REF!), 0)</f>
        <v>#REF!</v>
      </c>
    </row>
    <row r="25" spans="1:22" s="465" customFormat="1" ht="18.45" hidden="1"/>
    <row r="26" spans="1:22" s="465" customFormat="1" ht="18.45"/>
    <row r="27" spans="1:22" hidden="1">
      <c r="B27" s="373" t="s">
        <v>407</v>
      </c>
      <c r="C27" s="373">
        <v>330</v>
      </c>
    </row>
    <row r="28" spans="1:22" hidden="1">
      <c r="B28" s="373" t="s">
        <v>406</v>
      </c>
      <c r="C28" s="373">
        <f>330+90+80</f>
        <v>500</v>
      </c>
    </row>
    <row r="38" spans="3:3">
      <c r="C38" s="373">
        <v>330</v>
      </c>
    </row>
    <row r="39" spans="3:3">
      <c r="C39" s="373">
        <v>90</v>
      </c>
    </row>
    <row r="40" spans="3:3">
      <c r="C40" s="373">
        <v>80</v>
      </c>
    </row>
  </sheetData>
  <mergeCells count="5">
    <mergeCell ref="A1:V1"/>
    <mergeCell ref="A2:V2"/>
    <mergeCell ref="A3:V3"/>
    <mergeCell ref="A6:A8"/>
    <mergeCell ref="A13:V13"/>
  </mergeCells>
  <pageMargins left="0.7" right="0.7" top="0.75" bottom="0.75" header="0.3" footer="0.3"/>
  <pageSetup scale="46" fitToHeight="0" orientation="landscape" r:id="rId1"/>
  <headerFooter>
    <oddHeader xml:space="preserve">&amp;R&amp;14 2026 Nutrition Information </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3:AH35"/>
  <sheetViews>
    <sheetView topLeftCell="A20" zoomScale="80" zoomScaleNormal="80" zoomScalePageLayoutView="82" workbookViewId="0">
      <selection activeCell="N77" sqref="N77"/>
    </sheetView>
    <sheetView topLeftCell="C1" zoomScale="80" zoomScaleNormal="80" workbookViewId="1">
      <selection activeCell="J53" sqref="J53"/>
    </sheetView>
    <sheetView workbookViewId="2">
      <selection activeCell="H15" sqref="H15"/>
    </sheetView>
  </sheetViews>
  <sheetFormatPr defaultColWidth="8.84375" defaultRowHeight="15.9"/>
  <cols>
    <col min="1" max="1" width="6.53515625" style="558" customWidth="1"/>
    <col min="2" max="2" width="55" style="558" customWidth="1"/>
    <col min="3" max="4" width="13.3828125" style="558" customWidth="1"/>
    <col min="5" max="6" width="13" style="558" customWidth="1"/>
    <col min="7" max="7" width="10.15234375" style="558" bestFit="1" customWidth="1"/>
    <col min="8" max="8" width="10.15234375" style="558" customWidth="1"/>
    <col min="9" max="10" width="11.53515625" style="558" customWidth="1"/>
    <col min="11" max="12" width="8.53515625" style="558" customWidth="1"/>
    <col min="13" max="14" width="13" style="558" customWidth="1"/>
    <col min="15" max="15" width="11.53515625" style="558" bestFit="1" customWidth="1"/>
    <col min="16" max="16" width="11.53515625" style="558" customWidth="1"/>
    <col min="17" max="18" width="16.84375" style="558" customWidth="1"/>
    <col min="19" max="20" width="9" style="558" customWidth="1"/>
    <col min="21" max="21" width="16" style="558" bestFit="1" customWidth="1"/>
    <col min="22" max="22" width="16" style="558" customWidth="1"/>
    <col min="23" max="24" width="9" style="558" customWidth="1"/>
    <col min="25" max="28" width="11.53515625" style="558" customWidth="1"/>
    <col min="29" max="29" width="13.53515625" style="558" customWidth="1"/>
    <col min="30" max="32" width="8.84375" style="558"/>
    <col min="33" max="33" width="11.84375" style="558" customWidth="1"/>
    <col min="34" max="34" width="12.53515625" style="558" customWidth="1"/>
    <col min="35" max="16384" width="8.84375" style="558"/>
  </cols>
  <sheetData>
    <row r="3" spans="1:34" s="644" customFormat="1" ht="37.5" customHeight="1" thickBot="1">
      <c r="A3" s="1364" t="s">
        <v>625</v>
      </c>
      <c r="B3" s="1365"/>
      <c r="C3" s="1365"/>
      <c r="D3" s="1365"/>
      <c r="E3" s="1365"/>
      <c r="F3" s="1365"/>
      <c r="G3" s="1365"/>
      <c r="H3" s="1365"/>
      <c r="I3" s="1365"/>
      <c r="J3" s="1365"/>
      <c r="K3" s="1365"/>
      <c r="L3" s="1365"/>
      <c r="M3" s="1365"/>
      <c r="N3" s="1365"/>
      <c r="O3" s="1365"/>
      <c r="P3" s="1365"/>
      <c r="Q3" s="1365"/>
      <c r="R3" s="1365"/>
      <c r="S3" s="1365"/>
      <c r="T3" s="1365"/>
      <c r="U3" s="1365"/>
      <c r="V3" s="1365"/>
      <c r="W3" s="1365"/>
      <c r="X3" s="1365"/>
      <c r="Y3" s="1365"/>
      <c r="Z3" s="1365"/>
      <c r="AA3" s="1365"/>
      <c r="AB3" s="1365"/>
      <c r="AC3" s="1365"/>
      <c r="AD3" s="1365"/>
      <c r="AE3" s="1365"/>
      <c r="AF3" s="1365"/>
      <c r="AG3" s="1365"/>
      <c r="AH3" s="1366"/>
    </row>
    <row r="4" spans="1:34" ht="55.75" thickBot="1">
      <c r="A4" s="686"/>
      <c r="B4" s="687"/>
      <c r="C4" s="460" t="s">
        <v>4</v>
      </c>
      <c r="D4" s="460" t="s">
        <v>4</v>
      </c>
      <c r="E4" s="460" t="s">
        <v>5</v>
      </c>
      <c r="F4" s="460" t="s">
        <v>5</v>
      </c>
      <c r="G4" s="460" t="s">
        <v>6</v>
      </c>
      <c r="H4" s="986" t="s">
        <v>6</v>
      </c>
      <c r="I4" s="460" t="s">
        <v>7</v>
      </c>
      <c r="J4" s="986" t="s">
        <v>7</v>
      </c>
      <c r="K4" s="460" t="s">
        <v>8</v>
      </c>
      <c r="L4" s="460" t="s">
        <v>8</v>
      </c>
      <c r="M4" s="460" t="s">
        <v>9</v>
      </c>
      <c r="N4" s="460" t="s">
        <v>9</v>
      </c>
      <c r="O4" s="460" t="s">
        <v>10</v>
      </c>
      <c r="P4" s="460" t="s">
        <v>10</v>
      </c>
      <c r="Q4" s="460" t="s">
        <v>11</v>
      </c>
      <c r="R4" s="460" t="s">
        <v>11</v>
      </c>
      <c r="S4" s="460" t="s">
        <v>12</v>
      </c>
      <c r="T4" s="460" t="s">
        <v>12</v>
      </c>
      <c r="U4" s="460" t="s">
        <v>13</v>
      </c>
      <c r="V4" s="460" t="s">
        <v>13</v>
      </c>
      <c r="W4" s="460" t="s">
        <v>14</v>
      </c>
      <c r="X4" s="460" t="s">
        <v>14</v>
      </c>
      <c r="Y4" s="460" t="s">
        <v>15</v>
      </c>
      <c r="Z4" s="460" t="s">
        <v>15</v>
      </c>
      <c r="AA4" s="487" t="s">
        <v>16</v>
      </c>
      <c r="AB4" s="487" t="s">
        <v>17</v>
      </c>
      <c r="AC4" s="487" t="s">
        <v>18</v>
      </c>
      <c r="AD4" s="487" t="s">
        <v>19</v>
      </c>
      <c r="AE4" s="487" t="s">
        <v>20</v>
      </c>
      <c r="AF4" s="487" t="s">
        <v>21</v>
      </c>
      <c r="AG4" s="487" t="s">
        <v>22</v>
      </c>
      <c r="AH4" s="487" t="s">
        <v>23</v>
      </c>
    </row>
    <row r="5" spans="1:34">
      <c r="A5" s="1367"/>
      <c r="B5" s="625" t="s">
        <v>626</v>
      </c>
      <c r="C5" s="758">
        <v>345.04700000000003</v>
      </c>
      <c r="D5" s="247">
        <f>MROUND(C5,10)</f>
        <v>350</v>
      </c>
      <c r="E5" s="758">
        <v>150.09800000000001</v>
      </c>
      <c r="F5" s="247">
        <f>IF(E5&lt;5,0,(IF(E5&gt;50,MROUND(E5,10),MROUND(E5,5))))</f>
        <v>150</v>
      </c>
      <c r="G5" s="758">
        <v>16.678000000000001</v>
      </c>
      <c r="H5" s="885">
        <f>IF(G5&lt;0.5,0,IF(G5&gt;5,MROUND(G5,1),MROUND(G5,0.5)))</f>
        <v>17</v>
      </c>
      <c r="I5" s="758">
        <v>8.9770000000000003</v>
      </c>
      <c r="J5" s="885">
        <f>IF(I5&lt;0.5,0,IF(I5&gt;5,MROUND(I5,1),MROUND(I5,0.5)))</f>
        <v>9</v>
      </c>
      <c r="K5" s="758">
        <v>0</v>
      </c>
      <c r="L5" s="885">
        <f>IF(K5&lt;0.5,0,IF(K5&gt;5,MROUND(K5,1),MROUND(K5,0.5)))</f>
        <v>0</v>
      </c>
      <c r="M5" s="758">
        <v>37.64</v>
      </c>
      <c r="N5" s="247">
        <f>IF(M5&lt;2,0,IF(M5&gt;5,MROUND(M5,5),"less than 5 mg"))</f>
        <v>40</v>
      </c>
      <c r="O5" s="758">
        <v>189.53299999999999</v>
      </c>
      <c r="P5" s="247">
        <f>IF(O5&lt;5,0,IF(O5&gt;140,MROUND(O5,10),MROUND(O5,5)))</f>
        <v>190</v>
      </c>
      <c r="Q5" s="758">
        <v>45.78</v>
      </c>
      <c r="R5" s="247">
        <f>IF(Q5&lt;0.5,0,IF(Q5&gt;1,MROUND(Q5,1),"less than 1 g"))</f>
        <v>46</v>
      </c>
      <c r="S5" s="758">
        <v>2</v>
      </c>
      <c r="T5" s="247">
        <f>IF(S5&lt;0.5,0,IF(S5&gt;1,MROUND(S5,1),"less than 1 g"))</f>
        <v>2</v>
      </c>
      <c r="U5" s="758">
        <v>29.654</v>
      </c>
      <c r="V5" s="247">
        <f>IF(U5&lt;0.5,0,IF(U5&gt;1,MROUND(U5,1),"less than 1 g"))</f>
        <v>30</v>
      </c>
      <c r="W5" s="758">
        <v>22</v>
      </c>
      <c r="X5" s="247">
        <f>IF(W5&lt;0.5,0,IF(W5&gt;1,MROUND(W5,1),"less than 1 g"))</f>
        <v>22</v>
      </c>
      <c r="Y5" s="758">
        <v>3.7010000000000001</v>
      </c>
      <c r="Z5" s="247">
        <f>IF(Y5&lt;0.5,0,IF(Y5&gt;1,MROUND(Y5,1),"less than 1 g"))</f>
        <v>4</v>
      </c>
      <c r="AA5" s="758">
        <v>0</v>
      </c>
      <c r="AB5" s="758">
        <v>0</v>
      </c>
      <c r="AC5" s="758">
        <v>98.921000000000006</v>
      </c>
      <c r="AD5" s="758">
        <v>7.609</v>
      </c>
      <c r="AE5" s="758">
        <v>2</v>
      </c>
      <c r="AF5" s="758">
        <v>11.11</v>
      </c>
      <c r="AG5" s="758">
        <v>76</v>
      </c>
      <c r="AH5" s="758">
        <v>1.617</v>
      </c>
    </row>
    <row r="6" spans="1:34">
      <c r="A6" s="1367"/>
      <c r="B6" s="625" t="s">
        <v>627</v>
      </c>
      <c r="C6" s="536">
        <v>409.96600000000001</v>
      </c>
      <c r="D6" s="247">
        <f t="shared" ref="D6:D8" si="0">MROUND(C6,10)</f>
        <v>410</v>
      </c>
      <c r="E6" s="536">
        <v>182.62899999999999</v>
      </c>
      <c r="F6" s="247">
        <f t="shared" ref="F6:F8" si="1">IF(E6&lt;5,0,(IF(E6&gt;50,MROUND(E6,10),MROUND(E6,5))))</f>
        <v>180</v>
      </c>
      <c r="G6" s="536">
        <v>20.292000000000002</v>
      </c>
      <c r="H6" s="885">
        <f t="shared" ref="H6:H8" si="2">IF(G6&lt;0.5,0,IF(G6&gt;5,MROUND(G6,1),MROUND(G6,0.5)))</f>
        <v>20</v>
      </c>
      <c r="I6" s="536">
        <v>11.145</v>
      </c>
      <c r="J6" s="885">
        <f t="shared" ref="J6:J8" si="3">IF(I6&lt;0.5,0,IF(I6&gt;5,MROUND(I6,1),MROUND(I6,0.5)))</f>
        <v>11</v>
      </c>
      <c r="K6" s="536">
        <v>0</v>
      </c>
      <c r="L6" s="885">
        <f t="shared" ref="L6:L8" si="4">IF(K6&lt;0.5,0,IF(K6&gt;5,MROUND(K6,1),MROUND(K6,0.5)))</f>
        <v>0</v>
      </c>
      <c r="M6" s="536">
        <v>37.64</v>
      </c>
      <c r="N6" s="247">
        <f t="shared" ref="N6:N8" si="5">IF(M6&lt;2,0,IF(M6&gt;5,MROUND(M6,5),"less than 5 mg"))</f>
        <v>40</v>
      </c>
      <c r="O6" s="536">
        <v>189.56100000000001</v>
      </c>
      <c r="P6" s="247">
        <f t="shared" ref="P6:P8" si="6">IF(O6&lt;5,0,IF(O6&gt;140,MROUND(O6,10),MROUND(O6,5)))</f>
        <v>190</v>
      </c>
      <c r="Q6" s="536">
        <v>55.433</v>
      </c>
      <c r="R6" s="247">
        <f t="shared" ref="R6:T8" si="7">IF(Q6&lt;0.5,0,IF(Q6&gt;1,MROUND(Q6,1),"less than 1 g"))</f>
        <v>55</v>
      </c>
      <c r="S6" s="536">
        <v>3.0209999999999999</v>
      </c>
      <c r="T6" s="247">
        <f t="shared" si="7"/>
        <v>3</v>
      </c>
      <c r="U6" s="536">
        <v>37.634</v>
      </c>
      <c r="V6" s="247">
        <f t="shared" ref="V6" si="8">IF(U6&lt;0.5,0,IF(U6&gt;1,MROUND(U6,1),"less than 1 g"))</f>
        <v>38</v>
      </c>
      <c r="W6" s="536">
        <v>22</v>
      </c>
      <c r="X6" s="247">
        <f t="shared" ref="X6" si="9">IF(W6&lt;0.5,0,IF(W6&gt;1,MROUND(W6,1),"less than 1 g"))</f>
        <v>22</v>
      </c>
      <c r="Y6" s="536">
        <v>4.3529999999999998</v>
      </c>
      <c r="Z6" s="247">
        <f t="shared" ref="Z6" si="10">IF(Y6&lt;0.5,0,IF(Y6&gt;1,MROUND(Y6,1),"less than 1 g"))</f>
        <v>4</v>
      </c>
      <c r="AA6" s="536">
        <v>0</v>
      </c>
      <c r="AB6" s="536">
        <v>0</v>
      </c>
      <c r="AC6" s="536">
        <v>103.88200000000001</v>
      </c>
      <c r="AD6" s="536">
        <v>7.9909999999999997</v>
      </c>
      <c r="AE6" s="536">
        <v>3.1139999999999999</v>
      </c>
      <c r="AF6" s="536">
        <v>17.300999999999998</v>
      </c>
      <c r="AG6" s="536">
        <v>132.92500000000001</v>
      </c>
      <c r="AH6" s="536">
        <v>2.8279999999999998</v>
      </c>
    </row>
    <row r="7" spans="1:34" ht="15" customHeight="1">
      <c r="A7" s="1367"/>
      <c r="B7" s="625" t="s">
        <v>628</v>
      </c>
      <c r="C7" s="758">
        <v>292.36200000000002</v>
      </c>
      <c r="D7" s="247">
        <f t="shared" si="0"/>
        <v>290</v>
      </c>
      <c r="E7" s="758">
        <v>106.709</v>
      </c>
      <c r="F7" s="247">
        <f t="shared" si="1"/>
        <v>110</v>
      </c>
      <c r="G7" s="758">
        <v>11.856999999999999</v>
      </c>
      <c r="H7" s="885">
        <f t="shared" si="2"/>
        <v>12</v>
      </c>
      <c r="I7" s="758">
        <v>6.2469999999999999</v>
      </c>
      <c r="J7" s="885">
        <f t="shared" si="3"/>
        <v>6</v>
      </c>
      <c r="K7" s="758">
        <v>0</v>
      </c>
      <c r="L7" s="885">
        <f t="shared" si="4"/>
        <v>0</v>
      </c>
      <c r="M7" s="758">
        <v>27.710999999999999</v>
      </c>
      <c r="N7" s="247">
        <f t="shared" si="5"/>
        <v>30</v>
      </c>
      <c r="O7" s="758">
        <v>230.738</v>
      </c>
      <c r="P7" s="247">
        <f t="shared" si="6"/>
        <v>230</v>
      </c>
      <c r="Q7" s="758">
        <v>43.837000000000003</v>
      </c>
      <c r="R7" s="247">
        <f t="shared" si="7"/>
        <v>44</v>
      </c>
      <c r="S7" s="758">
        <v>1.028</v>
      </c>
      <c r="T7" s="247">
        <f t="shared" si="7"/>
        <v>1</v>
      </c>
      <c r="U7" s="758">
        <v>23.472000000000001</v>
      </c>
      <c r="V7" s="247">
        <f t="shared" ref="V7" si="11">IF(U7&lt;0.5,0,IF(U7&gt;1,MROUND(U7,1),"less than 1 g"))</f>
        <v>23</v>
      </c>
      <c r="W7" s="758">
        <v>15.818</v>
      </c>
      <c r="X7" s="247">
        <f t="shared" ref="X7" si="12">IF(W7&lt;0.5,0,IF(W7&gt;1,MROUND(W7,1),"less than 1 g"))</f>
        <v>16</v>
      </c>
      <c r="Y7" s="758">
        <v>3.7010000000000001</v>
      </c>
      <c r="Z7" s="247">
        <f t="shared" ref="Z7" si="13">IF(Y7&lt;0.5,0,IF(Y7&gt;1,MROUND(Y7,1),"less than 1 g"))</f>
        <v>4</v>
      </c>
      <c r="AA7" s="758">
        <v>0</v>
      </c>
      <c r="AB7" s="758">
        <v>0</v>
      </c>
      <c r="AC7" s="758">
        <v>93.203999999999994</v>
      </c>
      <c r="AD7" s="758">
        <v>7.17</v>
      </c>
      <c r="AE7" s="758">
        <v>1.8</v>
      </c>
      <c r="AF7" s="758">
        <v>10</v>
      </c>
      <c r="AG7" s="758">
        <v>60.155999999999999</v>
      </c>
      <c r="AH7" s="758">
        <v>1.28</v>
      </c>
    </row>
    <row r="8" spans="1:34" ht="15" customHeight="1">
      <c r="A8" s="1367"/>
      <c r="B8" s="625" t="s">
        <v>629</v>
      </c>
      <c r="C8" s="536">
        <v>225.047</v>
      </c>
      <c r="D8" s="247">
        <f t="shared" si="0"/>
        <v>230</v>
      </c>
      <c r="E8" s="536">
        <v>82.597999999999999</v>
      </c>
      <c r="F8" s="247">
        <f t="shared" si="1"/>
        <v>80</v>
      </c>
      <c r="G8" s="536">
        <v>9.1780000000000008</v>
      </c>
      <c r="H8" s="885">
        <f t="shared" si="2"/>
        <v>9</v>
      </c>
      <c r="I8" s="536">
        <v>3.9769999999999999</v>
      </c>
      <c r="J8" s="885">
        <f t="shared" si="3"/>
        <v>4</v>
      </c>
      <c r="K8" s="536">
        <v>0</v>
      </c>
      <c r="L8" s="885">
        <f t="shared" si="4"/>
        <v>0</v>
      </c>
      <c r="M8" s="536">
        <v>27.64</v>
      </c>
      <c r="N8" s="247">
        <f t="shared" si="5"/>
        <v>30</v>
      </c>
      <c r="O8" s="536">
        <v>229.53299999999999</v>
      </c>
      <c r="P8" s="247">
        <f t="shared" si="6"/>
        <v>230</v>
      </c>
      <c r="Q8" s="536">
        <v>32.78</v>
      </c>
      <c r="R8" s="247">
        <f t="shared" si="7"/>
        <v>33</v>
      </c>
      <c r="S8" s="536">
        <v>1</v>
      </c>
      <c r="T8" s="247" t="str">
        <f t="shared" si="7"/>
        <v>less than 1 g</v>
      </c>
      <c r="U8" s="536">
        <v>16.654</v>
      </c>
      <c r="V8" s="247">
        <f t="shared" ref="V8" si="14">IF(U8&lt;0.5,0,IF(U8&gt;1,MROUND(U8,1),"less than 1 g"))</f>
        <v>17</v>
      </c>
      <c r="W8" s="536">
        <v>9</v>
      </c>
      <c r="X8" s="247">
        <f t="shared" ref="X8" si="15">IF(W8&lt;0.5,0,IF(W8&gt;1,MROUND(W8,1),"less than 1 g"))</f>
        <v>9</v>
      </c>
      <c r="Y8" s="536">
        <v>3.7010000000000001</v>
      </c>
      <c r="Z8" s="247">
        <f t="shared" ref="Z8" si="16">IF(Y8&lt;0.5,0,IF(Y8&gt;1,MROUND(Y8,1),"less than 1 g"))</f>
        <v>4</v>
      </c>
      <c r="AA8" s="536">
        <v>0</v>
      </c>
      <c r="AB8" s="536">
        <v>0</v>
      </c>
      <c r="AC8" s="536">
        <v>92.921000000000006</v>
      </c>
      <c r="AD8" s="536">
        <v>7.1479999999999997</v>
      </c>
      <c r="AE8" s="536">
        <v>1.8</v>
      </c>
      <c r="AF8" s="536">
        <v>10</v>
      </c>
      <c r="AG8" s="536">
        <v>60</v>
      </c>
      <c r="AH8" s="536">
        <v>1.2769999999999999</v>
      </c>
    </row>
    <row r="9" spans="1:34" ht="16.3" thickBot="1">
      <c r="A9" s="562"/>
      <c r="B9" s="827"/>
      <c r="C9" s="562"/>
      <c r="D9" s="562"/>
      <c r="E9" s="562"/>
      <c r="F9" s="562"/>
      <c r="G9" s="562"/>
      <c r="H9" s="562"/>
      <c r="I9" s="562"/>
      <c r="J9" s="562"/>
      <c r="K9" s="562"/>
      <c r="L9" s="562"/>
      <c r="M9" s="562"/>
      <c r="N9" s="562"/>
      <c r="O9" s="562"/>
      <c r="P9" s="562"/>
      <c r="Q9" s="562"/>
      <c r="R9" s="562"/>
      <c r="S9" s="562"/>
      <c r="T9" s="562"/>
      <c r="U9" s="562"/>
      <c r="V9" s="562"/>
      <c r="W9" s="562"/>
      <c r="X9" s="562"/>
      <c r="Y9" s="562"/>
      <c r="Z9" s="562"/>
      <c r="AA9" s="562"/>
      <c r="AB9" s="562"/>
      <c r="AC9" s="562"/>
    </row>
    <row r="10" spans="1:34" ht="15" customHeight="1">
      <c r="A10" s="562"/>
      <c r="B10" s="1265" t="s">
        <v>168</v>
      </c>
      <c r="C10" s="1266"/>
      <c r="D10" s="1266"/>
      <c r="E10" s="1266"/>
      <c r="F10" s="1266"/>
      <c r="G10" s="1266"/>
      <c r="H10" s="1266"/>
      <c r="I10" s="1266"/>
      <c r="J10" s="1266"/>
      <c r="K10" s="1266"/>
      <c r="L10" s="1266"/>
      <c r="M10" s="1266"/>
      <c r="N10" s="1266"/>
      <c r="O10" s="1266"/>
      <c r="P10" s="1266"/>
      <c r="Q10" s="1266"/>
      <c r="R10" s="1266"/>
      <c r="S10" s="1266"/>
      <c r="T10" s="1266"/>
      <c r="U10" s="1266"/>
      <c r="V10" s="1266"/>
      <c r="W10" s="1266"/>
      <c r="X10" s="1266"/>
      <c r="Y10" s="1266"/>
      <c r="Z10" s="1266"/>
      <c r="AA10" s="1266"/>
      <c r="AB10" s="1266"/>
      <c r="AC10" s="1266"/>
      <c r="AD10" s="1266"/>
      <c r="AE10" s="1266"/>
      <c r="AF10" s="1266"/>
      <c r="AG10" s="1266"/>
      <c r="AH10" s="1268"/>
    </row>
    <row r="11" spans="1:34">
      <c r="A11" s="562"/>
      <c r="B11" s="1361"/>
      <c r="C11" s="1362"/>
      <c r="D11" s="1362"/>
      <c r="E11" s="1362"/>
      <c r="F11" s="1362"/>
      <c r="G11" s="1362"/>
      <c r="H11" s="1362"/>
      <c r="I11" s="1362"/>
      <c r="J11" s="1362"/>
      <c r="K11" s="1362"/>
      <c r="L11" s="1362"/>
      <c r="M11" s="1362"/>
      <c r="N11" s="1362"/>
      <c r="O11" s="1362"/>
      <c r="P11" s="1362"/>
      <c r="Q11" s="1362"/>
      <c r="R11" s="1362"/>
      <c r="S11" s="1362"/>
      <c r="T11" s="1362"/>
      <c r="U11" s="1362"/>
      <c r="V11" s="1362"/>
      <c r="W11" s="1362"/>
      <c r="X11" s="1362"/>
      <c r="Y11" s="1362"/>
      <c r="Z11" s="1362"/>
      <c r="AA11" s="1362"/>
      <c r="AB11" s="1362"/>
      <c r="AC11" s="1362"/>
      <c r="AD11" s="1362"/>
      <c r="AE11" s="1362"/>
      <c r="AF11" s="1362"/>
      <c r="AG11" s="1362"/>
      <c r="AH11" s="1363"/>
    </row>
    <row r="12" spans="1:34" ht="16.3" thickBot="1">
      <c r="A12" s="562"/>
      <c r="B12" s="1269"/>
      <c r="C12" s="1270"/>
      <c r="D12" s="1270"/>
      <c r="E12" s="1270"/>
      <c r="F12" s="1270"/>
      <c r="G12" s="1270"/>
      <c r="H12" s="1270"/>
      <c r="I12" s="1270"/>
      <c r="J12" s="1270"/>
      <c r="K12" s="1270"/>
      <c r="L12" s="1270"/>
      <c r="M12" s="1270"/>
      <c r="N12" s="1270"/>
      <c r="O12" s="1270"/>
      <c r="P12" s="1270"/>
      <c r="Q12" s="1270"/>
      <c r="R12" s="1270"/>
      <c r="S12" s="1270"/>
      <c r="T12" s="1270"/>
      <c r="U12" s="1270"/>
      <c r="V12" s="1270"/>
      <c r="W12" s="1270"/>
      <c r="X12" s="1270"/>
      <c r="Y12" s="1270"/>
      <c r="Z12" s="1270"/>
      <c r="AA12" s="1270"/>
      <c r="AB12" s="1270"/>
      <c r="AC12" s="1270"/>
      <c r="AD12" s="1270"/>
      <c r="AE12" s="1270"/>
      <c r="AF12" s="1270"/>
      <c r="AG12" s="1270"/>
      <c r="AH12" s="1272"/>
    </row>
    <row r="13" spans="1:34" hidden="1">
      <c r="B13" s="656"/>
      <c r="C13" s="656"/>
      <c r="D13" s="656"/>
      <c r="E13" s="656"/>
      <c r="F13" s="656"/>
      <c r="G13" s="656"/>
      <c r="H13" s="656"/>
      <c r="I13" s="656"/>
      <c r="J13" s="656"/>
      <c r="K13" s="656"/>
      <c r="L13" s="656"/>
      <c r="M13" s="656"/>
      <c r="N13" s="656"/>
      <c r="O13" s="656"/>
      <c r="P13" s="656"/>
      <c r="Q13" s="656"/>
      <c r="R13" s="656"/>
      <c r="S13" s="656"/>
      <c r="T13" s="656"/>
      <c r="U13" s="656"/>
      <c r="V13" s="656"/>
      <c r="W13" s="656"/>
      <c r="X13" s="656"/>
      <c r="Y13" s="656"/>
      <c r="Z13" s="656"/>
      <c r="AA13" s="656"/>
      <c r="AB13" s="656"/>
      <c r="AC13" s="656"/>
      <c r="AD13" s="656"/>
      <c r="AE13" s="656"/>
      <c r="AF13" s="656"/>
      <c r="AG13" s="656"/>
      <c r="AH13" s="656"/>
    </row>
    <row r="14" spans="1:34" hidden="1">
      <c r="B14" s="657" t="s">
        <v>630</v>
      </c>
      <c r="C14" s="658">
        <f>AVERAGE(C5:C8)</f>
        <v>318.10550000000001</v>
      </c>
      <c r="D14" s="658"/>
      <c r="E14" s="658">
        <f>AVERAGE(E5:E8)</f>
        <v>130.5085</v>
      </c>
      <c r="F14" s="658"/>
      <c r="G14" s="658">
        <f>AVERAGE(G5:G8)</f>
        <v>14.501249999999999</v>
      </c>
      <c r="H14" s="658"/>
      <c r="I14" s="658">
        <f>AVERAGE(I5:I8)</f>
        <v>7.5865</v>
      </c>
      <c r="J14" s="658"/>
      <c r="K14" s="658">
        <f>AVERAGE(K5:K8)</f>
        <v>0</v>
      </c>
      <c r="L14" s="658"/>
      <c r="M14" s="658">
        <f>AVERAGE(M5:M8)</f>
        <v>32.65775</v>
      </c>
      <c r="N14" s="658"/>
      <c r="O14" s="658">
        <f>AVERAGE(O5:O8)</f>
        <v>209.84125</v>
      </c>
      <c r="P14" s="658"/>
      <c r="Q14" s="658">
        <f>AVERAGE(Q5:Q8)</f>
        <v>44.457500000000003</v>
      </c>
      <c r="R14" s="658"/>
      <c r="S14" s="658">
        <f>AVERAGE(S5:S8)</f>
        <v>1.7622499999999999</v>
      </c>
      <c r="T14" s="658"/>
      <c r="U14" s="658">
        <f>AVERAGE(U5:U8)</f>
        <v>26.853499999999997</v>
      </c>
      <c r="V14" s="658"/>
      <c r="W14" s="658">
        <f>AVERAGE(W5:W8)</f>
        <v>17.204499999999999</v>
      </c>
      <c r="X14" s="658"/>
      <c r="Y14" s="658">
        <f>AVERAGE(Y5:Y8)</f>
        <v>3.8640000000000003</v>
      </c>
      <c r="Z14" s="658"/>
      <c r="AA14" s="658">
        <f t="shared" ref="AA14:AH14" si="17">AVERAGE(AA5:AA8)</f>
        <v>0</v>
      </c>
      <c r="AB14" s="658">
        <f t="shared" si="17"/>
        <v>0</v>
      </c>
      <c r="AC14" s="658">
        <f t="shared" si="17"/>
        <v>97.231999999999999</v>
      </c>
      <c r="AD14" s="658">
        <f t="shared" si="17"/>
        <v>7.4794999999999998</v>
      </c>
      <c r="AE14" s="658">
        <f t="shared" si="17"/>
        <v>2.1785000000000001</v>
      </c>
      <c r="AF14" s="658">
        <f t="shared" si="17"/>
        <v>12.10275</v>
      </c>
      <c r="AG14" s="658">
        <f t="shared" si="17"/>
        <v>82.270250000000004</v>
      </c>
      <c r="AH14" s="658">
        <f t="shared" si="17"/>
        <v>1.7505000000000002</v>
      </c>
    </row>
    <row r="15" spans="1:34" ht="21" hidden="1" customHeight="1">
      <c r="B15" s="659" t="s">
        <v>631</v>
      </c>
      <c r="C15" s="559" t="str">
        <f>ROUND(MIN(C5:C8),0)&amp;" - "&amp;ROUND(MAX(C5:C8),0)</f>
        <v>225 - 410</v>
      </c>
      <c r="D15" s="559"/>
      <c r="E15" s="559" t="str">
        <f>ROUND(MIN(E5:E8),0)&amp;" - "&amp;ROUND(MAX(E5:E8),0)</f>
        <v>83 - 183</v>
      </c>
      <c r="F15" s="559"/>
      <c r="G15" s="559" t="str">
        <f>ROUND(MIN(G5:G8),0)&amp;" - "&amp;ROUND(MAX(G5:G8),0)</f>
        <v>9 - 20</v>
      </c>
      <c r="H15" s="559"/>
      <c r="I15" s="559" t="str">
        <f>ROUND(MIN(I5:I8),0)&amp;" - "&amp;ROUND(MAX(I5:I8),0)</f>
        <v>4 - 11</v>
      </c>
      <c r="J15" s="559"/>
      <c r="K15" s="559" t="str">
        <f>ROUND(MIN(K5:K8),0)&amp;" - "&amp;ROUND(MAX(K5:K8),0)</f>
        <v>0 - 0</v>
      </c>
      <c r="L15" s="559"/>
      <c r="M15" s="559" t="str">
        <f>ROUND(MIN(M5:M8),0)&amp;" - "&amp;ROUND(MAX(M5:M8),0)</f>
        <v>28 - 38</v>
      </c>
      <c r="N15" s="559"/>
      <c r="O15" s="559" t="str">
        <f>ROUND(MIN(O5:O8),0)&amp;" - "&amp;ROUND(MAX(O5:O8),0)</f>
        <v>190 - 231</v>
      </c>
      <c r="P15" s="559"/>
      <c r="Q15" s="559" t="str">
        <f>ROUND(MIN(Q5:Q8),0)&amp;" - "&amp;ROUND(MAX(Q5:Q8),0)</f>
        <v>33 - 55</v>
      </c>
      <c r="R15" s="559"/>
      <c r="S15" s="559" t="str">
        <f>ROUND(MIN(S5:S8),0)&amp;" - "&amp;ROUND(MAX(S5:S8),0)</f>
        <v>1 - 3</v>
      </c>
      <c r="T15" s="559"/>
      <c r="U15" s="559" t="str">
        <f>ROUND(MIN(U5:U8),0)&amp;" - "&amp;ROUND(MAX(U5:U8),0)</f>
        <v>17 - 38</v>
      </c>
      <c r="V15" s="559"/>
      <c r="W15" s="559" t="str">
        <f>ROUND(MIN(W5:W8),0)&amp;" - "&amp;ROUND(MAX(W5:W8),0)</f>
        <v>9 - 22</v>
      </c>
      <c r="X15" s="559"/>
      <c r="Y15" s="559" t="str">
        <f>ROUND(MIN(Y5:Y8),0)&amp;" - "&amp;ROUND(MAX(Y5:Y8),0)</f>
        <v>4 - 4</v>
      </c>
      <c r="Z15" s="559"/>
      <c r="AA15" s="559" t="str">
        <f t="shared" ref="AA15:AH15" si="18">ROUND(MIN(AA5:AA8),0)&amp;" - "&amp;ROUND(MAX(AA5:AA8),0)</f>
        <v>0 - 0</v>
      </c>
      <c r="AB15" s="559" t="str">
        <f t="shared" si="18"/>
        <v>0 - 0</v>
      </c>
      <c r="AC15" s="559" t="str">
        <f t="shared" si="18"/>
        <v>93 - 104</v>
      </c>
      <c r="AD15" s="559" t="str">
        <f t="shared" si="18"/>
        <v>7 - 8</v>
      </c>
      <c r="AE15" s="559" t="str">
        <f t="shared" si="18"/>
        <v>2 - 3</v>
      </c>
      <c r="AF15" s="559" t="str">
        <f t="shared" si="18"/>
        <v>10 - 17</v>
      </c>
      <c r="AG15" s="559" t="str">
        <f t="shared" si="18"/>
        <v>60 - 133</v>
      </c>
      <c r="AH15" s="559" t="str">
        <f t="shared" si="18"/>
        <v>1 - 3</v>
      </c>
    </row>
    <row r="16" spans="1:34" hidden="1">
      <c r="B16" s="659" t="s">
        <v>632</v>
      </c>
      <c r="C16" s="559" t="e">
        <f>AVERAGE(#REF!,#REF!,#REF!)</f>
        <v>#REF!</v>
      </c>
      <c r="D16" s="559"/>
      <c r="E16" s="559" t="e">
        <f>AVERAGE(#REF!,#REF!,#REF!)</f>
        <v>#REF!</v>
      </c>
      <c r="F16" s="559"/>
      <c r="G16" s="559" t="e">
        <f>AVERAGE(#REF!,#REF!,#REF!)</f>
        <v>#REF!</v>
      </c>
      <c r="H16" s="559"/>
      <c r="I16" s="559" t="e">
        <f>AVERAGE(#REF!,#REF!,#REF!)</f>
        <v>#REF!</v>
      </c>
      <c r="J16" s="559"/>
      <c r="K16" s="559" t="e">
        <f>AVERAGE(#REF!,#REF!,#REF!)</f>
        <v>#REF!</v>
      </c>
      <c r="L16" s="559"/>
      <c r="M16" s="559" t="e">
        <f>AVERAGE(#REF!,#REF!,#REF!)</f>
        <v>#REF!</v>
      </c>
      <c r="N16" s="559"/>
      <c r="O16" s="559" t="e">
        <f>AVERAGE(#REF!,#REF!,#REF!)</f>
        <v>#REF!</v>
      </c>
      <c r="P16" s="559"/>
      <c r="Q16" s="559" t="e">
        <f>AVERAGE(#REF!,#REF!,#REF!)</f>
        <v>#REF!</v>
      </c>
      <c r="R16" s="559"/>
      <c r="S16" s="559" t="e">
        <f>AVERAGE(#REF!,#REF!,#REF!)</f>
        <v>#REF!</v>
      </c>
      <c r="T16" s="559"/>
      <c r="U16" s="559" t="e">
        <f>AVERAGE(#REF!,#REF!,#REF!)</f>
        <v>#REF!</v>
      </c>
      <c r="V16" s="559"/>
      <c r="W16" s="559" t="e">
        <f>AVERAGE(#REF!,#REF!,#REF!)</f>
        <v>#REF!</v>
      </c>
      <c r="X16" s="559"/>
      <c r="Y16" s="559" t="e">
        <f>AVERAGE(#REF!,#REF!,#REF!)</f>
        <v>#REF!</v>
      </c>
      <c r="Z16" s="559"/>
      <c r="AA16" s="559" t="e">
        <f>AVERAGE(#REF!,#REF!,#REF!)</f>
        <v>#REF!</v>
      </c>
      <c r="AB16" s="559" t="e">
        <f>AVERAGE(#REF!,#REF!,#REF!)</f>
        <v>#REF!</v>
      </c>
      <c r="AC16" s="559" t="e">
        <f>AVERAGE(#REF!,#REF!,#REF!)</f>
        <v>#REF!</v>
      </c>
      <c r="AD16" s="559" t="e">
        <f>AVERAGE(#REF!,#REF!,#REF!)</f>
        <v>#REF!</v>
      </c>
      <c r="AE16" s="559" t="e">
        <f>AVERAGE(#REF!,#REF!,#REF!)</f>
        <v>#REF!</v>
      </c>
      <c r="AF16" s="559" t="e">
        <f>AVERAGE(#REF!,#REF!,#REF!)</f>
        <v>#REF!</v>
      </c>
      <c r="AG16" s="559" t="e">
        <f>AVERAGE(#REF!,#REF!,#REF!)</f>
        <v>#REF!</v>
      </c>
      <c r="AH16" s="660" t="e">
        <f>AVERAGE(#REF!,#REF!,#REF!)</f>
        <v>#REF!</v>
      </c>
    </row>
    <row r="17" spans="2:34" ht="20.25" hidden="1" customHeight="1">
      <c r="B17" s="659" t="s">
        <v>633</v>
      </c>
      <c r="C17" s="559" t="e">
        <f>ROUND(MIN(#REF!),0)&amp;" - "&amp;ROUND(MAX(#REF!,#REF!,#REF!),0)</f>
        <v>#REF!</v>
      </c>
      <c r="D17" s="559"/>
      <c r="E17" s="559" t="e">
        <f>ROUND(MIN(#REF!),0)&amp;" - "&amp;ROUND(MAX(#REF!,#REF!,#REF!),0)</f>
        <v>#REF!</v>
      </c>
      <c r="F17" s="559"/>
      <c r="G17" s="559" t="e">
        <f>ROUND(MIN(#REF!),0)&amp;" - "&amp;ROUND(MAX(#REF!,#REF!,#REF!),0)</f>
        <v>#REF!</v>
      </c>
      <c r="H17" s="559"/>
      <c r="I17" s="559" t="e">
        <f>ROUND(MIN(#REF!),0)&amp;" - "&amp;ROUND(MAX(#REF!,#REF!,#REF!),0)</f>
        <v>#REF!</v>
      </c>
      <c r="J17" s="559"/>
      <c r="K17" s="559" t="e">
        <f>ROUND(MIN(#REF!),0)&amp;" - "&amp;ROUND(MAX(#REF!,#REF!,#REF!),0)</f>
        <v>#REF!</v>
      </c>
      <c r="L17" s="559"/>
      <c r="M17" s="559" t="e">
        <f>ROUND(MIN(#REF!),0)&amp;" - "&amp;ROUND(MAX(#REF!,#REF!,#REF!),0)</f>
        <v>#REF!</v>
      </c>
      <c r="N17" s="559"/>
      <c r="O17" s="559" t="e">
        <f>ROUND(MIN(#REF!),0)&amp;" - "&amp;ROUND(MAX(#REF!,#REF!,#REF!),0)</f>
        <v>#REF!</v>
      </c>
      <c r="P17" s="559"/>
      <c r="Q17" s="559" t="e">
        <f>ROUND(MIN(#REF!),0)&amp;" - "&amp;ROUND(MAX(#REF!,#REF!,#REF!),0)</f>
        <v>#REF!</v>
      </c>
      <c r="R17" s="559"/>
      <c r="S17" s="559" t="e">
        <f>ROUND(MIN(#REF!),0)&amp;" - "&amp;ROUND(MAX(#REF!,#REF!,#REF!),0)</f>
        <v>#REF!</v>
      </c>
      <c r="T17" s="559"/>
      <c r="U17" s="559" t="e">
        <f>ROUND(MIN(#REF!),0)&amp;" - "&amp;ROUND(MAX(#REF!,#REF!,#REF!),0)</f>
        <v>#REF!</v>
      </c>
      <c r="V17" s="559"/>
      <c r="W17" s="559" t="e">
        <f>ROUND(MIN(#REF!),0)&amp;" - "&amp;ROUND(MAX(#REF!,#REF!,#REF!),0)</f>
        <v>#REF!</v>
      </c>
      <c r="X17" s="559"/>
      <c r="Y17" s="559" t="e">
        <f>ROUND(MIN(#REF!),0)&amp;" - "&amp;ROUND(MAX(#REF!,#REF!,#REF!),0)</f>
        <v>#REF!</v>
      </c>
      <c r="Z17" s="559"/>
      <c r="AA17" s="559" t="e">
        <f>ROUND(MIN(#REF!),0)&amp;" - "&amp;ROUND(MAX(#REF!,#REF!,#REF!),0)</f>
        <v>#REF!</v>
      </c>
      <c r="AB17" s="559" t="e">
        <f>ROUND(MIN(#REF!),0)&amp;" - "&amp;ROUND(MAX(#REF!,#REF!,#REF!),0)</f>
        <v>#REF!</v>
      </c>
      <c r="AC17" s="559" t="e">
        <f>ROUND(MIN(#REF!),0)&amp;" - "&amp;ROUND(MAX(#REF!,#REF!,#REF!),0)</f>
        <v>#REF!</v>
      </c>
      <c r="AD17" s="559" t="e">
        <f>ROUND(MIN(#REF!),0)&amp;" - "&amp;ROUND(MAX(#REF!,#REF!,#REF!),0)</f>
        <v>#REF!</v>
      </c>
      <c r="AE17" s="559" t="e">
        <f>ROUND(MIN(#REF!),0)&amp;" - "&amp;ROUND(MAX(#REF!,#REF!,#REF!),0)</f>
        <v>#REF!</v>
      </c>
      <c r="AF17" s="559" t="e">
        <f>ROUND(MIN(#REF!),0)&amp;" - "&amp;ROUND(MAX(#REF!,#REF!,#REF!),0)</f>
        <v>#REF!</v>
      </c>
      <c r="AG17" s="559" t="e">
        <f>ROUND(MIN(#REF!),0)&amp;" - "&amp;ROUND(MAX(#REF!,#REF!,#REF!),0)</f>
        <v>#REF!</v>
      </c>
      <c r="AH17" s="660" t="e">
        <f>ROUND(MIN(#REF!),0)&amp;" - "&amp;ROUND(MAX(#REF!,#REF!,#REF!),0)</f>
        <v>#REF!</v>
      </c>
    </row>
    <row r="18" spans="2:34" hidden="1">
      <c r="B18" s="659" t="s">
        <v>634</v>
      </c>
      <c r="C18" s="559" t="e">
        <f>AVERAGE(#REF!)</f>
        <v>#REF!</v>
      </c>
      <c r="D18" s="559"/>
      <c r="E18" s="559" t="e">
        <f>AVERAGE(#REF!)</f>
        <v>#REF!</v>
      </c>
      <c r="F18" s="559"/>
      <c r="G18" s="559" t="e">
        <f>AVERAGE(#REF!)</f>
        <v>#REF!</v>
      </c>
      <c r="H18" s="559"/>
      <c r="I18" s="559" t="e">
        <f>AVERAGE(#REF!)</f>
        <v>#REF!</v>
      </c>
      <c r="J18" s="559"/>
      <c r="K18" s="559" t="e">
        <f>AVERAGE(#REF!)</f>
        <v>#REF!</v>
      </c>
      <c r="L18" s="559"/>
      <c r="M18" s="559" t="e">
        <f>AVERAGE(#REF!)</f>
        <v>#REF!</v>
      </c>
      <c r="N18" s="559"/>
      <c r="O18" s="559" t="e">
        <f>AVERAGE(#REF!)</f>
        <v>#REF!</v>
      </c>
      <c r="P18" s="559"/>
      <c r="Q18" s="559" t="e">
        <f>AVERAGE(#REF!)</f>
        <v>#REF!</v>
      </c>
      <c r="R18" s="559"/>
      <c r="S18" s="559" t="e">
        <f>AVERAGE(#REF!)</f>
        <v>#REF!</v>
      </c>
      <c r="T18" s="559"/>
      <c r="U18" s="559" t="e">
        <f>AVERAGE(#REF!)</f>
        <v>#REF!</v>
      </c>
      <c r="V18" s="559"/>
      <c r="W18" s="559" t="e">
        <f>AVERAGE(#REF!)</f>
        <v>#REF!</v>
      </c>
      <c r="X18" s="559"/>
      <c r="Y18" s="559" t="e">
        <f>AVERAGE(#REF!)</f>
        <v>#REF!</v>
      </c>
      <c r="Z18" s="559"/>
      <c r="AA18" s="559" t="e">
        <f>AVERAGE(#REF!)</f>
        <v>#REF!</v>
      </c>
      <c r="AB18" s="559" t="e">
        <f>AVERAGE(#REF!)</f>
        <v>#REF!</v>
      </c>
      <c r="AC18" s="559" t="e">
        <f>AVERAGE(#REF!)</f>
        <v>#REF!</v>
      </c>
      <c r="AD18" s="559" t="e">
        <f>AVERAGE(#REF!)</f>
        <v>#REF!</v>
      </c>
      <c r="AE18" s="559" t="e">
        <f>AVERAGE(#REF!)</f>
        <v>#REF!</v>
      </c>
      <c r="AF18" s="559" t="e">
        <f>AVERAGE(#REF!)</f>
        <v>#REF!</v>
      </c>
      <c r="AG18" s="559" t="e">
        <f>AVERAGE(#REF!)</f>
        <v>#REF!</v>
      </c>
      <c r="AH18" s="660" t="e">
        <f>AVERAGE(#REF!)</f>
        <v>#REF!</v>
      </c>
    </row>
    <row r="19" spans="2:34" ht="22.5" hidden="1" customHeight="1" thickBot="1">
      <c r="B19" s="661" t="s">
        <v>635</v>
      </c>
      <c r="C19" s="662" t="e">
        <f>ROUND(MIN(#REF!),0)&amp;" - "&amp;ROUND(MAX(#REF!),0)</f>
        <v>#REF!</v>
      </c>
      <c r="D19" s="662"/>
      <c r="E19" s="662" t="e">
        <f>ROUND(MIN(#REF!),0)&amp;" - "&amp;ROUND(MAX(#REF!),0)</f>
        <v>#REF!</v>
      </c>
      <c r="F19" s="662"/>
      <c r="G19" s="662" t="e">
        <f>ROUND(MIN(#REF!),0)&amp;" - "&amp;ROUND(MAX(#REF!),0)</f>
        <v>#REF!</v>
      </c>
      <c r="H19" s="662"/>
      <c r="I19" s="662" t="e">
        <f>ROUND(MIN(#REF!),0)&amp;" - "&amp;ROUND(MAX(#REF!),0)</f>
        <v>#REF!</v>
      </c>
      <c r="J19" s="662"/>
      <c r="K19" s="662" t="e">
        <f>ROUND(MIN(#REF!),0)&amp;" - "&amp;ROUND(MAX(#REF!),0)</f>
        <v>#REF!</v>
      </c>
      <c r="L19" s="662"/>
      <c r="M19" s="662" t="e">
        <f>ROUND(MIN(#REF!),0)&amp;" - "&amp;ROUND(MAX(#REF!),0)</f>
        <v>#REF!</v>
      </c>
      <c r="N19" s="662"/>
      <c r="O19" s="662" t="e">
        <f>ROUND(MIN(#REF!),0)&amp;" - "&amp;ROUND(MAX(#REF!),0)</f>
        <v>#REF!</v>
      </c>
      <c r="P19" s="662"/>
      <c r="Q19" s="662" t="e">
        <f>ROUND(MIN(#REF!),0)&amp;" - "&amp;ROUND(MAX(#REF!),0)</f>
        <v>#REF!</v>
      </c>
      <c r="R19" s="662"/>
      <c r="S19" s="662" t="e">
        <f>ROUND(MIN(#REF!),0)&amp;" - "&amp;ROUND(MAX(#REF!),0)</f>
        <v>#REF!</v>
      </c>
      <c r="T19" s="662"/>
      <c r="U19" s="662" t="e">
        <f>ROUND(MIN(#REF!),0)&amp;" - "&amp;ROUND(MAX(#REF!),0)</f>
        <v>#REF!</v>
      </c>
      <c r="V19" s="662"/>
      <c r="W19" s="662" t="e">
        <f>ROUND(MIN(#REF!),0)&amp;" - "&amp;ROUND(MAX(#REF!),0)</f>
        <v>#REF!</v>
      </c>
      <c r="X19" s="662"/>
      <c r="Y19" s="662" t="e">
        <f>ROUND(MIN(#REF!),0)&amp;" - "&amp;ROUND(MAX(#REF!),0)</f>
        <v>#REF!</v>
      </c>
      <c r="Z19" s="662"/>
      <c r="AA19" s="662" t="e">
        <f>ROUND(MIN(#REF!),0)&amp;" - "&amp;ROUND(MAX(#REF!),0)</f>
        <v>#REF!</v>
      </c>
      <c r="AB19" s="662" t="e">
        <f>ROUND(MIN(#REF!),0)&amp;" - "&amp;ROUND(MAX(#REF!),0)</f>
        <v>#REF!</v>
      </c>
      <c r="AC19" s="662" t="e">
        <f>ROUND(MIN(#REF!),0)&amp;" - "&amp;ROUND(MAX(#REF!),0)</f>
        <v>#REF!</v>
      </c>
      <c r="AD19" s="662" t="e">
        <f>ROUND(MIN(#REF!),0)&amp;" - "&amp;ROUND(MAX(#REF!),0)</f>
        <v>#REF!</v>
      </c>
      <c r="AE19" s="662" t="e">
        <f>ROUND(MIN(#REF!),0)&amp;" - "&amp;ROUND(MAX(#REF!),0)</f>
        <v>#REF!</v>
      </c>
      <c r="AF19" s="662" t="e">
        <f>ROUND(MIN(#REF!),0)&amp;" - "&amp;ROUND(MAX(#REF!),0)</f>
        <v>#REF!</v>
      </c>
      <c r="AG19" s="662" t="e">
        <f>ROUND(MIN(#REF!),0)&amp;" - "&amp;ROUND(MAX(#REF!),0)</f>
        <v>#REF!</v>
      </c>
      <c r="AH19" s="663" t="e">
        <f>ROUND(MIN(#REF!),0)&amp;" - "&amp;ROUND(MAX(#REF!),0)</f>
        <v>#REF!</v>
      </c>
    </row>
    <row r="20" spans="2:34" ht="16.3" thickBot="1"/>
    <row r="21" spans="2:34" ht="36.9">
      <c r="C21" s="460" t="s">
        <v>4</v>
      </c>
      <c r="D21" s="460" t="s">
        <v>4</v>
      </c>
      <c r="E21" s="460" t="s">
        <v>5</v>
      </c>
      <c r="F21" s="460" t="s">
        <v>5</v>
      </c>
      <c r="G21" s="460" t="s">
        <v>6</v>
      </c>
      <c r="H21" s="986" t="s">
        <v>6</v>
      </c>
      <c r="I21" s="460" t="s">
        <v>7</v>
      </c>
      <c r="J21" s="986" t="s">
        <v>7</v>
      </c>
      <c r="K21" s="460" t="s">
        <v>8</v>
      </c>
      <c r="L21" s="460" t="s">
        <v>8</v>
      </c>
      <c r="M21" s="460" t="s">
        <v>9</v>
      </c>
      <c r="N21" s="460" t="s">
        <v>9</v>
      </c>
      <c r="O21" s="460" t="s">
        <v>10</v>
      </c>
      <c r="P21" s="460" t="s">
        <v>10</v>
      </c>
      <c r="Q21" s="460" t="s">
        <v>11</v>
      </c>
      <c r="R21" s="460" t="s">
        <v>11</v>
      </c>
      <c r="S21" s="460" t="s">
        <v>12</v>
      </c>
      <c r="T21" s="460" t="s">
        <v>12</v>
      </c>
      <c r="U21" s="460" t="s">
        <v>13</v>
      </c>
      <c r="V21" s="460" t="s">
        <v>13</v>
      </c>
      <c r="W21" s="460" t="s">
        <v>14</v>
      </c>
      <c r="X21" s="460" t="s">
        <v>14</v>
      </c>
      <c r="Y21" s="460" t="s">
        <v>15</v>
      </c>
      <c r="Z21" s="460" t="s">
        <v>15</v>
      </c>
    </row>
    <row r="22" spans="2:34">
      <c r="C22" s="179">
        <f>MIN(D5:D8)</f>
        <v>230</v>
      </c>
      <c r="D22" s="179">
        <f>MAX(D5:D8)</f>
        <v>410</v>
      </c>
      <c r="E22" s="179">
        <f>MIN(F5:F8)</f>
        <v>80</v>
      </c>
      <c r="F22" s="179">
        <f>MAX(F5:F8)</f>
        <v>180</v>
      </c>
      <c r="G22" s="179">
        <f>MIN(H5:H8)</f>
        <v>9</v>
      </c>
      <c r="H22" s="179">
        <f>MAX(H5:H8)</f>
        <v>20</v>
      </c>
      <c r="I22" s="179">
        <f>MIN(J5:J8)</f>
        <v>4</v>
      </c>
      <c r="J22" s="179">
        <f>MAX(J5:J8)</f>
        <v>11</v>
      </c>
      <c r="K22" s="179">
        <f>MIN(L5:L8)</f>
        <v>0</v>
      </c>
      <c r="L22" s="179">
        <f>MAX(L5:L8)</f>
        <v>0</v>
      </c>
      <c r="M22" s="179">
        <f>MIN(N5:N8)</f>
        <v>30</v>
      </c>
      <c r="N22" s="179">
        <f>MAX(N5:N8)</f>
        <v>40</v>
      </c>
      <c r="O22" s="179">
        <f>MIN(P5:P8)</f>
        <v>190</v>
      </c>
      <c r="P22" s="179">
        <f>MAX(P5:P8)</f>
        <v>230</v>
      </c>
      <c r="Q22" s="179">
        <f>MIN(R5:R8)</f>
        <v>33</v>
      </c>
      <c r="R22" s="179">
        <f>MAX(R5:R8)</f>
        <v>55</v>
      </c>
      <c r="S22" s="179">
        <f>MIN(T5:T8)</f>
        <v>1</v>
      </c>
      <c r="T22" s="179">
        <f>MAX(T5:T8)</f>
        <v>3</v>
      </c>
      <c r="U22" s="179">
        <f>MIN(V5:V8)</f>
        <v>17</v>
      </c>
      <c r="V22" s="179">
        <f>MAX(V5:V8)</f>
        <v>38</v>
      </c>
      <c r="W22" s="179">
        <f>MIN(X5:X8)</f>
        <v>9</v>
      </c>
      <c r="X22" s="179">
        <f>MAX(X5:X8)</f>
        <v>22</v>
      </c>
      <c r="Y22" s="179">
        <f>MIN(Z5:Z8)</f>
        <v>4</v>
      </c>
      <c r="Z22" s="179">
        <f>MAX(Z5:Z8)</f>
        <v>4</v>
      </c>
    </row>
    <row r="24" spans="2:34" hidden="1">
      <c r="B24" s="558" t="s">
        <v>636</v>
      </c>
      <c r="C24" s="558">
        <v>60</v>
      </c>
      <c r="E24" s="558">
        <v>35</v>
      </c>
      <c r="G24" s="558">
        <v>3.5</v>
      </c>
      <c r="I24" s="558">
        <v>2</v>
      </c>
      <c r="K24" s="558">
        <v>0</v>
      </c>
      <c r="M24" s="558">
        <v>0</v>
      </c>
      <c r="O24" s="558">
        <v>0</v>
      </c>
      <c r="Q24" s="558">
        <v>10</v>
      </c>
      <c r="S24" s="558">
        <v>1</v>
      </c>
      <c r="U24" s="558">
        <v>8</v>
      </c>
      <c r="W24" s="558">
        <v>8</v>
      </c>
      <c r="Y24" s="558">
        <v>1</v>
      </c>
      <c r="AA24" s="558">
        <v>0</v>
      </c>
      <c r="AB24" s="558">
        <v>0</v>
      </c>
      <c r="AC24" s="558">
        <v>5</v>
      </c>
      <c r="AD24" s="558">
        <v>0</v>
      </c>
      <c r="AE24" s="558">
        <v>1</v>
      </c>
      <c r="AF24" s="558">
        <v>6</v>
      </c>
      <c r="AG24" s="558">
        <v>62</v>
      </c>
      <c r="AH24" s="558">
        <v>2</v>
      </c>
    </row>
    <row r="25" spans="2:34" hidden="1">
      <c r="B25" s="558" t="s">
        <v>637</v>
      </c>
      <c r="C25" s="558">
        <v>80</v>
      </c>
      <c r="E25" s="558">
        <v>40</v>
      </c>
      <c r="G25" s="558">
        <v>4.5</v>
      </c>
      <c r="I25" s="558">
        <v>2.5</v>
      </c>
      <c r="K25" s="558">
        <v>0</v>
      </c>
      <c r="M25" s="558">
        <v>25</v>
      </c>
      <c r="O25" s="558">
        <v>45</v>
      </c>
      <c r="Q25" s="558">
        <v>9</v>
      </c>
      <c r="U25" s="558">
        <v>9</v>
      </c>
      <c r="W25" s="558">
        <v>6</v>
      </c>
      <c r="Y25" s="558">
        <v>2</v>
      </c>
      <c r="AA25" s="558">
        <v>0</v>
      </c>
      <c r="AB25" s="558">
        <v>0</v>
      </c>
      <c r="AC25" s="558">
        <v>55</v>
      </c>
      <c r="AD25" s="558">
        <v>4</v>
      </c>
      <c r="AE25" s="558">
        <v>0</v>
      </c>
      <c r="AF25" s="558">
        <v>0</v>
      </c>
      <c r="AG25" s="558">
        <v>111</v>
      </c>
      <c r="AH25" s="558">
        <v>2</v>
      </c>
    </row>
    <row r="26" spans="2:34" hidden="1">
      <c r="B26" s="558" t="s">
        <v>638</v>
      </c>
      <c r="C26" s="558">
        <v>80</v>
      </c>
      <c r="E26" s="558">
        <v>40</v>
      </c>
      <c r="G26" s="558">
        <v>4.5</v>
      </c>
      <c r="I26" s="558">
        <v>3</v>
      </c>
      <c r="K26" s="558">
        <v>0</v>
      </c>
      <c r="M26" s="558">
        <v>30</v>
      </c>
      <c r="O26" s="558">
        <v>50</v>
      </c>
      <c r="Q26" s="558">
        <v>9</v>
      </c>
      <c r="S26" s="558">
        <v>0</v>
      </c>
      <c r="U26" s="558">
        <v>8</v>
      </c>
      <c r="W26" s="558">
        <v>6</v>
      </c>
      <c r="Y26" s="558">
        <v>2</v>
      </c>
      <c r="AA26" s="558">
        <v>0</v>
      </c>
      <c r="AB26" s="558">
        <v>0</v>
      </c>
      <c r="AC26" s="558">
        <v>57</v>
      </c>
      <c r="AD26" s="558">
        <v>4</v>
      </c>
      <c r="AE26" s="558">
        <v>0</v>
      </c>
      <c r="AF26" s="558">
        <v>0</v>
      </c>
      <c r="AG26" s="558">
        <v>96</v>
      </c>
      <c r="AH26" s="558">
        <v>2</v>
      </c>
    </row>
    <row r="27" spans="2:34" hidden="1">
      <c r="B27" s="558" t="s">
        <v>639</v>
      </c>
      <c r="C27" s="558">
        <v>90</v>
      </c>
      <c r="E27" s="558">
        <v>40</v>
      </c>
      <c r="G27" s="558">
        <v>4.5</v>
      </c>
      <c r="I27" s="558">
        <v>3</v>
      </c>
      <c r="K27" s="558">
        <v>0</v>
      </c>
      <c r="M27" s="558">
        <v>30</v>
      </c>
      <c r="O27" s="558">
        <v>55</v>
      </c>
      <c r="Q27" s="558">
        <v>9</v>
      </c>
      <c r="S27" s="558">
        <v>0</v>
      </c>
      <c r="U27" s="558">
        <v>8</v>
      </c>
      <c r="W27" s="558">
        <v>6</v>
      </c>
      <c r="Y27" s="558">
        <v>2</v>
      </c>
      <c r="AA27" s="558">
        <v>0</v>
      </c>
      <c r="AB27" s="558">
        <v>0</v>
      </c>
      <c r="AC27" s="558">
        <v>60</v>
      </c>
      <c r="AD27" s="558">
        <v>4</v>
      </c>
      <c r="AE27" s="558">
        <v>0</v>
      </c>
      <c r="AF27" s="558">
        <v>0</v>
      </c>
      <c r="AG27" s="558">
        <v>81</v>
      </c>
      <c r="AH27" s="558">
        <v>2</v>
      </c>
    </row>
    <row r="28" spans="2:34" hidden="1">
      <c r="B28" s="558" t="s">
        <v>640</v>
      </c>
      <c r="C28" s="558">
        <v>130</v>
      </c>
      <c r="E28" s="558">
        <v>50</v>
      </c>
      <c r="G28" s="558">
        <v>6</v>
      </c>
      <c r="I28" s="558">
        <v>3</v>
      </c>
      <c r="K28" s="558">
        <v>0</v>
      </c>
      <c r="M28" s="558">
        <v>5</v>
      </c>
      <c r="O28" s="558">
        <v>65</v>
      </c>
      <c r="Q28" s="558">
        <v>18</v>
      </c>
      <c r="S28" s="558">
        <v>1</v>
      </c>
      <c r="U28" s="558">
        <v>11</v>
      </c>
      <c r="W28" s="558" t="s">
        <v>641</v>
      </c>
      <c r="Y28" s="558">
        <v>1</v>
      </c>
      <c r="AA28" s="558">
        <v>0</v>
      </c>
      <c r="AB28" s="558">
        <v>0</v>
      </c>
      <c r="AC28" s="558">
        <v>0</v>
      </c>
      <c r="AD28" s="558">
        <v>0</v>
      </c>
      <c r="AE28" s="558">
        <v>0</v>
      </c>
      <c r="AF28" s="558">
        <v>0</v>
      </c>
      <c r="AG28" s="558" t="s">
        <v>641</v>
      </c>
      <c r="AH28" s="558" t="s">
        <v>641</v>
      </c>
    </row>
    <row r="29" spans="2:34" hidden="1"/>
    <row r="30" spans="2:34" hidden="1">
      <c r="B30" s="625" t="s">
        <v>642</v>
      </c>
      <c r="C30" s="558">
        <f>SUM(C25,C28,C28)</f>
        <v>340</v>
      </c>
      <c r="E30" s="558">
        <f t="shared" ref="E30:AF30" si="19">SUM(E25,E28,E28)</f>
        <v>140</v>
      </c>
      <c r="G30" s="558">
        <f t="shared" si="19"/>
        <v>16.5</v>
      </c>
      <c r="I30" s="558">
        <f t="shared" si="19"/>
        <v>8.5</v>
      </c>
      <c r="K30" s="558">
        <f t="shared" si="19"/>
        <v>0</v>
      </c>
      <c r="M30" s="558">
        <f t="shared" si="19"/>
        <v>35</v>
      </c>
      <c r="O30" s="558">
        <f t="shared" si="19"/>
        <v>175</v>
      </c>
      <c r="Q30" s="558">
        <f>SUM(Q25,Q28,Q28)</f>
        <v>45</v>
      </c>
      <c r="S30" s="558">
        <f t="shared" si="19"/>
        <v>2</v>
      </c>
      <c r="U30" s="558">
        <f t="shared" si="19"/>
        <v>31</v>
      </c>
      <c r="W30" s="558" t="s">
        <v>641</v>
      </c>
      <c r="Y30" s="558">
        <f t="shared" si="19"/>
        <v>4</v>
      </c>
      <c r="AA30" s="558">
        <f t="shared" si="19"/>
        <v>0</v>
      </c>
      <c r="AB30" s="558">
        <f t="shared" si="19"/>
        <v>0</v>
      </c>
      <c r="AC30" s="558">
        <f t="shared" si="19"/>
        <v>55</v>
      </c>
      <c r="AD30" s="558">
        <f t="shared" si="19"/>
        <v>4</v>
      </c>
      <c r="AE30" s="558">
        <f t="shared" si="19"/>
        <v>0</v>
      </c>
      <c r="AF30" s="558">
        <f t="shared" si="19"/>
        <v>0</v>
      </c>
      <c r="AG30" s="558" t="s">
        <v>641</v>
      </c>
      <c r="AH30" s="558" t="s">
        <v>641</v>
      </c>
    </row>
    <row r="31" spans="2:34" hidden="1">
      <c r="B31" s="625" t="s">
        <v>626</v>
      </c>
      <c r="C31" s="558">
        <f>C28+C28+C27</f>
        <v>350</v>
      </c>
      <c r="E31" s="558">
        <f t="shared" ref="E31:AF31" si="20">E28+E28+E27</f>
        <v>140</v>
      </c>
      <c r="G31" s="558">
        <f t="shared" si="20"/>
        <v>16.5</v>
      </c>
      <c r="I31" s="558">
        <f t="shared" si="20"/>
        <v>9</v>
      </c>
      <c r="K31" s="558">
        <f t="shared" si="20"/>
        <v>0</v>
      </c>
      <c r="M31" s="558">
        <f t="shared" si="20"/>
        <v>40</v>
      </c>
      <c r="O31" s="558">
        <f t="shared" si="20"/>
        <v>185</v>
      </c>
      <c r="Q31" s="558">
        <f t="shared" si="20"/>
        <v>45</v>
      </c>
      <c r="S31" s="558">
        <f t="shared" si="20"/>
        <v>2</v>
      </c>
      <c r="U31" s="558">
        <f t="shared" si="20"/>
        <v>30</v>
      </c>
      <c r="W31" s="558" t="s">
        <v>641</v>
      </c>
      <c r="Y31" s="558">
        <f t="shared" si="20"/>
        <v>4</v>
      </c>
      <c r="AA31" s="558">
        <f t="shared" si="20"/>
        <v>0</v>
      </c>
      <c r="AB31" s="558">
        <f t="shared" si="20"/>
        <v>0</v>
      </c>
      <c r="AC31" s="558">
        <f t="shared" si="20"/>
        <v>60</v>
      </c>
      <c r="AD31" s="558">
        <f t="shared" si="20"/>
        <v>4</v>
      </c>
      <c r="AE31" s="558">
        <f t="shared" si="20"/>
        <v>0</v>
      </c>
      <c r="AF31" s="558">
        <f t="shared" si="20"/>
        <v>0</v>
      </c>
      <c r="AG31" s="558" t="s">
        <v>641</v>
      </c>
      <c r="AH31" s="558" t="s">
        <v>641</v>
      </c>
    </row>
    <row r="32" spans="2:34" hidden="1">
      <c r="B32" s="625" t="s">
        <v>643</v>
      </c>
      <c r="C32" s="558">
        <f>(C28*2)+C26</f>
        <v>340</v>
      </c>
      <c r="E32" s="558">
        <f t="shared" ref="E32:AF32" si="21">(E28*2)+E26</f>
        <v>140</v>
      </c>
      <c r="G32" s="558">
        <f t="shared" si="21"/>
        <v>16.5</v>
      </c>
      <c r="I32" s="558">
        <f t="shared" si="21"/>
        <v>9</v>
      </c>
      <c r="K32" s="558">
        <f t="shared" si="21"/>
        <v>0</v>
      </c>
      <c r="M32" s="558">
        <f t="shared" si="21"/>
        <v>40</v>
      </c>
      <c r="O32" s="558">
        <f t="shared" si="21"/>
        <v>180</v>
      </c>
      <c r="Q32" s="558">
        <f t="shared" si="21"/>
        <v>45</v>
      </c>
      <c r="S32" s="558">
        <f t="shared" si="21"/>
        <v>2</v>
      </c>
      <c r="U32" s="558">
        <f t="shared" si="21"/>
        <v>30</v>
      </c>
      <c r="W32" s="558" t="s">
        <v>641</v>
      </c>
      <c r="Y32" s="558">
        <f t="shared" si="21"/>
        <v>4</v>
      </c>
      <c r="AA32" s="558">
        <f t="shared" si="21"/>
        <v>0</v>
      </c>
      <c r="AB32" s="558">
        <f t="shared" si="21"/>
        <v>0</v>
      </c>
      <c r="AC32" s="558">
        <f t="shared" si="21"/>
        <v>57</v>
      </c>
      <c r="AD32" s="558">
        <f t="shared" si="21"/>
        <v>4</v>
      </c>
      <c r="AE32" s="558">
        <f t="shared" si="21"/>
        <v>0</v>
      </c>
      <c r="AF32" s="558">
        <f t="shared" si="21"/>
        <v>0</v>
      </c>
      <c r="AG32" s="558" t="s">
        <v>641</v>
      </c>
      <c r="AH32" s="558" t="s">
        <v>641</v>
      </c>
    </row>
    <row r="33" spans="2:34" hidden="1">
      <c r="B33" s="625" t="s">
        <v>644</v>
      </c>
      <c r="C33" s="558">
        <f>C28+C28+C25+C24</f>
        <v>400</v>
      </c>
      <c r="E33" s="558">
        <f t="shared" ref="E33:AF33" si="22">E28+E28+E25+E24</f>
        <v>175</v>
      </c>
      <c r="G33" s="558">
        <f t="shared" si="22"/>
        <v>20</v>
      </c>
      <c r="I33" s="558">
        <f t="shared" si="22"/>
        <v>10.5</v>
      </c>
      <c r="K33" s="558">
        <f t="shared" si="22"/>
        <v>0</v>
      </c>
      <c r="M33" s="558">
        <f t="shared" si="22"/>
        <v>35</v>
      </c>
      <c r="O33" s="558">
        <f t="shared" si="22"/>
        <v>175</v>
      </c>
      <c r="Q33" s="558">
        <f t="shared" si="22"/>
        <v>55</v>
      </c>
      <c r="S33" s="558">
        <f t="shared" si="22"/>
        <v>3</v>
      </c>
      <c r="U33" s="558">
        <f t="shared" si="22"/>
        <v>39</v>
      </c>
      <c r="W33" s="558" t="s">
        <v>641</v>
      </c>
      <c r="Y33" s="558">
        <f t="shared" si="22"/>
        <v>5</v>
      </c>
      <c r="AA33" s="558">
        <f t="shared" si="22"/>
        <v>0</v>
      </c>
      <c r="AB33" s="558">
        <f t="shared" si="22"/>
        <v>0</v>
      </c>
      <c r="AC33" s="558">
        <f t="shared" si="22"/>
        <v>60</v>
      </c>
      <c r="AD33" s="558">
        <f t="shared" si="22"/>
        <v>4</v>
      </c>
      <c r="AE33" s="558">
        <f t="shared" si="22"/>
        <v>1</v>
      </c>
      <c r="AF33" s="558">
        <f t="shared" si="22"/>
        <v>6</v>
      </c>
      <c r="AG33" s="558" t="s">
        <v>641</v>
      </c>
      <c r="AH33" s="558" t="s">
        <v>641</v>
      </c>
    </row>
    <row r="34" spans="2:34" hidden="1">
      <c r="B34" s="625" t="s">
        <v>627</v>
      </c>
      <c r="C34" s="558">
        <f>C28+C28+C24+C27</f>
        <v>410</v>
      </c>
      <c r="E34" s="558">
        <f t="shared" ref="E34:AF34" si="23">E28+E28+E24+E27</f>
        <v>175</v>
      </c>
      <c r="G34" s="558">
        <f t="shared" si="23"/>
        <v>20</v>
      </c>
      <c r="I34" s="558">
        <f t="shared" si="23"/>
        <v>11</v>
      </c>
      <c r="K34" s="558">
        <f t="shared" si="23"/>
        <v>0</v>
      </c>
      <c r="M34" s="558">
        <f t="shared" si="23"/>
        <v>40</v>
      </c>
      <c r="O34" s="558">
        <f t="shared" si="23"/>
        <v>185</v>
      </c>
      <c r="Q34" s="558">
        <f t="shared" si="23"/>
        <v>55</v>
      </c>
      <c r="S34" s="558">
        <f t="shared" si="23"/>
        <v>3</v>
      </c>
      <c r="U34" s="558">
        <f t="shared" si="23"/>
        <v>38</v>
      </c>
      <c r="W34" s="558" t="s">
        <v>641</v>
      </c>
      <c r="Y34" s="558">
        <f t="shared" si="23"/>
        <v>5</v>
      </c>
      <c r="AA34" s="558">
        <f t="shared" si="23"/>
        <v>0</v>
      </c>
      <c r="AB34" s="558">
        <f t="shared" si="23"/>
        <v>0</v>
      </c>
      <c r="AC34" s="558">
        <f t="shared" si="23"/>
        <v>65</v>
      </c>
      <c r="AD34" s="558">
        <f t="shared" si="23"/>
        <v>4</v>
      </c>
      <c r="AE34" s="558">
        <f t="shared" si="23"/>
        <v>1</v>
      </c>
      <c r="AF34" s="558">
        <f t="shared" si="23"/>
        <v>6</v>
      </c>
      <c r="AG34" s="558" t="s">
        <v>641</v>
      </c>
      <c r="AH34" s="558" t="s">
        <v>641</v>
      </c>
    </row>
    <row r="35" spans="2:34" hidden="1">
      <c r="B35" s="625" t="s">
        <v>645</v>
      </c>
      <c r="C35" s="558">
        <f>C28+C28+C26+C24</f>
        <v>400</v>
      </c>
      <c r="E35" s="558">
        <f t="shared" ref="E35:AF35" si="24">E28+E28+E26+E24</f>
        <v>175</v>
      </c>
      <c r="G35" s="558">
        <f t="shared" si="24"/>
        <v>20</v>
      </c>
      <c r="I35" s="558">
        <f t="shared" si="24"/>
        <v>11</v>
      </c>
      <c r="K35" s="558">
        <f t="shared" si="24"/>
        <v>0</v>
      </c>
      <c r="M35" s="558">
        <f t="shared" si="24"/>
        <v>40</v>
      </c>
      <c r="O35" s="558">
        <f t="shared" si="24"/>
        <v>180</v>
      </c>
      <c r="Q35" s="558">
        <f t="shared" si="24"/>
        <v>55</v>
      </c>
      <c r="S35" s="558">
        <f t="shared" si="24"/>
        <v>3</v>
      </c>
      <c r="U35" s="558">
        <f t="shared" si="24"/>
        <v>38</v>
      </c>
      <c r="W35" s="558" t="s">
        <v>641</v>
      </c>
      <c r="Y35" s="558">
        <f t="shared" si="24"/>
        <v>5</v>
      </c>
      <c r="AA35" s="558">
        <f t="shared" si="24"/>
        <v>0</v>
      </c>
      <c r="AB35" s="558">
        <f t="shared" si="24"/>
        <v>0</v>
      </c>
      <c r="AC35" s="558">
        <f t="shared" si="24"/>
        <v>62</v>
      </c>
      <c r="AD35" s="558">
        <f t="shared" si="24"/>
        <v>4</v>
      </c>
      <c r="AE35" s="558">
        <f t="shared" si="24"/>
        <v>1</v>
      </c>
      <c r="AF35" s="558">
        <f t="shared" si="24"/>
        <v>6</v>
      </c>
      <c r="AG35" s="558" t="s">
        <v>641</v>
      </c>
      <c r="AH35" s="558" t="s">
        <v>641</v>
      </c>
    </row>
  </sheetData>
  <mergeCells count="3">
    <mergeCell ref="B10:AH12"/>
    <mergeCell ref="A3:AH3"/>
    <mergeCell ref="A5:A8"/>
  </mergeCells>
  <pageMargins left="0.7" right="0.7" top="0.75" bottom="0.75" header="0.3" footer="0.3"/>
  <pageSetup scale="43" fitToHeight="0" orientation="landscape" r:id="rId1"/>
  <headerFooter>
    <oddHeader xml:space="preserve">&amp;R&amp;14 2024 Nutrition Information </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04A61-540E-4016-9BF6-BC84DCF99E82}">
  <sheetPr>
    <tabColor rgb="FF00B050"/>
  </sheetPr>
  <dimension ref="A1:V20"/>
  <sheetViews>
    <sheetView view="pageLayout" zoomScale="73" zoomScaleNormal="100" zoomScalePageLayoutView="73" workbookViewId="0">
      <selection activeCell="N45" sqref="N45"/>
    </sheetView>
    <sheetView workbookViewId="1"/>
    <sheetView workbookViewId="2"/>
  </sheetViews>
  <sheetFormatPr defaultColWidth="11.53515625" defaultRowHeight="12.45"/>
  <cols>
    <col min="1" max="1" width="6.53515625" customWidth="1"/>
    <col min="2" max="2" width="42.84375" customWidth="1"/>
    <col min="3" max="3" width="14" customWidth="1"/>
    <col min="4" max="4" width="10.53515625" customWidth="1"/>
    <col min="5" max="5" width="8.53515625" customWidth="1"/>
    <col min="6" max="6" width="11.53515625" customWidth="1"/>
    <col min="7" max="7" width="8.53515625" customWidth="1"/>
    <col min="8" max="8" width="13" customWidth="1"/>
    <col min="9" max="9" width="9" customWidth="1"/>
    <col min="10" max="10" width="16.84375" customWidth="1"/>
    <col min="11" max="11" width="9" customWidth="1"/>
    <col min="12" max="12" width="7.84375" customWidth="1"/>
    <col min="13" max="13" width="9" customWidth="1"/>
    <col min="14" max="16" width="11.53515625" customWidth="1"/>
    <col min="17" max="17" width="9" customWidth="1"/>
  </cols>
  <sheetData>
    <row r="1" spans="1:22" s="342" customFormat="1" ht="22.5" customHeight="1">
      <c r="A1" s="361"/>
      <c r="B1" s="1368" t="s">
        <v>646</v>
      </c>
      <c r="C1" s="1369"/>
      <c r="D1" s="1369"/>
      <c r="E1" s="1369"/>
      <c r="F1" s="1369"/>
      <c r="G1" s="1369"/>
      <c r="H1" s="1369"/>
      <c r="I1" s="1369"/>
      <c r="J1" s="1369"/>
      <c r="K1" s="1369"/>
      <c r="L1" s="1369"/>
      <c r="M1" s="1369"/>
      <c r="N1" s="1369"/>
      <c r="O1" s="1369"/>
      <c r="P1" s="1369"/>
      <c r="Q1" s="1369"/>
      <c r="R1" s="1369"/>
      <c r="S1" s="1369"/>
      <c r="T1" s="1369"/>
      <c r="U1" s="1369"/>
      <c r="V1" s="1369"/>
    </row>
    <row r="2" spans="1:22" s="342" customFormat="1" ht="18" customHeight="1" thickBot="1">
      <c r="A2" s="361"/>
      <c r="B2" s="1370" t="s">
        <v>647</v>
      </c>
      <c r="C2" s="1371"/>
      <c r="D2" s="1371"/>
      <c r="E2" s="1371"/>
      <c r="F2" s="1371"/>
      <c r="G2" s="1371"/>
      <c r="H2" s="1371"/>
      <c r="I2" s="1371"/>
      <c r="J2" s="1371"/>
      <c r="K2" s="1371"/>
      <c r="L2" s="1371"/>
      <c r="M2" s="1371"/>
      <c r="N2" s="1371"/>
      <c r="O2" s="1371"/>
      <c r="P2" s="1371"/>
      <c r="Q2" s="1371"/>
      <c r="R2" s="1371"/>
      <c r="S2" s="1371"/>
      <c r="T2" s="1371"/>
      <c r="U2" s="1371"/>
      <c r="V2" s="1371"/>
    </row>
    <row r="3" spans="1:22" s="344" customFormat="1" ht="42.75" customHeight="1" thickBot="1">
      <c r="A3" s="362"/>
      <c r="B3" s="363" t="s">
        <v>3</v>
      </c>
      <c r="C3" s="352" t="s">
        <v>4</v>
      </c>
      <c r="D3" s="352" t="s">
        <v>5</v>
      </c>
      <c r="E3" s="352" t="s">
        <v>6</v>
      </c>
      <c r="F3" s="352" t="s">
        <v>7</v>
      </c>
      <c r="G3" s="352" t="s">
        <v>8</v>
      </c>
      <c r="H3" s="352" t="s">
        <v>9</v>
      </c>
      <c r="I3" s="352" t="s">
        <v>10</v>
      </c>
      <c r="J3" s="352" t="s">
        <v>11</v>
      </c>
      <c r="K3" s="352" t="s">
        <v>12</v>
      </c>
      <c r="L3" s="352" t="s">
        <v>13</v>
      </c>
      <c r="M3" s="352" t="s">
        <v>14</v>
      </c>
      <c r="N3" s="352" t="s">
        <v>15</v>
      </c>
      <c r="O3" s="215" t="s">
        <v>16</v>
      </c>
      <c r="P3" s="215" t="s">
        <v>17</v>
      </c>
      <c r="Q3" s="215" t="s">
        <v>18</v>
      </c>
      <c r="R3" s="215" t="s">
        <v>19</v>
      </c>
      <c r="S3" s="215" t="s">
        <v>20</v>
      </c>
      <c r="T3" s="215" t="s">
        <v>21</v>
      </c>
      <c r="U3" s="215" t="s">
        <v>22</v>
      </c>
      <c r="V3" s="215" t="s">
        <v>23</v>
      </c>
    </row>
    <row r="4" spans="1:22" s="342" customFormat="1" ht="15.9">
      <c r="A4" s="361"/>
      <c r="B4" s="364" t="s">
        <v>648</v>
      </c>
      <c r="C4" s="345">
        <v>740</v>
      </c>
      <c r="D4" s="345">
        <v>320</v>
      </c>
      <c r="E4" s="345">
        <v>36</v>
      </c>
      <c r="F4" s="345">
        <v>15</v>
      </c>
      <c r="G4" s="345">
        <v>2</v>
      </c>
      <c r="H4" s="345">
        <v>130</v>
      </c>
      <c r="I4" s="345">
        <v>400</v>
      </c>
      <c r="J4" s="345">
        <v>100</v>
      </c>
      <c r="K4" s="345">
        <v>0</v>
      </c>
      <c r="L4" s="345">
        <v>66</v>
      </c>
      <c r="M4" s="345">
        <v>18</v>
      </c>
      <c r="N4" s="345">
        <v>11</v>
      </c>
      <c r="O4" s="345">
        <v>0</v>
      </c>
      <c r="P4" s="345">
        <v>0</v>
      </c>
      <c r="Q4" s="345">
        <v>198.49600000000001</v>
      </c>
      <c r="R4" s="365">
        <v>20</v>
      </c>
      <c r="S4" s="365">
        <v>3.9390900000000002</v>
      </c>
      <c r="T4" s="365">
        <v>20</v>
      </c>
      <c r="U4" s="365">
        <v>240</v>
      </c>
      <c r="V4" s="365">
        <v>7</v>
      </c>
    </row>
    <row r="5" spans="1:22" s="344" customFormat="1" ht="15.9">
      <c r="A5" s="366"/>
      <c r="B5" s="364" t="s">
        <v>649</v>
      </c>
      <c r="C5" s="345">
        <v>730</v>
      </c>
      <c r="D5" s="345">
        <v>310</v>
      </c>
      <c r="E5" s="345">
        <v>35</v>
      </c>
      <c r="F5" s="345">
        <v>14</v>
      </c>
      <c r="G5" s="345">
        <v>2</v>
      </c>
      <c r="H5" s="345">
        <v>110</v>
      </c>
      <c r="I5" s="345">
        <v>370</v>
      </c>
      <c r="J5" s="345">
        <v>100</v>
      </c>
      <c r="K5" s="345">
        <v>0</v>
      </c>
      <c r="L5" s="345">
        <v>67</v>
      </c>
      <c r="M5" s="345">
        <v>19</v>
      </c>
      <c r="N5" s="345">
        <v>11</v>
      </c>
      <c r="O5" s="345">
        <v>0</v>
      </c>
      <c r="P5" s="345">
        <v>0</v>
      </c>
      <c r="Q5" s="345">
        <v>185.739</v>
      </c>
      <c r="R5" s="365">
        <v>20</v>
      </c>
      <c r="S5" s="365">
        <v>5.3168800000000003</v>
      </c>
      <c r="T5" s="365">
        <v>30</v>
      </c>
      <c r="U5" s="365">
        <v>330</v>
      </c>
      <c r="V5" s="365">
        <v>9</v>
      </c>
    </row>
    <row r="6" spans="1:22" s="342" customFormat="1" ht="15.9">
      <c r="A6" s="361"/>
      <c r="B6" s="364" t="s">
        <v>650</v>
      </c>
      <c r="C6" s="345">
        <v>740</v>
      </c>
      <c r="D6" s="345">
        <v>320</v>
      </c>
      <c r="E6" s="345">
        <v>35</v>
      </c>
      <c r="F6" s="345">
        <v>14</v>
      </c>
      <c r="G6" s="345">
        <v>2</v>
      </c>
      <c r="H6" s="345">
        <v>120</v>
      </c>
      <c r="I6" s="345">
        <v>390</v>
      </c>
      <c r="J6" s="345">
        <v>100</v>
      </c>
      <c r="K6" s="345">
        <v>0</v>
      </c>
      <c r="L6" s="345">
        <v>67</v>
      </c>
      <c r="M6" s="345">
        <v>18</v>
      </c>
      <c r="N6" s="345">
        <v>11</v>
      </c>
      <c r="O6" s="345">
        <v>0</v>
      </c>
      <c r="P6" s="345">
        <v>0</v>
      </c>
      <c r="Q6" s="345">
        <v>192.11799999999999</v>
      </c>
      <c r="R6" s="365">
        <v>20</v>
      </c>
      <c r="S6" s="365">
        <v>4.6279899999999996</v>
      </c>
      <c r="T6" s="365">
        <v>25</v>
      </c>
      <c r="U6" s="365">
        <v>290</v>
      </c>
      <c r="V6" s="365">
        <v>8</v>
      </c>
    </row>
    <row r="7" spans="1:22" s="342" customFormat="1" ht="15.9">
      <c r="A7" s="361"/>
      <c r="B7" s="364" t="s">
        <v>651</v>
      </c>
      <c r="C7" s="345">
        <v>880</v>
      </c>
      <c r="D7" s="345">
        <v>370</v>
      </c>
      <c r="E7" s="345">
        <v>41</v>
      </c>
      <c r="F7" s="345">
        <v>19</v>
      </c>
      <c r="G7" s="345">
        <v>2</v>
      </c>
      <c r="H7" s="345">
        <v>130</v>
      </c>
      <c r="I7" s="345">
        <v>410</v>
      </c>
      <c r="J7" s="345">
        <v>122</v>
      </c>
      <c r="K7" s="345">
        <v>0</v>
      </c>
      <c r="L7" s="345">
        <v>80</v>
      </c>
      <c r="M7" s="345">
        <v>18</v>
      </c>
      <c r="N7" s="345">
        <v>11</v>
      </c>
      <c r="O7" s="345">
        <v>0</v>
      </c>
      <c r="P7" s="345">
        <v>0</v>
      </c>
      <c r="Q7" s="345">
        <v>199.06299999999999</v>
      </c>
      <c r="R7" s="365">
        <v>20</v>
      </c>
      <c r="S7" s="365">
        <v>3.9390900000000002</v>
      </c>
      <c r="T7" s="365">
        <v>20</v>
      </c>
      <c r="U7" s="365">
        <v>240</v>
      </c>
      <c r="V7" s="365">
        <v>7</v>
      </c>
    </row>
    <row r="8" spans="1:22" s="342" customFormat="1" ht="15.9">
      <c r="A8" s="361"/>
      <c r="B8" s="364" t="s">
        <v>652</v>
      </c>
      <c r="C8" s="345">
        <v>870</v>
      </c>
      <c r="D8" s="345">
        <v>360</v>
      </c>
      <c r="E8" s="345">
        <v>40</v>
      </c>
      <c r="F8" s="345">
        <v>18</v>
      </c>
      <c r="G8" s="345">
        <v>2</v>
      </c>
      <c r="H8" s="345">
        <v>110</v>
      </c>
      <c r="I8" s="345">
        <v>370</v>
      </c>
      <c r="J8" s="345">
        <v>122</v>
      </c>
      <c r="K8" s="345">
        <v>0</v>
      </c>
      <c r="L8" s="345">
        <v>81</v>
      </c>
      <c r="M8" s="345">
        <v>19</v>
      </c>
      <c r="N8" s="345">
        <v>11</v>
      </c>
      <c r="O8" s="345">
        <v>0</v>
      </c>
      <c r="P8" s="345">
        <v>0</v>
      </c>
      <c r="Q8" s="345">
        <v>186.30600000000001</v>
      </c>
      <c r="R8" s="365">
        <v>20</v>
      </c>
      <c r="S8" s="365">
        <v>5.3168800000000003</v>
      </c>
      <c r="T8" s="365">
        <v>30</v>
      </c>
      <c r="U8" s="365">
        <v>330</v>
      </c>
      <c r="V8" s="365">
        <v>9</v>
      </c>
    </row>
    <row r="9" spans="1:22" s="342" customFormat="1" ht="15.9">
      <c r="A9" s="361"/>
      <c r="B9" s="364" t="s">
        <v>653</v>
      </c>
      <c r="C9" s="345">
        <v>880</v>
      </c>
      <c r="D9" s="345">
        <v>370</v>
      </c>
      <c r="E9" s="345">
        <v>41</v>
      </c>
      <c r="F9" s="345">
        <v>19</v>
      </c>
      <c r="G9" s="345">
        <v>2</v>
      </c>
      <c r="H9" s="345">
        <v>120</v>
      </c>
      <c r="I9" s="345">
        <v>390</v>
      </c>
      <c r="J9" s="345">
        <v>122</v>
      </c>
      <c r="K9" s="345">
        <v>0</v>
      </c>
      <c r="L9" s="345">
        <v>80</v>
      </c>
      <c r="M9" s="345">
        <v>18</v>
      </c>
      <c r="N9" s="345">
        <v>11</v>
      </c>
      <c r="O9" s="345">
        <v>0</v>
      </c>
      <c r="P9" s="345">
        <v>0</v>
      </c>
      <c r="Q9" s="345">
        <v>192.685</v>
      </c>
      <c r="R9" s="365">
        <v>20</v>
      </c>
      <c r="S9" s="365">
        <v>4.6279899999999996</v>
      </c>
      <c r="T9" s="365">
        <v>25</v>
      </c>
      <c r="U9" s="365">
        <v>290</v>
      </c>
      <c r="V9" s="365">
        <v>8</v>
      </c>
    </row>
    <row r="10" spans="1:22" s="342" customFormat="1" ht="15.9">
      <c r="A10" s="361"/>
      <c r="B10" s="364" t="s">
        <v>654</v>
      </c>
      <c r="C10" s="345">
        <v>870</v>
      </c>
      <c r="D10" s="345">
        <v>390</v>
      </c>
      <c r="E10" s="345">
        <v>43</v>
      </c>
      <c r="F10" s="345">
        <v>19</v>
      </c>
      <c r="G10" s="345">
        <v>2</v>
      </c>
      <c r="H10" s="345">
        <v>130</v>
      </c>
      <c r="I10" s="345">
        <v>400</v>
      </c>
      <c r="J10" s="345">
        <v>119</v>
      </c>
      <c r="K10" s="345">
        <v>0</v>
      </c>
      <c r="L10" s="345">
        <v>81</v>
      </c>
      <c r="M10" s="345">
        <v>33</v>
      </c>
      <c r="N10" s="345">
        <v>12</v>
      </c>
      <c r="O10" s="345">
        <v>0</v>
      </c>
      <c r="P10" s="345">
        <v>0</v>
      </c>
      <c r="Q10" s="345">
        <v>209.298</v>
      </c>
      <c r="R10" s="365">
        <v>20</v>
      </c>
      <c r="S10" s="365">
        <v>6.3601400000000003</v>
      </c>
      <c r="T10" s="365">
        <v>35</v>
      </c>
      <c r="U10" s="365">
        <v>370</v>
      </c>
      <c r="V10" s="365">
        <v>11</v>
      </c>
    </row>
    <row r="11" spans="1:22" s="342" customFormat="1" ht="15.9">
      <c r="A11" s="361"/>
      <c r="B11" s="364" t="s">
        <v>655</v>
      </c>
      <c r="C11" s="345">
        <v>860</v>
      </c>
      <c r="D11" s="345">
        <v>380</v>
      </c>
      <c r="E11" s="345">
        <v>42</v>
      </c>
      <c r="F11" s="345">
        <v>18</v>
      </c>
      <c r="G11" s="345">
        <v>2</v>
      </c>
      <c r="H11" s="345">
        <v>110</v>
      </c>
      <c r="I11" s="345">
        <v>370</v>
      </c>
      <c r="J11" s="345">
        <v>119</v>
      </c>
      <c r="K11" s="345">
        <v>0</v>
      </c>
      <c r="L11" s="345">
        <v>83</v>
      </c>
      <c r="M11" s="345">
        <v>35</v>
      </c>
      <c r="N11" s="345">
        <v>12</v>
      </c>
      <c r="O11" s="345">
        <v>0</v>
      </c>
      <c r="P11" s="345">
        <v>0</v>
      </c>
      <c r="Q11" s="345">
        <v>196.54</v>
      </c>
      <c r="R11" s="365">
        <v>20</v>
      </c>
      <c r="S11" s="365">
        <v>7.7379300000000004</v>
      </c>
      <c r="T11" s="365">
        <v>45</v>
      </c>
      <c r="U11" s="365">
        <v>460</v>
      </c>
      <c r="V11" s="365">
        <v>13</v>
      </c>
    </row>
    <row r="12" spans="1:22" s="342" customFormat="1" ht="15.9">
      <c r="A12" s="361"/>
      <c r="B12" s="367" t="s">
        <v>656</v>
      </c>
      <c r="C12" s="368">
        <v>870</v>
      </c>
      <c r="D12" s="368">
        <v>380</v>
      </c>
      <c r="E12" s="368">
        <v>43</v>
      </c>
      <c r="F12" s="368">
        <v>19</v>
      </c>
      <c r="G12" s="368">
        <v>2</v>
      </c>
      <c r="H12" s="368">
        <v>120</v>
      </c>
      <c r="I12" s="368">
        <v>390</v>
      </c>
      <c r="J12" s="368">
        <v>119</v>
      </c>
      <c r="K12" s="368">
        <v>0</v>
      </c>
      <c r="L12" s="368">
        <v>82</v>
      </c>
      <c r="M12" s="368">
        <v>34</v>
      </c>
      <c r="N12" s="368">
        <v>12</v>
      </c>
      <c r="O12" s="368">
        <v>0</v>
      </c>
      <c r="P12" s="368">
        <v>0</v>
      </c>
      <c r="Q12" s="368">
        <v>202.91900000000001</v>
      </c>
      <c r="R12" s="369">
        <v>20</v>
      </c>
      <c r="S12" s="369">
        <v>7.0490300000000001</v>
      </c>
      <c r="T12" s="369">
        <v>40</v>
      </c>
      <c r="U12" s="369">
        <v>410</v>
      </c>
      <c r="V12" s="369">
        <v>12</v>
      </c>
    </row>
    <row r="14" spans="1:22" s="342" customFormat="1" ht="15" customHeight="1">
      <c r="B14" s="1372" t="s">
        <v>168</v>
      </c>
      <c r="C14" s="1372"/>
      <c r="D14" s="1372"/>
      <c r="E14" s="1372"/>
      <c r="F14" s="1372"/>
      <c r="G14" s="1372"/>
      <c r="H14" s="1372"/>
      <c r="I14" s="1372"/>
      <c r="J14" s="1372"/>
      <c r="K14" s="1372"/>
      <c r="L14" s="1372"/>
      <c r="M14" s="1372"/>
      <c r="N14" s="1372"/>
      <c r="O14" s="1372"/>
      <c r="P14" s="1372"/>
      <c r="Q14" s="1372"/>
      <c r="R14" s="1372"/>
      <c r="S14" s="1372"/>
      <c r="T14" s="1372"/>
      <c r="U14" s="1372"/>
      <c r="V14" s="1372"/>
    </row>
    <row r="15" spans="1:22" s="342" customFormat="1" ht="15.9">
      <c r="B15" s="1372"/>
      <c r="C15" s="1372"/>
      <c r="D15" s="1372"/>
      <c r="E15" s="1372"/>
      <c r="F15" s="1372"/>
      <c r="G15" s="1372"/>
      <c r="H15" s="1372"/>
      <c r="I15" s="1372"/>
      <c r="J15" s="1372"/>
      <c r="K15" s="1372"/>
      <c r="L15" s="1372"/>
      <c r="M15" s="1372"/>
      <c r="N15" s="1372"/>
      <c r="O15" s="1372"/>
      <c r="P15" s="1372"/>
      <c r="Q15" s="1372"/>
      <c r="R15" s="1372"/>
      <c r="S15" s="1372"/>
      <c r="T15" s="1372"/>
      <c r="U15" s="1372"/>
      <c r="V15" s="1372"/>
    </row>
    <row r="16" spans="1:22" s="342" customFormat="1" ht="15.9">
      <c r="B16" s="1372"/>
      <c r="C16" s="1372"/>
      <c r="D16" s="1372"/>
      <c r="E16" s="1372"/>
      <c r="F16" s="1372"/>
      <c r="G16" s="1372"/>
      <c r="H16" s="1372"/>
      <c r="I16" s="1372"/>
      <c r="J16" s="1372"/>
      <c r="K16" s="1372"/>
      <c r="L16" s="1372"/>
      <c r="M16" s="1372"/>
      <c r="N16" s="1372"/>
      <c r="O16" s="1372"/>
      <c r="P16" s="1372"/>
      <c r="Q16" s="1372"/>
      <c r="R16" s="1372"/>
      <c r="S16" s="1372"/>
      <c r="T16" s="1372"/>
      <c r="U16" s="1372"/>
      <c r="V16" s="1372"/>
    </row>
    <row r="17" spans="2:22" s="342" customFormat="1" ht="15.9" hidden="1">
      <c r="B17" s="346"/>
      <c r="C17" s="346"/>
      <c r="D17" s="346"/>
      <c r="E17" s="346"/>
      <c r="F17" s="346"/>
      <c r="G17" s="346"/>
      <c r="H17" s="346"/>
      <c r="I17" s="346"/>
      <c r="J17" s="346"/>
      <c r="K17" s="346"/>
      <c r="L17" s="346"/>
      <c r="M17" s="346"/>
      <c r="N17" s="346"/>
      <c r="O17" s="346"/>
      <c r="P17" s="346"/>
      <c r="Q17" s="346"/>
      <c r="R17" s="346"/>
      <c r="S17" s="346"/>
      <c r="T17" s="346"/>
      <c r="U17" s="346"/>
      <c r="V17" s="346"/>
    </row>
    <row r="18" spans="2:22" s="342" customFormat="1" ht="14.25" hidden="1" customHeight="1">
      <c r="B18"/>
      <c r="C18" s="348">
        <f t="shared" ref="C18:V18" si="0">AVERAGE(C4:C12)</f>
        <v>826.66666666666663</v>
      </c>
      <c r="D18" s="348">
        <f t="shared" si="0"/>
        <v>355.55555555555554</v>
      </c>
      <c r="E18" s="348">
        <f t="shared" si="0"/>
        <v>39.555555555555557</v>
      </c>
      <c r="F18" s="348">
        <f t="shared" si="0"/>
        <v>17.222222222222221</v>
      </c>
      <c r="G18" s="348">
        <f t="shared" si="0"/>
        <v>2</v>
      </c>
      <c r="H18" s="348">
        <f t="shared" si="0"/>
        <v>120</v>
      </c>
      <c r="I18" s="348">
        <f t="shared" si="0"/>
        <v>387.77777777777777</v>
      </c>
      <c r="J18" s="348">
        <f t="shared" si="0"/>
        <v>113.66666666666667</v>
      </c>
      <c r="K18" s="348">
        <f t="shared" si="0"/>
        <v>0</v>
      </c>
      <c r="L18" s="348">
        <f t="shared" si="0"/>
        <v>76.333333333333329</v>
      </c>
      <c r="M18" s="348">
        <f t="shared" si="0"/>
        <v>23.555555555555557</v>
      </c>
      <c r="N18" s="348">
        <f t="shared" si="0"/>
        <v>11.333333333333334</v>
      </c>
      <c r="O18" s="348">
        <f t="shared" si="0"/>
        <v>0</v>
      </c>
      <c r="P18" s="348">
        <f t="shared" si="0"/>
        <v>0</v>
      </c>
      <c r="Q18" s="348">
        <f t="shared" si="0"/>
        <v>195.90711111111113</v>
      </c>
      <c r="R18" s="348">
        <f t="shared" si="0"/>
        <v>20</v>
      </c>
      <c r="S18" s="348">
        <f t="shared" si="0"/>
        <v>5.4350022222222227</v>
      </c>
      <c r="T18" s="348">
        <f t="shared" si="0"/>
        <v>30</v>
      </c>
      <c r="U18" s="348">
        <f t="shared" si="0"/>
        <v>328.88888888888891</v>
      </c>
      <c r="V18" s="348">
        <f t="shared" si="0"/>
        <v>9.3333333333333339</v>
      </c>
    </row>
    <row r="19" spans="2:22" s="342" customFormat="1" ht="27" hidden="1" customHeight="1">
      <c r="B19" s="348" t="s">
        <v>657</v>
      </c>
      <c r="C19" s="348" t="str">
        <f t="shared" ref="C19:V19" si="1">ROUND(MIN(C4:C12),0)&amp;" - "&amp;ROUND(MAX(C4:C12),0)</f>
        <v>730 - 880</v>
      </c>
      <c r="D19" s="348" t="str">
        <f t="shared" si="1"/>
        <v>310 - 390</v>
      </c>
      <c r="E19" s="348" t="str">
        <f t="shared" si="1"/>
        <v>35 - 43</v>
      </c>
      <c r="F19" s="348" t="str">
        <f t="shared" si="1"/>
        <v>14 - 19</v>
      </c>
      <c r="G19" s="348" t="str">
        <f t="shared" si="1"/>
        <v>2 - 2</v>
      </c>
      <c r="H19" s="348" t="str">
        <f t="shared" si="1"/>
        <v>110 - 130</v>
      </c>
      <c r="I19" s="348" t="str">
        <f t="shared" si="1"/>
        <v>370 - 410</v>
      </c>
      <c r="J19" s="348" t="str">
        <f t="shared" si="1"/>
        <v>100 - 122</v>
      </c>
      <c r="K19" s="348" t="str">
        <f t="shared" si="1"/>
        <v>0 - 0</v>
      </c>
      <c r="L19" s="348" t="str">
        <f t="shared" si="1"/>
        <v>66 - 83</v>
      </c>
      <c r="M19" s="348" t="str">
        <f t="shared" si="1"/>
        <v>18 - 35</v>
      </c>
      <c r="N19" s="348" t="str">
        <f t="shared" si="1"/>
        <v>11 - 12</v>
      </c>
      <c r="O19" s="348" t="str">
        <f t="shared" si="1"/>
        <v>0 - 0</v>
      </c>
      <c r="P19" s="348" t="str">
        <f t="shared" si="1"/>
        <v>0 - 0</v>
      </c>
      <c r="Q19" s="348" t="str">
        <f t="shared" si="1"/>
        <v>186 - 209</v>
      </c>
      <c r="R19" s="348" t="str">
        <f t="shared" si="1"/>
        <v>20 - 20</v>
      </c>
      <c r="S19" s="348" t="str">
        <f t="shared" si="1"/>
        <v>4 - 8</v>
      </c>
      <c r="T19" s="348" t="str">
        <f t="shared" si="1"/>
        <v>20 - 45</v>
      </c>
      <c r="U19" s="348" t="str">
        <f t="shared" si="1"/>
        <v>240 - 460</v>
      </c>
      <c r="V19" s="348" t="str">
        <f t="shared" si="1"/>
        <v>7 - 13</v>
      </c>
    </row>
    <row r="20" spans="2:22" ht="15.9">
      <c r="B20" s="342"/>
      <c r="C20" s="342"/>
      <c r="D20" s="342"/>
      <c r="E20" s="342"/>
      <c r="F20" s="342"/>
      <c r="G20" s="342"/>
      <c r="H20" s="342"/>
      <c r="I20" s="342"/>
      <c r="J20" s="342"/>
      <c r="K20" s="342"/>
      <c r="L20" s="342"/>
      <c r="M20" s="342"/>
      <c r="N20" s="342"/>
      <c r="O20" s="342"/>
      <c r="P20" s="342"/>
      <c r="Q20" s="342"/>
      <c r="R20" s="342"/>
      <c r="S20" s="342"/>
      <c r="T20" s="342"/>
      <c r="U20" s="342"/>
      <c r="V20" s="342"/>
    </row>
  </sheetData>
  <mergeCells count="3">
    <mergeCell ref="B1:V1"/>
    <mergeCell ref="B2:V2"/>
    <mergeCell ref="B14:V16"/>
  </mergeCells>
  <pageMargins left="0.7" right="0.7" top="0.75" bottom="0.75" header="0.3" footer="0.3"/>
  <pageSetup scale="43" fitToHeight="0" orientation="landscape" r:id="rId1"/>
  <headerFooter>
    <oddHeader xml:space="preserve">&amp;R&amp;14 2020 Nutrition Information </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A6970-A4D7-4B16-BF17-5191AB8AB079}">
  <sheetPr>
    <pageSetUpPr fitToPage="1"/>
  </sheetPr>
  <dimension ref="A1:AB174"/>
  <sheetViews>
    <sheetView view="pageLayout" topLeftCell="A114" zoomScale="70" zoomScaleNormal="70" zoomScalePageLayoutView="70" workbookViewId="0">
      <selection activeCell="B152" sqref="B152:V152"/>
    </sheetView>
    <sheetView workbookViewId="1">
      <selection sqref="A1:V1"/>
    </sheetView>
    <sheetView workbookViewId="2">
      <selection sqref="A1:V1"/>
    </sheetView>
  </sheetViews>
  <sheetFormatPr defaultColWidth="9.15234375" defaultRowHeight="12.45"/>
  <cols>
    <col min="1" max="1" width="9.15234375" style="394"/>
    <col min="2" max="2" width="44.3828125" style="394" customWidth="1"/>
    <col min="3" max="3" width="15.3828125" style="394" bestFit="1" customWidth="1"/>
    <col min="4" max="4" width="13.84375" style="394" bestFit="1" customWidth="1"/>
    <col min="5" max="5" width="12.15234375" style="394" bestFit="1" customWidth="1"/>
    <col min="6" max="6" width="14.84375" style="394" customWidth="1"/>
    <col min="7" max="7" width="13.3828125" style="394" customWidth="1"/>
    <col min="8" max="8" width="18.84375" style="394" bestFit="1" customWidth="1"/>
    <col min="9" max="16" width="13.3828125" style="394" customWidth="1"/>
    <col min="17" max="17" width="15.15234375" style="394" customWidth="1"/>
    <col min="18" max="20" width="9.3828125" style="394" bestFit="1" customWidth="1"/>
    <col min="21" max="22" width="11" style="394" bestFit="1" customWidth="1"/>
    <col min="23" max="16384" width="9.15234375" style="394"/>
  </cols>
  <sheetData>
    <row r="1" spans="1:22" s="395" customFormat="1" ht="33.75" customHeight="1">
      <c r="A1" s="1374" t="s">
        <v>658</v>
      </c>
      <c r="B1" s="1374"/>
      <c r="C1" s="1374"/>
      <c r="D1" s="1374"/>
      <c r="E1" s="1374"/>
      <c r="F1" s="1374"/>
      <c r="G1" s="1374"/>
      <c r="H1" s="1374"/>
      <c r="I1" s="1374"/>
      <c r="J1" s="1374"/>
      <c r="K1" s="1374"/>
      <c r="L1" s="1374"/>
      <c r="M1" s="1374"/>
      <c r="N1" s="1374"/>
      <c r="O1" s="1374"/>
      <c r="P1" s="1374"/>
      <c r="Q1" s="1374"/>
      <c r="R1" s="1374"/>
      <c r="S1" s="1374"/>
      <c r="T1" s="1374"/>
      <c r="U1" s="1374"/>
      <c r="V1" s="1374"/>
    </row>
    <row r="2" spans="1:22" s="395" customFormat="1" ht="31.5" customHeight="1" thickBot="1">
      <c r="A2" s="1375" t="s">
        <v>659</v>
      </c>
      <c r="B2" s="1375"/>
      <c r="C2" s="1375"/>
      <c r="D2" s="1375"/>
      <c r="E2" s="1375"/>
      <c r="F2" s="1375"/>
      <c r="G2" s="1375"/>
      <c r="H2" s="1375"/>
      <c r="I2" s="1375"/>
      <c r="J2" s="1375"/>
      <c r="K2" s="1375"/>
      <c r="L2" s="1375"/>
      <c r="M2" s="1375"/>
      <c r="N2" s="1375"/>
      <c r="O2" s="1375"/>
      <c r="P2" s="1375"/>
      <c r="Q2" s="1375"/>
      <c r="R2" s="1375"/>
      <c r="S2" s="1375"/>
      <c r="T2" s="1375"/>
      <c r="U2" s="1375"/>
      <c r="V2" s="1375"/>
    </row>
    <row r="3" spans="1:22" s="395" customFormat="1" ht="53.15" thickBot="1">
      <c r="A3" s="431"/>
      <c r="B3" s="430" t="s">
        <v>3</v>
      </c>
      <c r="C3" s="429" t="s">
        <v>4</v>
      </c>
      <c r="D3" s="429" t="s">
        <v>5</v>
      </c>
      <c r="E3" s="429" t="s">
        <v>6</v>
      </c>
      <c r="F3" s="429" t="s">
        <v>7</v>
      </c>
      <c r="G3" s="429" t="s">
        <v>8</v>
      </c>
      <c r="H3" s="429" t="s">
        <v>9</v>
      </c>
      <c r="I3" s="429" t="s">
        <v>10</v>
      </c>
      <c r="J3" s="429" t="s">
        <v>11</v>
      </c>
      <c r="K3" s="429" t="s">
        <v>12</v>
      </c>
      <c r="L3" s="429" t="s">
        <v>502</v>
      </c>
      <c r="M3" s="429" t="s">
        <v>14</v>
      </c>
      <c r="N3" s="429" t="s">
        <v>15</v>
      </c>
      <c r="O3" s="426" t="s">
        <v>16</v>
      </c>
      <c r="P3" s="426" t="s">
        <v>17</v>
      </c>
      <c r="Q3" s="426" t="s">
        <v>18</v>
      </c>
      <c r="R3" s="426" t="s">
        <v>19</v>
      </c>
      <c r="S3" s="428" t="s">
        <v>20</v>
      </c>
      <c r="T3" s="427" t="s">
        <v>21</v>
      </c>
      <c r="U3" s="426" t="s">
        <v>22</v>
      </c>
      <c r="V3" s="426" t="s">
        <v>23</v>
      </c>
    </row>
    <row r="4" spans="1:22" s="395" customFormat="1" ht="17.600000000000001">
      <c r="A4" s="1376" t="s">
        <v>660</v>
      </c>
      <c r="B4" s="425" t="s">
        <v>661</v>
      </c>
      <c r="C4" s="420">
        <v>300</v>
      </c>
      <c r="D4" s="420">
        <v>130</v>
      </c>
      <c r="E4" s="420">
        <v>15</v>
      </c>
      <c r="F4" s="420">
        <v>10</v>
      </c>
      <c r="G4" s="420">
        <v>0</v>
      </c>
      <c r="H4" s="420">
        <v>95</v>
      </c>
      <c r="I4" s="420">
        <v>170</v>
      </c>
      <c r="J4" s="420">
        <v>36</v>
      </c>
      <c r="K4" s="420">
        <v>0</v>
      </c>
      <c r="L4" s="420">
        <v>29</v>
      </c>
      <c r="M4" s="420">
        <v>24</v>
      </c>
      <c r="N4" s="420">
        <v>5</v>
      </c>
      <c r="O4" s="420">
        <v>0</v>
      </c>
      <c r="P4" s="420">
        <v>0</v>
      </c>
      <c r="Q4" s="420">
        <v>176</v>
      </c>
      <c r="R4" s="420">
        <v>12</v>
      </c>
      <c r="S4" s="420">
        <v>0</v>
      </c>
      <c r="T4" s="420">
        <v>0</v>
      </c>
      <c r="U4" s="420">
        <v>251</v>
      </c>
      <c r="V4" s="420">
        <v>8</v>
      </c>
    </row>
    <row r="5" spans="1:22" s="395" customFormat="1" ht="17.600000000000001">
      <c r="A5" s="1377"/>
      <c r="B5" s="421" t="s">
        <v>662</v>
      </c>
      <c r="C5" s="420">
        <v>300</v>
      </c>
      <c r="D5" s="420">
        <v>140</v>
      </c>
      <c r="E5" s="420">
        <v>15</v>
      </c>
      <c r="F5" s="420">
        <v>10</v>
      </c>
      <c r="G5" s="420">
        <v>0</v>
      </c>
      <c r="H5" s="420">
        <v>100</v>
      </c>
      <c r="I5" s="420">
        <v>195</v>
      </c>
      <c r="J5" s="420">
        <v>39</v>
      </c>
      <c r="K5" s="420">
        <v>0</v>
      </c>
      <c r="L5" s="420">
        <v>31</v>
      </c>
      <c r="M5" s="420">
        <v>20</v>
      </c>
      <c r="N5" s="420">
        <v>5</v>
      </c>
      <c r="O5" s="420">
        <v>0</v>
      </c>
      <c r="P5" s="420">
        <v>0</v>
      </c>
      <c r="Q5" s="420">
        <v>179.8322</v>
      </c>
      <c r="R5" s="420">
        <v>18</v>
      </c>
      <c r="S5" s="420">
        <v>3.9761999999999999E-2</v>
      </c>
      <c r="T5" s="420">
        <v>0</v>
      </c>
      <c r="U5" s="420">
        <v>250</v>
      </c>
      <c r="V5" s="420">
        <v>6</v>
      </c>
    </row>
    <row r="6" spans="1:22" s="395" customFormat="1" ht="17.600000000000001">
      <c r="A6" s="1377"/>
      <c r="B6" s="422" t="s">
        <v>663</v>
      </c>
      <c r="C6" s="420">
        <v>290</v>
      </c>
      <c r="D6" s="420">
        <v>130</v>
      </c>
      <c r="E6" s="420">
        <v>15</v>
      </c>
      <c r="F6" s="420">
        <v>9</v>
      </c>
      <c r="G6" s="420">
        <v>0</v>
      </c>
      <c r="H6" s="420">
        <v>100</v>
      </c>
      <c r="I6" s="420">
        <v>170</v>
      </c>
      <c r="J6" s="420">
        <v>35</v>
      </c>
      <c r="K6" s="420">
        <v>0</v>
      </c>
      <c r="L6" s="420">
        <v>29</v>
      </c>
      <c r="M6" s="420">
        <v>20</v>
      </c>
      <c r="N6" s="420">
        <v>5</v>
      </c>
      <c r="O6" s="420">
        <v>0</v>
      </c>
      <c r="P6" s="420">
        <v>0</v>
      </c>
      <c r="Q6" s="420">
        <v>185.32499999999999</v>
      </c>
      <c r="R6" s="420">
        <v>14</v>
      </c>
      <c r="S6" s="420">
        <v>0.104361</v>
      </c>
      <c r="T6" s="420">
        <v>0</v>
      </c>
      <c r="U6" s="420">
        <v>248</v>
      </c>
      <c r="V6" s="420">
        <v>8</v>
      </c>
    </row>
    <row r="7" spans="1:22" s="395" customFormat="1" ht="17.600000000000001">
      <c r="A7" s="1377"/>
      <c r="B7" s="422" t="s">
        <v>664</v>
      </c>
      <c r="C7" s="420">
        <v>260</v>
      </c>
      <c r="D7" s="420">
        <v>120</v>
      </c>
      <c r="E7" s="420">
        <v>13</v>
      </c>
      <c r="F7" s="420">
        <v>7.5</v>
      </c>
      <c r="G7" s="420">
        <v>0</v>
      </c>
      <c r="H7" s="420">
        <v>75</v>
      </c>
      <c r="I7" s="420">
        <v>130</v>
      </c>
      <c r="J7" s="420">
        <v>34</v>
      </c>
      <c r="K7" s="420">
        <v>0</v>
      </c>
      <c r="L7" s="420">
        <v>29</v>
      </c>
      <c r="M7" s="420">
        <v>20</v>
      </c>
      <c r="N7" s="420">
        <v>5</v>
      </c>
      <c r="O7" s="420">
        <v>0</v>
      </c>
      <c r="P7" s="420">
        <v>0</v>
      </c>
      <c r="Q7" s="420">
        <v>176.46080000000001</v>
      </c>
      <c r="R7" s="420">
        <v>18</v>
      </c>
      <c r="S7" s="420">
        <v>1.6596760000000002</v>
      </c>
      <c r="T7" s="420">
        <v>10</v>
      </c>
      <c r="U7" s="420">
        <v>340</v>
      </c>
      <c r="V7" s="420">
        <v>10</v>
      </c>
    </row>
    <row r="8" spans="1:22" s="395" customFormat="1" ht="17.600000000000001">
      <c r="A8" s="1377"/>
      <c r="B8" s="422" t="s">
        <v>356</v>
      </c>
      <c r="C8" s="420">
        <v>290</v>
      </c>
      <c r="D8" s="420">
        <v>130</v>
      </c>
      <c r="E8" s="420">
        <v>15</v>
      </c>
      <c r="F8" s="420">
        <v>10</v>
      </c>
      <c r="G8" s="420">
        <v>0</v>
      </c>
      <c r="H8" s="420">
        <v>100</v>
      </c>
      <c r="I8" s="420">
        <v>175</v>
      </c>
      <c r="J8" s="420">
        <v>31</v>
      </c>
      <c r="K8" s="420">
        <v>0</v>
      </c>
      <c r="L8" s="420">
        <v>26</v>
      </c>
      <c r="M8" s="420">
        <v>20</v>
      </c>
      <c r="N8" s="420">
        <v>5</v>
      </c>
      <c r="O8" s="420">
        <v>0</v>
      </c>
      <c r="P8" s="420">
        <v>0</v>
      </c>
      <c r="Q8" s="420">
        <v>194.73820000000001</v>
      </c>
      <c r="R8" s="420">
        <v>18</v>
      </c>
      <c r="S8" s="420">
        <v>1.1440000000000001E-3</v>
      </c>
      <c r="T8" s="420">
        <v>0</v>
      </c>
      <c r="U8" s="420">
        <v>270</v>
      </c>
      <c r="V8" s="420">
        <v>9</v>
      </c>
    </row>
    <row r="9" spans="1:22" s="395" customFormat="1" ht="17.600000000000001">
      <c r="A9" s="1377"/>
      <c r="B9" s="422" t="s">
        <v>665</v>
      </c>
      <c r="C9" s="420">
        <v>300</v>
      </c>
      <c r="D9" s="420">
        <v>150</v>
      </c>
      <c r="E9" s="420">
        <v>17</v>
      </c>
      <c r="F9" s="420">
        <v>12</v>
      </c>
      <c r="G9" s="420">
        <v>0</v>
      </c>
      <c r="H9" s="420">
        <v>100</v>
      </c>
      <c r="I9" s="420">
        <v>170</v>
      </c>
      <c r="J9" s="420">
        <v>35</v>
      </c>
      <c r="K9" s="420">
        <v>0</v>
      </c>
      <c r="L9" s="420">
        <v>30</v>
      </c>
      <c r="M9" s="420">
        <v>19</v>
      </c>
      <c r="N9" s="420">
        <v>6</v>
      </c>
      <c r="O9" s="420">
        <v>0</v>
      </c>
      <c r="P9" s="420">
        <v>0</v>
      </c>
      <c r="Q9" s="420">
        <v>194.94299999999998</v>
      </c>
      <c r="R9" s="420">
        <v>18</v>
      </c>
      <c r="S9" s="420">
        <v>1.072E-3</v>
      </c>
      <c r="T9" s="420">
        <v>0</v>
      </c>
      <c r="U9" s="420">
        <v>250</v>
      </c>
      <c r="V9" s="420">
        <v>6</v>
      </c>
    </row>
    <row r="10" spans="1:22" s="395" customFormat="1" ht="17.600000000000001">
      <c r="A10" s="1377"/>
      <c r="B10" s="424" t="s">
        <v>182</v>
      </c>
      <c r="C10" s="420">
        <v>310</v>
      </c>
      <c r="D10" s="420">
        <v>150</v>
      </c>
      <c r="E10" s="420">
        <v>16</v>
      </c>
      <c r="F10" s="420">
        <v>10</v>
      </c>
      <c r="G10" s="420">
        <v>0</v>
      </c>
      <c r="H10" s="420">
        <v>95</v>
      </c>
      <c r="I10" s="420">
        <v>200</v>
      </c>
      <c r="J10" s="420">
        <v>41</v>
      </c>
      <c r="K10" s="420">
        <v>0</v>
      </c>
      <c r="L10" s="420">
        <v>31</v>
      </c>
      <c r="M10" s="420">
        <v>21</v>
      </c>
      <c r="N10" s="420">
        <v>5</v>
      </c>
      <c r="O10" s="420">
        <v>0</v>
      </c>
      <c r="P10" s="420">
        <v>0</v>
      </c>
      <c r="Q10" s="420">
        <v>175</v>
      </c>
      <c r="R10" s="420">
        <v>12</v>
      </c>
      <c r="S10" s="420">
        <v>0</v>
      </c>
      <c r="T10" s="420">
        <v>0</v>
      </c>
      <c r="U10" s="420">
        <v>254</v>
      </c>
      <c r="V10" s="420">
        <v>8</v>
      </c>
    </row>
    <row r="11" spans="1:22" s="395" customFormat="1" ht="17.600000000000001">
      <c r="A11" s="1377"/>
      <c r="B11" s="424" t="s">
        <v>666</v>
      </c>
      <c r="C11" s="420">
        <v>290</v>
      </c>
      <c r="D11" s="420">
        <v>130</v>
      </c>
      <c r="E11" s="420">
        <v>15</v>
      </c>
      <c r="F11" s="420">
        <v>10</v>
      </c>
      <c r="G11" s="420">
        <v>0</v>
      </c>
      <c r="H11" s="420">
        <v>100</v>
      </c>
      <c r="I11" s="420">
        <v>175</v>
      </c>
      <c r="J11" s="420">
        <v>34</v>
      </c>
      <c r="K11" s="420">
        <v>0</v>
      </c>
      <c r="L11" s="420">
        <v>29</v>
      </c>
      <c r="M11" s="420">
        <v>21</v>
      </c>
      <c r="N11" s="420">
        <v>5</v>
      </c>
      <c r="O11" s="420">
        <v>0</v>
      </c>
      <c r="P11" s="420">
        <v>0</v>
      </c>
      <c r="Q11" s="420">
        <v>191</v>
      </c>
      <c r="R11" s="420">
        <v>12</v>
      </c>
      <c r="S11" s="420">
        <v>0</v>
      </c>
      <c r="T11" s="420">
        <v>0</v>
      </c>
      <c r="U11" s="420">
        <v>264</v>
      </c>
      <c r="V11" s="420">
        <v>8</v>
      </c>
    </row>
    <row r="12" spans="1:22" s="395" customFormat="1" ht="17.600000000000001">
      <c r="A12" s="1377"/>
      <c r="B12" s="421" t="s">
        <v>34</v>
      </c>
      <c r="C12" s="420">
        <v>260</v>
      </c>
      <c r="D12" s="420">
        <v>130</v>
      </c>
      <c r="E12" s="420">
        <v>15</v>
      </c>
      <c r="F12" s="420">
        <v>8</v>
      </c>
      <c r="G12" s="420">
        <v>0</v>
      </c>
      <c r="H12" s="420">
        <v>80</v>
      </c>
      <c r="I12" s="420">
        <v>145</v>
      </c>
      <c r="J12" s="420">
        <v>31</v>
      </c>
      <c r="K12" s="420">
        <v>0</v>
      </c>
      <c r="L12" s="420">
        <v>29</v>
      </c>
      <c r="M12" s="420">
        <v>21</v>
      </c>
      <c r="N12" s="420">
        <v>5</v>
      </c>
      <c r="O12" s="420">
        <v>0</v>
      </c>
      <c r="P12" s="420">
        <v>0</v>
      </c>
      <c r="Q12" s="420">
        <v>184.7088</v>
      </c>
      <c r="R12" s="420">
        <v>18</v>
      </c>
      <c r="S12" s="420">
        <v>1.6123499999999999</v>
      </c>
      <c r="T12" s="420">
        <v>10</v>
      </c>
      <c r="U12" s="420">
        <v>370</v>
      </c>
      <c r="V12" s="420">
        <v>10</v>
      </c>
    </row>
    <row r="13" spans="1:22" s="395" customFormat="1" ht="17.600000000000001">
      <c r="A13" s="1377"/>
      <c r="B13" s="421" t="s">
        <v>667</v>
      </c>
      <c r="C13" s="420">
        <v>300</v>
      </c>
      <c r="D13" s="420">
        <v>140</v>
      </c>
      <c r="E13" s="420">
        <v>15</v>
      </c>
      <c r="F13" s="420">
        <v>8</v>
      </c>
      <c r="G13" s="420">
        <v>0</v>
      </c>
      <c r="H13" s="420">
        <v>75</v>
      </c>
      <c r="I13" s="420">
        <v>155</v>
      </c>
      <c r="J13" s="420">
        <v>36</v>
      </c>
      <c r="K13" s="420">
        <v>0</v>
      </c>
      <c r="L13" s="420">
        <v>31</v>
      </c>
      <c r="M13" s="420">
        <v>24</v>
      </c>
      <c r="N13" s="420">
        <v>6</v>
      </c>
      <c r="O13" s="420">
        <v>0</v>
      </c>
      <c r="P13" s="420">
        <v>0</v>
      </c>
      <c r="Q13" s="420">
        <v>171</v>
      </c>
      <c r="R13" s="420">
        <v>12</v>
      </c>
      <c r="S13" s="420">
        <v>1</v>
      </c>
      <c r="T13" s="420">
        <v>6</v>
      </c>
      <c r="U13" s="420">
        <v>330</v>
      </c>
      <c r="V13" s="420">
        <v>8</v>
      </c>
    </row>
    <row r="14" spans="1:22" s="395" customFormat="1" ht="17.600000000000001">
      <c r="A14" s="1377"/>
      <c r="B14" s="421" t="s">
        <v>99</v>
      </c>
      <c r="C14" s="420">
        <v>300</v>
      </c>
      <c r="D14" s="420">
        <v>150</v>
      </c>
      <c r="E14" s="420">
        <v>17</v>
      </c>
      <c r="F14" s="420">
        <v>10</v>
      </c>
      <c r="G14" s="420">
        <v>0</v>
      </c>
      <c r="H14" s="420">
        <v>100</v>
      </c>
      <c r="I14" s="420">
        <v>170</v>
      </c>
      <c r="J14" s="420">
        <v>35</v>
      </c>
      <c r="K14" s="420">
        <v>0</v>
      </c>
      <c r="L14" s="420">
        <v>30</v>
      </c>
      <c r="M14" s="420">
        <v>24</v>
      </c>
      <c r="N14" s="420">
        <v>5</v>
      </c>
      <c r="O14" s="420">
        <v>0</v>
      </c>
      <c r="P14" s="420">
        <v>0</v>
      </c>
      <c r="Q14" s="420">
        <v>190.1534</v>
      </c>
      <c r="R14" s="420">
        <v>18</v>
      </c>
      <c r="S14" s="420">
        <v>0.27030799999999999</v>
      </c>
      <c r="T14" s="420">
        <v>2</v>
      </c>
      <c r="U14" s="420">
        <v>290</v>
      </c>
      <c r="V14" s="420">
        <v>9</v>
      </c>
    </row>
    <row r="15" spans="1:22" s="395" customFormat="1" ht="17.600000000000001">
      <c r="A15" s="1377"/>
      <c r="B15" s="421" t="s">
        <v>35</v>
      </c>
      <c r="C15" s="420">
        <v>300</v>
      </c>
      <c r="D15" s="420">
        <v>150</v>
      </c>
      <c r="E15" s="420">
        <v>16</v>
      </c>
      <c r="F15" s="420">
        <v>10</v>
      </c>
      <c r="G15" s="420">
        <v>0</v>
      </c>
      <c r="H15" s="420">
        <v>100</v>
      </c>
      <c r="I15" s="420">
        <v>170</v>
      </c>
      <c r="J15" s="420">
        <v>36</v>
      </c>
      <c r="K15" s="420">
        <v>0</v>
      </c>
      <c r="L15" s="420">
        <v>31</v>
      </c>
      <c r="M15" s="420">
        <v>25</v>
      </c>
      <c r="N15" s="420">
        <v>5</v>
      </c>
      <c r="O15" s="420">
        <v>0</v>
      </c>
      <c r="P15" s="420">
        <v>0</v>
      </c>
      <c r="Q15" s="420">
        <v>185</v>
      </c>
      <c r="R15" s="420">
        <v>14</v>
      </c>
      <c r="S15" s="420">
        <v>0</v>
      </c>
      <c r="T15" s="420">
        <v>2</v>
      </c>
      <c r="U15" s="420">
        <v>282</v>
      </c>
      <c r="V15" s="420">
        <v>9</v>
      </c>
    </row>
    <row r="16" spans="1:22" s="395" customFormat="1" ht="17.600000000000001">
      <c r="A16" s="1377"/>
      <c r="B16" s="421" t="s">
        <v>100</v>
      </c>
      <c r="C16" s="420">
        <v>290</v>
      </c>
      <c r="D16" s="420">
        <v>140</v>
      </c>
      <c r="E16" s="420">
        <v>15</v>
      </c>
      <c r="F16" s="420">
        <v>10</v>
      </c>
      <c r="G16" s="420">
        <v>0</v>
      </c>
      <c r="H16" s="420">
        <v>80</v>
      </c>
      <c r="I16" s="420">
        <v>130</v>
      </c>
      <c r="J16" s="420">
        <v>35</v>
      </c>
      <c r="K16" s="420">
        <v>0</v>
      </c>
      <c r="L16" s="420">
        <v>31</v>
      </c>
      <c r="M16" s="420">
        <v>25</v>
      </c>
      <c r="N16" s="420">
        <v>5</v>
      </c>
      <c r="O16" s="420">
        <v>0</v>
      </c>
      <c r="P16" s="420">
        <v>0</v>
      </c>
      <c r="Q16" s="420">
        <v>176.8228</v>
      </c>
      <c r="R16" s="420">
        <v>18</v>
      </c>
      <c r="S16" s="420">
        <v>1.846622</v>
      </c>
      <c r="T16" s="420">
        <v>12</v>
      </c>
      <c r="U16" s="420">
        <v>380</v>
      </c>
      <c r="V16" s="420">
        <v>11</v>
      </c>
    </row>
    <row r="17" spans="1:22" s="395" customFormat="1" ht="17.600000000000001">
      <c r="A17" s="1377"/>
      <c r="B17" s="421" t="s">
        <v>668</v>
      </c>
      <c r="C17" s="420">
        <v>300</v>
      </c>
      <c r="D17" s="420">
        <v>130</v>
      </c>
      <c r="E17" s="420">
        <v>15</v>
      </c>
      <c r="F17" s="420">
        <v>8</v>
      </c>
      <c r="G17" s="420">
        <v>0</v>
      </c>
      <c r="H17" s="420">
        <v>75</v>
      </c>
      <c r="I17" s="420">
        <v>195</v>
      </c>
      <c r="J17" s="420">
        <v>36</v>
      </c>
      <c r="K17" s="420">
        <v>0</v>
      </c>
      <c r="L17" s="420">
        <v>31</v>
      </c>
      <c r="M17" s="420">
        <v>20</v>
      </c>
      <c r="N17" s="420">
        <v>5</v>
      </c>
      <c r="O17" s="420">
        <v>0</v>
      </c>
      <c r="P17" s="420">
        <v>0</v>
      </c>
      <c r="Q17" s="420">
        <v>170</v>
      </c>
      <c r="R17" s="420">
        <v>12</v>
      </c>
      <c r="S17" s="420">
        <v>1</v>
      </c>
      <c r="T17" s="420">
        <v>6</v>
      </c>
      <c r="U17" s="420">
        <v>335</v>
      </c>
      <c r="V17" s="420">
        <v>8</v>
      </c>
    </row>
    <row r="18" spans="1:22" s="395" customFormat="1" ht="17.600000000000001">
      <c r="A18" s="1377"/>
      <c r="B18" s="421" t="s">
        <v>101</v>
      </c>
      <c r="C18" s="420">
        <v>300</v>
      </c>
      <c r="D18" s="420">
        <v>150</v>
      </c>
      <c r="E18" s="420">
        <v>15</v>
      </c>
      <c r="F18" s="420">
        <v>10</v>
      </c>
      <c r="G18" s="420">
        <v>0</v>
      </c>
      <c r="H18" s="420">
        <v>95</v>
      </c>
      <c r="I18" s="420">
        <v>180</v>
      </c>
      <c r="J18" s="420">
        <v>36</v>
      </c>
      <c r="K18" s="420">
        <v>0</v>
      </c>
      <c r="L18" s="420">
        <v>31</v>
      </c>
      <c r="M18" s="420">
        <v>26</v>
      </c>
      <c r="N18" s="420">
        <v>5</v>
      </c>
      <c r="O18" s="420">
        <v>0</v>
      </c>
      <c r="P18" s="420">
        <v>0</v>
      </c>
      <c r="Q18" s="420">
        <v>181.35160000000002</v>
      </c>
      <c r="R18" s="420">
        <v>18</v>
      </c>
      <c r="S18" s="420">
        <v>0.24952199999999999</v>
      </c>
      <c r="T18" s="420">
        <v>2</v>
      </c>
      <c r="U18" s="420">
        <v>280</v>
      </c>
      <c r="V18" s="420">
        <v>9</v>
      </c>
    </row>
    <row r="19" spans="1:22" s="395" customFormat="1" ht="17.600000000000001">
      <c r="A19" s="1377"/>
      <c r="B19" s="421" t="s">
        <v>669</v>
      </c>
      <c r="C19" s="420">
        <v>300</v>
      </c>
      <c r="D19" s="420">
        <v>130</v>
      </c>
      <c r="E19" s="420">
        <v>15</v>
      </c>
      <c r="F19" s="420">
        <v>10</v>
      </c>
      <c r="G19" s="420">
        <v>0</v>
      </c>
      <c r="H19" s="420">
        <v>95</v>
      </c>
      <c r="I19" s="420">
        <v>175</v>
      </c>
      <c r="J19" s="420">
        <v>39</v>
      </c>
      <c r="K19" s="420">
        <v>0</v>
      </c>
      <c r="L19" s="420">
        <v>34</v>
      </c>
      <c r="M19" s="420">
        <v>24</v>
      </c>
      <c r="N19" s="420">
        <v>5</v>
      </c>
      <c r="O19" s="420">
        <v>0</v>
      </c>
      <c r="P19" s="420">
        <v>0</v>
      </c>
      <c r="Q19" s="420">
        <v>173.3888</v>
      </c>
      <c r="R19" s="420">
        <v>18</v>
      </c>
      <c r="S19" s="420">
        <v>0.25139400000000001</v>
      </c>
      <c r="T19" s="420">
        <v>2</v>
      </c>
      <c r="U19" s="420">
        <v>280</v>
      </c>
      <c r="V19" s="420">
        <v>9</v>
      </c>
    </row>
    <row r="20" spans="1:22" s="395" customFormat="1" ht="17.600000000000001">
      <c r="A20" s="1377"/>
      <c r="B20" s="421" t="s">
        <v>670</v>
      </c>
      <c r="C20" s="420">
        <v>340</v>
      </c>
      <c r="D20" s="420">
        <v>170</v>
      </c>
      <c r="E20" s="420">
        <v>18</v>
      </c>
      <c r="F20" s="420">
        <v>10</v>
      </c>
      <c r="G20" s="420">
        <v>0</v>
      </c>
      <c r="H20" s="420">
        <v>100</v>
      </c>
      <c r="I20" s="420">
        <v>170</v>
      </c>
      <c r="J20" s="420">
        <v>36</v>
      </c>
      <c r="K20" s="420">
        <v>0</v>
      </c>
      <c r="L20" s="420">
        <v>31</v>
      </c>
      <c r="M20" s="420">
        <v>25</v>
      </c>
      <c r="N20" s="420">
        <v>6</v>
      </c>
      <c r="O20" s="420">
        <v>0</v>
      </c>
      <c r="P20" s="420">
        <v>0</v>
      </c>
      <c r="Q20" s="420">
        <v>196</v>
      </c>
      <c r="R20" s="420">
        <v>18</v>
      </c>
      <c r="S20" s="420">
        <v>0</v>
      </c>
      <c r="T20" s="420">
        <v>0</v>
      </c>
      <c r="U20" s="420">
        <v>304</v>
      </c>
      <c r="V20" s="420">
        <v>8</v>
      </c>
    </row>
    <row r="21" spans="1:22" s="395" customFormat="1" ht="17.600000000000001">
      <c r="A21" s="1377"/>
      <c r="B21" s="421" t="s">
        <v>357</v>
      </c>
      <c r="C21" s="420">
        <v>300</v>
      </c>
      <c r="D21" s="420">
        <v>140</v>
      </c>
      <c r="E21" s="420">
        <v>15</v>
      </c>
      <c r="F21" s="420">
        <v>10</v>
      </c>
      <c r="G21" s="420">
        <v>0</v>
      </c>
      <c r="H21" s="420">
        <v>75</v>
      </c>
      <c r="I21" s="420">
        <v>155</v>
      </c>
      <c r="J21" s="420">
        <v>39</v>
      </c>
      <c r="K21" s="420">
        <v>0</v>
      </c>
      <c r="L21" s="420">
        <v>34</v>
      </c>
      <c r="M21" s="420">
        <v>26</v>
      </c>
      <c r="N21" s="420">
        <v>5</v>
      </c>
      <c r="O21" s="420">
        <v>0</v>
      </c>
      <c r="P21" s="420">
        <v>0</v>
      </c>
      <c r="Q21" s="420">
        <v>169.73759999999999</v>
      </c>
      <c r="R21" s="420">
        <v>18</v>
      </c>
      <c r="S21" s="420">
        <v>1.895348</v>
      </c>
      <c r="T21" s="420">
        <v>12</v>
      </c>
      <c r="U21" s="420">
        <v>400</v>
      </c>
      <c r="V21" s="420">
        <v>11</v>
      </c>
    </row>
    <row r="22" spans="1:22" s="395" customFormat="1" ht="17.600000000000001">
      <c r="A22" s="1377"/>
      <c r="B22" s="421" t="s">
        <v>671</v>
      </c>
      <c r="C22" s="420">
        <v>300</v>
      </c>
      <c r="D22" s="420">
        <v>130</v>
      </c>
      <c r="E22" s="420">
        <v>15</v>
      </c>
      <c r="F22" s="420">
        <v>9</v>
      </c>
      <c r="G22" s="420">
        <v>0</v>
      </c>
      <c r="H22" s="420">
        <v>75</v>
      </c>
      <c r="I22" s="420">
        <v>175</v>
      </c>
      <c r="J22" s="420">
        <v>36</v>
      </c>
      <c r="K22" s="420">
        <v>0</v>
      </c>
      <c r="L22" s="420">
        <v>31</v>
      </c>
      <c r="M22" s="420">
        <v>24</v>
      </c>
      <c r="N22" s="420">
        <v>5</v>
      </c>
      <c r="O22" s="420">
        <v>0</v>
      </c>
      <c r="P22" s="420">
        <v>0</v>
      </c>
      <c r="Q22" s="420">
        <v>171.78360000000001</v>
      </c>
      <c r="R22" s="420">
        <v>18</v>
      </c>
      <c r="S22" s="420">
        <v>1.7453400000000001</v>
      </c>
      <c r="T22" s="420">
        <v>10</v>
      </c>
      <c r="U22" s="420">
        <v>370</v>
      </c>
      <c r="V22" s="420">
        <v>10</v>
      </c>
    </row>
    <row r="23" spans="1:22" s="395" customFormat="1" ht="17.600000000000001">
      <c r="A23" s="1377"/>
      <c r="B23" s="423" t="s">
        <v>672</v>
      </c>
      <c r="C23" s="420">
        <v>310</v>
      </c>
      <c r="D23" s="420">
        <v>170</v>
      </c>
      <c r="E23" s="420">
        <v>18</v>
      </c>
      <c r="F23" s="420">
        <v>9</v>
      </c>
      <c r="G23" s="420">
        <v>0</v>
      </c>
      <c r="H23" s="420">
        <v>75</v>
      </c>
      <c r="I23" s="420">
        <v>175</v>
      </c>
      <c r="J23" s="420">
        <v>34</v>
      </c>
      <c r="K23" s="420">
        <v>0</v>
      </c>
      <c r="L23" s="420">
        <v>30</v>
      </c>
      <c r="M23" s="420">
        <v>21</v>
      </c>
      <c r="N23" s="420">
        <v>6</v>
      </c>
      <c r="O23" s="420">
        <v>0</v>
      </c>
      <c r="P23" s="420">
        <v>0</v>
      </c>
      <c r="Q23" s="420">
        <v>179</v>
      </c>
      <c r="R23" s="420">
        <v>12</v>
      </c>
      <c r="S23" s="420">
        <v>1</v>
      </c>
      <c r="T23" s="420">
        <v>6</v>
      </c>
      <c r="U23" s="420">
        <v>390</v>
      </c>
      <c r="V23" s="420">
        <v>8</v>
      </c>
    </row>
    <row r="24" spans="1:22" s="395" customFormat="1" ht="17.600000000000001">
      <c r="A24" s="1377"/>
      <c r="B24" s="421" t="s">
        <v>104</v>
      </c>
      <c r="C24" s="420">
        <v>290</v>
      </c>
      <c r="D24" s="420">
        <v>140</v>
      </c>
      <c r="E24" s="420">
        <v>15</v>
      </c>
      <c r="F24" s="420">
        <v>10</v>
      </c>
      <c r="G24" s="420">
        <v>0</v>
      </c>
      <c r="H24" s="420">
        <v>105</v>
      </c>
      <c r="I24" s="420">
        <v>180</v>
      </c>
      <c r="J24" s="420">
        <v>31</v>
      </c>
      <c r="K24" s="420">
        <v>0</v>
      </c>
      <c r="L24" s="420">
        <v>26</v>
      </c>
      <c r="M24" s="420">
        <v>20</v>
      </c>
      <c r="N24" s="420">
        <v>5</v>
      </c>
      <c r="O24" s="420">
        <v>0</v>
      </c>
      <c r="P24" s="420">
        <v>0</v>
      </c>
      <c r="Q24" s="420">
        <v>196.53480000000002</v>
      </c>
      <c r="R24" s="420">
        <v>18</v>
      </c>
      <c r="S24" s="420">
        <v>1.4326E-2</v>
      </c>
      <c r="T24" s="420">
        <v>0</v>
      </c>
      <c r="U24" s="420">
        <v>270</v>
      </c>
      <c r="V24" s="420">
        <v>9</v>
      </c>
    </row>
    <row r="25" spans="1:22" s="395" customFormat="1" ht="17.600000000000001">
      <c r="A25" s="1377"/>
      <c r="B25" s="422" t="s">
        <v>673</v>
      </c>
      <c r="C25" s="420">
        <v>300</v>
      </c>
      <c r="D25" s="420">
        <v>150</v>
      </c>
      <c r="E25" s="420">
        <v>16</v>
      </c>
      <c r="F25" s="420">
        <v>10</v>
      </c>
      <c r="G25" s="420">
        <v>0</v>
      </c>
      <c r="H25" s="420">
        <v>100</v>
      </c>
      <c r="I25" s="420">
        <v>220</v>
      </c>
      <c r="J25" s="420">
        <v>35</v>
      </c>
      <c r="K25" s="420">
        <v>0</v>
      </c>
      <c r="L25" s="420">
        <v>29</v>
      </c>
      <c r="M25" s="420">
        <v>19</v>
      </c>
      <c r="N25" s="420">
        <v>5</v>
      </c>
      <c r="O25" s="420">
        <v>0</v>
      </c>
      <c r="P25" s="420">
        <v>0</v>
      </c>
      <c r="Q25" s="420">
        <v>185.22980000000001</v>
      </c>
      <c r="R25" s="420">
        <v>18</v>
      </c>
      <c r="S25" s="420">
        <v>0.17930599999999999</v>
      </c>
      <c r="T25" s="420">
        <v>2</v>
      </c>
      <c r="U25" s="420">
        <v>250</v>
      </c>
      <c r="V25" s="420">
        <v>6</v>
      </c>
    </row>
    <row r="26" spans="1:22" s="395" customFormat="1" ht="17.600000000000001">
      <c r="A26" s="1377"/>
      <c r="B26" s="422" t="s">
        <v>674</v>
      </c>
      <c r="C26" s="420">
        <v>310</v>
      </c>
      <c r="D26" s="420">
        <v>150</v>
      </c>
      <c r="E26" s="420">
        <v>17</v>
      </c>
      <c r="F26" s="420">
        <v>10</v>
      </c>
      <c r="G26" s="420">
        <v>0</v>
      </c>
      <c r="H26" s="420">
        <v>100</v>
      </c>
      <c r="I26" s="420">
        <v>205</v>
      </c>
      <c r="J26" s="420">
        <v>35</v>
      </c>
      <c r="K26" s="420">
        <v>0</v>
      </c>
      <c r="L26" s="420">
        <v>30</v>
      </c>
      <c r="M26" s="420">
        <v>24</v>
      </c>
      <c r="N26" s="420">
        <v>5</v>
      </c>
      <c r="O26" s="420">
        <v>0</v>
      </c>
      <c r="P26" s="420">
        <v>0</v>
      </c>
      <c r="Q26" s="420">
        <v>190.05840000000001</v>
      </c>
      <c r="R26" s="420">
        <v>18</v>
      </c>
      <c r="S26" s="420">
        <v>5.8153999999999997E-2</v>
      </c>
      <c r="T26" s="420">
        <v>0</v>
      </c>
      <c r="U26" s="420">
        <v>260</v>
      </c>
      <c r="V26" s="420">
        <v>7</v>
      </c>
    </row>
    <row r="27" spans="1:22" s="395" customFormat="1" ht="17.600000000000001">
      <c r="A27" s="1377"/>
      <c r="B27" s="422" t="s">
        <v>675</v>
      </c>
      <c r="C27" s="420">
        <v>290</v>
      </c>
      <c r="D27" s="420">
        <v>130</v>
      </c>
      <c r="E27" s="420">
        <v>14</v>
      </c>
      <c r="F27" s="420">
        <v>9</v>
      </c>
      <c r="G27" s="420">
        <v>0</v>
      </c>
      <c r="H27" s="420">
        <v>95</v>
      </c>
      <c r="I27" s="420">
        <v>155</v>
      </c>
      <c r="J27" s="420">
        <v>35</v>
      </c>
      <c r="K27" s="420">
        <v>0</v>
      </c>
      <c r="L27" s="420">
        <v>31</v>
      </c>
      <c r="M27" s="420">
        <v>19</v>
      </c>
      <c r="N27" s="420">
        <v>5</v>
      </c>
      <c r="O27" s="420">
        <v>0</v>
      </c>
      <c r="P27" s="420">
        <v>0</v>
      </c>
      <c r="Q27" s="420">
        <v>175.17340000000002</v>
      </c>
      <c r="R27" s="420">
        <v>18</v>
      </c>
      <c r="S27" s="420">
        <v>0.11239200000000001</v>
      </c>
      <c r="T27" s="420">
        <v>0</v>
      </c>
      <c r="U27" s="420">
        <v>250</v>
      </c>
      <c r="V27" s="420">
        <v>6</v>
      </c>
    </row>
    <row r="28" spans="1:22" s="395" customFormat="1" ht="17.600000000000001">
      <c r="A28" s="1377"/>
      <c r="B28" s="421" t="s">
        <v>676</v>
      </c>
      <c r="C28" s="420">
        <v>310</v>
      </c>
      <c r="D28" s="420">
        <v>150</v>
      </c>
      <c r="E28" s="420">
        <v>17</v>
      </c>
      <c r="F28" s="420">
        <v>10</v>
      </c>
      <c r="G28" s="420">
        <v>0</v>
      </c>
      <c r="H28" s="420">
        <v>100</v>
      </c>
      <c r="I28" s="420">
        <v>205</v>
      </c>
      <c r="J28" s="420">
        <v>35</v>
      </c>
      <c r="K28" s="420">
        <v>0</v>
      </c>
      <c r="L28" s="420">
        <v>30</v>
      </c>
      <c r="M28" s="420">
        <v>19</v>
      </c>
      <c r="N28" s="420">
        <v>5</v>
      </c>
      <c r="O28" s="420">
        <v>0</v>
      </c>
      <c r="P28" s="420">
        <v>0</v>
      </c>
      <c r="Q28" s="420">
        <v>180</v>
      </c>
      <c r="R28" s="420">
        <v>18</v>
      </c>
      <c r="S28" s="420">
        <v>0.147896</v>
      </c>
      <c r="T28" s="420">
        <v>2</v>
      </c>
      <c r="U28" s="420">
        <v>250</v>
      </c>
      <c r="V28" s="420">
        <v>6</v>
      </c>
    </row>
    <row r="29" spans="1:22" s="395" customFormat="1" ht="17.600000000000001">
      <c r="A29" s="1377"/>
      <c r="B29" s="421" t="s">
        <v>105</v>
      </c>
      <c r="C29" s="420">
        <v>310</v>
      </c>
      <c r="D29" s="420">
        <v>150</v>
      </c>
      <c r="E29" s="420">
        <v>17</v>
      </c>
      <c r="F29" s="420">
        <v>10</v>
      </c>
      <c r="G29" s="420">
        <v>0</v>
      </c>
      <c r="H29" s="420">
        <v>100</v>
      </c>
      <c r="I29" s="420">
        <v>225</v>
      </c>
      <c r="J29" s="420">
        <v>36</v>
      </c>
      <c r="K29" s="420">
        <v>0</v>
      </c>
      <c r="L29" s="420">
        <v>30</v>
      </c>
      <c r="M29" s="420">
        <v>19</v>
      </c>
      <c r="N29" s="420">
        <v>5</v>
      </c>
      <c r="O29" s="420">
        <v>0</v>
      </c>
      <c r="P29" s="420">
        <v>0</v>
      </c>
      <c r="Q29" s="420">
        <v>181.71379999999999</v>
      </c>
      <c r="R29" s="420">
        <v>18</v>
      </c>
      <c r="S29" s="420">
        <v>0.25389600000000001</v>
      </c>
      <c r="T29" s="420">
        <v>2</v>
      </c>
      <c r="U29" s="420">
        <v>250</v>
      </c>
      <c r="V29" s="420">
        <v>6</v>
      </c>
    </row>
    <row r="30" spans="1:22" s="395" customFormat="1" ht="17.600000000000001">
      <c r="A30" s="1377"/>
      <c r="B30" s="421" t="s">
        <v>137</v>
      </c>
      <c r="C30" s="420">
        <v>290</v>
      </c>
      <c r="D30" s="420">
        <v>130</v>
      </c>
      <c r="E30" s="420">
        <v>15</v>
      </c>
      <c r="F30" s="420">
        <v>10</v>
      </c>
      <c r="G30" s="420">
        <v>0</v>
      </c>
      <c r="H30" s="420">
        <v>100</v>
      </c>
      <c r="I30" s="420">
        <v>175</v>
      </c>
      <c r="J30" s="420">
        <v>31</v>
      </c>
      <c r="K30" s="420">
        <v>0</v>
      </c>
      <c r="L30" s="420">
        <v>29</v>
      </c>
      <c r="M30" s="420">
        <v>20</v>
      </c>
      <c r="N30" s="420">
        <v>5</v>
      </c>
      <c r="O30" s="420">
        <v>0</v>
      </c>
      <c r="P30" s="420">
        <v>0</v>
      </c>
      <c r="Q30" s="420">
        <v>193.584</v>
      </c>
      <c r="R30" s="420">
        <v>18</v>
      </c>
      <c r="S30" s="420">
        <v>2.5999999999999998E-5</v>
      </c>
      <c r="T30" s="420">
        <v>0</v>
      </c>
      <c r="U30" s="420">
        <v>270</v>
      </c>
      <c r="V30" s="420">
        <v>9</v>
      </c>
    </row>
    <row r="31" spans="1:22" s="395" customFormat="1" ht="17.600000000000001">
      <c r="A31" s="1377"/>
      <c r="B31" s="421" t="s">
        <v>108</v>
      </c>
      <c r="C31" s="420">
        <v>310</v>
      </c>
      <c r="D31" s="420">
        <v>150</v>
      </c>
      <c r="E31" s="420">
        <v>16</v>
      </c>
      <c r="F31" s="420">
        <v>10</v>
      </c>
      <c r="G31" s="420">
        <v>0</v>
      </c>
      <c r="H31" s="420">
        <v>100</v>
      </c>
      <c r="I31" s="420">
        <v>175</v>
      </c>
      <c r="J31" s="420">
        <v>36</v>
      </c>
      <c r="K31" s="420">
        <v>0</v>
      </c>
      <c r="L31" s="420">
        <v>30</v>
      </c>
      <c r="M31" s="420">
        <v>20</v>
      </c>
      <c r="N31" s="420">
        <v>5</v>
      </c>
      <c r="O31" s="420">
        <v>0</v>
      </c>
      <c r="P31" s="420">
        <v>0</v>
      </c>
      <c r="Q31" s="420">
        <v>180.05799999999999</v>
      </c>
      <c r="R31" s="420">
        <v>18</v>
      </c>
      <c r="S31" s="420">
        <v>4.7635999999999998E-2</v>
      </c>
      <c r="T31" s="420">
        <v>0</v>
      </c>
      <c r="U31" s="420">
        <v>250</v>
      </c>
      <c r="V31" s="420">
        <v>6</v>
      </c>
    </row>
    <row r="32" spans="1:22" s="395" customFormat="1" ht="17.600000000000001">
      <c r="A32" s="1377"/>
      <c r="B32" s="421" t="s">
        <v>109</v>
      </c>
      <c r="C32" s="420">
        <v>300</v>
      </c>
      <c r="D32" s="420">
        <v>150</v>
      </c>
      <c r="E32" s="420">
        <v>16</v>
      </c>
      <c r="F32" s="420">
        <v>10</v>
      </c>
      <c r="G32" s="420">
        <v>0</v>
      </c>
      <c r="H32" s="420">
        <v>95</v>
      </c>
      <c r="I32" s="420">
        <v>170</v>
      </c>
      <c r="J32" s="420">
        <v>36</v>
      </c>
      <c r="K32" s="420">
        <v>0</v>
      </c>
      <c r="L32" s="420">
        <v>31</v>
      </c>
      <c r="M32" s="420">
        <v>19</v>
      </c>
      <c r="N32" s="420">
        <v>5</v>
      </c>
      <c r="O32" s="420">
        <v>0</v>
      </c>
      <c r="P32" s="420">
        <v>0</v>
      </c>
      <c r="Q32" s="420">
        <v>181.4786</v>
      </c>
      <c r="R32" s="420">
        <v>18</v>
      </c>
      <c r="S32" s="420">
        <v>2.7015999999999998E-2</v>
      </c>
      <c r="T32" s="420">
        <v>0</v>
      </c>
      <c r="U32" s="420">
        <v>230</v>
      </c>
      <c r="V32" s="420">
        <v>6</v>
      </c>
    </row>
    <row r="33" spans="1:22" s="395" customFormat="1" ht="17.600000000000001">
      <c r="A33" s="1377"/>
      <c r="B33" s="421" t="s">
        <v>677</v>
      </c>
      <c r="C33" s="420">
        <v>290</v>
      </c>
      <c r="D33" s="420">
        <v>140</v>
      </c>
      <c r="E33" s="420">
        <v>15</v>
      </c>
      <c r="F33" s="420">
        <v>10</v>
      </c>
      <c r="G33" s="420">
        <v>0</v>
      </c>
      <c r="H33" s="420">
        <v>105</v>
      </c>
      <c r="I33" s="420">
        <v>175</v>
      </c>
      <c r="J33" s="420">
        <v>30</v>
      </c>
      <c r="K33" s="420">
        <v>0</v>
      </c>
      <c r="L33" s="420">
        <v>26</v>
      </c>
      <c r="M33" s="420">
        <v>20</v>
      </c>
      <c r="N33" s="420">
        <v>5</v>
      </c>
      <c r="O33" s="420">
        <v>0</v>
      </c>
      <c r="P33" s="420">
        <v>0</v>
      </c>
      <c r="Q33" s="420">
        <v>195.16540000000001</v>
      </c>
      <c r="R33" s="420">
        <v>18</v>
      </c>
      <c r="S33" s="420">
        <v>3.6200000000000002E-4</v>
      </c>
      <c r="T33" s="420">
        <v>0</v>
      </c>
      <c r="U33" s="420">
        <v>270</v>
      </c>
      <c r="V33" s="420">
        <v>9</v>
      </c>
    </row>
    <row r="34" spans="1:22" s="395" customFormat="1" ht="17.600000000000001">
      <c r="A34" s="1377"/>
      <c r="B34" s="421" t="s">
        <v>359</v>
      </c>
      <c r="C34" s="420">
        <v>300</v>
      </c>
      <c r="D34" s="420">
        <v>150</v>
      </c>
      <c r="E34" s="420">
        <v>17</v>
      </c>
      <c r="F34" s="420">
        <v>10</v>
      </c>
      <c r="G34" s="420">
        <v>0</v>
      </c>
      <c r="H34" s="420">
        <v>100</v>
      </c>
      <c r="I34" s="420">
        <v>170</v>
      </c>
      <c r="J34" s="420">
        <v>35</v>
      </c>
      <c r="K34" s="420">
        <v>0</v>
      </c>
      <c r="L34" s="420">
        <v>30</v>
      </c>
      <c r="M34" s="420">
        <v>24</v>
      </c>
      <c r="N34" s="420">
        <v>5</v>
      </c>
      <c r="O34" s="420">
        <v>0</v>
      </c>
      <c r="P34" s="420">
        <v>0</v>
      </c>
      <c r="Q34" s="420">
        <v>188.05540000000002</v>
      </c>
      <c r="R34" s="420">
        <v>18</v>
      </c>
      <c r="S34" s="420">
        <v>0.26657799999999998</v>
      </c>
      <c r="T34" s="420">
        <v>2</v>
      </c>
      <c r="U34" s="420">
        <v>280</v>
      </c>
      <c r="V34" s="420">
        <v>9</v>
      </c>
    </row>
    <row r="35" spans="1:22" s="395" customFormat="1" ht="17.600000000000001">
      <c r="A35" s="1377"/>
      <c r="B35" s="421" t="s">
        <v>678</v>
      </c>
      <c r="C35" s="420">
        <v>300</v>
      </c>
      <c r="D35" s="420">
        <v>150</v>
      </c>
      <c r="E35" s="420">
        <v>16</v>
      </c>
      <c r="F35" s="420">
        <v>10</v>
      </c>
      <c r="G35" s="420">
        <v>0</v>
      </c>
      <c r="H35" s="420">
        <v>100</v>
      </c>
      <c r="I35" s="420">
        <v>205</v>
      </c>
      <c r="J35" s="420">
        <v>35</v>
      </c>
      <c r="K35" s="420">
        <v>0</v>
      </c>
      <c r="L35" s="420">
        <v>29</v>
      </c>
      <c r="M35" s="420">
        <v>19</v>
      </c>
      <c r="N35" s="420">
        <v>5</v>
      </c>
      <c r="O35" s="420">
        <v>0</v>
      </c>
      <c r="P35" s="420">
        <v>0</v>
      </c>
      <c r="Q35" s="420">
        <v>184.88139999999999</v>
      </c>
      <c r="R35" s="420">
        <v>18</v>
      </c>
      <c r="S35" s="420">
        <v>0.166072</v>
      </c>
      <c r="T35" s="420">
        <v>2</v>
      </c>
      <c r="U35" s="420">
        <v>250</v>
      </c>
      <c r="V35" s="420">
        <v>6</v>
      </c>
    </row>
    <row r="36" spans="1:22" s="395" customFormat="1" ht="17.600000000000001">
      <c r="A36" s="1377"/>
      <c r="B36" s="421" t="s">
        <v>112</v>
      </c>
      <c r="C36" s="420">
        <v>290</v>
      </c>
      <c r="D36" s="420">
        <v>130</v>
      </c>
      <c r="E36" s="420">
        <v>15</v>
      </c>
      <c r="F36" s="420">
        <v>10</v>
      </c>
      <c r="G36" s="420">
        <v>0</v>
      </c>
      <c r="H36" s="420">
        <v>100</v>
      </c>
      <c r="I36" s="420">
        <v>175</v>
      </c>
      <c r="J36" s="420">
        <v>31</v>
      </c>
      <c r="K36" s="420">
        <v>0</v>
      </c>
      <c r="L36" s="420">
        <v>29</v>
      </c>
      <c r="M36" s="420">
        <v>20</v>
      </c>
      <c r="N36" s="420">
        <v>5</v>
      </c>
      <c r="O36" s="420">
        <v>0</v>
      </c>
      <c r="P36" s="420">
        <v>0</v>
      </c>
      <c r="Q36" s="420">
        <v>193.57220000000001</v>
      </c>
      <c r="R36" s="420">
        <v>18</v>
      </c>
      <c r="S36" s="420">
        <v>7.54E-4</v>
      </c>
      <c r="T36" s="420">
        <v>0</v>
      </c>
      <c r="U36" s="420">
        <v>270</v>
      </c>
      <c r="V36" s="420">
        <v>9</v>
      </c>
    </row>
    <row r="37" spans="1:22" s="395" customFormat="1" ht="17.600000000000001">
      <c r="A37" s="1377"/>
      <c r="B37" s="421" t="s">
        <v>679</v>
      </c>
      <c r="C37" s="420">
        <v>300</v>
      </c>
      <c r="D37" s="420">
        <v>140</v>
      </c>
      <c r="E37" s="420">
        <v>15</v>
      </c>
      <c r="F37" s="420">
        <v>10</v>
      </c>
      <c r="G37" s="420">
        <v>0</v>
      </c>
      <c r="H37" s="420">
        <v>100</v>
      </c>
      <c r="I37" s="420">
        <v>195</v>
      </c>
      <c r="J37" s="420">
        <v>35</v>
      </c>
      <c r="K37" s="420">
        <v>0</v>
      </c>
      <c r="L37" s="420">
        <v>30</v>
      </c>
      <c r="M37" s="420">
        <v>21</v>
      </c>
      <c r="N37" s="420">
        <v>5</v>
      </c>
      <c r="O37" s="420">
        <v>0</v>
      </c>
      <c r="P37" s="420">
        <v>0</v>
      </c>
      <c r="Q37" s="420">
        <v>184.858</v>
      </c>
      <c r="R37" s="420">
        <v>14</v>
      </c>
      <c r="S37" s="420">
        <v>0.16589999999999999</v>
      </c>
      <c r="T37" s="420">
        <v>0</v>
      </c>
      <c r="U37" s="420">
        <v>252</v>
      </c>
      <c r="V37" s="420">
        <v>8</v>
      </c>
    </row>
    <row r="38" spans="1:22" s="395" customFormat="1" ht="17.600000000000001">
      <c r="A38" s="1377"/>
      <c r="B38" s="421" t="s">
        <v>360</v>
      </c>
      <c r="C38" s="420">
        <v>300</v>
      </c>
      <c r="D38" s="420">
        <v>150</v>
      </c>
      <c r="E38" s="420">
        <v>17</v>
      </c>
      <c r="F38" s="420">
        <v>10</v>
      </c>
      <c r="G38" s="420">
        <v>0</v>
      </c>
      <c r="H38" s="420">
        <v>100</v>
      </c>
      <c r="I38" s="420">
        <v>200</v>
      </c>
      <c r="J38" s="420">
        <v>31</v>
      </c>
      <c r="K38" s="420">
        <v>0</v>
      </c>
      <c r="L38" s="420">
        <v>26</v>
      </c>
      <c r="M38" s="420">
        <v>20</v>
      </c>
      <c r="N38" s="420">
        <v>6</v>
      </c>
      <c r="O38" s="420">
        <v>0</v>
      </c>
      <c r="P38" s="420">
        <v>0</v>
      </c>
      <c r="Q38" s="420">
        <v>193.2192</v>
      </c>
      <c r="R38" s="420">
        <v>18</v>
      </c>
      <c r="S38" s="420">
        <v>6.2553999999999998E-2</v>
      </c>
      <c r="T38" s="420">
        <v>0</v>
      </c>
      <c r="U38" s="420">
        <v>300</v>
      </c>
      <c r="V38" s="420">
        <v>9</v>
      </c>
    </row>
    <row r="39" spans="1:22" s="395" customFormat="1" ht="17.600000000000001">
      <c r="A39" s="1377"/>
      <c r="B39" s="421" t="s">
        <v>159</v>
      </c>
      <c r="C39" s="420">
        <v>300</v>
      </c>
      <c r="D39" s="420">
        <v>150</v>
      </c>
      <c r="E39" s="420">
        <v>17</v>
      </c>
      <c r="F39" s="420">
        <v>10</v>
      </c>
      <c r="G39" s="420">
        <v>0</v>
      </c>
      <c r="H39" s="420">
        <v>95</v>
      </c>
      <c r="I39" s="420">
        <v>180</v>
      </c>
      <c r="J39" s="420">
        <v>34</v>
      </c>
      <c r="K39" s="420">
        <v>0</v>
      </c>
      <c r="L39" s="420">
        <v>29</v>
      </c>
      <c r="M39" s="420">
        <v>20</v>
      </c>
      <c r="N39" s="420">
        <v>6</v>
      </c>
      <c r="O39" s="420">
        <v>0</v>
      </c>
      <c r="P39" s="420">
        <v>0</v>
      </c>
      <c r="Q39" s="420">
        <v>179</v>
      </c>
      <c r="R39" s="420">
        <v>12</v>
      </c>
      <c r="S39" s="420">
        <v>0</v>
      </c>
      <c r="T39" s="420">
        <v>0</v>
      </c>
      <c r="U39" s="420">
        <v>279</v>
      </c>
      <c r="V39" s="420">
        <v>8</v>
      </c>
    </row>
    <row r="40" spans="1:22" s="395" customFormat="1" ht="17.600000000000001">
      <c r="A40" s="1377"/>
      <c r="B40" s="421" t="s">
        <v>680</v>
      </c>
      <c r="C40" s="420">
        <v>310</v>
      </c>
      <c r="D40" s="420">
        <v>150</v>
      </c>
      <c r="E40" s="420">
        <v>16</v>
      </c>
      <c r="F40" s="420">
        <v>10</v>
      </c>
      <c r="G40" s="420">
        <v>0</v>
      </c>
      <c r="H40" s="420">
        <v>100</v>
      </c>
      <c r="I40" s="420">
        <v>175</v>
      </c>
      <c r="J40" s="420">
        <v>39</v>
      </c>
      <c r="K40" s="420">
        <v>0</v>
      </c>
      <c r="L40" s="420">
        <v>31</v>
      </c>
      <c r="M40" s="420">
        <v>20</v>
      </c>
      <c r="N40" s="420">
        <v>5</v>
      </c>
      <c r="O40" s="420">
        <v>0</v>
      </c>
      <c r="P40" s="420">
        <v>0</v>
      </c>
      <c r="Q40" s="420">
        <v>178.22</v>
      </c>
      <c r="R40" s="420">
        <v>18</v>
      </c>
      <c r="S40" s="420">
        <v>5.0113999999999999E-2</v>
      </c>
      <c r="T40" s="420">
        <v>0</v>
      </c>
      <c r="U40" s="420">
        <v>250</v>
      </c>
      <c r="V40" s="420">
        <v>6</v>
      </c>
    </row>
    <row r="41" spans="1:22" s="395" customFormat="1" ht="17.600000000000001">
      <c r="A41" s="1377"/>
      <c r="B41" s="421" t="s">
        <v>118</v>
      </c>
      <c r="C41" s="420">
        <v>290</v>
      </c>
      <c r="D41" s="420">
        <v>130</v>
      </c>
      <c r="E41" s="420">
        <v>15</v>
      </c>
      <c r="F41" s="420">
        <v>10</v>
      </c>
      <c r="G41" s="420">
        <v>0</v>
      </c>
      <c r="H41" s="420">
        <v>100</v>
      </c>
      <c r="I41" s="420">
        <v>175</v>
      </c>
      <c r="J41" s="420">
        <v>34</v>
      </c>
      <c r="K41" s="420">
        <v>0</v>
      </c>
      <c r="L41" s="420">
        <v>29</v>
      </c>
      <c r="M41" s="420">
        <v>21</v>
      </c>
      <c r="N41" s="420">
        <v>5</v>
      </c>
      <c r="O41" s="420">
        <v>0</v>
      </c>
      <c r="P41" s="420">
        <v>0</v>
      </c>
      <c r="Q41" s="420">
        <v>191.7286</v>
      </c>
      <c r="R41" s="420">
        <v>18</v>
      </c>
      <c r="S41" s="420">
        <v>2.1919999999999999E-3</v>
      </c>
      <c r="T41" s="420">
        <v>0</v>
      </c>
      <c r="U41" s="420">
        <v>260</v>
      </c>
      <c r="V41" s="420">
        <v>7</v>
      </c>
    </row>
    <row r="42" spans="1:22" s="395" customFormat="1" ht="17.600000000000001">
      <c r="A42" s="1377"/>
      <c r="B42" s="421" t="s">
        <v>130</v>
      </c>
      <c r="C42" s="420">
        <v>290</v>
      </c>
      <c r="D42" s="420">
        <v>140</v>
      </c>
      <c r="E42" s="420">
        <v>15</v>
      </c>
      <c r="F42" s="420">
        <v>10</v>
      </c>
      <c r="G42" s="420">
        <v>0</v>
      </c>
      <c r="H42" s="420">
        <v>105</v>
      </c>
      <c r="I42" s="420">
        <v>175</v>
      </c>
      <c r="J42" s="420">
        <v>31</v>
      </c>
      <c r="K42" s="420">
        <v>0</v>
      </c>
      <c r="L42" s="420">
        <v>26</v>
      </c>
      <c r="M42" s="420">
        <v>20</v>
      </c>
      <c r="N42" s="420">
        <v>5</v>
      </c>
      <c r="O42" s="420">
        <v>0</v>
      </c>
      <c r="P42" s="420">
        <v>0</v>
      </c>
      <c r="Q42" s="420">
        <v>195.2724</v>
      </c>
      <c r="R42" s="420">
        <v>18</v>
      </c>
      <c r="S42" s="420">
        <v>1.864E-3</v>
      </c>
      <c r="T42" s="420">
        <v>0</v>
      </c>
      <c r="U42" s="420">
        <v>270</v>
      </c>
      <c r="V42" s="420">
        <v>9</v>
      </c>
    </row>
    <row r="43" spans="1:22" s="395" customFormat="1" ht="17.600000000000001">
      <c r="A43" s="1377"/>
      <c r="B43" s="421" t="s">
        <v>681</v>
      </c>
      <c r="C43" s="420">
        <v>300</v>
      </c>
      <c r="D43" s="420">
        <v>130</v>
      </c>
      <c r="E43" s="420">
        <v>15</v>
      </c>
      <c r="F43" s="420">
        <v>8</v>
      </c>
      <c r="G43" s="420">
        <v>0</v>
      </c>
      <c r="H43" s="420">
        <v>70</v>
      </c>
      <c r="I43" s="420">
        <v>95</v>
      </c>
      <c r="J43" s="420">
        <v>39</v>
      </c>
      <c r="K43" s="420">
        <v>0</v>
      </c>
      <c r="L43" s="420">
        <v>36</v>
      </c>
      <c r="M43" s="420">
        <v>14</v>
      </c>
      <c r="N43" s="420">
        <v>6</v>
      </c>
      <c r="O43" s="420">
        <v>0</v>
      </c>
      <c r="P43" s="420">
        <v>0</v>
      </c>
      <c r="Q43" s="420">
        <v>141.92660000000001</v>
      </c>
      <c r="R43" s="420">
        <v>12</v>
      </c>
      <c r="S43" s="420">
        <v>0.122208</v>
      </c>
      <c r="T43" s="420">
        <v>2</v>
      </c>
      <c r="U43" s="420">
        <v>155</v>
      </c>
      <c r="V43" s="420">
        <v>5</v>
      </c>
    </row>
    <row r="44" spans="1:22" s="395" customFormat="1" ht="17.600000000000001">
      <c r="A44" s="1377" t="s">
        <v>682</v>
      </c>
      <c r="B44" s="423" t="s">
        <v>661</v>
      </c>
      <c r="C44" s="420">
        <v>480</v>
      </c>
      <c r="D44" s="420">
        <v>210</v>
      </c>
      <c r="E44" s="420">
        <v>24</v>
      </c>
      <c r="F44" s="420">
        <v>16</v>
      </c>
      <c r="G44" s="420">
        <v>0</v>
      </c>
      <c r="H44" s="420">
        <v>150</v>
      </c>
      <c r="I44" s="420">
        <v>270</v>
      </c>
      <c r="J44" s="420">
        <v>58</v>
      </c>
      <c r="K44" s="420">
        <v>0</v>
      </c>
      <c r="L44" s="420">
        <v>46</v>
      </c>
      <c r="M44" s="420">
        <v>38</v>
      </c>
      <c r="N44" s="420">
        <v>8</v>
      </c>
      <c r="O44" s="420">
        <v>0</v>
      </c>
      <c r="P44" s="420">
        <v>0</v>
      </c>
      <c r="Q44" s="420">
        <v>282</v>
      </c>
      <c r="R44" s="420">
        <v>20</v>
      </c>
      <c r="S44" s="420">
        <v>0</v>
      </c>
      <c r="T44" s="420">
        <v>0</v>
      </c>
      <c r="U44" s="420">
        <v>402</v>
      </c>
      <c r="V44" s="420">
        <v>12</v>
      </c>
    </row>
    <row r="45" spans="1:22" s="395" customFormat="1" ht="17.600000000000001">
      <c r="A45" s="1377"/>
      <c r="B45" s="421" t="s">
        <v>662</v>
      </c>
      <c r="C45" s="420">
        <v>480</v>
      </c>
      <c r="D45" s="420">
        <v>220</v>
      </c>
      <c r="E45" s="420">
        <v>24</v>
      </c>
      <c r="F45" s="420">
        <v>16</v>
      </c>
      <c r="G45" s="420">
        <v>0</v>
      </c>
      <c r="H45" s="420">
        <v>160</v>
      </c>
      <c r="I45" s="420">
        <v>310</v>
      </c>
      <c r="J45" s="420">
        <v>62</v>
      </c>
      <c r="K45" s="420">
        <v>0</v>
      </c>
      <c r="L45" s="420">
        <v>50</v>
      </c>
      <c r="M45" s="420">
        <v>32</v>
      </c>
      <c r="N45" s="420">
        <v>8</v>
      </c>
      <c r="O45" s="420">
        <v>0</v>
      </c>
      <c r="P45" s="420">
        <v>0</v>
      </c>
      <c r="Q45" s="420">
        <v>287.8322</v>
      </c>
      <c r="R45" s="420">
        <v>28</v>
      </c>
      <c r="S45" s="420">
        <v>3.9761999999999999E-2</v>
      </c>
      <c r="T45" s="420">
        <v>0</v>
      </c>
      <c r="U45" s="420">
        <v>400</v>
      </c>
      <c r="V45" s="420">
        <v>10</v>
      </c>
    </row>
    <row r="46" spans="1:22" s="395" customFormat="1" ht="17.600000000000001">
      <c r="A46" s="1377"/>
      <c r="B46" s="422" t="s">
        <v>663</v>
      </c>
      <c r="C46" s="420">
        <v>460</v>
      </c>
      <c r="D46" s="420">
        <v>210</v>
      </c>
      <c r="E46" s="420">
        <v>24</v>
      </c>
      <c r="F46" s="420">
        <v>14</v>
      </c>
      <c r="G46" s="420">
        <v>0</v>
      </c>
      <c r="H46" s="420">
        <v>160</v>
      </c>
      <c r="I46" s="420">
        <v>270</v>
      </c>
      <c r="J46" s="420">
        <v>56</v>
      </c>
      <c r="K46" s="420">
        <v>0</v>
      </c>
      <c r="L46" s="420">
        <v>46</v>
      </c>
      <c r="M46" s="420">
        <v>32</v>
      </c>
      <c r="N46" s="420">
        <v>8</v>
      </c>
      <c r="O46" s="420">
        <v>0</v>
      </c>
      <c r="P46" s="420">
        <v>0</v>
      </c>
      <c r="Q46" s="420">
        <v>296.64999999999998</v>
      </c>
      <c r="R46" s="420">
        <v>24</v>
      </c>
      <c r="S46" s="420">
        <v>0.20872199999999999</v>
      </c>
      <c r="T46" s="420">
        <v>0</v>
      </c>
      <c r="U46" s="420">
        <v>398</v>
      </c>
      <c r="V46" s="420">
        <v>12</v>
      </c>
    </row>
    <row r="47" spans="1:22" s="395" customFormat="1" ht="17.600000000000001">
      <c r="A47" s="1377"/>
      <c r="B47" s="422" t="s">
        <v>664</v>
      </c>
      <c r="C47" s="420">
        <v>420</v>
      </c>
      <c r="D47" s="420">
        <v>190</v>
      </c>
      <c r="E47" s="420">
        <v>21</v>
      </c>
      <c r="F47" s="420">
        <v>12</v>
      </c>
      <c r="G47" s="420">
        <v>0</v>
      </c>
      <c r="H47" s="420">
        <v>120</v>
      </c>
      <c r="I47" s="420">
        <v>210</v>
      </c>
      <c r="J47" s="420">
        <v>54</v>
      </c>
      <c r="K47" s="420">
        <v>0</v>
      </c>
      <c r="L47" s="420">
        <v>46</v>
      </c>
      <c r="M47" s="420">
        <v>32</v>
      </c>
      <c r="N47" s="420">
        <v>8</v>
      </c>
      <c r="O47" s="420">
        <v>0</v>
      </c>
      <c r="P47" s="420">
        <v>0</v>
      </c>
      <c r="Q47" s="420">
        <v>282.46080000000001</v>
      </c>
      <c r="R47" s="420">
        <v>28</v>
      </c>
      <c r="S47" s="420">
        <v>2.6596760000000002</v>
      </c>
      <c r="T47" s="420">
        <v>16</v>
      </c>
      <c r="U47" s="420">
        <v>540</v>
      </c>
      <c r="V47" s="420">
        <v>16</v>
      </c>
    </row>
    <row r="48" spans="1:22" s="395" customFormat="1" ht="17.600000000000001">
      <c r="A48" s="1377"/>
      <c r="B48" s="422" t="s">
        <v>356</v>
      </c>
      <c r="C48" s="420">
        <v>460</v>
      </c>
      <c r="D48" s="420">
        <v>210</v>
      </c>
      <c r="E48" s="420">
        <v>24</v>
      </c>
      <c r="F48" s="420">
        <v>16</v>
      </c>
      <c r="G48" s="420">
        <v>0</v>
      </c>
      <c r="H48" s="420">
        <v>160</v>
      </c>
      <c r="I48" s="420">
        <v>280</v>
      </c>
      <c r="J48" s="420">
        <v>50</v>
      </c>
      <c r="K48" s="420">
        <v>0</v>
      </c>
      <c r="L48" s="420">
        <v>42</v>
      </c>
      <c r="M48" s="420">
        <v>32</v>
      </c>
      <c r="N48" s="420">
        <v>8</v>
      </c>
      <c r="O48" s="420">
        <v>0</v>
      </c>
      <c r="P48" s="420">
        <v>0</v>
      </c>
      <c r="Q48" s="420">
        <v>311.73820000000001</v>
      </c>
      <c r="R48" s="420">
        <v>28</v>
      </c>
      <c r="S48" s="420">
        <v>1.1440000000000001E-3</v>
      </c>
      <c r="T48" s="420">
        <v>0</v>
      </c>
      <c r="U48" s="420">
        <v>430</v>
      </c>
      <c r="V48" s="420">
        <v>14</v>
      </c>
    </row>
    <row r="49" spans="1:22" s="395" customFormat="1" ht="17.600000000000001">
      <c r="A49" s="1377"/>
      <c r="B49" s="422" t="s">
        <v>665</v>
      </c>
      <c r="C49" s="420">
        <v>480</v>
      </c>
      <c r="D49" s="420">
        <v>240</v>
      </c>
      <c r="E49" s="420">
        <v>27</v>
      </c>
      <c r="F49" s="420">
        <v>19</v>
      </c>
      <c r="G49" s="420">
        <v>0</v>
      </c>
      <c r="H49" s="420">
        <v>160</v>
      </c>
      <c r="I49" s="420">
        <v>270</v>
      </c>
      <c r="J49" s="420">
        <v>56</v>
      </c>
      <c r="K49" s="420">
        <v>0</v>
      </c>
      <c r="L49" s="420">
        <v>48</v>
      </c>
      <c r="M49" s="420">
        <v>30</v>
      </c>
      <c r="N49" s="420">
        <v>10</v>
      </c>
      <c r="O49" s="420">
        <v>0</v>
      </c>
      <c r="P49" s="420">
        <v>0</v>
      </c>
      <c r="Q49" s="420">
        <v>311.94299999999998</v>
      </c>
      <c r="R49" s="420">
        <v>28</v>
      </c>
      <c r="S49" s="420">
        <v>1.072E-3</v>
      </c>
      <c r="T49" s="420">
        <v>0</v>
      </c>
      <c r="U49" s="420">
        <v>400</v>
      </c>
      <c r="V49" s="420">
        <v>10</v>
      </c>
    </row>
    <row r="50" spans="1:22" s="395" customFormat="1" ht="17.600000000000001">
      <c r="A50" s="1377"/>
      <c r="B50" s="424" t="s">
        <v>96</v>
      </c>
      <c r="C50" s="420">
        <v>500</v>
      </c>
      <c r="D50" s="420">
        <v>240</v>
      </c>
      <c r="E50" s="420">
        <v>26</v>
      </c>
      <c r="F50" s="420">
        <v>16</v>
      </c>
      <c r="G50" s="420">
        <v>0</v>
      </c>
      <c r="H50" s="420">
        <v>150</v>
      </c>
      <c r="I50" s="420">
        <v>320</v>
      </c>
      <c r="J50" s="420">
        <v>66</v>
      </c>
      <c r="K50" s="420">
        <v>0</v>
      </c>
      <c r="L50" s="420">
        <v>50</v>
      </c>
      <c r="M50" s="420">
        <v>34</v>
      </c>
      <c r="N50" s="420">
        <v>8</v>
      </c>
      <c r="O50" s="420">
        <v>0</v>
      </c>
      <c r="P50" s="420">
        <v>0</v>
      </c>
      <c r="Q50" s="420">
        <v>280</v>
      </c>
      <c r="R50" s="420">
        <v>20</v>
      </c>
      <c r="S50" s="420">
        <v>0</v>
      </c>
      <c r="T50" s="420">
        <v>0</v>
      </c>
      <c r="U50" s="420">
        <v>406</v>
      </c>
      <c r="V50" s="420">
        <v>12</v>
      </c>
    </row>
    <row r="51" spans="1:22" s="395" customFormat="1" ht="17.600000000000001">
      <c r="A51" s="1377"/>
      <c r="B51" s="424" t="s">
        <v>666</v>
      </c>
      <c r="C51" s="420">
        <v>460</v>
      </c>
      <c r="D51" s="420">
        <v>210</v>
      </c>
      <c r="E51" s="420">
        <v>24</v>
      </c>
      <c r="F51" s="420">
        <v>16</v>
      </c>
      <c r="G51" s="420">
        <v>0</v>
      </c>
      <c r="H51" s="420">
        <v>160</v>
      </c>
      <c r="I51" s="420">
        <v>280</v>
      </c>
      <c r="J51" s="420">
        <v>54</v>
      </c>
      <c r="K51" s="420">
        <v>0</v>
      </c>
      <c r="L51" s="420">
        <v>46</v>
      </c>
      <c r="M51" s="420">
        <v>34</v>
      </c>
      <c r="N51" s="420">
        <v>8</v>
      </c>
      <c r="O51" s="420">
        <v>0</v>
      </c>
      <c r="P51" s="420">
        <v>0</v>
      </c>
      <c r="Q51" s="420">
        <v>306</v>
      </c>
      <c r="R51" s="420">
        <v>20</v>
      </c>
      <c r="S51" s="420">
        <v>0</v>
      </c>
      <c r="T51" s="420">
        <v>0</v>
      </c>
      <c r="U51" s="420">
        <v>422</v>
      </c>
      <c r="V51" s="420">
        <v>12</v>
      </c>
    </row>
    <row r="52" spans="1:22" s="395" customFormat="1" ht="17.600000000000001">
      <c r="A52" s="1377"/>
      <c r="B52" s="421" t="s">
        <v>34</v>
      </c>
      <c r="C52" s="420">
        <v>420</v>
      </c>
      <c r="D52" s="420">
        <v>210</v>
      </c>
      <c r="E52" s="420">
        <v>24</v>
      </c>
      <c r="F52" s="420">
        <v>13</v>
      </c>
      <c r="G52" s="420">
        <v>0</v>
      </c>
      <c r="H52" s="420">
        <v>130</v>
      </c>
      <c r="I52" s="420">
        <v>230</v>
      </c>
      <c r="J52" s="420">
        <v>50</v>
      </c>
      <c r="K52" s="420">
        <v>0</v>
      </c>
      <c r="L52" s="420">
        <v>46</v>
      </c>
      <c r="M52" s="420">
        <v>34</v>
      </c>
      <c r="N52" s="420">
        <v>8</v>
      </c>
      <c r="O52" s="420">
        <v>0</v>
      </c>
      <c r="P52" s="420">
        <v>0</v>
      </c>
      <c r="Q52" s="420">
        <v>295.7088</v>
      </c>
      <c r="R52" s="420">
        <v>28</v>
      </c>
      <c r="S52" s="420">
        <v>2.6123500000000002</v>
      </c>
      <c r="T52" s="420">
        <v>16</v>
      </c>
      <c r="U52" s="420">
        <v>590</v>
      </c>
      <c r="V52" s="420">
        <v>16</v>
      </c>
    </row>
    <row r="53" spans="1:22" s="395" customFormat="1" ht="17.600000000000001">
      <c r="A53" s="1377"/>
      <c r="B53" s="421" t="s">
        <v>667</v>
      </c>
      <c r="C53" s="420">
        <v>480</v>
      </c>
      <c r="D53" s="420">
        <v>220</v>
      </c>
      <c r="E53" s="420">
        <v>24</v>
      </c>
      <c r="F53" s="420">
        <v>13</v>
      </c>
      <c r="G53" s="420">
        <v>0</v>
      </c>
      <c r="H53" s="420">
        <v>120</v>
      </c>
      <c r="I53" s="420">
        <v>250</v>
      </c>
      <c r="J53" s="420">
        <v>58</v>
      </c>
      <c r="K53" s="420">
        <v>0</v>
      </c>
      <c r="L53" s="420">
        <v>50</v>
      </c>
      <c r="M53" s="420">
        <v>38</v>
      </c>
      <c r="N53" s="420">
        <v>10</v>
      </c>
      <c r="O53" s="420">
        <v>0</v>
      </c>
      <c r="P53" s="420">
        <v>0</v>
      </c>
      <c r="Q53" s="420">
        <v>274</v>
      </c>
      <c r="R53" s="420">
        <v>20</v>
      </c>
      <c r="S53" s="420">
        <v>2</v>
      </c>
      <c r="T53" s="420">
        <v>12</v>
      </c>
      <c r="U53" s="420">
        <v>528</v>
      </c>
      <c r="V53" s="420">
        <v>12</v>
      </c>
    </row>
    <row r="54" spans="1:22" s="395" customFormat="1" ht="17.600000000000001">
      <c r="A54" s="1377"/>
      <c r="B54" s="421" t="s">
        <v>99</v>
      </c>
      <c r="C54" s="420">
        <v>480</v>
      </c>
      <c r="D54" s="420">
        <v>240</v>
      </c>
      <c r="E54" s="420">
        <v>27</v>
      </c>
      <c r="F54" s="420">
        <v>16</v>
      </c>
      <c r="G54" s="420">
        <v>0</v>
      </c>
      <c r="H54" s="420">
        <v>160</v>
      </c>
      <c r="I54" s="420">
        <v>270</v>
      </c>
      <c r="J54" s="420">
        <v>56</v>
      </c>
      <c r="K54" s="420">
        <v>0</v>
      </c>
      <c r="L54" s="420">
        <v>48</v>
      </c>
      <c r="M54" s="420">
        <v>38</v>
      </c>
      <c r="N54" s="420">
        <v>8</v>
      </c>
      <c r="O54" s="420">
        <v>0</v>
      </c>
      <c r="P54" s="420">
        <v>0</v>
      </c>
      <c r="Q54" s="420">
        <v>304.15340000000003</v>
      </c>
      <c r="R54" s="420">
        <v>28</v>
      </c>
      <c r="S54" s="420">
        <v>0.27030799999999999</v>
      </c>
      <c r="T54" s="420">
        <v>4</v>
      </c>
      <c r="U54" s="420">
        <v>460</v>
      </c>
      <c r="V54" s="420">
        <v>14</v>
      </c>
    </row>
    <row r="55" spans="1:22" s="395" customFormat="1" ht="17.600000000000001">
      <c r="A55" s="1377"/>
      <c r="B55" s="421" t="s">
        <v>35</v>
      </c>
      <c r="C55" s="420">
        <v>480</v>
      </c>
      <c r="D55" s="420">
        <v>240</v>
      </c>
      <c r="E55" s="420">
        <v>26</v>
      </c>
      <c r="F55" s="420">
        <v>16</v>
      </c>
      <c r="G55" s="420">
        <v>0</v>
      </c>
      <c r="H55" s="420">
        <v>160</v>
      </c>
      <c r="I55" s="420">
        <v>270</v>
      </c>
      <c r="J55" s="420">
        <v>58</v>
      </c>
      <c r="K55" s="420">
        <v>0</v>
      </c>
      <c r="L55" s="420">
        <v>50</v>
      </c>
      <c r="M55" s="420">
        <v>40</v>
      </c>
      <c r="N55" s="420">
        <v>8</v>
      </c>
      <c r="O55" s="420">
        <v>0</v>
      </c>
      <c r="P55" s="420">
        <v>0</v>
      </c>
      <c r="Q55" s="420">
        <v>296</v>
      </c>
      <c r="R55" s="420">
        <v>24</v>
      </c>
      <c r="S55" s="420">
        <v>0</v>
      </c>
      <c r="T55" s="420">
        <v>4</v>
      </c>
      <c r="U55" s="420">
        <v>452</v>
      </c>
      <c r="V55" s="420">
        <v>14</v>
      </c>
    </row>
    <row r="56" spans="1:22" s="395" customFormat="1" ht="17.600000000000001">
      <c r="A56" s="1377"/>
      <c r="B56" s="421" t="s">
        <v>100</v>
      </c>
      <c r="C56" s="420">
        <v>460</v>
      </c>
      <c r="D56" s="420">
        <v>220</v>
      </c>
      <c r="E56" s="420">
        <v>24</v>
      </c>
      <c r="F56" s="420">
        <v>16</v>
      </c>
      <c r="G56" s="420">
        <v>0</v>
      </c>
      <c r="H56" s="420">
        <v>130</v>
      </c>
      <c r="I56" s="420">
        <v>210</v>
      </c>
      <c r="J56" s="420">
        <v>56</v>
      </c>
      <c r="K56" s="420">
        <v>0</v>
      </c>
      <c r="L56" s="420">
        <v>50</v>
      </c>
      <c r="M56" s="420">
        <v>40</v>
      </c>
      <c r="N56" s="420">
        <v>8</v>
      </c>
      <c r="O56" s="420">
        <v>0</v>
      </c>
      <c r="P56" s="420">
        <v>0</v>
      </c>
      <c r="Q56" s="420">
        <v>282.82280000000003</v>
      </c>
      <c r="R56" s="420">
        <v>28</v>
      </c>
      <c r="S56" s="420">
        <v>2.846622</v>
      </c>
      <c r="T56" s="420">
        <v>20</v>
      </c>
      <c r="U56" s="420">
        <v>610</v>
      </c>
      <c r="V56" s="420">
        <v>18</v>
      </c>
    </row>
    <row r="57" spans="1:22" s="395" customFormat="1" ht="17.600000000000001">
      <c r="A57" s="1377"/>
      <c r="B57" s="421" t="s">
        <v>668</v>
      </c>
      <c r="C57" s="420">
        <v>480</v>
      </c>
      <c r="D57" s="420">
        <v>210</v>
      </c>
      <c r="E57" s="420">
        <v>24</v>
      </c>
      <c r="F57" s="420">
        <v>13</v>
      </c>
      <c r="G57" s="420">
        <v>0</v>
      </c>
      <c r="H57" s="420">
        <v>120</v>
      </c>
      <c r="I57" s="420">
        <v>310</v>
      </c>
      <c r="J57" s="420">
        <v>58</v>
      </c>
      <c r="K57" s="420">
        <v>0</v>
      </c>
      <c r="L57" s="420">
        <v>50</v>
      </c>
      <c r="M57" s="420">
        <v>32</v>
      </c>
      <c r="N57" s="420">
        <v>8</v>
      </c>
      <c r="O57" s="420">
        <v>0</v>
      </c>
      <c r="P57" s="420">
        <v>0</v>
      </c>
      <c r="Q57" s="420">
        <v>272</v>
      </c>
      <c r="R57" s="420">
        <v>20</v>
      </c>
      <c r="S57" s="420">
        <v>2</v>
      </c>
      <c r="T57" s="420">
        <v>12</v>
      </c>
      <c r="U57" s="420">
        <v>536</v>
      </c>
      <c r="V57" s="420">
        <v>12</v>
      </c>
    </row>
    <row r="58" spans="1:22" s="395" customFormat="1" ht="17.600000000000001">
      <c r="A58" s="1377"/>
      <c r="B58" s="421" t="s">
        <v>101</v>
      </c>
      <c r="C58" s="420">
        <v>480</v>
      </c>
      <c r="D58" s="420">
        <v>240</v>
      </c>
      <c r="E58" s="420">
        <v>24</v>
      </c>
      <c r="F58" s="420">
        <v>16</v>
      </c>
      <c r="G58" s="420">
        <v>0</v>
      </c>
      <c r="H58" s="420">
        <v>150</v>
      </c>
      <c r="I58" s="420">
        <v>290</v>
      </c>
      <c r="J58" s="420">
        <v>58</v>
      </c>
      <c r="K58" s="420">
        <v>0</v>
      </c>
      <c r="L58" s="420">
        <v>50</v>
      </c>
      <c r="M58" s="420">
        <v>42</v>
      </c>
      <c r="N58" s="420">
        <v>8</v>
      </c>
      <c r="O58" s="420">
        <v>0</v>
      </c>
      <c r="P58" s="420">
        <v>0</v>
      </c>
      <c r="Q58" s="420">
        <v>290.35160000000002</v>
      </c>
      <c r="R58" s="420">
        <v>28</v>
      </c>
      <c r="S58" s="420">
        <v>0.24952199999999999</v>
      </c>
      <c r="T58" s="420">
        <v>4</v>
      </c>
      <c r="U58" s="420">
        <v>450</v>
      </c>
      <c r="V58" s="420">
        <v>14</v>
      </c>
    </row>
    <row r="59" spans="1:22" s="395" customFormat="1" ht="17.600000000000001">
      <c r="A59" s="1377"/>
      <c r="B59" s="421" t="s">
        <v>669</v>
      </c>
      <c r="C59" s="420">
        <v>480</v>
      </c>
      <c r="D59" s="420">
        <v>210</v>
      </c>
      <c r="E59" s="420">
        <v>24</v>
      </c>
      <c r="F59" s="420">
        <v>16</v>
      </c>
      <c r="G59" s="420">
        <v>0</v>
      </c>
      <c r="H59" s="420">
        <v>150</v>
      </c>
      <c r="I59" s="420">
        <v>280</v>
      </c>
      <c r="J59" s="420">
        <v>62</v>
      </c>
      <c r="K59" s="420">
        <v>0</v>
      </c>
      <c r="L59" s="420">
        <v>54</v>
      </c>
      <c r="M59" s="420">
        <v>38</v>
      </c>
      <c r="N59" s="420">
        <v>8</v>
      </c>
      <c r="O59" s="420">
        <v>0</v>
      </c>
      <c r="P59" s="420">
        <v>0</v>
      </c>
      <c r="Q59" s="420">
        <v>277.3888</v>
      </c>
      <c r="R59" s="420">
        <v>28</v>
      </c>
      <c r="S59" s="420">
        <v>0.25139400000000001</v>
      </c>
      <c r="T59" s="420">
        <v>4</v>
      </c>
      <c r="U59" s="420">
        <v>450</v>
      </c>
      <c r="V59" s="420">
        <v>14</v>
      </c>
    </row>
    <row r="60" spans="1:22" s="395" customFormat="1" ht="17.600000000000001">
      <c r="A60" s="1377"/>
      <c r="B60" s="421" t="s">
        <v>670</v>
      </c>
      <c r="C60" s="420">
        <v>540</v>
      </c>
      <c r="D60" s="420">
        <v>270</v>
      </c>
      <c r="E60" s="420">
        <v>29</v>
      </c>
      <c r="F60" s="420">
        <v>16</v>
      </c>
      <c r="G60" s="420">
        <v>0</v>
      </c>
      <c r="H60" s="420">
        <v>160</v>
      </c>
      <c r="I60" s="420">
        <v>270</v>
      </c>
      <c r="J60" s="420">
        <v>58</v>
      </c>
      <c r="K60" s="420">
        <v>0</v>
      </c>
      <c r="L60" s="420">
        <v>50</v>
      </c>
      <c r="M60" s="420">
        <v>40</v>
      </c>
      <c r="N60" s="420">
        <v>10</v>
      </c>
      <c r="O60" s="420">
        <v>0</v>
      </c>
      <c r="P60" s="420">
        <v>0</v>
      </c>
      <c r="Q60" s="420">
        <v>314</v>
      </c>
      <c r="R60" s="420">
        <v>28</v>
      </c>
      <c r="S60" s="420">
        <v>0</v>
      </c>
      <c r="T60" s="420">
        <v>0</v>
      </c>
      <c r="U60" s="420">
        <v>486</v>
      </c>
      <c r="V60" s="420">
        <v>12</v>
      </c>
    </row>
    <row r="61" spans="1:22" s="395" customFormat="1" ht="17.600000000000001">
      <c r="A61" s="1377"/>
      <c r="B61" s="421" t="s">
        <v>357</v>
      </c>
      <c r="C61" s="420">
        <v>480</v>
      </c>
      <c r="D61" s="420">
        <v>220</v>
      </c>
      <c r="E61" s="420">
        <v>24</v>
      </c>
      <c r="F61" s="420">
        <v>16</v>
      </c>
      <c r="G61" s="420">
        <v>0</v>
      </c>
      <c r="H61" s="420">
        <v>120</v>
      </c>
      <c r="I61" s="420">
        <v>250</v>
      </c>
      <c r="J61" s="420">
        <v>62</v>
      </c>
      <c r="K61" s="420">
        <v>0</v>
      </c>
      <c r="L61" s="420">
        <v>54</v>
      </c>
      <c r="M61" s="420">
        <v>42</v>
      </c>
      <c r="N61" s="420">
        <v>8</v>
      </c>
      <c r="O61" s="420">
        <v>0</v>
      </c>
      <c r="P61" s="420">
        <v>0</v>
      </c>
      <c r="Q61" s="420">
        <v>271.73759999999999</v>
      </c>
      <c r="R61" s="420">
        <v>28</v>
      </c>
      <c r="S61" s="420">
        <v>2.8953480000000003</v>
      </c>
      <c r="T61" s="420">
        <v>20</v>
      </c>
      <c r="U61" s="420">
        <v>640</v>
      </c>
      <c r="V61" s="420">
        <v>18</v>
      </c>
    </row>
    <row r="62" spans="1:22" s="395" customFormat="1" ht="17.600000000000001">
      <c r="A62" s="1377"/>
      <c r="B62" s="421" t="s">
        <v>671</v>
      </c>
      <c r="C62" s="420">
        <v>480</v>
      </c>
      <c r="D62" s="420">
        <v>210</v>
      </c>
      <c r="E62" s="420">
        <v>24</v>
      </c>
      <c r="F62" s="420">
        <v>14</v>
      </c>
      <c r="G62" s="420">
        <v>0</v>
      </c>
      <c r="H62" s="420">
        <v>120</v>
      </c>
      <c r="I62" s="420">
        <v>280</v>
      </c>
      <c r="J62" s="420">
        <v>58</v>
      </c>
      <c r="K62" s="420">
        <v>0</v>
      </c>
      <c r="L62" s="420">
        <v>50</v>
      </c>
      <c r="M62" s="420">
        <v>38</v>
      </c>
      <c r="N62" s="420">
        <v>8</v>
      </c>
      <c r="O62" s="420">
        <v>0</v>
      </c>
      <c r="P62" s="420">
        <v>0</v>
      </c>
      <c r="Q62" s="420">
        <v>274.78359999999998</v>
      </c>
      <c r="R62" s="420">
        <v>28</v>
      </c>
      <c r="S62" s="420">
        <v>2.7453400000000001</v>
      </c>
      <c r="T62" s="420">
        <v>16</v>
      </c>
      <c r="U62" s="420">
        <v>590</v>
      </c>
      <c r="V62" s="420">
        <v>16</v>
      </c>
    </row>
    <row r="63" spans="1:22" s="395" customFormat="1" ht="17.600000000000001">
      <c r="A63" s="1377"/>
      <c r="B63" s="423" t="s">
        <v>672</v>
      </c>
      <c r="C63" s="420">
        <v>500</v>
      </c>
      <c r="D63" s="420">
        <v>270</v>
      </c>
      <c r="E63" s="420">
        <v>29</v>
      </c>
      <c r="F63" s="420">
        <v>14</v>
      </c>
      <c r="G63" s="420">
        <v>0</v>
      </c>
      <c r="H63" s="420">
        <v>120</v>
      </c>
      <c r="I63" s="420">
        <v>280</v>
      </c>
      <c r="J63" s="420">
        <v>54</v>
      </c>
      <c r="K63" s="420">
        <v>0</v>
      </c>
      <c r="L63" s="420">
        <v>48</v>
      </c>
      <c r="M63" s="420">
        <v>34</v>
      </c>
      <c r="N63" s="420">
        <v>10</v>
      </c>
      <c r="O63" s="420">
        <v>0</v>
      </c>
      <c r="P63" s="420">
        <v>0</v>
      </c>
      <c r="Q63" s="420">
        <v>286</v>
      </c>
      <c r="R63" s="420">
        <v>20</v>
      </c>
      <c r="S63" s="420">
        <v>2</v>
      </c>
      <c r="T63" s="420">
        <v>12</v>
      </c>
      <c r="U63" s="420">
        <v>624</v>
      </c>
      <c r="V63" s="420">
        <v>12</v>
      </c>
    </row>
    <row r="64" spans="1:22" s="395" customFormat="1" ht="17.600000000000001">
      <c r="A64" s="1377"/>
      <c r="B64" s="421" t="s">
        <v>104</v>
      </c>
      <c r="C64" s="420">
        <v>460</v>
      </c>
      <c r="D64" s="420">
        <v>220</v>
      </c>
      <c r="E64" s="420">
        <v>24</v>
      </c>
      <c r="F64" s="420">
        <v>16</v>
      </c>
      <c r="G64" s="420">
        <v>0</v>
      </c>
      <c r="H64" s="420">
        <v>170</v>
      </c>
      <c r="I64" s="420">
        <v>290</v>
      </c>
      <c r="J64" s="420">
        <v>50</v>
      </c>
      <c r="K64" s="420">
        <v>0</v>
      </c>
      <c r="L64" s="420">
        <v>42</v>
      </c>
      <c r="M64" s="420">
        <v>32</v>
      </c>
      <c r="N64" s="420">
        <v>8</v>
      </c>
      <c r="O64" s="420">
        <v>0</v>
      </c>
      <c r="P64" s="420">
        <v>0</v>
      </c>
      <c r="Q64" s="420">
        <v>314.53480000000002</v>
      </c>
      <c r="R64" s="420">
        <v>28</v>
      </c>
      <c r="S64" s="420">
        <v>1.4326E-2</v>
      </c>
      <c r="T64" s="420">
        <v>0</v>
      </c>
      <c r="U64" s="420">
        <v>430</v>
      </c>
      <c r="V64" s="420">
        <v>14</v>
      </c>
    </row>
    <row r="65" spans="1:22" s="395" customFormat="1" ht="17.600000000000001">
      <c r="A65" s="1377"/>
      <c r="B65" s="422" t="s">
        <v>673</v>
      </c>
      <c r="C65" s="420">
        <v>480</v>
      </c>
      <c r="D65" s="420">
        <v>240</v>
      </c>
      <c r="E65" s="420">
        <v>26</v>
      </c>
      <c r="F65" s="420">
        <v>16</v>
      </c>
      <c r="G65" s="420">
        <v>0</v>
      </c>
      <c r="H65" s="420">
        <v>160</v>
      </c>
      <c r="I65" s="420">
        <v>350</v>
      </c>
      <c r="J65" s="420">
        <v>56</v>
      </c>
      <c r="K65" s="420">
        <v>0</v>
      </c>
      <c r="L65" s="420">
        <v>46</v>
      </c>
      <c r="M65" s="420">
        <v>30</v>
      </c>
      <c r="N65" s="420">
        <v>8</v>
      </c>
      <c r="O65" s="420">
        <v>0</v>
      </c>
      <c r="P65" s="420">
        <v>0</v>
      </c>
      <c r="Q65" s="420">
        <v>296.22980000000001</v>
      </c>
      <c r="R65" s="420">
        <v>28</v>
      </c>
      <c r="S65" s="420">
        <v>0.17930599999999999</v>
      </c>
      <c r="T65" s="420">
        <v>4</v>
      </c>
      <c r="U65" s="420">
        <v>400</v>
      </c>
      <c r="V65" s="420">
        <v>10</v>
      </c>
    </row>
    <row r="66" spans="1:22" s="395" customFormat="1" ht="17.600000000000001">
      <c r="A66" s="1377"/>
      <c r="B66" s="422" t="s">
        <v>674</v>
      </c>
      <c r="C66" s="420">
        <v>500</v>
      </c>
      <c r="D66" s="420">
        <v>240</v>
      </c>
      <c r="E66" s="420">
        <v>27</v>
      </c>
      <c r="F66" s="420">
        <v>16</v>
      </c>
      <c r="G66" s="420">
        <v>0</v>
      </c>
      <c r="H66" s="420">
        <v>160</v>
      </c>
      <c r="I66" s="420">
        <v>330</v>
      </c>
      <c r="J66" s="420">
        <v>56</v>
      </c>
      <c r="K66" s="420">
        <v>0</v>
      </c>
      <c r="L66" s="420">
        <v>48</v>
      </c>
      <c r="M66" s="420">
        <v>38</v>
      </c>
      <c r="N66" s="420">
        <v>8</v>
      </c>
      <c r="O66" s="420">
        <v>0</v>
      </c>
      <c r="P66" s="420">
        <v>0</v>
      </c>
      <c r="Q66" s="420">
        <v>304.05840000000001</v>
      </c>
      <c r="R66" s="420">
        <v>28</v>
      </c>
      <c r="S66" s="420">
        <v>5.8153999999999997E-2</v>
      </c>
      <c r="T66" s="420">
        <v>0</v>
      </c>
      <c r="U66" s="420">
        <v>420</v>
      </c>
      <c r="V66" s="420">
        <v>12</v>
      </c>
    </row>
    <row r="67" spans="1:22" s="395" customFormat="1" ht="17.600000000000001">
      <c r="A67" s="1377"/>
      <c r="B67" s="422" t="s">
        <v>675</v>
      </c>
      <c r="C67" s="420">
        <v>460</v>
      </c>
      <c r="D67" s="420">
        <v>210</v>
      </c>
      <c r="E67" s="420">
        <v>22</v>
      </c>
      <c r="F67" s="420">
        <v>14</v>
      </c>
      <c r="G67" s="420">
        <v>0</v>
      </c>
      <c r="H67" s="420">
        <v>150</v>
      </c>
      <c r="I67" s="420">
        <v>250</v>
      </c>
      <c r="J67" s="420">
        <v>56</v>
      </c>
      <c r="K67" s="420">
        <v>0</v>
      </c>
      <c r="L67" s="420">
        <v>50</v>
      </c>
      <c r="M67" s="420">
        <v>30</v>
      </c>
      <c r="N67" s="420">
        <v>8</v>
      </c>
      <c r="O67" s="420">
        <v>0</v>
      </c>
      <c r="P67" s="420">
        <v>0</v>
      </c>
      <c r="Q67" s="420">
        <v>280.17340000000002</v>
      </c>
      <c r="R67" s="420">
        <v>28</v>
      </c>
      <c r="S67" s="420">
        <v>0.11239200000000001</v>
      </c>
      <c r="T67" s="420">
        <v>0</v>
      </c>
      <c r="U67" s="420">
        <v>400</v>
      </c>
      <c r="V67" s="420">
        <v>10</v>
      </c>
    </row>
    <row r="68" spans="1:22" s="395" customFormat="1" ht="17.600000000000001">
      <c r="A68" s="1377"/>
      <c r="B68" s="421" t="s">
        <v>676</v>
      </c>
      <c r="C68" s="420">
        <v>500</v>
      </c>
      <c r="D68" s="420">
        <v>240</v>
      </c>
      <c r="E68" s="420">
        <v>27</v>
      </c>
      <c r="F68" s="420">
        <v>16</v>
      </c>
      <c r="G68" s="420">
        <v>0</v>
      </c>
      <c r="H68" s="420">
        <v>160</v>
      </c>
      <c r="I68" s="420">
        <v>330</v>
      </c>
      <c r="J68" s="420">
        <v>56</v>
      </c>
      <c r="K68" s="420">
        <v>0</v>
      </c>
      <c r="L68" s="420">
        <v>48</v>
      </c>
      <c r="M68" s="420">
        <v>30</v>
      </c>
      <c r="N68" s="420">
        <v>8</v>
      </c>
      <c r="O68" s="420">
        <v>0</v>
      </c>
      <c r="P68" s="420">
        <v>0</v>
      </c>
      <c r="Q68" s="420">
        <v>288</v>
      </c>
      <c r="R68" s="420">
        <v>28</v>
      </c>
      <c r="S68" s="420">
        <v>0.147896</v>
      </c>
      <c r="T68" s="420">
        <v>4</v>
      </c>
      <c r="U68" s="420">
        <v>400</v>
      </c>
      <c r="V68" s="420">
        <v>10</v>
      </c>
    </row>
    <row r="69" spans="1:22" s="395" customFormat="1" ht="17.600000000000001">
      <c r="A69" s="1377"/>
      <c r="B69" s="421" t="s">
        <v>105</v>
      </c>
      <c r="C69" s="420">
        <v>500</v>
      </c>
      <c r="D69" s="420">
        <v>240</v>
      </c>
      <c r="E69" s="420">
        <v>27</v>
      </c>
      <c r="F69" s="420">
        <v>16</v>
      </c>
      <c r="G69" s="420">
        <v>0</v>
      </c>
      <c r="H69" s="420">
        <v>160</v>
      </c>
      <c r="I69" s="420">
        <v>360</v>
      </c>
      <c r="J69" s="420">
        <v>58</v>
      </c>
      <c r="K69" s="420">
        <v>0</v>
      </c>
      <c r="L69" s="420">
        <v>48</v>
      </c>
      <c r="M69" s="420">
        <v>30</v>
      </c>
      <c r="N69" s="420">
        <v>8</v>
      </c>
      <c r="O69" s="420">
        <v>0</v>
      </c>
      <c r="P69" s="420">
        <v>0</v>
      </c>
      <c r="Q69" s="420">
        <v>290.71379999999999</v>
      </c>
      <c r="R69" s="420">
        <v>28</v>
      </c>
      <c r="S69" s="420">
        <v>0.25389600000000001</v>
      </c>
      <c r="T69" s="420">
        <v>4</v>
      </c>
      <c r="U69" s="420">
        <v>400</v>
      </c>
      <c r="V69" s="420">
        <v>10</v>
      </c>
    </row>
    <row r="70" spans="1:22" s="395" customFormat="1" ht="17.600000000000001">
      <c r="A70" s="1377"/>
      <c r="B70" s="421" t="s">
        <v>137</v>
      </c>
      <c r="C70" s="420">
        <v>460</v>
      </c>
      <c r="D70" s="420">
        <v>210</v>
      </c>
      <c r="E70" s="420">
        <v>24</v>
      </c>
      <c r="F70" s="420">
        <v>16</v>
      </c>
      <c r="G70" s="420">
        <v>0</v>
      </c>
      <c r="H70" s="420">
        <v>160</v>
      </c>
      <c r="I70" s="420">
        <v>280</v>
      </c>
      <c r="J70" s="420">
        <v>50</v>
      </c>
      <c r="K70" s="420">
        <v>0</v>
      </c>
      <c r="L70" s="420">
        <v>46</v>
      </c>
      <c r="M70" s="420">
        <v>32</v>
      </c>
      <c r="N70" s="420">
        <v>8</v>
      </c>
      <c r="O70" s="420">
        <v>0</v>
      </c>
      <c r="P70" s="420">
        <v>0</v>
      </c>
      <c r="Q70" s="420">
        <v>309.584</v>
      </c>
      <c r="R70" s="420">
        <v>28</v>
      </c>
      <c r="S70" s="420">
        <v>2.5999999999999998E-5</v>
      </c>
      <c r="T70" s="420">
        <v>0</v>
      </c>
      <c r="U70" s="420">
        <v>430</v>
      </c>
      <c r="V70" s="420">
        <v>14</v>
      </c>
    </row>
    <row r="71" spans="1:22" s="395" customFormat="1" ht="17.600000000000001">
      <c r="A71" s="1377"/>
      <c r="B71" s="421" t="s">
        <v>108</v>
      </c>
      <c r="C71" s="420">
        <v>500</v>
      </c>
      <c r="D71" s="420">
        <v>240</v>
      </c>
      <c r="E71" s="420">
        <v>26</v>
      </c>
      <c r="F71" s="420">
        <v>16</v>
      </c>
      <c r="G71" s="420">
        <v>0</v>
      </c>
      <c r="H71" s="420">
        <v>160</v>
      </c>
      <c r="I71" s="420">
        <v>280</v>
      </c>
      <c r="J71" s="420">
        <v>58</v>
      </c>
      <c r="K71" s="420">
        <v>0</v>
      </c>
      <c r="L71" s="420">
        <v>48</v>
      </c>
      <c r="M71" s="420">
        <v>32</v>
      </c>
      <c r="N71" s="420">
        <v>8</v>
      </c>
      <c r="O71" s="420">
        <v>0</v>
      </c>
      <c r="P71" s="420">
        <v>0</v>
      </c>
      <c r="Q71" s="420">
        <v>288.05799999999999</v>
      </c>
      <c r="R71" s="420">
        <v>28</v>
      </c>
      <c r="S71" s="420">
        <v>4.7635999999999998E-2</v>
      </c>
      <c r="T71" s="420">
        <v>0</v>
      </c>
      <c r="U71" s="420">
        <v>400</v>
      </c>
      <c r="V71" s="420">
        <v>10</v>
      </c>
    </row>
    <row r="72" spans="1:22" s="395" customFormat="1" ht="17.600000000000001">
      <c r="A72" s="1377"/>
      <c r="B72" s="421" t="s">
        <v>109</v>
      </c>
      <c r="C72" s="420">
        <v>480</v>
      </c>
      <c r="D72" s="420">
        <v>240</v>
      </c>
      <c r="E72" s="420">
        <v>26</v>
      </c>
      <c r="F72" s="420">
        <v>16</v>
      </c>
      <c r="G72" s="420">
        <v>0</v>
      </c>
      <c r="H72" s="420">
        <v>150</v>
      </c>
      <c r="I72" s="420">
        <v>270</v>
      </c>
      <c r="J72" s="420">
        <v>58</v>
      </c>
      <c r="K72" s="420">
        <v>0</v>
      </c>
      <c r="L72" s="420">
        <v>50</v>
      </c>
      <c r="M72" s="420">
        <v>30</v>
      </c>
      <c r="N72" s="420">
        <v>8</v>
      </c>
      <c r="O72" s="420">
        <v>0</v>
      </c>
      <c r="P72" s="420">
        <v>0</v>
      </c>
      <c r="Q72" s="420">
        <v>290.47860000000003</v>
      </c>
      <c r="R72" s="420">
        <v>28</v>
      </c>
      <c r="S72" s="420">
        <v>2.7015999999999998E-2</v>
      </c>
      <c r="T72" s="420">
        <v>0</v>
      </c>
      <c r="U72" s="420">
        <v>370</v>
      </c>
      <c r="V72" s="420">
        <v>10</v>
      </c>
    </row>
    <row r="73" spans="1:22" s="395" customFormat="1" ht="17.600000000000001">
      <c r="A73" s="1377"/>
      <c r="B73" s="421" t="s">
        <v>677</v>
      </c>
      <c r="C73" s="420">
        <v>460</v>
      </c>
      <c r="D73" s="420">
        <v>220</v>
      </c>
      <c r="E73" s="420">
        <v>24</v>
      </c>
      <c r="F73" s="420">
        <v>16</v>
      </c>
      <c r="G73" s="420">
        <v>0</v>
      </c>
      <c r="H73" s="420">
        <v>170</v>
      </c>
      <c r="I73" s="420">
        <v>280</v>
      </c>
      <c r="J73" s="420">
        <v>48</v>
      </c>
      <c r="K73" s="420">
        <v>0</v>
      </c>
      <c r="L73" s="420">
        <v>42</v>
      </c>
      <c r="M73" s="420">
        <v>32</v>
      </c>
      <c r="N73" s="420">
        <v>8</v>
      </c>
      <c r="O73" s="420">
        <v>0</v>
      </c>
      <c r="P73" s="420">
        <v>0</v>
      </c>
      <c r="Q73" s="420">
        <v>312.16539999999998</v>
      </c>
      <c r="R73" s="420">
        <v>28</v>
      </c>
      <c r="S73" s="420">
        <v>3.6200000000000002E-4</v>
      </c>
      <c r="T73" s="420">
        <v>0</v>
      </c>
      <c r="U73" s="420">
        <v>430</v>
      </c>
      <c r="V73" s="420">
        <v>14</v>
      </c>
    </row>
    <row r="74" spans="1:22" s="395" customFormat="1" ht="17.600000000000001">
      <c r="A74" s="1377"/>
      <c r="B74" s="421" t="s">
        <v>359</v>
      </c>
      <c r="C74" s="420">
        <v>480</v>
      </c>
      <c r="D74" s="420">
        <v>240</v>
      </c>
      <c r="E74" s="420">
        <v>27</v>
      </c>
      <c r="F74" s="420">
        <v>16</v>
      </c>
      <c r="G74" s="420">
        <v>0</v>
      </c>
      <c r="H74" s="420">
        <v>160</v>
      </c>
      <c r="I74" s="420">
        <v>270</v>
      </c>
      <c r="J74" s="420">
        <v>56</v>
      </c>
      <c r="K74" s="420">
        <v>0</v>
      </c>
      <c r="L74" s="420">
        <v>48</v>
      </c>
      <c r="M74" s="420">
        <v>38</v>
      </c>
      <c r="N74" s="420">
        <v>8</v>
      </c>
      <c r="O74" s="420">
        <v>0</v>
      </c>
      <c r="P74" s="420">
        <v>0</v>
      </c>
      <c r="Q74" s="420">
        <v>301.05540000000002</v>
      </c>
      <c r="R74" s="420">
        <v>28</v>
      </c>
      <c r="S74" s="420">
        <v>0.26657799999999998</v>
      </c>
      <c r="T74" s="420">
        <v>4</v>
      </c>
      <c r="U74" s="420">
        <v>450</v>
      </c>
      <c r="V74" s="420">
        <v>14</v>
      </c>
    </row>
    <row r="75" spans="1:22" s="395" customFormat="1" ht="17.600000000000001">
      <c r="A75" s="1377"/>
      <c r="B75" s="421" t="s">
        <v>678</v>
      </c>
      <c r="C75" s="420">
        <v>480</v>
      </c>
      <c r="D75" s="420">
        <v>240</v>
      </c>
      <c r="E75" s="420">
        <v>26</v>
      </c>
      <c r="F75" s="420">
        <v>16</v>
      </c>
      <c r="G75" s="420">
        <v>0</v>
      </c>
      <c r="H75" s="420">
        <v>160</v>
      </c>
      <c r="I75" s="420">
        <v>330</v>
      </c>
      <c r="J75" s="420">
        <v>56</v>
      </c>
      <c r="K75" s="420">
        <v>0</v>
      </c>
      <c r="L75" s="420">
        <v>46</v>
      </c>
      <c r="M75" s="420">
        <v>30</v>
      </c>
      <c r="N75" s="420">
        <v>8</v>
      </c>
      <c r="O75" s="420">
        <v>0</v>
      </c>
      <c r="P75" s="420">
        <v>0</v>
      </c>
      <c r="Q75" s="420">
        <v>295.88139999999999</v>
      </c>
      <c r="R75" s="420">
        <v>28</v>
      </c>
      <c r="S75" s="420">
        <v>0.166072</v>
      </c>
      <c r="T75" s="420">
        <v>4</v>
      </c>
      <c r="U75" s="420">
        <v>400</v>
      </c>
      <c r="V75" s="420">
        <v>10</v>
      </c>
    </row>
    <row r="76" spans="1:22" s="395" customFormat="1" ht="17.600000000000001">
      <c r="A76" s="1377"/>
      <c r="B76" s="421" t="s">
        <v>112</v>
      </c>
      <c r="C76" s="420">
        <v>460</v>
      </c>
      <c r="D76" s="420">
        <v>210</v>
      </c>
      <c r="E76" s="420">
        <v>24</v>
      </c>
      <c r="F76" s="420">
        <v>16</v>
      </c>
      <c r="G76" s="420">
        <v>0</v>
      </c>
      <c r="H76" s="420">
        <v>160</v>
      </c>
      <c r="I76" s="420">
        <v>280</v>
      </c>
      <c r="J76" s="420">
        <v>50</v>
      </c>
      <c r="K76" s="420">
        <v>0</v>
      </c>
      <c r="L76" s="420">
        <v>46</v>
      </c>
      <c r="M76" s="420">
        <v>32</v>
      </c>
      <c r="N76" s="420">
        <v>8</v>
      </c>
      <c r="O76" s="420">
        <v>0</v>
      </c>
      <c r="P76" s="420">
        <v>0</v>
      </c>
      <c r="Q76" s="420">
        <v>309.57220000000001</v>
      </c>
      <c r="R76" s="420">
        <v>28</v>
      </c>
      <c r="S76" s="420">
        <v>7.54E-4</v>
      </c>
      <c r="T76" s="420">
        <v>0</v>
      </c>
      <c r="U76" s="420">
        <v>430</v>
      </c>
      <c r="V76" s="420">
        <v>14</v>
      </c>
    </row>
    <row r="77" spans="1:22" s="395" customFormat="1" ht="17.600000000000001">
      <c r="A77" s="1377"/>
      <c r="B77" s="421" t="s">
        <v>679</v>
      </c>
      <c r="C77" s="420">
        <v>480</v>
      </c>
      <c r="D77" s="420">
        <v>220</v>
      </c>
      <c r="E77" s="420">
        <v>24</v>
      </c>
      <c r="F77" s="420">
        <v>16</v>
      </c>
      <c r="G77" s="420">
        <v>0</v>
      </c>
      <c r="H77" s="420">
        <v>160</v>
      </c>
      <c r="I77" s="420">
        <v>310</v>
      </c>
      <c r="J77" s="420">
        <v>56</v>
      </c>
      <c r="K77" s="420">
        <v>0</v>
      </c>
      <c r="L77" s="420">
        <v>48</v>
      </c>
      <c r="M77" s="420">
        <v>34</v>
      </c>
      <c r="N77" s="420">
        <v>8</v>
      </c>
      <c r="O77" s="420">
        <v>0</v>
      </c>
      <c r="P77" s="420">
        <v>0</v>
      </c>
      <c r="Q77" s="420">
        <v>295.71600000000001</v>
      </c>
      <c r="R77" s="420">
        <v>24</v>
      </c>
      <c r="S77" s="420">
        <v>0.33179999999999998</v>
      </c>
      <c r="T77" s="420">
        <v>0</v>
      </c>
      <c r="U77" s="420">
        <v>402</v>
      </c>
      <c r="V77" s="420">
        <v>12</v>
      </c>
    </row>
    <row r="78" spans="1:22" s="395" customFormat="1" ht="17.600000000000001">
      <c r="A78" s="1377"/>
      <c r="B78" s="421" t="s">
        <v>360</v>
      </c>
      <c r="C78" s="420">
        <v>480</v>
      </c>
      <c r="D78" s="420">
        <v>240</v>
      </c>
      <c r="E78" s="420">
        <v>27</v>
      </c>
      <c r="F78" s="420">
        <v>16</v>
      </c>
      <c r="G78" s="420">
        <v>0</v>
      </c>
      <c r="H78" s="420">
        <v>160</v>
      </c>
      <c r="I78" s="420">
        <v>320</v>
      </c>
      <c r="J78" s="420">
        <v>50</v>
      </c>
      <c r="K78" s="420">
        <v>0</v>
      </c>
      <c r="L78" s="420">
        <v>42</v>
      </c>
      <c r="M78" s="420">
        <v>32</v>
      </c>
      <c r="N78" s="420">
        <v>10</v>
      </c>
      <c r="O78" s="420">
        <v>0</v>
      </c>
      <c r="P78" s="420">
        <v>0</v>
      </c>
      <c r="Q78" s="420">
        <v>309.2192</v>
      </c>
      <c r="R78" s="420">
        <v>28</v>
      </c>
      <c r="S78" s="420">
        <v>6.2553999999999998E-2</v>
      </c>
      <c r="T78" s="420">
        <v>0</v>
      </c>
      <c r="U78" s="420">
        <v>480</v>
      </c>
      <c r="V78" s="420">
        <v>14</v>
      </c>
    </row>
    <row r="79" spans="1:22" s="395" customFormat="1" ht="17.600000000000001">
      <c r="A79" s="1377"/>
      <c r="B79" s="421" t="s">
        <v>159</v>
      </c>
      <c r="C79" s="420">
        <v>480</v>
      </c>
      <c r="D79" s="420">
        <v>240</v>
      </c>
      <c r="E79" s="420">
        <v>27</v>
      </c>
      <c r="F79" s="420">
        <v>16</v>
      </c>
      <c r="G79" s="420">
        <v>0</v>
      </c>
      <c r="H79" s="420">
        <v>150</v>
      </c>
      <c r="I79" s="420">
        <v>290</v>
      </c>
      <c r="J79" s="420">
        <v>54</v>
      </c>
      <c r="K79" s="420">
        <v>0</v>
      </c>
      <c r="L79" s="420">
        <v>46</v>
      </c>
      <c r="M79" s="420">
        <v>32</v>
      </c>
      <c r="N79" s="420">
        <v>10</v>
      </c>
      <c r="O79" s="420">
        <v>0</v>
      </c>
      <c r="P79" s="420">
        <v>0</v>
      </c>
      <c r="Q79" s="420">
        <v>286</v>
      </c>
      <c r="R79" s="420">
        <v>20</v>
      </c>
      <c r="S79" s="420">
        <v>0</v>
      </c>
      <c r="T79" s="420">
        <v>0</v>
      </c>
      <c r="U79" s="420">
        <v>446</v>
      </c>
      <c r="V79" s="420">
        <v>12</v>
      </c>
    </row>
    <row r="80" spans="1:22" s="395" customFormat="1" ht="17.600000000000001">
      <c r="A80" s="1377"/>
      <c r="B80" s="421" t="s">
        <v>680</v>
      </c>
      <c r="C80" s="420">
        <v>500</v>
      </c>
      <c r="D80" s="420">
        <v>240</v>
      </c>
      <c r="E80" s="420">
        <v>26</v>
      </c>
      <c r="F80" s="420">
        <v>16</v>
      </c>
      <c r="G80" s="420">
        <v>0</v>
      </c>
      <c r="H80" s="420">
        <v>160</v>
      </c>
      <c r="I80" s="420">
        <v>280</v>
      </c>
      <c r="J80" s="420">
        <v>62</v>
      </c>
      <c r="K80" s="420">
        <v>0</v>
      </c>
      <c r="L80" s="420">
        <v>50</v>
      </c>
      <c r="M80" s="420">
        <v>32</v>
      </c>
      <c r="N80" s="420">
        <v>8</v>
      </c>
      <c r="O80" s="420">
        <v>0</v>
      </c>
      <c r="P80" s="420">
        <v>0</v>
      </c>
      <c r="Q80" s="420">
        <v>285.22000000000003</v>
      </c>
      <c r="R80" s="420">
        <v>28</v>
      </c>
      <c r="S80" s="420">
        <v>5.0113999999999999E-2</v>
      </c>
      <c r="T80" s="420">
        <v>0</v>
      </c>
      <c r="U80" s="420">
        <v>400</v>
      </c>
      <c r="V80" s="420">
        <v>10</v>
      </c>
    </row>
    <row r="81" spans="1:28" s="395" customFormat="1" ht="17.600000000000001">
      <c r="A81" s="1377"/>
      <c r="B81" s="421" t="s">
        <v>118</v>
      </c>
      <c r="C81" s="420">
        <v>460</v>
      </c>
      <c r="D81" s="420">
        <v>210</v>
      </c>
      <c r="E81" s="420">
        <v>24</v>
      </c>
      <c r="F81" s="420">
        <v>16</v>
      </c>
      <c r="G81" s="420">
        <v>0</v>
      </c>
      <c r="H81" s="420">
        <v>160</v>
      </c>
      <c r="I81" s="420">
        <v>280</v>
      </c>
      <c r="J81" s="420">
        <v>54</v>
      </c>
      <c r="K81" s="420">
        <v>0</v>
      </c>
      <c r="L81" s="420">
        <v>46</v>
      </c>
      <c r="M81" s="420">
        <v>34</v>
      </c>
      <c r="N81" s="420">
        <v>8</v>
      </c>
      <c r="O81" s="420">
        <v>0</v>
      </c>
      <c r="P81" s="420">
        <v>0</v>
      </c>
      <c r="Q81" s="420">
        <v>306.72860000000003</v>
      </c>
      <c r="R81" s="420">
        <v>28</v>
      </c>
      <c r="S81" s="420">
        <v>2.1919999999999999E-3</v>
      </c>
      <c r="T81" s="420">
        <v>0</v>
      </c>
      <c r="U81" s="420">
        <v>420</v>
      </c>
      <c r="V81" s="420">
        <v>12</v>
      </c>
    </row>
    <row r="82" spans="1:28" s="395" customFormat="1" ht="17.600000000000001">
      <c r="A82" s="1377"/>
      <c r="B82" s="421" t="s">
        <v>130</v>
      </c>
      <c r="C82" s="420">
        <v>460</v>
      </c>
      <c r="D82" s="420">
        <v>220</v>
      </c>
      <c r="E82" s="420">
        <v>24</v>
      </c>
      <c r="F82" s="420">
        <v>16</v>
      </c>
      <c r="G82" s="420">
        <v>0</v>
      </c>
      <c r="H82" s="420">
        <v>170</v>
      </c>
      <c r="I82" s="420">
        <v>280</v>
      </c>
      <c r="J82" s="420">
        <v>50</v>
      </c>
      <c r="K82" s="420">
        <v>0</v>
      </c>
      <c r="L82" s="420">
        <v>42</v>
      </c>
      <c r="M82" s="420">
        <v>32</v>
      </c>
      <c r="N82" s="420">
        <v>8</v>
      </c>
      <c r="O82" s="420">
        <v>0</v>
      </c>
      <c r="P82" s="420">
        <v>0</v>
      </c>
      <c r="Q82" s="420">
        <v>312.2724</v>
      </c>
      <c r="R82" s="420">
        <v>28</v>
      </c>
      <c r="S82" s="420">
        <v>1.864E-3</v>
      </c>
      <c r="T82" s="420">
        <v>0</v>
      </c>
      <c r="U82" s="420">
        <v>430</v>
      </c>
      <c r="V82" s="420">
        <v>14</v>
      </c>
    </row>
    <row r="83" spans="1:28" s="395" customFormat="1" ht="17.600000000000001">
      <c r="A83" s="1378"/>
      <c r="B83" s="421" t="s">
        <v>681</v>
      </c>
      <c r="C83" s="420">
        <v>480</v>
      </c>
      <c r="D83" s="420">
        <v>210</v>
      </c>
      <c r="E83" s="420">
        <v>24</v>
      </c>
      <c r="F83" s="420">
        <v>13</v>
      </c>
      <c r="G83" s="420">
        <v>0</v>
      </c>
      <c r="H83" s="420">
        <v>110</v>
      </c>
      <c r="I83" s="420">
        <v>150</v>
      </c>
      <c r="J83" s="420">
        <v>62</v>
      </c>
      <c r="K83" s="420">
        <v>0</v>
      </c>
      <c r="L83" s="420">
        <v>58</v>
      </c>
      <c r="M83" s="420">
        <v>22</v>
      </c>
      <c r="N83" s="420">
        <v>10</v>
      </c>
      <c r="O83" s="420">
        <v>0</v>
      </c>
      <c r="P83" s="420">
        <v>0</v>
      </c>
      <c r="Q83" s="420">
        <v>226.92660000000001</v>
      </c>
      <c r="R83" s="420">
        <v>20</v>
      </c>
      <c r="S83" s="420">
        <v>0.122208</v>
      </c>
      <c r="T83" s="420">
        <v>4</v>
      </c>
      <c r="U83" s="420">
        <v>250</v>
      </c>
      <c r="V83" s="420">
        <v>8</v>
      </c>
    </row>
    <row r="84" spans="1:28" s="395" customFormat="1" ht="15.75" customHeight="1">
      <c r="A84" s="1379" t="s">
        <v>683</v>
      </c>
      <c r="B84" s="418" t="s">
        <v>573</v>
      </c>
      <c r="C84" s="417">
        <v>240</v>
      </c>
      <c r="D84" s="417">
        <v>110</v>
      </c>
      <c r="E84" s="417">
        <v>13</v>
      </c>
      <c r="F84" s="417">
        <v>8</v>
      </c>
      <c r="G84" s="417">
        <v>0</v>
      </c>
      <c r="H84" s="417">
        <v>75</v>
      </c>
      <c r="I84" s="417">
        <v>130</v>
      </c>
      <c r="J84" s="417">
        <v>28</v>
      </c>
      <c r="K84" s="417">
        <v>0</v>
      </c>
      <c r="L84" s="417">
        <v>26</v>
      </c>
      <c r="M84" s="417">
        <v>19</v>
      </c>
      <c r="N84" s="417">
        <v>5</v>
      </c>
      <c r="O84" s="417">
        <v>0</v>
      </c>
      <c r="P84" s="417">
        <v>0</v>
      </c>
      <c r="Q84" s="417">
        <v>165.845</v>
      </c>
      <c r="R84" s="417">
        <v>15</v>
      </c>
      <c r="S84" s="417">
        <v>1.3777900000000001</v>
      </c>
      <c r="T84" s="417">
        <v>8</v>
      </c>
      <c r="U84" s="417">
        <v>330</v>
      </c>
      <c r="V84" s="417">
        <v>9</v>
      </c>
    </row>
    <row r="85" spans="1:28" s="395" customFormat="1" ht="17.600000000000001">
      <c r="A85" s="1379"/>
      <c r="B85" s="418" t="s">
        <v>574</v>
      </c>
      <c r="C85" s="417">
        <v>260</v>
      </c>
      <c r="D85" s="417">
        <v>130</v>
      </c>
      <c r="E85" s="417">
        <v>14</v>
      </c>
      <c r="F85" s="417">
        <v>9</v>
      </c>
      <c r="G85" s="417">
        <v>0</v>
      </c>
      <c r="H85" s="417">
        <v>95</v>
      </c>
      <c r="I85" s="417">
        <v>160</v>
      </c>
      <c r="J85" s="417">
        <v>28</v>
      </c>
      <c r="K85" s="417">
        <v>0</v>
      </c>
      <c r="L85" s="417">
        <v>24</v>
      </c>
      <c r="M85" s="417">
        <v>18</v>
      </c>
      <c r="N85" s="417">
        <v>5</v>
      </c>
      <c r="O85" s="417">
        <v>0</v>
      </c>
      <c r="P85" s="417">
        <v>0</v>
      </c>
      <c r="Q85" s="417">
        <v>178.602</v>
      </c>
      <c r="R85" s="417">
        <v>20</v>
      </c>
      <c r="S85" s="417">
        <v>0</v>
      </c>
      <c r="T85" s="417">
        <v>0</v>
      </c>
      <c r="U85" s="417">
        <v>240</v>
      </c>
      <c r="V85" s="417">
        <v>7</v>
      </c>
    </row>
    <row r="86" spans="1:28" s="395" customFormat="1" ht="17.600000000000001">
      <c r="A86" s="1379"/>
      <c r="B86" s="418" t="s">
        <v>356</v>
      </c>
      <c r="C86" s="417">
        <v>250</v>
      </c>
      <c r="D86" s="417">
        <v>120</v>
      </c>
      <c r="E86" s="417">
        <v>14</v>
      </c>
      <c r="F86" s="417">
        <v>9</v>
      </c>
      <c r="G86" s="417">
        <v>0</v>
      </c>
      <c r="H86" s="417">
        <v>95</v>
      </c>
      <c r="I86" s="417">
        <v>160</v>
      </c>
      <c r="J86" s="417">
        <v>28</v>
      </c>
      <c r="K86" s="417">
        <v>0</v>
      </c>
      <c r="L86" s="417">
        <v>24</v>
      </c>
      <c r="M86" s="417">
        <v>17</v>
      </c>
      <c r="N86" s="417">
        <v>5</v>
      </c>
      <c r="O86" s="417">
        <v>0</v>
      </c>
      <c r="P86" s="417">
        <v>0</v>
      </c>
      <c r="Q86" s="417">
        <v>174.83699999999999</v>
      </c>
      <c r="R86" s="417">
        <v>15</v>
      </c>
      <c r="S86" s="417">
        <v>2.627E-3</v>
      </c>
      <c r="T86" s="417">
        <v>0</v>
      </c>
      <c r="U86" s="417">
        <v>240</v>
      </c>
      <c r="V86" s="417">
        <v>7</v>
      </c>
    </row>
    <row r="87" spans="1:28" s="395" customFormat="1" ht="17.600000000000001">
      <c r="A87" s="1379"/>
      <c r="B87" s="418" t="s">
        <v>373</v>
      </c>
      <c r="C87" s="417">
        <v>250</v>
      </c>
      <c r="D87" s="417">
        <v>120</v>
      </c>
      <c r="E87" s="417">
        <v>14</v>
      </c>
      <c r="F87" s="417">
        <v>9</v>
      </c>
      <c r="G87" s="417">
        <v>0</v>
      </c>
      <c r="H87" s="417">
        <v>95</v>
      </c>
      <c r="I87" s="417">
        <v>160</v>
      </c>
      <c r="J87" s="417">
        <v>29</v>
      </c>
      <c r="K87" s="417">
        <v>0</v>
      </c>
      <c r="L87" s="417">
        <v>25</v>
      </c>
      <c r="M87" s="417">
        <v>18</v>
      </c>
      <c r="N87" s="417">
        <v>5</v>
      </c>
      <c r="O87" s="417">
        <v>0</v>
      </c>
      <c r="P87" s="417">
        <v>0</v>
      </c>
      <c r="Q87" s="417">
        <v>175</v>
      </c>
      <c r="R87" s="417">
        <v>15</v>
      </c>
      <c r="S87" s="417">
        <v>0</v>
      </c>
      <c r="T87" s="417">
        <v>0</v>
      </c>
      <c r="U87" s="417">
        <v>238</v>
      </c>
      <c r="V87" s="417">
        <v>6</v>
      </c>
    </row>
    <row r="88" spans="1:28" s="395" customFormat="1" ht="17.600000000000001">
      <c r="A88" s="1379"/>
      <c r="B88" s="418" t="s">
        <v>134</v>
      </c>
      <c r="C88" s="417">
        <v>260</v>
      </c>
      <c r="D88" s="417">
        <v>110</v>
      </c>
      <c r="E88" s="417">
        <v>13</v>
      </c>
      <c r="F88" s="417">
        <v>8</v>
      </c>
      <c r="G88" s="417">
        <v>0</v>
      </c>
      <c r="H88" s="417">
        <v>85</v>
      </c>
      <c r="I88" s="417">
        <v>150</v>
      </c>
      <c r="J88" s="417">
        <v>33</v>
      </c>
      <c r="K88" s="417">
        <v>0</v>
      </c>
      <c r="L88" s="417">
        <v>29</v>
      </c>
      <c r="M88" s="417">
        <v>23</v>
      </c>
      <c r="N88" s="417">
        <v>5</v>
      </c>
      <c r="O88" s="417">
        <v>0</v>
      </c>
      <c r="P88" s="417">
        <v>0</v>
      </c>
      <c r="Q88" s="417">
        <v>162</v>
      </c>
      <c r="R88" s="417">
        <v>10</v>
      </c>
      <c r="S88" s="417">
        <v>0</v>
      </c>
      <c r="T88" s="417">
        <v>0</v>
      </c>
      <c r="U88" s="417">
        <v>219</v>
      </c>
      <c r="V88" s="417">
        <v>4</v>
      </c>
    </row>
    <row r="89" spans="1:28" s="395" customFormat="1" ht="17.600000000000001">
      <c r="A89" s="1379"/>
      <c r="B89" s="418" t="s">
        <v>98</v>
      </c>
      <c r="C89" s="417">
        <v>250</v>
      </c>
      <c r="D89" s="417">
        <v>120</v>
      </c>
      <c r="E89" s="417">
        <v>14</v>
      </c>
      <c r="F89" s="417">
        <v>9</v>
      </c>
      <c r="G89" s="417">
        <v>0</v>
      </c>
      <c r="H89" s="417">
        <v>95</v>
      </c>
      <c r="I89" s="417">
        <v>160</v>
      </c>
      <c r="J89" s="417">
        <v>28</v>
      </c>
      <c r="K89" s="417">
        <v>0</v>
      </c>
      <c r="L89" s="417">
        <v>24</v>
      </c>
      <c r="M89" s="417">
        <v>17</v>
      </c>
      <c r="N89" s="417">
        <v>5</v>
      </c>
      <c r="O89" s="417">
        <v>0</v>
      </c>
      <c r="P89" s="417">
        <v>0</v>
      </c>
      <c r="Q89" s="417">
        <v>174.83699999999999</v>
      </c>
      <c r="R89" s="417">
        <v>15</v>
      </c>
      <c r="S89" s="417">
        <v>2.627E-3</v>
      </c>
      <c r="T89" s="417">
        <v>0</v>
      </c>
      <c r="U89" s="417">
        <v>240</v>
      </c>
      <c r="V89" s="417">
        <v>7</v>
      </c>
    </row>
    <row r="90" spans="1:28" s="395" customFormat="1" ht="17.600000000000001">
      <c r="A90" s="1379"/>
      <c r="B90" s="418" t="s">
        <v>136</v>
      </c>
      <c r="C90" s="417">
        <v>250</v>
      </c>
      <c r="D90" s="417">
        <v>120</v>
      </c>
      <c r="E90" s="417">
        <v>14</v>
      </c>
      <c r="F90" s="417">
        <v>9</v>
      </c>
      <c r="G90" s="417">
        <v>0</v>
      </c>
      <c r="H90" s="417">
        <v>95</v>
      </c>
      <c r="I90" s="417">
        <v>170</v>
      </c>
      <c r="J90" s="417">
        <v>28</v>
      </c>
      <c r="K90" s="417">
        <v>0</v>
      </c>
      <c r="L90" s="417">
        <v>24</v>
      </c>
      <c r="M90" s="417">
        <v>18</v>
      </c>
      <c r="N90" s="417">
        <v>5</v>
      </c>
      <c r="O90" s="417">
        <v>0</v>
      </c>
      <c r="P90" s="417">
        <v>0</v>
      </c>
      <c r="Q90" s="417">
        <v>177.14400000000001</v>
      </c>
      <c r="R90" s="417">
        <v>20</v>
      </c>
      <c r="S90" s="417">
        <v>2.4760000000000001E-2</v>
      </c>
      <c r="T90" s="417">
        <v>0</v>
      </c>
      <c r="U90" s="417">
        <v>240</v>
      </c>
      <c r="V90" s="417">
        <v>7</v>
      </c>
    </row>
    <row r="91" spans="1:28" s="395" customFormat="1" ht="17.600000000000001">
      <c r="A91" s="1379"/>
      <c r="B91" s="418" t="s">
        <v>36</v>
      </c>
      <c r="C91" s="417">
        <v>260</v>
      </c>
      <c r="D91" s="417">
        <v>120</v>
      </c>
      <c r="E91" s="417">
        <v>14</v>
      </c>
      <c r="F91" s="417">
        <v>9</v>
      </c>
      <c r="G91" s="417">
        <v>0</v>
      </c>
      <c r="H91" s="417">
        <v>90</v>
      </c>
      <c r="I91" s="417">
        <v>150</v>
      </c>
      <c r="J91" s="417">
        <v>30</v>
      </c>
      <c r="K91" s="417">
        <v>0</v>
      </c>
      <c r="L91" s="417">
        <v>26</v>
      </c>
      <c r="M91" s="417">
        <v>20</v>
      </c>
      <c r="N91" s="417">
        <v>5</v>
      </c>
      <c r="O91" s="417">
        <v>0</v>
      </c>
      <c r="P91" s="417">
        <v>0</v>
      </c>
      <c r="Q91" s="417">
        <v>172.21799999999999</v>
      </c>
      <c r="R91" s="417">
        <v>15</v>
      </c>
      <c r="S91" s="417">
        <v>3.5385E-2</v>
      </c>
      <c r="T91" s="417">
        <v>0</v>
      </c>
      <c r="U91" s="417">
        <v>230</v>
      </c>
      <c r="V91" s="417">
        <v>7</v>
      </c>
    </row>
    <row r="92" spans="1:28" s="395" customFormat="1" ht="17.600000000000001" hidden="1">
      <c r="A92" s="1379"/>
      <c r="B92" s="418" t="s">
        <v>374</v>
      </c>
      <c r="C92" s="417">
        <v>250</v>
      </c>
      <c r="D92" s="417">
        <v>120</v>
      </c>
      <c r="E92" s="417">
        <v>14</v>
      </c>
      <c r="F92" s="417">
        <v>9</v>
      </c>
      <c r="G92" s="417">
        <v>0</v>
      </c>
      <c r="H92" s="417">
        <v>95</v>
      </c>
      <c r="I92" s="417">
        <v>160</v>
      </c>
      <c r="J92" s="417">
        <v>29</v>
      </c>
      <c r="K92" s="417">
        <v>0</v>
      </c>
      <c r="L92" s="417">
        <v>25</v>
      </c>
      <c r="M92" s="417">
        <v>19</v>
      </c>
      <c r="N92" s="417">
        <v>5</v>
      </c>
      <c r="O92" s="417">
        <v>0</v>
      </c>
      <c r="P92" s="417">
        <v>0</v>
      </c>
      <c r="Q92" s="417">
        <v>174.499</v>
      </c>
      <c r="R92" s="417">
        <v>15</v>
      </c>
      <c r="S92" s="417">
        <v>5.8999999999999998E-5</v>
      </c>
      <c r="T92" s="417">
        <v>0</v>
      </c>
      <c r="U92" s="417">
        <v>240</v>
      </c>
      <c r="V92" s="417">
        <v>7</v>
      </c>
    </row>
    <row r="93" spans="1:28" s="395" customFormat="1" ht="17.600000000000001">
      <c r="A93" s="1379"/>
      <c r="B93" s="418" t="s">
        <v>137</v>
      </c>
      <c r="C93" s="417">
        <v>250</v>
      </c>
      <c r="D93" s="417">
        <v>120</v>
      </c>
      <c r="E93" s="417">
        <v>14</v>
      </c>
      <c r="F93" s="417">
        <v>9</v>
      </c>
      <c r="G93" s="417">
        <v>0</v>
      </c>
      <c r="H93" s="417">
        <v>95</v>
      </c>
      <c r="I93" s="417">
        <v>160</v>
      </c>
      <c r="J93" s="417">
        <v>28</v>
      </c>
      <c r="K93" s="417">
        <v>0</v>
      </c>
      <c r="L93" s="417">
        <v>24</v>
      </c>
      <c r="M93" s="417">
        <v>18</v>
      </c>
      <c r="N93" s="417">
        <v>5</v>
      </c>
      <c r="O93" s="417">
        <v>0</v>
      </c>
      <c r="P93" s="417">
        <v>0</v>
      </c>
      <c r="Q93" s="417">
        <v>175.81700000000001</v>
      </c>
      <c r="R93" s="417">
        <v>20</v>
      </c>
      <c r="S93" s="417">
        <v>8.3000000000000001E-4</v>
      </c>
      <c r="T93" s="417">
        <v>0</v>
      </c>
      <c r="U93" s="417">
        <v>240</v>
      </c>
      <c r="V93" s="417">
        <v>7</v>
      </c>
      <c r="AA93" s="419"/>
      <c r="AB93" s="419"/>
    </row>
    <row r="94" spans="1:28" s="395" customFormat="1" ht="17.600000000000001">
      <c r="A94" s="1379"/>
      <c r="B94" s="418" t="s">
        <v>416</v>
      </c>
      <c r="C94" s="417">
        <v>260</v>
      </c>
      <c r="D94" s="417">
        <v>120</v>
      </c>
      <c r="E94" s="417">
        <v>14</v>
      </c>
      <c r="F94" s="417">
        <v>9</v>
      </c>
      <c r="G94" s="417">
        <v>0</v>
      </c>
      <c r="H94" s="417">
        <v>95</v>
      </c>
      <c r="I94" s="417">
        <v>160</v>
      </c>
      <c r="J94" s="417">
        <v>29</v>
      </c>
      <c r="K94" s="417">
        <v>0</v>
      </c>
      <c r="L94" s="417">
        <v>25</v>
      </c>
      <c r="M94" s="417">
        <v>19</v>
      </c>
      <c r="N94" s="417">
        <v>5</v>
      </c>
      <c r="O94" s="417">
        <v>0</v>
      </c>
      <c r="P94" s="417">
        <v>0</v>
      </c>
      <c r="Q94" s="417">
        <v>174.84800000000001</v>
      </c>
      <c r="R94" s="417">
        <v>15</v>
      </c>
      <c r="S94" s="417">
        <v>1.5640000000000001E-3</v>
      </c>
      <c r="T94" s="417">
        <v>0</v>
      </c>
      <c r="U94" s="417">
        <v>240</v>
      </c>
      <c r="V94" s="417">
        <v>7</v>
      </c>
      <c r="AA94" s="419"/>
    </row>
    <row r="95" spans="1:28" s="395" customFormat="1" ht="17.600000000000001" hidden="1">
      <c r="A95" s="1379"/>
      <c r="B95" s="418" t="s">
        <v>417</v>
      </c>
      <c r="C95" s="417">
        <v>260</v>
      </c>
      <c r="D95" s="417">
        <v>120</v>
      </c>
      <c r="E95" s="417">
        <v>14</v>
      </c>
      <c r="F95" s="417">
        <v>9</v>
      </c>
      <c r="G95" s="417">
        <v>0</v>
      </c>
      <c r="H95" s="417">
        <v>95</v>
      </c>
      <c r="I95" s="417">
        <v>160</v>
      </c>
      <c r="J95" s="417">
        <v>29</v>
      </c>
      <c r="K95" s="417">
        <v>0</v>
      </c>
      <c r="L95" s="417">
        <v>25</v>
      </c>
      <c r="M95" s="417">
        <v>18</v>
      </c>
      <c r="N95" s="417">
        <v>5</v>
      </c>
      <c r="O95" s="417">
        <v>0</v>
      </c>
      <c r="P95" s="417">
        <v>0</v>
      </c>
      <c r="Q95" s="417">
        <v>176.17599999999999</v>
      </c>
      <c r="R95" s="417">
        <v>20</v>
      </c>
      <c r="S95" s="417">
        <v>3.4999999999999997E-5</v>
      </c>
      <c r="T95" s="417">
        <v>0</v>
      </c>
      <c r="U95" s="417">
        <v>240</v>
      </c>
      <c r="V95" s="417">
        <v>7</v>
      </c>
    </row>
    <row r="96" spans="1:28" s="395" customFormat="1" ht="17.600000000000001">
      <c r="A96" s="1379"/>
      <c r="B96" s="418" t="s">
        <v>418</v>
      </c>
      <c r="C96" s="417">
        <v>260</v>
      </c>
      <c r="D96" s="417">
        <v>120</v>
      </c>
      <c r="E96" s="417">
        <v>14</v>
      </c>
      <c r="F96" s="417">
        <v>9</v>
      </c>
      <c r="G96" s="417">
        <v>0</v>
      </c>
      <c r="H96" s="417">
        <v>95</v>
      </c>
      <c r="I96" s="417">
        <v>160</v>
      </c>
      <c r="J96" s="417">
        <v>30</v>
      </c>
      <c r="K96" s="417">
        <v>0</v>
      </c>
      <c r="L96" s="417">
        <v>26</v>
      </c>
      <c r="M96" s="417">
        <v>20</v>
      </c>
      <c r="N96" s="417">
        <v>5</v>
      </c>
      <c r="O96" s="417">
        <v>0</v>
      </c>
      <c r="P96" s="417">
        <v>0</v>
      </c>
      <c r="Q96" s="417">
        <v>172.84800000000001</v>
      </c>
      <c r="R96" s="417">
        <v>15</v>
      </c>
      <c r="S96" s="417">
        <v>4.7590000000000002E-3</v>
      </c>
      <c r="T96" s="417">
        <v>0</v>
      </c>
      <c r="U96" s="417">
        <v>240</v>
      </c>
      <c r="V96" s="417">
        <v>7</v>
      </c>
    </row>
    <row r="97" spans="1:22" s="395" customFormat="1" ht="17.600000000000001">
      <c r="A97" s="1379"/>
      <c r="B97" s="418" t="s">
        <v>361</v>
      </c>
      <c r="C97" s="417">
        <v>240</v>
      </c>
      <c r="D97" s="417">
        <v>110</v>
      </c>
      <c r="E97" s="417">
        <v>13</v>
      </c>
      <c r="F97" s="417">
        <v>8</v>
      </c>
      <c r="G97" s="417">
        <v>0</v>
      </c>
      <c r="H97" s="417">
        <v>75</v>
      </c>
      <c r="I97" s="417">
        <v>125</v>
      </c>
      <c r="J97" s="417">
        <v>29</v>
      </c>
      <c r="K97" s="417">
        <v>0</v>
      </c>
      <c r="L97" s="417">
        <v>26</v>
      </c>
      <c r="M97" s="417">
        <v>19</v>
      </c>
      <c r="N97" s="417">
        <v>5</v>
      </c>
      <c r="O97" s="417">
        <v>0</v>
      </c>
      <c r="P97" s="417">
        <v>0</v>
      </c>
      <c r="Q97" s="417">
        <v>164</v>
      </c>
      <c r="R97" s="417">
        <v>15</v>
      </c>
      <c r="S97" s="417">
        <v>1.3777900000000001</v>
      </c>
      <c r="T97" s="417">
        <v>6</v>
      </c>
      <c r="U97" s="417">
        <v>327</v>
      </c>
      <c r="V97" s="417">
        <v>6</v>
      </c>
    </row>
    <row r="98" spans="1:22" s="395" customFormat="1" ht="17.600000000000001">
      <c r="A98" s="1379"/>
      <c r="B98" s="418" t="s">
        <v>360</v>
      </c>
      <c r="C98" s="417">
        <v>260</v>
      </c>
      <c r="D98" s="417">
        <v>120</v>
      </c>
      <c r="E98" s="417">
        <v>14</v>
      </c>
      <c r="F98" s="417">
        <v>9</v>
      </c>
      <c r="G98" s="417">
        <v>0</v>
      </c>
      <c r="H98" s="417">
        <v>95</v>
      </c>
      <c r="I98" s="417">
        <v>160</v>
      </c>
      <c r="J98" s="417">
        <v>29</v>
      </c>
      <c r="K98" s="417">
        <v>0</v>
      </c>
      <c r="L98" s="417">
        <v>25</v>
      </c>
      <c r="M98" s="417">
        <v>18</v>
      </c>
      <c r="N98" s="417">
        <v>5</v>
      </c>
      <c r="O98" s="417">
        <v>0</v>
      </c>
      <c r="P98" s="417">
        <v>0</v>
      </c>
      <c r="Q98" s="417">
        <v>175.89400000000001</v>
      </c>
      <c r="R98" s="417">
        <v>20</v>
      </c>
      <c r="S98" s="417">
        <v>4.5620000000000001E-3</v>
      </c>
      <c r="T98" s="417">
        <v>0</v>
      </c>
      <c r="U98" s="417">
        <v>240</v>
      </c>
      <c r="V98" s="417">
        <v>7</v>
      </c>
    </row>
    <row r="99" spans="1:22" s="395" customFormat="1" ht="17.600000000000001">
      <c r="A99" s="1379"/>
      <c r="B99" s="418" t="s">
        <v>66</v>
      </c>
      <c r="C99" s="417">
        <v>260</v>
      </c>
      <c r="D99" s="417">
        <v>120</v>
      </c>
      <c r="E99" s="417">
        <v>14</v>
      </c>
      <c r="F99" s="417">
        <v>9</v>
      </c>
      <c r="G99" s="417">
        <v>0</v>
      </c>
      <c r="H99" s="417">
        <v>95</v>
      </c>
      <c r="I99" s="417">
        <v>160</v>
      </c>
      <c r="J99" s="417">
        <v>29</v>
      </c>
      <c r="K99" s="417">
        <v>0</v>
      </c>
      <c r="L99" s="417">
        <v>25</v>
      </c>
      <c r="M99" s="417">
        <v>19</v>
      </c>
      <c r="N99" s="417">
        <v>5</v>
      </c>
      <c r="O99" s="417">
        <v>0</v>
      </c>
      <c r="P99" s="417">
        <v>0</v>
      </c>
      <c r="Q99" s="417">
        <v>174.43799999999999</v>
      </c>
      <c r="R99" s="417">
        <v>15</v>
      </c>
      <c r="S99" s="417">
        <v>9.0000000000000006E-5</v>
      </c>
      <c r="T99" s="417">
        <v>0</v>
      </c>
      <c r="U99" s="417">
        <v>240</v>
      </c>
      <c r="V99" s="417">
        <v>7</v>
      </c>
    </row>
    <row r="100" spans="1:22" s="395" customFormat="1" ht="15.75" customHeight="1">
      <c r="A100" s="1380" t="s">
        <v>684</v>
      </c>
      <c r="B100" s="416" t="s">
        <v>573</v>
      </c>
      <c r="C100" s="408">
        <v>310</v>
      </c>
      <c r="D100" s="408">
        <v>150</v>
      </c>
      <c r="E100" s="408">
        <v>16</v>
      </c>
      <c r="F100" s="408">
        <v>10</v>
      </c>
      <c r="G100" s="408">
        <v>0</v>
      </c>
      <c r="H100" s="408">
        <v>100</v>
      </c>
      <c r="I100" s="408">
        <v>160</v>
      </c>
      <c r="J100" s="408">
        <v>36</v>
      </c>
      <c r="K100" s="408">
        <v>0</v>
      </c>
      <c r="L100" s="408">
        <v>33</v>
      </c>
      <c r="M100" s="408">
        <v>24</v>
      </c>
      <c r="N100" s="408">
        <v>7</v>
      </c>
      <c r="O100" s="408">
        <v>0</v>
      </c>
      <c r="P100" s="408">
        <v>0</v>
      </c>
      <c r="Q100" s="408">
        <v>211.91300000000001</v>
      </c>
      <c r="R100" s="408">
        <v>20</v>
      </c>
      <c r="S100" s="408">
        <v>1.76051</v>
      </c>
      <c r="T100" s="408">
        <v>10</v>
      </c>
      <c r="U100" s="408">
        <v>420</v>
      </c>
      <c r="V100" s="408">
        <v>12</v>
      </c>
    </row>
    <row r="101" spans="1:22" s="395" customFormat="1" ht="17.600000000000001">
      <c r="A101" s="1380"/>
      <c r="B101" s="416" t="s">
        <v>574</v>
      </c>
      <c r="C101" s="408">
        <v>330</v>
      </c>
      <c r="D101" s="408">
        <v>160</v>
      </c>
      <c r="E101" s="408">
        <v>18</v>
      </c>
      <c r="F101" s="408">
        <v>11</v>
      </c>
      <c r="G101" s="408">
        <v>0</v>
      </c>
      <c r="H101" s="408">
        <v>120</v>
      </c>
      <c r="I101" s="408">
        <v>200</v>
      </c>
      <c r="J101" s="408">
        <v>36</v>
      </c>
      <c r="K101" s="408">
        <v>0</v>
      </c>
      <c r="L101" s="408">
        <v>31</v>
      </c>
      <c r="M101" s="408">
        <v>23</v>
      </c>
      <c r="N101" s="408">
        <v>7</v>
      </c>
      <c r="O101" s="408">
        <v>0</v>
      </c>
      <c r="P101" s="408">
        <v>0</v>
      </c>
      <c r="Q101" s="408">
        <v>228.214</v>
      </c>
      <c r="R101" s="408">
        <v>25</v>
      </c>
      <c r="S101" s="408">
        <v>0</v>
      </c>
      <c r="T101" s="408">
        <v>0</v>
      </c>
      <c r="U101" s="408">
        <v>310</v>
      </c>
      <c r="V101" s="408">
        <v>9</v>
      </c>
    </row>
    <row r="102" spans="1:22" s="395" customFormat="1" ht="17.600000000000001">
      <c r="A102" s="1380"/>
      <c r="B102" s="416" t="s">
        <v>356</v>
      </c>
      <c r="C102" s="408">
        <v>320</v>
      </c>
      <c r="D102" s="408">
        <v>160</v>
      </c>
      <c r="E102" s="408">
        <v>18</v>
      </c>
      <c r="F102" s="408">
        <v>11</v>
      </c>
      <c r="G102" s="408">
        <v>0</v>
      </c>
      <c r="H102" s="408">
        <v>120</v>
      </c>
      <c r="I102" s="408">
        <v>200</v>
      </c>
      <c r="J102" s="408">
        <v>36</v>
      </c>
      <c r="K102" s="408">
        <v>0</v>
      </c>
      <c r="L102" s="408">
        <v>30</v>
      </c>
      <c r="M102" s="408">
        <v>22</v>
      </c>
      <c r="N102" s="408">
        <v>6</v>
      </c>
      <c r="O102" s="408">
        <v>0</v>
      </c>
      <c r="P102" s="408">
        <v>0</v>
      </c>
      <c r="Q102" s="408">
        <v>223.40299999999999</v>
      </c>
      <c r="R102" s="408">
        <v>20</v>
      </c>
      <c r="S102" s="408">
        <v>3.3570000000000002E-3</v>
      </c>
      <c r="T102" s="408">
        <v>0</v>
      </c>
      <c r="U102" s="408">
        <v>300</v>
      </c>
      <c r="V102" s="408">
        <v>9</v>
      </c>
    </row>
    <row r="103" spans="1:22" s="395" customFormat="1" ht="17.600000000000001">
      <c r="A103" s="1380"/>
      <c r="B103" s="416" t="s">
        <v>134</v>
      </c>
      <c r="C103" s="408">
        <v>340</v>
      </c>
      <c r="D103" s="408">
        <v>150</v>
      </c>
      <c r="E103" s="408">
        <v>16</v>
      </c>
      <c r="F103" s="408">
        <v>10</v>
      </c>
      <c r="G103" s="408">
        <v>0</v>
      </c>
      <c r="H103" s="408">
        <v>110</v>
      </c>
      <c r="I103" s="408">
        <v>190</v>
      </c>
      <c r="J103" s="408">
        <v>42</v>
      </c>
      <c r="K103" s="408">
        <v>0</v>
      </c>
      <c r="L103" s="408">
        <v>37</v>
      </c>
      <c r="M103" s="408">
        <v>29</v>
      </c>
      <c r="N103" s="408">
        <v>6</v>
      </c>
      <c r="O103" s="408">
        <v>0</v>
      </c>
      <c r="P103" s="408">
        <v>0</v>
      </c>
      <c r="Q103" s="408">
        <v>206</v>
      </c>
      <c r="R103" s="408">
        <v>15</v>
      </c>
      <c r="S103" s="408">
        <v>0</v>
      </c>
      <c r="T103" s="408">
        <v>0</v>
      </c>
      <c r="U103" s="408">
        <v>280</v>
      </c>
      <c r="V103" s="408">
        <v>6</v>
      </c>
    </row>
    <row r="104" spans="1:22" s="395" customFormat="1" ht="17.600000000000001">
      <c r="A104" s="1380"/>
      <c r="B104" s="416" t="s">
        <v>373</v>
      </c>
      <c r="C104" s="408">
        <v>330</v>
      </c>
      <c r="D104" s="408">
        <v>160</v>
      </c>
      <c r="E104" s="408">
        <v>18</v>
      </c>
      <c r="F104" s="408">
        <v>11</v>
      </c>
      <c r="G104" s="408">
        <v>0</v>
      </c>
      <c r="H104" s="408">
        <v>120</v>
      </c>
      <c r="I104" s="408">
        <v>200</v>
      </c>
      <c r="J104" s="408">
        <v>37</v>
      </c>
      <c r="K104" s="408">
        <v>0</v>
      </c>
      <c r="L104" s="408">
        <v>31</v>
      </c>
      <c r="M104" s="408">
        <v>22</v>
      </c>
      <c r="N104" s="408">
        <v>6</v>
      </c>
      <c r="O104" s="408">
        <v>0</v>
      </c>
      <c r="P104" s="408">
        <v>0</v>
      </c>
      <c r="Q104" s="408">
        <v>224</v>
      </c>
      <c r="R104" s="408">
        <v>15</v>
      </c>
      <c r="S104" s="408">
        <v>0</v>
      </c>
      <c r="T104" s="408">
        <v>0</v>
      </c>
      <c r="U104" s="408">
        <v>304</v>
      </c>
      <c r="V104" s="408">
        <v>6</v>
      </c>
    </row>
    <row r="105" spans="1:22" s="395" customFormat="1" ht="17.600000000000001">
      <c r="A105" s="1380"/>
      <c r="B105" s="416" t="s">
        <v>98</v>
      </c>
      <c r="C105" s="408">
        <v>320</v>
      </c>
      <c r="D105" s="408">
        <v>160</v>
      </c>
      <c r="E105" s="408">
        <v>18</v>
      </c>
      <c r="F105" s="408">
        <v>11</v>
      </c>
      <c r="G105" s="408">
        <v>0</v>
      </c>
      <c r="H105" s="408">
        <v>120</v>
      </c>
      <c r="I105" s="408">
        <v>200</v>
      </c>
      <c r="J105" s="408">
        <v>36</v>
      </c>
      <c r="K105" s="408">
        <v>0</v>
      </c>
      <c r="L105" s="408">
        <v>30</v>
      </c>
      <c r="M105" s="408">
        <v>22</v>
      </c>
      <c r="N105" s="408">
        <v>6</v>
      </c>
      <c r="O105" s="408">
        <v>0</v>
      </c>
      <c r="P105" s="408">
        <v>0</v>
      </c>
      <c r="Q105" s="408">
        <v>223.40299999999999</v>
      </c>
      <c r="R105" s="408">
        <v>20</v>
      </c>
      <c r="S105" s="408">
        <v>3.3570000000000002E-3</v>
      </c>
      <c r="T105" s="408">
        <v>0</v>
      </c>
      <c r="U105" s="408">
        <v>300</v>
      </c>
      <c r="V105" s="408">
        <v>9</v>
      </c>
    </row>
    <row r="106" spans="1:22" s="395" customFormat="1" ht="17.600000000000001">
      <c r="A106" s="1380"/>
      <c r="B106" s="416" t="s">
        <v>136</v>
      </c>
      <c r="C106" s="408">
        <v>320</v>
      </c>
      <c r="D106" s="408">
        <v>160</v>
      </c>
      <c r="E106" s="408">
        <v>18</v>
      </c>
      <c r="F106" s="408">
        <v>11</v>
      </c>
      <c r="G106" s="408">
        <v>0</v>
      </c>
      <c r="H106" s="408">
        <v>120</v>
      </c>
      <c r="I106" s="408">
        <v>210</v>
      </c>
      <c r="J106" s="408">
        <v>36</v>
      </c>
      <c r="K106" s="408">
        <v>0</v>
      </c>
      <c r="L106" s="408">
        <v>31</v>
      </c>
      <c r="M106" s="408">
        <v>23</v>
      </c>
      <c r="N106" s="408">
        <v>7</v>
      </c>
      <c r="O106" s="408">
        <v>0</v>
      </c>
      <c r="P106" s="408">
        <v>0</v>
      </c>
      <c r="Q106" s="408">
        <v>226.35</v>
      </c>
      <c r="R106" s="408">
        <v>25</v>
      </c>
      <c r="S106" s="408">
        <v>3.1636999999999998E-2</v>
      </c>
      <c r="T106" s="408">
        <v>0</v>
      </c>
      <c r="U106" s="408">
        <v>310</v>
      </c>
      <c r="V106" s="408">
        <v>9</v>
      </c>
    </row>
    <row r="107" spans="1:22" s="395" customFormat="1" ht="17.600000000000001">
      <c r="A107" s="1380"/>
      <c r="B107" s="416" t="s">
        <v>36</v>
      </c>
      <c r="C107" s="408">
        <v>330</v>
      </c>
      <c r="D107" s="408">
        <v>160</v>
      </c>
      <c r="E107" s="408">
        <v>17</v>
      </c>
      <c r="F107" s="408">
        <v>11</v>
      </c>
      <c r="G107" s="408">
        <v>0</v>
      </c>
      <c r="H107" s="408">
        <v>120</v>
      </c>
      <c r="I107" s="408">
        <v>200</v>
      </c>
      <c r="J107" s="408">
        <v>38</v>
      </c>
      <c r="K107" s="408">
        <v>0</v>
      </c>
      <c r="L107" s="408">
        <v>33</v>
      </c>
      <c r="M107" s="408">
        <v>25</v>
      </c>
      <c r="N107" s="408">
        <v>6</v>
      </c>
      <c r="O107" s="408">
        <v>0</v>
      </c>
      <c r="P107" s="408">
        <v>0</v>
      </c>
      <c r="Q107" s="408">
        <v>220.05600000000001</v>
      </c>
      <c r="R107" s="408">
        <v>20</v>
      </c>
      <c r="S107" s="408">
        <v>4.5213999999999997E-2</v>
      </c>
      <c r="T107" s="408">
        <v>0</v>
      </c>
      <c r="U107" s="408">
        <v>300</v>
      </c>
      <c r="V107" s="408">
        <v>9</v>
      </c>
    </row>
    <row r="108" spans="1:22" s="395" customFormat="1" ht="17.600000000000001" hidden="1">
      <c r="A108" s="1380"/>
      <c r="B108" s="416" t="s">
        <v>374</v>
      </c>
      <c r="C108" s="408">
        <v>330</v>
      </c>
      <c r="D108" s="408">
        <v>160</v>
      </c>
      <c r="E108" s="408">
        <v>18</v>
      </c>
      <c r="F108" s="408">
        <v>11</v>
      </c>
      <c r="G108" s="408">
        <v>0</v>
      </c>
      <c r="H108" s="408">
        <v>120</v>
      </c>
      <c r="I108" s="408">
        <v>200</v>
      </c>
      <c r="J108" s="408">
        <v>37</v>
      </c>
      <c r="K108" s="408">
        <v>0</v>
      </c>
      <c r="L108" s="408">
        <v>32</v>
      </c>
      <c r="M108" s="408">
        <v>24</v>
      </c>
      <c r="N108" s="408">
        <v>6</v>
      </c>
      <c r="O108" s="408">
        <v>0</v>
      </c>
      <c r="P108" s="408">
        <v>0</v>
      </c>
      <c r="Q108" s="408">
        <v>222.97200000000001</v>
      </c>
      <c r="R108" s="408">
        <v>20</v>
      </c>
      <c r="S108" s="408">
        <v>7.4999999999999993E-5</v>
      </c>
      <c r="T108" s="408">
        <v>0</v>
      </c>
      <c r="U108" s="408">
        <v>300</v>
      </c>
      <c r="V108" s="408">
        <v>9</v>
      </c>
    </row>
    <row r="109" spans="1:22" s="395" customFormat="1" ht="17.600000000000001">
      <c r="A109" s="1380"/>
      <c r="B109" s="416" t="s">
        <v>137</v>
      </c>
      <c r="C109" s="408">
        <v>320</v>
      </c>
      <c r="D109" s="408">
        <v>160</v>
      </c>
      <c r="E109" s="408">
        <v>18</v>
      </c>
      <c r="F109" s="408">
        <v>11</v>
      </c>
      <c r="G109" s="408">
        <v>0</v>
      </c>
      <c r="H109" s="408">
        <v>120</v>
      </c>
      <c r="I109" s="408">
        <v>200</v>
      </c>
      <c r="J109" s="408">
        <v>35</v>
      </c>
      <c r="K109" s="408">
        <v>0</v>
      </c>
      <c r="L109" s="408">
        <v>30</v>
      </c>
      <c r="M109" s="408">
        <v>22</v>
      </c>
      <c r="N109" s="408">
        <v>6</v>
      </c>
      <c r="O109" s="408">
        <v>0</v>
      </c>
      <c r="P109" s="408">
        <v>0</v>
      </c>
      <c r="Q109" s="408">
        <v>224.65600000000001</v>
      </c>
      <c r="R109" s="408">
        <v>20</v>
      </c>
      <c r="S109" s="408">
        <v>1.06E-3</v>
      </c>
      <c r="T109" s="408">
        <v>0</v>
      </c>
      <c r="U109" s="408">
        <v>310</v>
      </c>
      <c r="V109" s="408">
        <v>9</v>
      </c>
    </row>
    <row r="110" spans="1:22" s="395" customFormat="1" ht="17.600000000000001">
      <c r="A110" s="1380"/>
      <c r="B110" s="416" t="s">
        <v>416</v>
      </c>
      <c r="C110" s="408">
        <v>330</v>
      </c>
      <c r="D110" s="408">
        <v>160</v>
      </c>
      <c r="E110" s="408">
        <v>18</v>
      </c>
      <c r="F110" s="408">
        <v>11</v>
      </c>
      <c r="G110" s="408">
        <v>0</v>
      </c>
      <c r="H110" s="408">
        <v>120</v>
      </c>
      <c r="I110" s="408">
        <v>200</v>
      </c>
      <c r="J110" s="408">
        <v>37</v>
      </c>
      <c r="K110" s="408">
        <v>0</v>
      </c>
      <c r="L110" s="408">
        <v>32</v>
      </c>
      <c r="M110" s="408">
        <v>24</v>
      </c>
      <c r="N110" s="408">
        <v>6</v>
      </c>
      <c r="O110" s="408">
        <v>0</v>
      </c>
      <c r="P110" s="408">
        <v>0</v>
      </c>
      <c r="Q110" s="408">
        <v>223.417</v>
      </c>
      <c r="R110" s="408">
        <v>20</v>
      </c>
      <c r="S110" s="408">
        <v>1.9989999999999999E-3</v>
      </c>
      <c r="T110" s="408">
        <v>0</v>
      </c>
      <c r="U110" s="408">
        <v>300</v>
      </c>
      <c r="V110" s="408">
        <v>9</v>
      </c>
    </row>
    <row r="111" spans="1:22" s="395" customFormat="1" ht="17.600000000000001" hidden="1">
      <c r="A111" s="1380"/>
      <c r="B111" s="416" t="s">
        <v>417</v>
      </c>
      <c r="C111" s="408">
        <v>330</v>
      </c>
      <c r="D111" s="408">
        <v>160</v>
      </c>
      <c r="E111" s="408">
        <v>18</v>
      </c>
      <c r="F111" s="408">
        <v>11</v>
      </c>
      <c r="G111" s="408">
        <v>0</v>
      </c>
      <c r="H111" s="408">
        <v>120</v>
      </c>
      <c r="I111" s="408">
        <v>200</v>
      </c>
      <c r="J111" s="408">
        <v>37</v>
      </c>
      <c r="K111" s="408">
        <v>0</v>
      </c>
      <c r="L111" s="408">
        <v>32</v>
      </c>
      <c r="M111" s="408">
        <v>23</v>
      </c>
      <c r="N111" s="408">
        <v>6</v>
      </c>
      <c r="O111" s="408">
        <v>0</v>
      </c>
      <c r="P111" s="408">
        <v>0</v>
      </c>
      <c r="Q111" s="408">
        <v>225.113</v>
      </c>
      <c r="R111" s="408">
        <v>25</v>
      </c>
      <c r="S111" s="408">
        <v>4.3999999999999999E-5</v>
      </c>
      <c r="T111" s="408">
        <v>0</v>
      </c>
      <c r="U111" s="408">
        <v>310</v>
      </c>
      <c r="V111" s="408">
        <v>9</v>
      </c>
    </row>
    <row r="112" spans="1:22" s="395" customFormat="1" ht="17.600000000000001">
      <c r="A112" s="1380"/>
      <c r="B112" s="416" t="s">
        <v>418</v>
      </c>
      <c r="C112" s="408">
        <v>330</v>
      </c>
      <c r="D112" s="408">
        <v>160</v>
      </c>
      <c r="E112" s="408">
        <v>17</v>
      </c>
      <c r="F112" s="408">
        <v>11</v>
      </c>
      <c r="G112" s="408">
        <v>0</v>
      </c>
      <c r="H112" s="408">
        <v>120</v>
      </c>
      <c r="I112" s="408">
        <v>200</v>
      </c>
      <c r="J112" s="408">
        <v>38</v>
      </c>
      <c r="K112" s="408">
        <v>0</v>
      </c>
      <c r="L112" s="408">
        <v>33</v>
      </c>
      <c r="M112" s="408">
        <v>25</v>
      </c>
      <c r="N112" s="408">
        <v>6</v>
      </c>
      <c r="O112" s="408">
        <v>0</v>
      </c>
      <c r="P112" s="408">
        <v>0</v>
      </c>
      <c r="Q112" s="408">
        <v>220.86099999999999</v>
      </c>
      <c r="R112" s="408">
        <v>20</v>
      </c>
      <c r="S112" s="408">
        <v>6.0809999999999996E-3</v>
      </c>
      <c r="T112" s="408">
        <v>0</v>
      </c>
      <c r="U112" s="408">
        <v>300</v>
      </c>
      <c r="V112" s="408">
        <v>9</v>
      </c>
    </row>
    <row r="113" spans="1:22" s="395" customFormat="1" ht="17.600000000000001">
      <c r="A113" s="1380"/>
      <c r="B113" s="416" t="s">
        <v>361</v>
      </c>
      <c r="C113" s="408">
        <v>310</v>
      </c>
      <c r="D113" s="408">
        <v>140</v>
      </c>
      <c r="E113" s="408">
        <v>16</v>
      </c>
      <c r="F113" s="408">
        <v>10</v>
      </c>
      <c r="G113" s="408">
        <v>0</v>
      </c>
      <c r="H113" s="408">
        <v>95</v>
      </c>
      <c r="I113" s="408">
        <v>160</v>
      </c>
      <c r="J113" s="408">
        <v>37</v>
      </c>
      <c r="K113" s="408">
        <v>0</v>
      </c>
      <c r="L113" s="408">
        <v>33</v>
      </c>
      <c r="M113" s="408">
        <v>24</v>
      </c>
      <c r="N113" s="408">
        <v>6</v>
      </c>
      <c r="O113" s="408">
        <v>0</v>
      </c>
      <c r="P113" s="408">
        <v>0</v>
      </c>
      <c r="Q113" s="408">
        <v>209</v>
      </c>
      <c r="R113" s="408">
        <v>15</v>
      </c>
      <c r="S113" s="408">
        <v>2</v>
      </c>
      <c r="T113" s="408">
        <v>10</v>
      </c>
      <c r="U113" s="408">
        <v>418</v>
      </c>
      <c r="V113" s="408">
        <v>8</v>
      </c>
    </row>
    <row r="114" spans="1:22" s="395" customFormat="1" ht="17.600000000000001">
      <c r="A114" s="1380"/>
      <c r="B114" s="416" t="s">
        <v>360</v>
      </c>
      <c r="C114" s="408">
        <v>330</v>
      </c>
      <c r="D114" s="408">
        <v>160</v>
      </c>
      <c r="E114" s="408">
        <v>18</v>
      </c>
      <c r="F114" s="408">
        <v>11</v>
      </c>
      <c r="G114" s="408">
        <v>0</v>
      </c>
      <c r="H114" s="408">
        <v>120</v>
      </c>
      <c r="I114" s="408">
        <v>200</v>
      </c>
      <c r="J114" s="408">
        <v>37</v>
      </c>
      <c r="K114" s="408">
        <v>0</v>
      </c>
      <c r="L114" s="408">
        <v>32</v>
      </c>
      <c r="M114" s="408">
        <v>22</v>
      </c>
      <c r="N114" s="408">
        <v>6</v>
      </c>
      <c r="O114" s="408">
        <v>0</v>
      </c>
      <c r="P114" s="408">
        <v>0</v>
      </c>
      <c r="Q114" s="408">
        <v>224.75299999999999</v>
      </c>
      <c r="R114" s="408">
        <v>20</v>
      </c>
      <c r="S114" s="408">
        <v>5.8300000000000001E-3</v>
      </c>
      <c r="T114" s="408">
        <v>0</v>
      </c>
      <c r="U114" s="408">
        <v>310</v>
      </c>
      <c r="V114" s="408">
        <v>9</v>
      </c>
    </row>
    <row r="115" spans="1:22" s="395" customFormat="1" ht="17.600000000000001">
      <c r="A115" s="1380"/>
      <c r="B115" s="416" t="s">
        <v>66</v>
      </c>
      <c r="C115" s="408">
        <v>330</v>
      </c>
      <c r="D115" s="408">
        <v>160</v>
      </c>
      <c r="E115" s="408">
        <v>18</v>
      </c>
      <c r="F115" s="408">
        <v>11</v>
      </c>
      <c r="G115" s="408">
        <v>0</v>
      </c>
      <c r="H115" s="408">
        <v>120</v>
      </c>
      <c r="I115" s="408">
        <v>200</v>
      </c>
      <c r="J115" s="408">
        <v>37</v>
      </c>
      <c r="K115" s="408">
        <v>0</v>
      </c>
      <c r="L115" s="408">
        <v>33</v>
      </c>
      <c r="M115" s="408">
        <v>25</v>
      </c>
      <c r="N115" s="408">
        <v>6</v>
      </c>
      <c r="O115" s="408">
        <v>0</v>
      </c>
      <c r="P115" s="408">
        <v>0</v>
      </c>
      <c r="Q115" s="408">
        <v>222.893</v>
      </c>
      <c r="R115" s="408">
        <v>20</v>
      </c>
      <c r="S115" s="408">
        <v>1.15E-4</v>
      </c>
      <c r="T115" s="408">
        <v>0</v>
      </c>
      <c r="U115" s="408">
        <v>300</v>
      </c>
      <c r="V115" s="408">
        <v>9</v>
      </c>
    </row>
    <row r="116" spans="1:22" s="395" customFormat="1" ht="17.600000000000001">
      <c r="A116" s="415"/>
      <c r="B116" s="414"/>
      <c r="C116" s="411"/>
      <c r="D116" s="411"/>
      <c r="E116" s="411"/>
      <c r="F116" s="411"/>
      <c r="G116" s="411"/>
      <c r="H116" s="411"/>
      <c r="I116" s="411"/>
      <c r="J116" s="411"/>
      <c r="K116" s="411"/>
      <c r="L116" s="411"/>
      <c r="M116" s="411"/>
      <c r="N116" s="411"/>
      <c r="O116" s="411"/>
      <c r="P116" s="411"/>
      <c r="Q116" s="411"/>
      <c r="R116" s="411"/>
      <c r="S116" s="411"/>
      <c r="T116" s="411"/>
      <c r="U116" s="411"/>
      <c r="V116" s="411"/>
    </row>
    <row r="117" spans="1:22" s="395" customFormat="1" ht="17.600000000000001">
      <c r="A117" s="415"/>
      <c r="B117" s="414"/>
      <c r="C117" s="411"/>
      <c r="D117" s="411"/>
      <c r="E117" s="411"/>
      <c r="F117" s="411"/>
      <c r="G117" s="411"/>
      <c r="H117" s="411"/>
      <c r="I117" s="411"/>
      <c r="J117" s="411"/>
      <c r="K117" s="411"/>
      <c r="L117" s="411"/>
      <c r="M117" s="411"/>
      <c r="N117" s="411"/>
      <c r="O117" s="411"/>
      <c r="P117" s="411"/>
      <c r="Q117" s="411"/>
      <c r="R117" s="411"/>
      <c r="S117" s="411"/>
      <c r="T117" s="411"/>
      <c r="U117" s="411"/>
      <c r="V117" s="411"/>
    </row>
    <row r="118" spans="1:22" s="395" customFormat="1" ht="17.600000000000001">
      <c r="A118" s="1381" t="s">
        <v>685</v>
      </c>
      <c r="B118" s="413" t="s">
        <v>144</v>
      </c>
      <c r="C118" s="412">
        <v>130</v>
      </c>
      <c r="D118" s="412">
        <v>70</v>
      </c>
      <c r="E118" s="412">
        <v>7</v>
      </c>
      <c r="F118" s="412">
        <v>4.5</v>
      </c>
      <c r="G118" s="412">
        <v>0</v>
      </c>
      <c r="H118" s="412">
        <v>0</v>
      </c>
      <c r="I118" s="412">
        <v>0</v>
      </c>
      <c r="J118" s="412">
        <v>19</v>
      </c>
      <c r="K118" s="412">
        <v>2</v>
      </c>
      <c r="L118" s="412">
        <v>15</v>
      </c>
      <c r="M118" s="412">
        <v>15</v>
      </c>
      <c r="N118" s="412">
        <v>1</v>
      </c>
      <c r="O118" s="412">
        <v>0</v>
      </c>
      <c r="P118" s="412">
        <v>0</v>
      </c>
      <c r="Q118" s="412">
        <v>11</v>
      </c>
      <c r="R118" s="412">
        <v>0</v>
      </c>
      <c r="S118" s="412">
        <v>2</v>
      </c>
      <c r="T118" s="412">
        <v>10</v>
      </c>
      <c r="U118" s="412">
        <v>124</v>
      </c>
      <c r="V118" s="412">
        <v>2</v>
      </c>
    </row>
    <row r="119" spans="1:22" s="395" customFormat="1" ht="17.600000000000001">
      <c r="A119" s="1381"/>
      <c r="B119" s="413" t="s">
        <v>686</v>
      </c>
      <c r="C119" s="412">
        <v>100</v>
      </c>
      <c r="D119" s="412">
        <v>0</v>
      </c>
      <c r="E119" s="412">
        <v>0</v>
      </c>
      <c r="F119" s="412">
        <v>0</v>
      </c>
      <c r="G119" s="412">
        <v>0</v>
      </c>
      <c r="H119" s="412">
        <v>0</v>
      </c>
      <c r="I119" s="412">
        <v>20</v>
      </c>
      <c r="J119" s="412">
        <v>25</v>
      </c>
      <c r="K119" s="412"/>
      <c r="L119" s="412">
        <v>20</v>
      </c>
      <c r="M119" s="412">
        <v>20</v>
      </c>
      <c r="N119" s="412">
        <v>0</v>
      </c>
      <c r="O119" s="412">
        <v>0</v>
      </c>
      <c r="P119" s="412">
        <v>0</v>
      </c>
      <c r="Q119" s="412">
        <v>5</v>
      </c>
      <c r="R119" s="412">
        <v>0</v>
      </c>
      <c r="S119" s="412">
        <v>0</v>
      </c>
      <c r="T119" s="412">
        <v>0</v>
      </c>
      <c r="U119" s="412">
        <v>47</v>
      </c>
      <c r="V119" s="412">
        <v>2</v>
      </c>
    </row>
    <row r="120" spans="1:22" s="395" customFormat="1" ht="17.600000000000001">
      <c r="A120" s="1381"/>
      <c r="B120" s="409" t="s">
        <v>145</v>
      </c>
      <c r="C120" s="408">
        <v>90</v>
      </c>
      <c r="D120" s="408">
        <v>25</v>
      </c>
      <c r="E120" s="408">
        <v>3</v>
      </c>
      <c r="F120" s="408">
        <v>1</v>
      </c>
      <c r="G120" s="408">
        <v>0</v>
      </c>
      <c r="H120" s="408">
        <v>5</v>
      </c>
      <c r="I120" s="408">
        <v>40</v>
      </c>
      <c r="J120" s="408">
        <v>15</v>
      </c>
      <c r="K120" s="408">
        <v>1</v>
      </c>
      <c r="L120" s="408">
        <v>8</v>
      </c>
      <c r="M120" s="408">
        <v>8</v>
      </c>
      <c r="N120" s="408">
        <v>1</v>
      </c>
      <c r="O120" s="408">
        <v>0</v>
      </c>
      <c r="P120" s="408">
        <v>0</v>
      </c>
      <c r="Q120" s="408">
        <v>4</v>
      </c>
      <c r="R120" s="408">
        <v>0</v>
      </c>
      <c r="S120" s="408">
        <v>1</v>
      </c>
      <c r="T120" s="408">
        <v>6</v>
      </c>
      <c r="U120" s="408">
        <v>64</v>
      </c>
      <c r="V120" s="408">
        <v>2</v>
      </c>
    </row>
    <row r="121" spans="1:22" s="395" customFormat="1" ht="17.600000000000001">
      <c r="A121" s="1381"/>
      <c r="B121" s="409" t="s">
        <v>146</v>
      </c>
      <c r="C121" s="408">
        <v>90</v>
      </c>
      <c r="D121" s="408">
        <v>25</v>
      </c>
      <c r="E121" s="408">
        <v>3</v>
      </c>
      <c r="F121" s="408">
        <v>1</v>
      </c>
      <c r="G121" s="408">
        <v>0</v>
      </c>
      <c r="H121" s="408">
        <v>5</v>
      </c>
      <c r="I121" s="408">
        <v>55</v>
      </c>
      <c r="J121" s="408">
        <v>15</v>
      </c>
      <c r="K121" s="408">
        <v>0</v>
      </c>
      <c r="L121" s="408">
        <v>9</v>
      </c>
      <c r="M121" s="408">
        <v>9</v>
      </c>
      <c r="N121" s="408">
        <v>1</v>
      </c>
      <c r="O121" s="408">
        <v>0</v>
      </c>
      <c r="P121" s="408">
        <v>0</v>
      </c>
      <c r="Q121" s="408">
        <v>3</v>
      </c>
      <c r="R121" s="408">
        <v>0</v>
      </c>
      <c r="S121" s="408">
        <v>0</v>
      </c>
      <c r="T121" s="408">
        <v>0</v>
      </c>
      <c r="U121" s="408">
        <v>20</v>
      </c>
      <c r="V121" s="408">
        <v>0</v>
      </c>
    </row>
    <row r="122" spans="1:22" s="395" customFormat="1" ht="17.600000000000001">
      <c r="A122" s="1381"/>
      <c r="B122" s="409" t="s">
        <v>147</v>
      </c>
      <c r="C122" s="408">
        <v>170</v>
      </c>
      <c r="D122" s="408">
        <v>130</v>
      </c>
      <c r="E122" s="408">
        <v>14</v>
      </c>
      <c r="F122" s="408">
        <v>2</v>
      </c>
      <c r="G122" s="408">
        <v>0</v>
      </c>
      <c r="H122" s="408">
        <v>0</v>
      </c>
      <c r="I122" s="408">
        <v>0</v>
      </c>
      <c r="J122" s="408">
        <v>6</v>
      </c>
      <c r="K122" s="408">
        <v>0</v>
      </c>
      <c r="L122" s="408">
        <v>1</v>
      </c>
      <c r="M122" s="408">
        <v>0</v>
      </c>
      <c r="N122" s="408">
        <v>7</v>
      </c>
      <c r="O122" s="408">
        <v>0</v>
      </c>
      <c r="P122" s="408">
        <v>0</v>
      </c>
      <c r="Q122" s="408">
        <v>16</v>
      </c>
      <c r="R122" s="408">
        <v>2</v>
      </c>
      <c r="S122" s="408">
        <v>0</v>
      </c>
      <c r="T122" s="408">
        <v>0</v>
      </c>
      <c r="U122" s="408">
        <v>180</v>
      </c>
      <c r="V122" s="408">
        <v>4</v>
      </c>
    </row>
    <row r="123" spans="1:22" s="395" customFormat="1" ht="17.600000000000001">
      <c r="A123" s="1381"/>
      <c r="B123" s="409" t="s">
        <v>149</v>
      </c>
      <c r="C123" s="408">
        <v>150</v>
      </c>
      <c r="D123" s="408">
        <v>80</v>
      </c>
      <c r="E123" s="408">
        <v>9</v>
      </c>
      <c r="F123" s="408">
        <v>5</v>
      </c>
      <c r="G123" s="408">
        <v>0</v>
      </c>
      <c r="H123" s="408">
        <v>5</v>
      </c>
      <c r="I123" s="408">
        <v>100</v>
      </c>
      <c r="J123" s="408">
        <v>18</v>
      </c>
      <c r="K123" s="408">
        <v>0</v>
      </c>
      <c r="L123" s="408">
        <v>17</v>
      </c>
      <c r="M123" s="408">
        <v>17</v>
      </c>
      <c r="N123" s="408">
        <v>1</v>
      </c>
      <c r="O123" s="408">
        <v>0</v>
      </c>
      <c r="P123" s="408">
        <v>0</v>
      </c>
      <c r="Q123" s="408">
        <v>17</v>
      </c>
      <c r="R123" s="408">
        <v>2</v>
      </c>
      <c r="S123" s="408">
        <v>0</v>
      </c>
      <c r="T123" s="408">
        <v>0</v>
      </c>
      <c r="U123" s="408">
        <v>39</v>
      </c>
      <c r="V123" s="408">
        <v>0</v>
      </c>
    </row>
    <row r="124" spans="1:22" s="395" customFormat="1" ht="17.600000000000001">
      <c r="A124" s="1381"/>
      <c r="B124" s="409" t="s">
        <v>150</v>
      </c>
      <c r="C124" s="408">
        <v>90</v>
      </c>
      <c r="D124" s="408">
        <v>15</v>
      </c>
      <c r="E124" s="408">
        <v>1.5</v>
      </c>
      <c r="F124" s="408">
        <v>1</v>
      </c>
      <c r="G124" s="408">
        <v>0</v>
      </c>
      <c r="H124" s="408">
        <v>5</v>
      </c>
      <c r="I124" s="408">
        <v>70</v>
      </c>
      <c r="J124" s="408">
        <v>19</v>
      </c>
      <c r="K124" s="408">
        <v>0</v>
      </c>
      <c r="L124" s="408">
        <v>14</v>
      </c>
      <c r="M124" s="408">
        <v>14</v>
      </c>
      <c r="N124" s="408">
        <v>1</v>
      </c>
      <c r="O124" s="408">
        <v>0</v>
      </c>
      <c r="P124" s="408">
        <v>0</v>
      </c>
      <c r="Q124" s="408">
        <v>20</v>
      </c>
      <c r="R124" s="408">
        <v>2</v>
      </c>
      <c r="S124" s="408">
        <v>0</v>
      </c>
      <c r="T124" s="408">
        <v>0</v>
      </c>
      <c r="U124" s="408">
        <v>29</v>
      </c>
      <c r="V124" s="408">
        <v>0</v>
      </c>
    </row>
    <row r="125" spans="1:22" s="395" customFormat="1" ht="17.600000000000001">
      <c r="A125" s="1381"/>
      <c r="B125" s="409" t="s">
        <v>151</v>
      </c>
      <c r="C125" s="408">
        <v>90</v>
      </c>
      <c r="D125" s="408">
        <v>30</v>
      </c>
      <c r="E125" s="408">
        <v>3</v>
      </c>
      <c r="F125" s="408">
        <v>3</v>
      </c>
      <c r="G125" s="408">
        <v>0</v>
      </c>
      <c r="H125" s="408">
        <v>0</v>
      </c>
      <c r="I125" s="408">
        <v>80</v>
      </c>
      <c r="J125" s="408">
        <v>15</v>
      </c>
      <c r="K125" s="408">
        <v>1</v>
      </c>
      <c r="L125" s="408">
        <v>13</v>
      </c>
      <c r="M125" s="408">
        <v>12</v>
      </c>
      <c r="N125" s="408">
        <v>1</v>
      </c>
      <c r="O125" s="408">
        <v>0</v>
      </c>
      <c r="P125" s="408">
        <v>0</v>
      </c>
      <c r="Q125" s="408">
        <v>18</v>
      </c>
      <c r="R125" s="408">
        <v>2</v>
      </c>
      <c r="S125" s="408">
        <v>1</v>
      </c>
      <c r="T125" s="408">
        <v>6</v>
      </c>
      <c r="U125" s="408">
        <v>104</v>
      </c>
      <c r="V125" s="408">
        <v>2</v>
      </c>
    </row>
    <row r="126" spans="1:22" s="395" customFormat="1" ht="17.600000000000001">
      <c r="A126" s="1381"/>
      <c r="B126" s="409" t="s">
        <v>152</v>
      </c>
      <c r="C126" s="408">
        <v>140</v>
      </c>
      <c r="D126" s="408">
        <v>50</v>
      </c>
      <c r="E126" s="408">
        <v>6</v>
      </c>
      <c r="F126" s="408">
        <v>3.5</v>
      </c>
      <c r="G126" s="408">
        <v>0</v>
      </c>
      <c r="H126" s="408">
        <v>0</v>
      </c>
      <c r="I126" s="408">
        <v>20</v>
      </c>
      <c r="J126" s="408">
        <v>20</v>
      </c>
      <c r="K126" s="408">
        <v>1</v>
      </c>
      <c r="L126" s="408">
        <v>18</v>
      </c>
      <c r="M126" s="408">
        <v>17</v>
      </c>
      <c r="N126" s="408">
        <v>1</v>
      </c>
      <c r="O126" s="408">
        <v>0</v>
      </c>
      <c r="P126" s="408">
        <v>0</v>
      </c>
      <c r="Q126" s="408">
        <v>37</v>
      </c>
      <c r="R126" s="408">
        <v>2</v>
      </c>
      <c r="S126" s="408">
        <v>0</v>
      </c>
      <c r="T126" s="408">
        <v>0</v>
      </c>
      <c r="U126" s="408">
        <v>91</v>
      </c>
      <c r="V126" s="408">
        <v>2</v>
      </c>
    </row>
    <row r="127" spans="1:22" s="395" customFormat="1" ht="18.75" customHeight="1">
      <c r="A127" s="1381"/>
      <c r="B127" s="409" t="s">
        <v>153</v>
      </c>
      <c r="C127" s="408">
        <v>130</v>
      </c>
      <c r="D127" s="408">
        <v>0</v>
      </c>
      <c r="E127" s="408">
        <v>0</v>
      </c>
      <c r="F127" s="408">
        <v>0</v>
      </c>
      <c r="G127" s="408">
        <v>0</v>
      </c>
      <c r="H127" s="408">
        <v>0</v>
      </c>
      <c r="I127" s="408">
        <v>15</v>
      </c>
      <c r="J127" s="408">
        <v>29</v>
      </c>
      <c r="K127" s="408">
        <v>0</v>
      </c>
      <c r="L127" s="408">
        <v>18</v>
      </c>
      <c r="M127" s="408">
        <v>18</v>
      </c>
      <c r="N127" s="408">
        <v>2</v>
      </c>
      <c r="O127" s="408">
        <v>0</v>
      </c>
      <c r="P127" s="408">
        <v>0</v>
      </c>
      <c r="Q127" s="408">
        <v>0</v>
      </c>
      <c r="R127" s="408">
        <v>0</v>
      </c>
      <c r="S127" s="408">
        <v>0</v>
      </c>
      <c r="T127" s="408">
        <v>0</v>
      </c>
      <c r="U127" s="408">
        <v>0</v>
      </c>
      <c r="V127" s="408">
        <v>0</v>
      </c>
    </row>
    <row r="128" spans="1:22" s="395" customFormat="1" ht="17.600000000000001">
      <c r="A128" s="1381"/>
      <c r="B128" s="409" t="s">
        <v>154</v>
      </c>
      <c r="C128" s="408">
        <v>110</v>
      </c>
      <c r="D128" s="408">
        <v>0</v>
      </c>
      <c r="E128" s="408">
        <v>0</v>
      </c>
      <c r="F128" s="408">
        <v>0</v>
      </c>
      <c r="G128" s="408">
        <v>0</v>
      </c>
      <c r="H128" s="408">
        <v>0</v>
      </c>
      <c r="I128" s="408">
        <v>0</v>
      </c>
      <c r="J128" s="408">
        <v>27</v>
      </c>
      <c r="K128" s="408">
        <v>0</v>
      </c>
      <c r="L128" s="408">
        <v>26</v>
      </c>
      <c r="M128" s="408">
        <v>26</v>
      </c>
      <c r="N128" s="408">
        <v>0</v>
      </c>
      <c r="O128" s="408">
        <v>0</v>
      </c>
      <c r="P128" s="408">
        <v>0</v>
      </c>
      <c r="Q128" s="408">
        <v>0</v>
      </c>
      <c r="R128" s="408">
        <v>0</v>
      </c>
      <c r="S128" s="408">
        <v>0</v>
      </c>
      <c r="T128" s="408">
        <v>0</v>
      </c>
      <c r="U128" s="408">
        <v>0</v>
      </c>
      <c r="V128" s="408">
        <v>0</v>
      </c>
    </row>
    <row r="129" spans="1:22" s="395" customFormat="1" ht="17.600000000000001">
      <c r="A129" s="1381"/>
      <c r="B129" s="409" t="s">
        <v>155</v>
      </c>
      <c r="C129" s="408">
        <v>120</v>
      </c>
      <c r="D129" s="408">
        <v>25</v>
      </c>
      <c r="E129" s="408">
        <v>3</v>
      </c>
      <c r="F129" s="408">
        <v>1.5</v>
      </c>
      <c r="G129" s="408">
        <v>0</v>
      </c>
      <c r="H129" s="408">
        <v>0</v>
      </c>
      <c r="I129" s="408">
        <v>150</v>
      </c>
      <c r="J129" s="408">
        <v>22</v>
      </c>
      <c r="K129" s="408">
        <v>0</v>
      </c>
      <c r="L129" s="408">
        <v>10</v>
      </c>
      <c r="M129" s="411">
        <v>0</v>
      </c>
      <c r="N129" s="408">
        <v>1</v>
      </c>
      <c r="O129" s="408">
        <v>0</v>
      </c>
      <c r="P129" s="408">
        <v>0</v>
      </c>
      <c r="Q129" s="408">
        <v>5</v>
      </c>
      <c r="R129" s="408">
        <v>0</v>
      </c>
      <c r="S129" s="408">
        <v>1</v>
      </c>
      <c r="T129" s="408">
        <v>6</v>
      </c>
      <c r="U129" s="408">
        <v>0</v>
      </c>
      <c r="V129" s="408">
        <v>0</v>
      </c>
    </row>
    <row r="130" spans="1:22" s="395" customFormat="1" ht="17.600000000000001">
      <c r="A130" s="1381"/>
      <c r="B130" s="409" t="s">
        <v>687</v>
      </c>
      <c r="C130" s="408">
        <v>150</v>
      </c>
      <c r="D130" s="408">
        <v>80</v>
      </c>
      <c r="E130" s="408">
        <v>9</v>
      </c>
      <c r="F130" s="408">
        <v>3</v>
      </c>
      <c r="G130" s="408">
        <v>0</v>
      </c>
      <c r="H130" s="408">
        <v>0</v>
      </c>
      <c r="I130" s="408">
        <v>10</v>
      </c>
      <c r="J130" s="408">
        <v>17</v>
      </c>
      <c r="K130" s="408">
        <v>1</v>
      </c>
      <c r="L130" s="408">
        <v>16</v>
      </c>
      <c r="M130" s="411">
        <v>15</v>
      </c>
      <c r="N130" s="408">
        <v>2</v>
      </c>
      <c r="O130" s="408">
        <v>0</v>
      </c>
      <c r="P130" s="408">
        <v>0</v>
      </c>
      <c r="Q130" s="408">
        <v>34</v>
      </c>
      <c r="R130" s="408">
        <v>2</v>
      </c>
      <c r="S130" s="408">
        <v>1</v>
      </c>
      <c r="T130" s="408">
        <v>6</v>
      </c>
      <c r="U130" s="408">
        <v>128</v>
      </c>
      <c r="V130" s="408">
        <v>2</v>
      </c>
    </row>
    <row r="131" spans="1:22" s="395" customFormat="1" ht="17.600000000000001">
      <c r="A131" s="1381"/>
      <c r="B131" s="409" t="s">
        <v>156</v>
      </c>
      <c r="C131" s="408">
        <v>120</v>
      </c>
      <c r="D131" s="408">
        <v>45</v>
      </c>
      <c r="E131" s="408">
        <v>4.5</v>
      </c>
      <c r="F131" s="408">
        <v>1.5</v>
      </c>
      <c r="G131" s="408">
        <v>0</v>
      </c>
      <c r="H131" s="408">
        <v>0</v>
      </c>
      <c r="I131" s="408">
        <v>140</v>
      </c>
      <c r="J131" s="408">
        <v>18</v>
      </c>
      <c r="K131" s="408">
        <v>0</v>
      </c>
      <c r="L131" s="408">
        <v>10</v>
      </c>
      <c r="M131" s="408">
        <v>0</v>
      </c>
      <c r="N131" s="408">
        <v>1</v>
      </c>
      <c r="O131" s="408">
        <v>0</v>
      </c>
      <c r="P131" s="408">
        <v>0</v>
      </c>
      <c r="Q131" s="408">
        <v>0</v>
      </c>
      <c r="R131" s="408">
        <v>0</v>
      </c>
      <c r="S131" s="408">
        <v>1</v>
      </c>
      <c r="T131" s="408">
        <v>6</v>
      </c>
      <c r="U131" s="408">
        <v>0</v>
      </c>
      <c r="V131" s="408">
        <v>0</v>
      </c>
    </row>
    <row r="132" spans="1:22" s="395" customFormat="1" ht="17.600000000000001">
      <c r="A132" s="1381"/>
      <c r="B132" s="409" t="s">
        <v>688</v>
      </c>
      <c r="C132" s="408">
        <v>50</v>
      </c>
      <c r="D132" s="408">
        <v>20</v>
      </c>
      <c r="E132" s="408">
        <v>2.5</v>
      </c>
      <c r="F132" s="408">
        <v>1</v>
      </c>
      <c r="G132" s="408">
        <v>0</v>
      </c>
      <c r="H132" s="408">
        <v>5</v>
      </c>
      <c r="I132" s="408">
        <v>15</v>
      </c>
      <c r="J132" s="408">
        <v>7</v>
      </c>
      <c r="K132" s="408">
        <v>0</v>
      </c>
      <c r="L132" s="408">
        <v>2</v>
      </c>
      <c r="M132" s="408">
        <v>2</v>
      </c>
      <c r="N132" s="408">
        <v>1</v>
      </c>
      <c r="O132" s="408">
        <v>0</v>
      </c>
      <c r="P132" s="408">
        <v>0</v>
      </c>
      <c r="Q132" s="408">
        <v>1</v>
      </c>
      <c r="R132" s="408">
        <v>0</v>
      </c>
      <c r="S132" s="408">
        <v>0</v>
      </c>
      <c r="T132" s="408">
        <v>0</v>
      </c>
      <c r="U132" s="408">
        <v>7</v>
      </c>
      <c r="V132" s="408">
        <v>0</v>
      </c>
    </row>
    <row r="133" spans="1:22" s="395" customFormat="1" ht="17.600000000000001">
      <c r="A133" s="1381"/>
      <c r="B133" s="409" t="s">
        <v>157</v>
      </c>
      <c r="C133" s="408">
        <v>140</v>
      </c>
      <c r="D133" s="408">
        <v>70</v>
      </c>
      <c r="E133" s="408">
        <v>8</v>
      </c>
      <c r="F133" s="408">
        <v>3</v>
      </c>
      <c r="G133" s="408">
        <v>0</v>
      </c>
      <c r="H133" s="408">
        <v>0</v>
      </c>
      <c r="I133" s="408">
        <v>100</v>
      </c>
      <c r="J133" s="408">
        <v>16</v>
      </c>
      <c r="K133" s="408">
        <v>1</v>
      </c>
      <c r="L133" s="408">
        <v>14</v>
      </c>
      <c r="M133" s="408">
        <v>13</v>
      </c>
      <c r="N133" s="408">
        <v>3</v>
      </c>
      <c r="O133" s="408">
        <v>0</v>
      </c>
      <c r="P133" s="408">
        <v>0</v>
      </c>
      <c r="Q133" s="408">
        <v>26</v>
      </c>
      <c r="R133" s="408">
        <v>2</v>
      </c>
      <c r="S133" s="408">
        <v>1</v>
      </c>
      <c r="T133" s="408">
        <v>6</v>
      </c>
      <c r="U133" s="408">
        <v>102</v>
      </c>
      <c r="V133" s="408">
        <v>2</v>
      </c>
    </row>
    <row r="134" spans="1:22" s="395" customFormat="1" ht="17.600000000000001">
      <c r="A134" s="1381"/>
      <c r="B134" s="409" t="s">
        <v>158</v>
      </c>
      <c r="C134" s="408">
        <v>190</v>
      </c>
      <c r="D134" s="408">
        <v>160</v>
      </c>
      <c r="E134" s="408">
        <v>18</v>
      </c>
      <c r="F134" s="408">
        <v>3</v>
      </c>
      <c r="G134" s="408">
        <v>0</v>
      </c>
      <c r="H134" s="408">
        <v>0</v>
      </c>
      <c r="I134" s="408">
        <v>130</v>
      </c>
      <c r="J134" s="408">
        <v>6</v>
      </c>
      <c r="K134" s="408">
        <v>2</v>
      </c>
      <c r="L134" s="408">
        <v>3</v>
      </c>
      <c r="M134" s="408">
        <v>2</v>
      </c>
      <c r="N134" s="408">
        <v>6</v>
      </c>
      <c r="O134" s="408">
        <v>0</v>
      </c>
      <c r="P134" s="408">
        <v>0</v>
      </c>
      <c r="Q134" s="408">
        <v>21</v>
      </c>
      <c r="R134" s="408">
        <v>2</v>
      </c>
      <c r="S134" s="408">
        <v>1</v>
      </c>
      <c r="T134" s="408">
        <v>6</v>
      </c>
      <c r="U134" s="408">
        <v>159</v>
      </c>
      <c r="V134" s="408">
        <v>4</v>
      </c>
    </row>
    <row r="135" spans="1:22" s="395" customFormat="1" ht="17.600000000000001" hidden="1">
      <c r="A135" s="1381"/>
      <c r="B135" s="409" t="s">
        <v>159</v>
      </c>
      <c r="C135" s="408">
        <v>130</v>
      </c>
      <c r="D135" s="408">
        <v>60</v>
      </c>
      <c r="E135" s="408">
        <v>6</v>
      </c>
      <c r="F135" s="408">
        <v>2.5</v>
      </c>
      <c r="G135" s="408">
        <v>0</v>
      </c>
      <c r="H135" s="408">
        <v>0</v>
      </c>
      <c r="I135" s="408">
        <v>65</v>
      </c>
      <c r="J135" s="408">
        <v>18</v>
      </c>
      <c r="K135" s="408">
        <v>1</v>
      </c>
      <c r="L135" s="408">
        <v>15</v>
      </c>
      <c r="M135" s="408">
        <v>13</v>
      </c>
      <c r="N135" s="408">
        <v>2</v>
      </c>
      <c r="O135" s="408">
        <v>0</v>
      </c>
      <c r="P135" s="408">
        <v>0</v>
      </c>
      <c r="Q135" s="408">
        <v>27</v>
      </c>
      <c r="R135" s="408">
        <v>2</v>
      </c>
      <c r="S135" s="408">
        <v>0</v>
      </c>
      <c r="T135" s="408">
        <v>0</v>
      </c>
      <c r="U135" s="408">
        <v>83</v>
      </c>
      <c r="V135" s="408">
        <v>2</v>
      </c>
    </row>
    <row r="136" spans="1:22" s="395" customFormat="1" ht="17.600000000000001">
      <c r="A136" s="1381"/>
      <c r="B136" s="409" t="s">
        <v>160</v>
      </c>
      <c r="C136" s="408">
        <v>130</v>
      </c>
      <c r="D136" s="408">
        <v>45</v>
      </c>
      <c r="E136" s="408">
        <v>5</v>
      </c>
      <c r="F136" s="408">
        <v>4</v>
      </c>
      <c r="G136" s="408">
        <v>0</v>
      </c>
      <c r="H136" s="408">
        <v>0</v>
      </c>
      <c r="I136" s="408">
        <v>0</v>
      </c>
      <c r="J136" s="408">
        <v>20</v>
      </c>
      <c r="K136" s="408">
        <v>0</v>
      </c>
      <c r="L136" s="408">
        <v>12</v>
      </c>
      <c r="M136" s="408">
        <v>12</v>
      </c>
      <c r="N136" s="408">
        <v>0</v>
      </c>
      <c r="O136" s="408">
        <v>0</v>
      </c>
      <c r="P136" s="408">
        <v>0</v>
      </c>
      <c r="Q136" s="408">
        <v>1</v>
      </c>
      <c r="R136" s="408">
        <v>0</v>
      </c>
      <c r="S136" s="408">
        <v>0</v>
      </c>
      <c r="T136" s="408">
        <v>0</v>
      </c>
      <c r="U136" s="408">
        <v>0</v>
      </c>
      <c r="V136" s="408">
        <v>0</v>
      </c>
    </row>
    <row r="137" spans="1:22" s="395" customFormat="1" ht="17.600000000000001">
      <c r="A137" s="1381"/>
      <c r="B137" s="409" t="s">
        <v>161</v>
      </c>
      <c r="C137" s="408">
        <v>120</v>
      </c>
      <c r="D137" s="408">
        <v>45</v>
      </c>
      <c r="E137" s="408">
        <v>5</v>
      </c>
      <c r="F137" s="408">
        <v>4</v>
      </c>
      <c r="G137" s="408">
        <v>0</v>
      </c>
      <c r="H137" s="408">
        <v>0</v>
      </c>
      <c r="I137" s="408">
        <v>0</v>
      </c>
      <c r="J137" s="408">
        <v>20</v>
      </c>
      <c r="K137" s="408">
        <v>0</v>
      </c>
      <c r="L137" s="408">
        <v>12</v>
      </c>
      <c r="M137" s="408">
        <v>12</v>
      </c>
      <c r="N137" s="408">
        <v>0</v>
      </c>
      <c r="O137" s="408">
        <v>0</v>
      </c>
      <c r="P137" s="408">
        <v>0</v>
      </c>
      <c r="Q137" s="408">
        <v>1</v>
      </c>
      <c r="R137" s="408">
        <v>0</v>
      </c>
      <c r="S137" s="408">
        <v>0</v>
      </c>
      <c r="T137" s="408">
        <v>0</v>
      </c>
      <c r="U137" s="408">
        <v>0</v>
      </c>
      <c r="V137" s="408">
        <v>0</v>
      </c>
    </row>
    <row r="138" spans="1:22" s="395" customFormat="1" ht="17.600000000000001">
      <c r="A138" s="1381"/>
      <c r="B138" s="409" t="s">
        <v>162</v>
      </c>
      <c r="C138" s="408">
        <v>80</v>
      </c>
      <c r="D138" s="408">
        <v>0</v>
      </c>
      <c r="E138" s="408">
        <v>0</v>
      </c>
      <c r="F138" s="408">
        <v>0</v>
      </c>
      <c r="G138" s="408">
        <v>0</v>
      </c>
      <c r="H138" s="408">
        <v>0</v>
      </c>
      <c r="I138" s="408">
        <v>10</v>
      </c>
      <c r="J138" s="408">
        <v>21</v>
      </c>
      <c r="K138" s="408">
        <v>1</v>
      </c>
      <c r="L138" s="408">
        <v>18</v>
      </c>
      <c r="M138" s="408">
        <v>11</v>
      </c>
      <c r="N138" s="408">
        <v>0</v>
      </c>
      <c r="O138" s="408">
        <v>0</v>
      </c>
      <c r="P138" s="408">
        <v>0</v>
      </c>
      <c r="Q138" s="408">
        <v>6</v>
      </c>
      <c r="R138" s="408">
        <v>0</v>
      </c>
      <c r="S138" s="408">
        <v>0</v>
      </c>
      <c r="T138" s="408">
        <v>0</v>
      </c>
      <c r="U138" s="408">
        <v>53</v>
      </c>
      <c r="V138" s="408">
        <v>2</v>
      </c>
    </row>
    <row r="139" spans="1:22" s="395" customFormat="1" ht="17.600000000000001">
      <c r="A139" s="1381"/>
      <c r="B139" s="409" t="s">
        <v>163</v>
      </c>
      <c r="C139" s="408">
        <v>280</v>
      </c>
      <c r="D139" s="408">
        <v>160</v>
      </c>
      <c r="E139" s="408">
        <v>18</v>
      </c>
      <c r="F139" s="408">
        <v>1.5</v>
      </c>
      <c r="G139" s="408">
        <v>0</v>
      </c>
      <c r="H139" s="408">
        <v>0</v>
      </c>
      <c r="I139" s="408">
        <v>0</v>
      </c>
      <c r="J139" s="408">
        <v>25</v>
      </c>
      <c r="K139" s="408">
        <v>3</v>
      </c>
      <c r="L139" s="408">
        <v>20</v>
      </c>
      <c r="M139" s="408">
        <v>0</v>
      </c>
      <c r="N139" s="408">
        <v>4</v>
      </c>
      <c r="O139" s="408">
        <v>0</v>
      </c>
      <c r="P139" s="408">
        <v>0</v>
      </c>
      <c r="Q139" s="408">
        <v>24</v>
      </c>
      <c r="R139" s="408">
        <v>2</v>
      </c>
      <c r="S139" s="408">
        <v>1</v>
      </c>
      <c r="T139" s="408">
        <v>6</v>
      </c>
      <c r="U139" s="408">
        <v>124</v>
      </c>
      <c r="V139" s="408">
        <v>2</v>
      </c>
    </row>
    <row r="140" spans="1:22" s="395" customFormat="1" ht="17.600000000000001">
      <c r="A140" s="1381"/>
      <c r="B140" s="409" t="s">
        <v>422</v>
      </c>
      <c r="C140" s="408">
        <v>10</v>
      </c>
      <c r="D140" s="408">
        <v>0</v>
      </c>
      <c r="E140" s="408">
        <v>0</v>
      </c>
      <c r="F140" s="408">
        <v>0</v>
      </c>
      <c r="G140" s="408">
        <v>0</v>
      </c>
      <c r="H140" s="408">
        <v>0</v>
      </c>
      <c r="I140" s="408">
        <v>0</v>
      </c>
      <c r="J140" s="408">
        <v>2</v>
      </c>
      <c r="K140" s="408">
        <v>0</v>
      </c>
      <c r="L140" s="408">
        <v>1</v>
      </c>
      <c r="M140" s="408">
        <v>0</v>
      </c>
      <c r="N140" s="408">
        <v>0</v>
      </c>
      <c r="O140" s="408">
        <v>0</v>
      </c>
      <c r="P140" s="408">
        <v>0</v>
      </c>
      <c r="Q140" s="408">
        <v>20</v>
      </c>
      <c r="R140" s="410">
        <v>2</v>
      </c>
      <c r="S140" s="410">
        <v>1</v>
      </c>
      <c r="T140" s="410">
        <v>6</v>
      </c>
      <c r="U140" s="410">
        <v>0</v>
      </c>
      <c r="V140" s="410">
        <v>0</v>
      </c>
    </row>
    <row r="141" spans="1:22" s="395" customFormat="1" ht="18" thickBot="1">
      <c r="A141" s="1382"/>
      <c r="B141" s="409" t="s">
        <v>423</v>
      </c>
      <c r="C141" s="407">
        <v>80</v>
      </c>
      <c r="D141" s="407">
        <v>50</v>
      </c>
      <c r="E141" s="407">
        <v>6</v>
      </c>
      <c r="F141" s="407">
        <v>3.5</v>
      </c>
      <c r="G141" s="407">
        <v>0</v>
      </c>
      <c r="H141" s="407">
        <v>20</v>
      </c>
      <c r="I141" s="407">
        <v>5</v>
      </c>
      <c r="J141" s="407">
        <v>6</v>
      </c>
      <c r="K141" s="407">
        <v>0</v>
      </c>
      <c r="L141" s="407">
        <v>3</v>
      </c>
      <c r="M141" s="407">
        <v>2</v>
      </c>
      <c r="N141" s="407">
        <v>1</v>
      </c>
      <c r="O141" s="408">
        <v>0</v>
      </c>
      <c r="P141" s="408">
        <v>0</v>
      </c>
      <c r="Q141" s="407">
        <v>20</v>
      </c>
      <c r="R141" s="407">
        <v>2</v>
      </c>
      <c r="S141" s="407">
        <v>0</v>
      </c>
      <c r="T141" s="407">
        <v>0</v>
      </c>
      <c r="U141" s="407">
        <v>26</v>
      </c>
      <c r="V141" s="407">
        <v>0</v>
      </c>
    </row>
    <row r="143" spans="1:22" s="395" customFormat="1" ht="17.600000000000001">
      <c r="B143" s="406"/>
      <c r="C143" s="405"/>
      <c r="D143" s="405"/>
      <c r="E143" s="405"/>
      <c r="F143" s="405"/>
      <c r="G143" s="405"/>
      <c r="H143" s="405"/>
      <c r="I143" s="405"/>
      <c r="J143" s="405"/>
      <c r="K143" s="405"/>
      <c r="L143" s="405"/>
      <c r="M143" s="405"/>
      <c r="N143" s="405"/>
      <c r="O143" s="405"/>
      <c r="P143" s="405"/>
      <c r="Q143" s="405"/>
    </row>
    <row r="144" spans="1:22" s="395" customFormat="1" ht="23.25" customHeight="1">
      <c r="A144" s="1383" t="s">
        <v>689</v>
      </c>
      <c r="B144" s="1384"/>
      <c r="C144" s="1384"/>
      <c r="D144" s="1384"/>
      <c r="E144" s="1384"/>
      <c r="F144" s="1384"/>
      <c r="G144" s="1384"/>
      <c r="H144" s="1384"/>
      <c r="I144" s="1384"/>
      <c r="J144" s="1384"/>
      <c r="K144" s="1384"/>
      <c r="L144" s="1384"/>
      <c r="M144" s="1384"/>
      <c r="N144" s="1384"/>
      <c r="O144" s="1384"/>
      <c r="P144" s="1384"/>
      <c r="Q144" s="1384"/>
      <c r="R144" s="1384"/>
      <c r="S144" s="1384"/>
      <c r="T144" s="1384"/>
      <c r="U144" s="1384"/>
      <c r="V144" s="1385"/>
    </row>
    <row r="145" spans="1:22" s="395" customFormat="1" ht="19.5" customHeight="1">
      <c r="A145" s="1386" t="s">
        <v>690</v>
      </c>
      <c r="B145" s="1387"/>
      <c r="C145" s="1387"/>
      <c r="D145" s="1387"/>
      <c r="E145" s="1387"/>
      <c r="F145" s="1387"/>
      <c r="G145" s="1387"/>
      <c r="H145" s="1387"/>
      <c r="I145" s="1387"/>
      <c r="J145" s="1387"/>
      <c r="K145" s="1387"/>
      <c r="L145" s="1387"/>
      <c r="M145" s="1387"/>
      <c r="N145" s="1387"/>
      <c r="O145" s="1387"/>
      <c r="P145" s="1387"/>
      <c r="Q145" s="1387"/>
      <c r="R145" s="1387"/>
      <c r="S145" s="1387"/>
      <c r="T145" s="1387"/>
      <c r="U145" s="1387"/>
      <c r="V145" s="1388"/>
    </row>
    <row r="146" spans="1:22" s="395" customFormat="1" ht="52.75">
      <c r="A146" s="404"/>
      <c r="B146" s="404" t="s">
        <v>3</v>
      </c>
      <c r="C146" s="403" t="s">
        <v>4</v>
      </c>
      <c r="D146" s="403" t="s">
        <v>5</v>
      </c>
      <c r="E146" s="403" t="s">
        <v>6</v>
      </c>
      <c r="F146" s="403" t="s">
        <v>7</v>
      </c>
      <c r="G146" s="403" t="s">
        <v>8</v>
      </c>
      <c r="H146" s="403" t="s">
        <v>9</v>
      </c>
      <c r="I146" s="403" t="s">
        <v>10</v>
      </c>
      <c r="J146" s="403" t="s">
        <v>11</v>
      </c>
      <c r="K146" s="403" t="s">
        <v>12</v>
      </c>
      <c r="L146" s="403" t="s">
        <v>13</v>
      </c>
      <c r="M146" s="403" t="s">
        <v>14</v>
      </c>
      <c r="N146" s="403" t="s">
        <v>15</v>
      </c>
      <c r="O146" s="402" t="s">
        <v>16</v>
      </c>
      <c r="P146" s="402" t="s">
        <v>17</v>
      </c>
      <c r="Q146" s="402" t="s">
        <v>18</v>
      </c>
      <c r="R146" s="402" t="s">
        <v>19</v>
      </c>
      <c r="S146" s="402" t="s">
        <v>20</v>
      </c>
      <c r="T146" s="402" t="s">
        <v>21</v>
      </c>
      <c r="U146" s="402" t="s">
        <v>22</v>
      </c>
      <c r="V146" s="402" t="s">
        <v>23</v>
      </c>
    </row>
    <row r="147" spans="1:22" s="395" customFormat="1" ht="17.600000000000001">
      <c r="A147" s="1389"/>
      <c r="B147" s="401" t="s">
        <v>691</v>
      </c>
      <c r="C147" s="396">
        <v>0</v>
      </c>
      <c r="D147" s="396">
        <v>0</v>
      </c>
      <c r="E147" s="396">
        <v>0</v>
      </c>
      <c r="F147" s="396">
        <v>0</v>
      </c>
      <c r="G147" s="396">
        <v>0</v>
      </c>
      <c r="H147" s="396">
        <v>0</v>
      </c>
      <c r="I147" s="396">
        <v>0</v>
      </c>
      <c r="J147" s="396">
        <v>0</v>
      </c>
      <c r="K147" s="396">
        <v>0</v>
      </c>
      <c r="L147" s="396">
        <v>0</v>
      </c>
      <c r="M147" s="396" t="s">
        <v>641</v>
      </c>
      <c r="N147" s="396">
        <v>0</v>
      </c>
      <c r="O147" s="396" t="s">
        <v>641</v>
      </c>
      <c r="P147" s="396" t="s">
        <v>641</v>
      </c>
      <c r="Q147" s="396">
        <v>0</v>
      </c>
      <c r="R147" s="396">
        <v>0</v>
      </c>
      <c r="S147" s="396">
        <v>0</v>
      </c>
      <c r="T147" s="396">
        <v>0</v>
      </c>
      <c r="U147" s="396" t="s">
        <v>641</v>
      </c>
      <c r="V147" s="396" t="s">
        <v>641</v>
      </c>
    </row>
    <row r="148" spans="1:22" s="395" customFormat="1" ht="17.600000000000001">
      <c r="A148" s="1389"/>
      <c r="B148" s="401" t="s">
        <v>692</v>
      </c>
      <c r="C148" s="396">
        <v>0</v>
      </c>
      <c r="D148" s="396">
        <v>0</v>
      </c>
      <c r="E148" s="396">
        <v>0</v>
      </c>
      <c r="F148" s="396">
        <v>0</v>
      </c>
      <c r="G148" s="396">
        <v>0</v>
      </c>
      <c r="H148" s="396">
        <v>0</v>
      </c>
      <c r="I148" s="396">
        <v>0</v>
      </c>
      <c r="J148" s="396">
        <v>0</v>
      </c>
      <c r="K148" s="396">
        <v>0</v>
      </c>
      <c r="L148" s="396">
        <v>0</v>
      </c>
      <c r="M148" s="396" t="s">
        <v>641</v>
      </c>
      <c r="N148" s="396">
        <v>0</v>
      </c>
      <c r="O148" s="396" t="s">
        <v>641</v>
      </c>
      <c r="P148" s="396" t="s">
        <v>641</v>
      </c>
      <c r="Q148" s="396">
        <v>0</v>
      </c>
      <c r="R148" s="396">
        <v>0</v>
      </c>
      <c r="S148" s="396">
        <v>0</v>
      </c>
      <c r="T148" s="396">
        <v>0</v>
      </c>
      <c r="U148" s="396" t="s">
        <v>641</v>
      </c>
      <c r="V148" s="396" t="s">
        <v>641</v>
      </c>
    </row>
    <row r="149" spans="1:22" s="395" customFormat="1" ht="17.600000000000001">
      <c r="A149" s="1389"/>
      <c r="B149" s="401" t="s">
        <v>502</v>
      </c>
      <c r="C149" s="396">
        <v>0</v>
      </c>
      <c r="D149" s="396">
        <v>0</v>
      </c>
      <c r="E149" s="396">
        <v>0</v>
      </c>
      <c r="F149" s="396">
        <v>0</v>
      </c>
      <c r="G149" s="396">
        <v>0</v>
      </c>
      <c r="H149" s="396">
        <v>0</v>
      </c>
      <c r="I149" s="396">
        <v>0</v>
      </c>
      <c r="J149" s="396">
        <v>0</v>
      </c>
      <c r="K149" s="396">
        <v>0</v>
      </c>
      <c r="L149" s="396">
        <v>0</v>
      </c>
      <c r="M149" s="396" t="s">
        <v>641</v>
      </c>
      <c r="N149" s="396">
        <v>0</v>
      </c>
      <c r="O149" s="396" t="s">
        <v>641</v>
      </c>
      <c r="P149" s="396" t="s">
        <v>641</v>
      </c>
      <c r="Q149" s="396">
        <v>0</v>
      </c>
      <c r="R149" s="396">
        <v>0</v>
      </c>
      <c r="S149" s="396">
        <v>0</v>
      </c>
      <c r="T149" s="396">
        <v>0</v>
      </c>
      <c r="U149" s="396" t="s">
        <v>641</v>
      </c>
      <c r="V149" s="396" t="s">
        <v>641</v>
      </c>
    </row>
    <row r="150" spans="1:22" s="395" customFormat="1" ht="17.600000000000001" hidden="1">
      <c r="A150" s="1389"/>
      <c r="B150" s="401" t="s">
        <v>693</v>
      </c>
      <c r="C150" s="396" t="e">
        <v>#VALUE!</v>
      </c>
      <c r="D150" s="396" t="e">
        <v>#VALUE!</v>
      </c>
      <c r="E150" s="396" t="e">
        <v>#VALUE!</v>
      </c>
      <c r="F150" s="396" t="e">
        <v>#VALUE!</v>
      </c>
      <c r="G150" s="396" t="e">
        <v>#VALUE!</v>
      </c>
      <c r="H150" s="396" t="e">
        <v>#VALUE!</v>
      </c>
      <c r="I150" s="396" t="e">
        <v>#VALUE!</v>
      </c>
      <c r="J150" s="396" t="e">
        <v>#VALUE!</v>
      </c>
      <c r="K150" s="396" t="e">
        <v>#VALUE!</v>
      </c>
      <c r="L150" s="396" t="e">
        <v>#VALUE!</v>
      </c>
      <c r="M150" s="396" t="s">
        <v>641</v>
      </c>
      <c r="N150" s="396" t="e">
        <v>#VALUE!</v>
      </c>
      <c r="O150" s="396" t="s">
        <v>641</v>
      </c>
      <c r="P150" s="396" t="s">
        <v>641</v>
      </c>
      <c r="Q150" s="396" t="e">
        <v>#VALUE!</v>
      </c>
      <c r="R150" s="396" t="e">
        <v>#VALUE!</v>
      </c>
      <c r="S150" s="396" t="e">
        <v>#VALUE!</v>
      </c>
      <c r="T150" s="396" t="e">
        <v>#VALUE!</v>
      </c>
      <c r="U150" s="396" t="s">
        <v>641</v>
      </c>
      <c r="V150" s="396" t="s">
        <v>641</v>
      </c>
    </row>
    <row r="151" spans="1:22" s="395" customFormat="1" ht="17.600000000000001">
      <c r="A151" s="1389"/>
      <c r="B151" s="401" t="s">
        <v>694</v>
      </c>
      <c r="C151" s="396">
        <v>245</v>
      </c>
      <c r="D151" s="396">
        <v>100</v>
      </c>
      <c r="E151" s="396">
        <v>11</v>
      </c>
      <c r="F151" s="396">
        <v>3</v>
      </c>
      <c r="G151" s="396">
        <v>1</v>
      </c>
      <c r="H151" s="396">
        <v>17.5</v>
      </c>
      <c r="I151" s="396">
        <v>125</v>
      </c>
      <c r="J151" s="396">
        <v>36</v>
      </c>
      <c r="K151" s="396">
        <v>1</v>
      </c>
      <c r="L151" s="396">
        <v>21</v>
      </c>
      <c r="M151" s="396" t="s">
        <v>641</v>
      </c>
      <c r="N151" s="396">
        <v>3</v>
      </c>
      <c r="O151" s="396" t="s">
        <v>641</v>
      </c>
      <c r="P151" s="396" t="s">
        <v>641</v>
      </c>
      <c r="Q151" s="396">
        <v>10</v>
      </c>
      <c r="R151" s="396">
        <v>1</v>
      </c>
      <c r="S151" s="396">
        <v>2</v>
      </c>
      <c r="T151" s="396">
        <v>10</v>
      </c>
      <c r="U151" s="396" t="s">
        <v>641</v>
      </c>
      <c r="V151" s="396" t="s">
        <v>641</v>
      </c>
    </row>
    <row r="152" spans="1:22" s="395" customFormat="1" ht="17.600000000000001">
      <c r="A152" s="1388"/>
      <c r="B152" s="401" t="s">
        <v>695</v>
      </c>
      <c r="C152" s="396">
        <v>220</v>
      </c>
      <c r="D152" s="396">
        <v>100</v>
      </c>
      <c r="E152" s="396">
        <v>11</v>
      </c>
      <c r="F152" s="396">
        <v>4</v>
      </c>
      <c r="G152" s="396">
        <v>0</v>
      </c>
      <c r="H152" s="396">
        <v>17.5</v>
      </c>
      <c r="I152" s="396">
        <v>140</v>
      </c>
      <c r="J152" s="396">
        <v>34</v>
      </c>
      <c r="K152" s="396">
        <v>2</v>
      </c>
      <c r="L152" s="396">
        <v>24</v>
      </c>
      <c r="M152" s="396" t="s">
        <v>641</v>
      </c>
      <c r="N152" s="396">
        <v>3</v>
      </c>
      <c r="O152" s="396" t="s">
        <v>641</v>
      </c>
      <c r="P152" s="396" t="s">
        <v>641</v>
      </c>
      <c r="Q152" s="396">
        <v>10</v>
      </c>
      <c r="R152" s="396">
        <v>1</v>
      </c>
      <c r="S152" s="396">
        <v>2</v>
      </c>
      <c r="T152" s="396">
        <v>10</v>
      </c>
      <c r="U152" s="396" t="s">
        <v>641</v>
      </c>
      <c r="V152" s="396" t="s">
        <v>641</v>
      </c>
    </row>
    <row r="153" spans="1:22" s="395" customFormat="1" ht="65.25" customHeight="1">
      <c r="A153" s="1373" t="s">
        <v>168</v>
      </c>
      <c r="B153" s="1373"/>
      <c r="C153" s="1373"/>
      <c r="D153" s="1373"/>
      <c r="E153" s="1373"/>
      <c r="F153" s="1373"/>
      <c r="G153" s="1373"/>
      <c r="H153" s="1373"/>
      <c r="I153" s="1373"/>
      <c r="J153" s="1373"/>
      <c r="K153" s="1373"/>
      <c r="L153" s="1373"/>
      <c r="M153" s="1373"/>
      <c r="N153" s="1373"/>
      <c r="O153" s="1373"/>
      <c r="P153" s="1373"/>
      <c r="Q153" s="1373"/>
      <c r="R153" s="1373"/>
      <c r="S153" s="1373"/>
      <c r="T153" s="1373"/>
      <c r="U153" s="1373"/>
      <c r="V153" s="1373"/>
    </row>
    <row r="155" spans="1:22" s="395" customFormat="1" ht="17.600000000000001" hidden="1">
      <c r="B155" s="400" t="s">
        <v>696</v>
      </c>
      <c r="C155" s="399" t="e">
        <f t="shared" ref="C155:L155" si="0">(AVERAGE(C5:C43,C84:C99)+(AVERAGE(C$118:C$139)*2)+AVERAGE(C147:C152)+C$140+C$141)</f>
        <v>#VALUE!</v>
      </c>
      <c r="D155" s="399" t="e">
        <f t="shared" si="0"/>
        <v>#VALUE!</v>
      </c>
      <c r="E155" s="399" t="e">
        <f t="shared" si="0"/>
        <v>#VALUE!</v>
      </c>
      <c r="F155" s="399" t="e">
        <f t="shared" si="0"/>
        <v>#VALUE!</v>
      </c>
      <c r="G155" s="399" t="e">
        <f t="shared" si="0"/>
        <v>#VALUE!</v>
      </c>
      <c r="H155" s="399" t="e">
        <f t="shared" si="0"/>
        <v>#VALUE!</v>
      </c>
      <c r="I155" s="399" t="e">
        <f t="shared" si="0"/>
        <v>#VALUE!</v>
      </c>
      <c r="J155" s="399" t="e">
        <f t="shared" si="0"/>
        <v>#VALUE!</v>
      </c>
      <c r="K155" s="399" t="e">
        <f t="shared" si="0"/>
        <v>#VALUE!</v>
      </c>
      <c r="L155" s="399" t="e">
        <f t="shared" si="0"/>
        <v>#VALUE!</v>
      </c>
      <c r="M155" s="399" t="s">
        <v>641</v>
      </c>
      <c r="N155" s="399" t="e">
        <f>(AVERAGE(N5:N43,N84:N99)+(AVERAGE(N$118:N$139)*2)+AVERAGE(N147:N152)+N$140+N$141)</f>
        <v>#VALUE!</v>
      </c>
      <c r="O155" s="399" t="s">
        <v>641</v>
      </c>
      <c r="P155" s="399" t="s">
        <v>641</v>
      </c>
      <c r="Q155" s="399" t="e">
        <f>(AVERAGE(Q5:Q43,Q84:Q99)+(AVERAGE(Q$118:Q$139)*2)+AVERAGE(Q147:Q152)+Q$140+Q$141)</f>
        <v>#VALUE!</v>
      </c>
      <c r="R155" s="399" t="e">
        <f>(AVERAGE(R5:R43,R84:R99)+(AVERAGE(R$118:R$139)*2)+AVERAGE(R147:R152)+R$140+R$141)</f>
        <v>#VALUE!</v>
      </c>
      <c r="S155" s="399" t="e">
        <f>(AVERAGE(S5:S43,S84:S99)+(AVERAGE(S$118:S$139)*2)+AVERAGE(S147:S152)+S$140+S$141)</f>
        <v>#VALUE!</v>
      </c>
      <c r="T155" s="399" t="e">
        <f>(AVERAGE(T5:T43,T84:T99)+(AVERAGE(T$118:T$139)*2)+AVERAGE(T147:T152)+T$140+T$141)</f>
        <v>#VALUE!</v>
      </c>
      <c r="U155" s="399" t="s">
        <v>641</v>
      </c>
      <c r="V155" s="399" t="s">
        <v>641</v>
      </c>
    </row>
    <row r="156" spans="1:22" s="395" customFormat="1" ht="17.600000000000001" hidden="1">
      <c r="B156" s="400" t="s">
        <v>697</v>
      </c>
      <c r="C156" s="399" t="e">
        <f>(MIN(C5:C43,C84:C99)+(MIN(C$118:C$139)*2)+MIN(C147:C152)&amp;" - "&amp;((MAX(C5:C43,C84:C99)+(MAX(C$118:C$139)*2)+MAX(C147:C152))+C$140+C$141))</f>
        <v>#VALUE!</v>
      </c>
      <c r="D156" s="399" t="e">
        <f t="shared" ref="D156:L156" si="1">(MIN(D5:D43,D84:D99)+(MIN(D$118:D$139)*2)+MIN(D147:D152)&amp;" - "&amp;((MAX(D5:D43,D84:D99)+(MAX(D$118:D$139)*2)+MIN(D147:D152))+D$140+D$141))</f>
        <v>#VALUE!</v>
      </c>
      <c r="E156" s="399" t="e">
        <f t="shared" si="1"/>
        <v>#VALUE!</v>
      </c>
      <c r="F156" s="399" t="e">
        <f t="shared" si="1"/>
        <v>#VALUE!</v>
      </c>
      <c r="G156" s="399" t="e">
        <f t="shared" si="1"/>
        <v>#VALUE!</v>
      </c>
      <c r="H156" s="399" t="e">
        <f t="shared" si="1"/>
        <v>#VALUE!</v>
      </c>
      <c r="I156" s="399" t="e">
        <f t="shared" si="1"/>
        <v>#VALUE!</v>
      </c>
      <c r="J156" s="399" t="e">
        <f t="shared" si="1"/>
        <v>#VALUE!</v>
      </c>
      <c r="K156" s="399" t="e">
        <f t="shared" si="1"/>
        <v>#VALUE!</v>
      </c>
      <c r="L156" s="399" t="e">
        <f t="shared" si="1"/>
        <v>#VALUE!</v>
      </c>
      <c r="M156" s="399" t="s">
        <v>641</v>
      </c>
      <c r="N156" s="399" t="e">
        <f>(MIN(N5:N43,N84:N99)+(MIN(N$118:N$139)*2)+MIN(N147:N152)&amp;" - "&amp;((MAX(N5:N43,N84:N99)+(MAX(N$118:N$139)*2)+MIN(N147:N152))+N$140+N$141))</f>
        <v>#VALUE!</v>
      </c>
      <c r="O156" s="399" t="s">
        <v>641</v>
      </c>
      <c r="P156" s="399" t="s">
        <v>641</v>
      </c>
      <c r="Q156" s="399" t="e">
        <f>(MIN(Q5:Q43,Q84:Q99)+(MIN(Q$118:Q$139)*2)+MIN(Q147:Q152)&amp;" - "&amp;((MAX(Q5:Q43,Q84:Q99)+(MAX(Q$118:Q$139)*2)+MIN(Q147:Q152))+Q$140+Q$141))</f>
        <v>#VALUE!</v>
      </c>
      <c r="R156" s="399" t="e">
        <f>(MIN(R5:R43,R84:R99)+(MIN(R$118:R$139)*2)+MIN(R147:R152)&amp;" - "&amp;((MAX(R5:R43,R84:R99)+(MAX(R$118:R$139)*2)+MIN(R147:R152))+R$140+R$141))</f>
        <v>#VALUE!</v>
      </c>
      <c r="S156" s="399" t="e">
        <f>(MIN(S5:S43,S84:S99)+(MIN(S$118:S$139)*2)+MIN(S147:S152)&amp;" - "&amp;((MAX(S5:S43,S84:S99)+(MAX(S$118:S$139)*2)+MIN(S147:S152))+S$140+S$141))</f>
        <v>#VALUE!</v>
      </c>
      <c r="T156" s="399" t="e">
        <f>(MIN(T5:T43,T84:T99)+(MIN(T$118:T$139)*2)+MIN(T147:T152)&amp;" - "&amp;((MAX(T5:T43,T84:T99)+(MAX(T$118:T$139)*2)+MIN(T147:T152))+T$140+T$141))</f>
        <v>#VALUE!</v>
      </c>
      <c r="U156" s="399" t="s">
        <v>641</v>
      </c>
      <c r="V156" s="399" t="s">
        <v>641</v>
      </c>
    </row>
    <row r="157" spans="1:22" s="395" customFormat="1" ht="17.600000000000001" hidden="1">
      <c r="B157" s="400" t="s">
        <v>698</v>
      </c>
      <c r="C157" s="399" t="e">
        <f t="shared" ref="C157:L157" si="2">(AVERAGE(C45:C83,C100:C115)+(AVERAGE(C$118:C$139)*2)+AVERAGE(C147:C152)+C$140+C$141)</f>
        <v>#VALUE!</v>
      </c>
      <c r="D157" s="399" t="e">
        <f t="shared" si="2"/>
        <v>#VALUE!</v>
      </c>
      <c r="E157" s="399" t="e">
        <f t="shared" si="2"/>
        <v>#VALUE!</v>
      </c>
      <c r="F157" s="399" t="e">
        <f t="shared" si="2"/>
        <v>#VALUE!</v>
      </c>
      <c r="G157" s="399" t="e">
        <f t="shared" si="2"/>
        <v>#VALUE!</v>
      </c>
      <c r="H157" s="399" t="e">
        <f t="shared" si="2"/>
        <v>#VALUE!</v>
      </c>
      <c r="I157" s="399" t="e">
        <f t="shared" si="2"/>
        <v>#VALUE!</v>
      </c>
      <c r="J157" s="399" t="e">
        <f t="shared" si="2"/>
        <v>#VALUE!</v>
      </c>
      <c r="K157" s="399" t="e">
        <f t="shared" si="2"/>
        <v>#VALUE!</v>
      </c>
      <c r="L157" s="399" t="e">
        <f t="shared" si="2"/>
        <v>#VALUE!</v>
      </c>
      <c r="M157" s="399" t="s">
        <v>641</v>
      </c>
      <c r="N157" s="399" t="e">
        <f>(AVERAGE(N45:N83,N100:N115)+(AVERAGE(N$118:N$139)*2)+AVERAGE(N147:N152)+N$140+N$141)</f>
        <v>#VALUE!</v>
      </c>
      <c r="O157" s="399" t="s">
        <v>641</v>
      </c>
      <c r="P157" s="399" t="s">
        <v>641</v>
      </c>
      <c r="Q157" s="399" t="e">
        <f>(AVERAGE(Q45:Q83,Q100:Q115)+(AVERAGE(Q$118:Q$139)*2)+AVERAGE(Q147:Q152)+Q$140+Q$141)</f>
        <v>#VALUE!</v>
      </c>
      <c r="R157" s="399" t="e">
        <f>(AVERAGE(R45:R83,R100:R115)+(AVERAGE(R$118:R$139)*2)+AVERAGE(R147:R152)+R$140+R$141)</f>
        <v>#VALUE!</v>
      </c>
      <c r="S157" s="399" t="e">
        <f>(AVERAGE(S45:S83,S100:S115)+(AVERAGE(S$118:S$139)*2)+AVERAGE(S147:S152)+S$140+S$141)</f>
        <v>#VALUE!</v>
      </c>
      <c r="T157" s="399" t="e">
        <f>(AVERAGE(T45:T83,T100:T115)+(AVERAGE(T$118:T$139)*2)+AVERAGE(T147:T152)+T$140+T$141)</f>
        <v>#VALUE!</v>
      </c>
      <c r="U157" s="399" t="s">
        <v>641</v>
      </c>
      <c r="V157" s="399" t="s">
        <v>641</v>
      </c>
    </row>
    <row r="158" spans="1:22" s="395" customFormat="1" ht="17.600000000000001" hidden="1">
      <c r="B158" s="400" t="s">
        <v>699</v>
      </c>
      <c r="C158" s="399" t="e">
        <f>(MIN(C45:C83,C100:C115)+(MIN(C$118:C$139)*2)+MIN(C147:C152))&amp;" - "&amp;((MAX(C45:C83,C100:C115)+(MAX(C$118:C$139)*2)+MAX(C147:C152))+C$140+C$141)</f>
        <v>#VALUE!</v>
      </c>
      <c r="D158" s="399" t="e">
        <f t="shared" ref="D158:L158" si="3">(MIN(D45:D83,D100:D115)+(MIN(D$118:D$139)*2)+MIN(D147:D152))&amp;" - "&amp;((MAX(D45:D83,D100:D115)+(MAX(D$118:D$139)*2)+MIN(D147:D152))+D$140+D$141)</f>
        <v>#VALUE!</v>
      </c>
      <c r="E158" s="399" t="e">
        <f t="shared" si="3"/>
        <v>#VALUE!</v>
      </c>
      <c r="F158" s="399" t="e">
        <f t="shared" si="3"/>
        <v>#VALUE!</v>
      </c>
      <c r="G158" s="399" t="e">
        <f t="shared" si="3"/>
        <v>#VALUE!</v>
      </c>
      <c r="H158" s="399" t="e">
        <f t="shared" si="3"/>
        <v>#VALUE!</v>
      </c>
      <c r="I158" s="399" t="e">
        <f t="shared" si="3"/>
        <v>#VALUE!</v>
      </c>
      <c r="J158" s="399" t="e">
        <f t="shared" si="3"/>
        <v>#VALUE!</v>
      </c>
      <c r="K158" s="399" t="e">
        <f t="shared" si="3"/>
        <v>#VALUE!</v>
      </c>
      <c r="L158" s="399" t="e">
        <f t="shared" si="3"/>
        <v>#VALUE!</v>
      </c>
      <c r="M158" s="399" t="s">
        <v>641</v>
      </c>
      <c r="N158" s="399" t="e">
        <f>(MIN(N45:N83,N100:N115)+(MIN(N$118:N$139)*2)+MIN(N147:N152))&amp;" - "&amp;((MAX(N45:N83,N100:N115)+(MAX(N$118:N$139)*2)+MIN(N147:N152))+N$140+N$141)</f>
        <v>#VALUE!</v>
      </c>
      <c r="O158" s="399" t="s">
        <v>641</v>
      </c>
      <c r="P158" s="399" t="s">
        <v>641</v>
      </c>
      <c r="Q158" s="399" t="e">
        <f>(MIN(Q45:Q83,Q100:Q115)+(MIN(Q$118:Q$139)*2)+MIN(Q147:Q152))&amp;" - "&amp;((MAX(Q45:Q83,Q100:Q115)+(MAX(Q$118:Q$139)*2)+MIN(Q147:Q152))+Q$140+Q$141)</f>
        <v>#VALUE!</v>
      </c>
      <c r="R158" s="399" t="e">
        <f>(MIN(R45:R83,R100:R115)+(MIN(R$118:R$139)*2)+MIN(R147:R152))&amp;" - "&amp;((MAX(R45:R83,R100:R115)+(MAX(R$118:R$139)*2)+MIN(R147:R152))+R$140+R$141)</f>
        <v>#VALUE!</v>
      </c>
      <c r="S158" s="399" t="e">
        <f>(MIN(S45:S83,S100:S115)+(MIN(S$118:S$139)*2)+MIN(S147:S152))&amp;" - "&amp;((MAX(S45:S83,S100:S115)+(MAX(S$118:S$139)*2)+MIN(S147:S152))+S$140+S$141)</f>
        <v>#VALUE!</v>
      </c>
      <c r="T158" s="399" t="e">
        <f>(MIN(T45:T83,T100:T115)+(MIN(T$118:T$139)*2)+MIN(T147:T152))&amp;" - "&amp;((MAX(T45:T83,T100:T115)+(MAX(T$118:T$139)*2)+MIN(T147:T152))+T$140+T$141)</f>
        <v>#VALUE!</v>
      </c>
      <c r="U158" s="399" t="s">
        <v>641</v>
      </c>
      <c r="V158" s="399" t="s">
        <v>641</v>
      </c>
    </row>
    <row r="159" spans="1:22" s="395" customFormat="1" ht="17.600000000000001" hidden="1"/>
    <row r="160" spans="1:22" s="395" customFormat="1" ht="17.600000000000001" hidden="1"/>
    <row r="161" spans="3:22" s="395" customFormat="1" ht="16.5" hidden="1" customHeight="1"/>
    <row r="162" spans="3:22" s="395" customFormat="1" ht="18" hidden="1" customHeight="1"/>
    <row r="163" spans="3:22" s="395" customFormat="1" ht="17.600000000000001" hidden="1"/>
    <row r="164" spans="3:22" s="395" customFormat="1" ht="17.600000000000001" hidden="1"/>
    <row r="165" spans="3:22" s="395" customFormat="1" ht="17.600000000000001" hidden="1">
      <c r="C165" s="396">
        <v>490</v>
      </c>
      <c r="D165" s="396">
        <v>200</v>
      </c>
      <c r="E165" s="396">
        <v>22</v>
      </c>
      <c r="F165" s="396">
        <v>6</v>
      </c>
      <c r="G165" s="396">
        <v>2</v>
      </c>
      <c r="H165" s="396">
        <v>35</v>
      </c>
      <c r="I165" s="396">
        <v>250</v>
      </c>
      <c r="J165" s="396">
        <v>72</v>
      </c>
      <c r="K165" s="396">
        <v>2</v>
      </c>
      <c r="L165" s="396">
        <v>42</v>
      </c>
      <c r="M165" s="396" t="s">
        <v>641</v>
      </c>
      <c r="N165" s="396">
        <v>6</v>
      </c>
      <c r="O165" s="398" t="s">
        <v>641</v>
      </c>
      <c r="P165" s="396" t="s">
        <v>641</v>
      </c>
      <c r="Q165" s="396">
        <v>20</v>
      </c>
      <c r="R165" s="396">
        <v>2</v>
      </c>
      <c r="S165" s="396">
        <v>4</v>
      </c>
      <c r="T165" s="396">
        <v>20</v>
      </c>
      <c r="U165" s="397" t="s">
        <v>641</v>
      </c>
      <c r="V165" s="397" t="s">
        <v>641</v>
      </c>
    </row>
    <row r="166" spans="3:22" s="395" customFormat="1" ht="17.600000000000001" hidden="1">
      <c r="C166" s="396">
        <v>484</v>
      </c>
      <c r="D166" s="396">
        <v>186</v>
      </c>
      <c r="E166" s="396">
        <v>20</v>
      </c>
      <c r="F166" s="396">
        <v>8</v>
      </c>
      <c r="G166" s="396">
        <v>2</v>
      </c>
      <c r="H166" s="396">
        <v>40</v>
      </c>
      <c r="I166" s="396">
        <v>262</v>
      </c>
      <c r="J166" s="396">
        <v>70</v>
      </c>
      <c r="K166" s="396">
        <v>2</v>
      </c>
      <c r="L166" s="396">
        <v>44</v>
      </c>
      <c r="M166" s="396" t="s">
        <v>641</v>
      </c>
      <c r="N166" s="396">
        <v>6</v>
      </c>
      <c r="O166" s="398" t="s">
        <v>641</v>
      </c>
      <c r="P166" s="396" t="s">
        <v>641</v>
      </c>
      <c r="Q166" s="396">
        <v>20</v>
      </c>
      <c r="R166" s="396">
        <v>2</v>
      </c>
      <c r="S166" s="396">
        <v>4</v>
      </c>
      <c r="T166" s="396">
        <v>22</v>
      </c>
      <c r="U166" s="397" t="s">
        <v>641</v>
      </c>
      <c r="V166" s="397" t="s">
        <v>641</v>
      </c>
    </row>
    <row r="167" spans="3:22" s="395" customFormat="1" ht="17.600000000000001" hidden="1">
      <c r="C167" s="396">
        <v>500</v>
      </c>
      <c r="D167" s="396">
        <v>200</v>
      </c>
      <c r="E167" s="396">
        <v>22</v>
      </c>
      <c r="F167" s="396">
        <v>8</v>
      </c>
      <c r="G167" s="396">
        <v>0</v>
      </c>
      <c r="H167" s="396">
        <v>35</v>
      </c>
      <c r="I167" s="396">
        <v>280</v>
      </c>
      <c r="J167" s="396">
        <v>68</v>
      </c>
      <c r="K167" s="396">
        <v>4</v>
      </c>
      <c r="L167" s="396">
        <v>48</v>
      </c>
      <c r="M167" s="396" t="s">
        <v>641</v>
      </c>
      <c r="N167" s="396">
        <v>6</v>
      </c>
      <c r="O167" s="398" t="s">
        <v>641</v>
      </c>
      <c r="P167" s="396" t="s">
        <v>641</v>
      </c>
      <c r="Q167" s="396">
        <v>20</v>
      </c>
      <c r="R167" s="396">
        <v>2</v>
      </c>
      <c r="S167" s="396">
        <v>4</v>
      </c>
      <c r="T167" s="396">
        <v>20</v>
      </c>
      <c r="U167" s="397" t="s">
        <v>641</v>
      </c>
      <c r="V167" s="397" t="s">
        <v>641</v>
      </c>
    </row>
    <row r="168" spans="3:22" s="395" customFormat="1" ht="17.600000000000001" hidden="1">
      <c r="C168" s="396">
        <v>490</v>
      </c>
      <c r="D168" s="396">
        <v>270</v>
      </c>
      <c r="E168" s="396">
        <v>30</v>
      </c>
      <c r="F168" s="396">
        <v>8</v>
      </c>
      <c r="G168" s="396">
        <v>2</v>
      </c>
      <c r="H168" s="396">
        <v>25</v>
      </c>
      <c r="I168" s="396">
        <v>440</v>
      </c>
      <c r="J168" s="396">
        <v>60</v>
      </c>
      <c r="K168" s="396">
        <v>2</v>
      </c>
      <c r="L168" s="396">
        <v>38</v>
      </c>
      <c r="M168" s="396" t="s">
        <v>641</v>
      </c>
      <c r="N168" s="396">
        <v>10</v>
      </c>
      <c r="O168" s="396" t="s">
        <v>641</v>
      </c>
      <c r="P168" s="396" t="s">
        <v>641</v>
      </c>
      <c r="Q168" s="396">
        <v>0</v>
      </c>
      <c r="R168" s="396">
        <v>0</v>
      </c>
      <c r="S168" s="396">
        <v>2</v>
      </c>
      <c r="T168" s="396">
        <v>10</v>
      </c>
      <c r="U168" s="397" t="s">
        <v>641</v>
      </c>
      <c r="V168" s="397" t="s">
        <v>641</v>
      </c>
    </row>
    <row r="169" spans="3:22" s="395" customFormat="1" ht="17.600000000000001" hidden="1">
      <c r="C169" s="396">
        <v>470</v>
      </c>
      <c r="D169" s="396">
        <v>160</v>
      </c>
      <c r="E169" s="396">
        <v>18</v>
      </c>
      <c r="F169" s="396">
        <v>6</v>
      </c>
      <c r="G169" s="396">
        <v>2</v>
      </c>
      <c r="H169" s="396">
        <v>45</v>
      </c>
      <c r="I169" s="396">
        <v>320</v>
      </c>
      <c r="J169" s="396">
        <v>68</v>
      </c>
      <c r="K169" s="396">
        <v>2</v>
      </c>
      <c r="L169" s="396">
        <v>48</v>
      </c>
      <c r="M169" s="396" t="s">
        <v>641</v>
      </c>
      <c r="N169" s="396">
        <v>6</v>
      </c>
      <c r="O169" s="396" t="s">
        <v>641</v>
      </c>
      <c r="P169" s="396" t="s">
        <v>641</v>
      </c>
      <c r="Q169" s="396">
        <v>20</v>
      </c>
      <c r="R169" s="396">
        <v>2</v>
      </c>
      <c r="S169" s="396">
        <v>2</v>
      </c>
      <c r="T169" s="396">
        <v>10</v>
      </c>
      <c r="U169" s="397" t="s">
        <v>641</v>
      </c>
      <c r="V169" s="397" t="s">
        <v>641</v>
      </c>
    </row>
    <row r="170" spans="3:22" s="395" customFormat="1" ht="17.600000000000001" hidden="1">
      <c r="C170" s="396">
        <v>502</v>
      </c>
      <c r="D170" s="396">
        <v>202</v>
      </c>
      <c r="E170" s="396">
        <v>22</v>
      </c>
      <c r="F170" s="396">
        <v>10</v>
      </c>
      <c r="G170" s="396">
        <v>0</v>
      </c>
      <c r="H170" s="396">
        <v>52</v>
      </c>
      <c r="I170" s="396">
        <v>212</v>
      </c>
      <c r="J170" s="396">
        <v>70</v>
      </c>
      <c r="K170" s="396">
        <v>2</v>
      </c>
      <c r="L170" s="396">
        <v>40</v>
      </c>
      <c r="M170" s="396" t="s">
        <v>641</v>
      </c>
      <c r="N170" s="396">
        <v>6</v>
      </c>
      <c r="O170" s="396" t="s">
        <v>641</v>
      </c>
      <c r="P170" s="398" t="s">
        <v>641</v>
      </c>
      <c r="Q170" s="396">
        <v>20</v>
      </c>
      <c r="R170" s="396">
        <v>2</v>
      </c>
      <c r="S170" s="396">
        <v>2</v>
      </c>
      <c r="T170" s="396">
        <v>10</v>
      </c>
      <c r="U170" s="397" t="s">
        <v>641</v>
      </c>
      <c r="V170" s="397" t="s">
        <v>641</v>
      </c>
    </row>
    <row r="171" spans="3:22" s="395" customFormat="1" ht="17.600000000000001" hidden="1">
      <c r="C171" s="396">
        <v>490</v>
      </c>
      <c r="D171" s="396">
        <v>220</v>
      </c>
      <c r="E171" s="396">
        <v>24</v>
      </c>
      <c r="F171" s="396">
        <v>8</v>
      </c>
      <c r="G171" s="396">
        <v>2</v>
      </c>
      <c r="H171" s="396">
        <v>35</v>
      </c>
      <c r="I171" s="396">
        <v>250</v>
      </c>
      <c r="J171" s="396">
        <v>68</v>
      </c>
      <c r="K171" s="396">
        <v>2</v>
      </c>
      <c r="L171" s="396">
        <v>40</v>
      </c>
      <c r="M171" s="396" t="s">
        <v>641</v>
      </c>
      <c r="N171" s="396">
        <v>4</v>
      </c>
      <c r="O171" s="396" t="s">
        <v>641</v>
      </c>
      <c r="P171" s="396" t="s">
        <v>641</v>
      </c>
      <c r="Q171" s="396">
        <v>20</v>
      </c>
      <c r="R171" s="396">
        <v>2</v>
      </c>
      <c r="S171" s="396">
        <v>2</v>
      </c>
      <c r="T171" s="396">
        <v>10</v>
      </c>
      <c r="U171" s="397" t="s">
        <v>641</v>
      </c>
      <c r="V171" s="397" t="s">
        <v>641</v>
      </c>
    </row>
    <row r="172" spans="3:22" s="395" customFormat="1" ht="17.600000000000001" hidden="1">
      <c r="C172" s="396">
        <v>440</v>
      </c>
      <c r="D172" s="396">
        <v>60</v>
      </c>
      <c r="E172" s="396">
        <v>16</v>
      </c>
      <c r="F172" s="396">
        <v>7</v>
      </c>
      <c r="G172" s="396">
        <v>0</v>
      </c>
      <c r="H172" s="396">
        <v>40</v>
      </c>
      <c r="I172" s="396">
        <v>230</v>
      </c>
      <c r="J172" s="396">
        <v>70</v>
      </c>
      <c r="K172" s="396">
        <v>4</v>
      </c>
      <c r="L172" s="396">
        <v>48</v>
      </c>
      <c r="M172" s="396">
        <v>0</v>
      </c>
      <c r="N172" s="396">
        <v>4</v>
      </c>
      <c r="O172" s="396"/>
      <c r="P172" s="396"/>
      <c r="Q172" s="396">
        <v>36</v>
      </c>
      <c r="R172" s="396">
        <v>4</v>
      </c>
      <c r="S172" s="396">
        <v>4</v>
      </c>
      <c r="T172" s="396">
        <v>20</v>
      </c>
      <c r="U172" s="396"/>
      <c r="V172" s="396"/>
    </row>
    <row r="173" spans="3:22" s="395" customFormat="1" ht="17.600000000000001"/>
    <row r="174" spans="3:22" s="395" customFormat="1" ht="17.600000000000001"/>
  </sheetData>
  <mergeCells count="11">
    <mergeCell ref="A153:V153"/>
    <mergeCell ref="A1:V1"/>
    <mergeCell ref="A2:V2"/>
    <mergeCell ref="A4:A43"/>
    <mergeCell ref="A44:A83"/>
    <mergeCell ref="A84:A99"/>
    <mergeCell ref="A100:A115"/>
    <mergeCell ref="A118:A141"/>
    <mergeCell ref="A144:V144"/>
    <mergeCell ref="A145:V145"/>
    <mergeCell ref="A147:A152"/>
  </mergeCells>
  <pageMargins left="0.7" right="0.7" top="0.75" bottom="0.75" header="0.3" footer="0.3"/>
  <pageSetup scale="39" fitToHeight="0" orientation="landscape" r:id="rId1"/>
  <headerFooter>
    <oddHeader xml:space="preserve">&amp;R&amp;14 2020 Nutrition Information </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54040-2758-4B46-84F7-90BE6982C808}">
  <sheetPr>
    <tabColor rgb="FF92D050"/>
  </sheetPr>
  <dimension ref="A1:W52"/>
  <sheetViews>
    <sheetView topLeftCell="A16" zoomScaleNormal="100" zoomScalePageLayoutView="82" workbookViewId="0">
      <selection activeCell="Q68" sqref="Q68"/>
    </sheetView>
    <sheetView topLeftCell="A16" workbookViewId="1">
      <selection sqref="A1:V1"/>
    </sheetView>
    <sheetView topLeftCell="A16" workbookViewId="2">
      <selection sqref="A1:V1"/>
    </sheetView>
  </sheetViews>
  <sheetFormatPr defaultColWidth="8.84375" defaultRowHeight="15.9"/>
  <cols>
    <col min="1" max="1" width="6.53515625" style="179" customWidth="1"/>
    <col min="2" max="2" width="55" style="179" customWidth="1"/>
    <col min="3" max="3" width="13.3828125" style="179" customWidth="1"/>
    <col min="4" max="4" width="13" style="179" customWidth="1"/>
    <col min="5" max="5" width="10.15234375" style="179" bestFit="1" customWidth="1"/>
    <col min="6" max="6" width="11.53515625" style="179" customWidth="1"/>
    <col min="7" max="7" width="8.53515625" style="179" customWidth="1"/>
    <col min="8" max="8" width="13" style="179" customWidth="1"/>
    <col min="9" max="9" width="11.53515625" style="179" bestFit="1" customWidth="1"/>
    <col min="10" max="10" width="16.84375" style="179" customWidth="1"/>
    <col min="11" max="11" width="9" style="179" customWidth="1"/>
    <col min="12" max="12" width="16" style="179" bestFit="1" customWidth="1"/>
    <col min="13" max="13" width="9" style="179" customWidth="1"/>
    <col min="14" max="16" width="11.53515625" style="179" customWidth="1"/>
    <col min="17" max="17" width="13.53515625" style="179" customWidth="1"/>
    <col min="18" max="16384" width="8.84375" style="179"/>
  </cols>
  <sheetData>
    <row r="1" spans="1:23" s="223" customFormat="1" ht="22.5" hidden="1" customHeight="1" thickBot="1">
      <c r="A1" s="1215" t="s">
        <v>700</v>
      </c>
      <c r="B1" s="1215"/>
      <c r="C1" s="1215"/>
      <c r="D1" s="1215"/>
      <c r="E1" s="1215"/>
      <c r="F1" s="1215"/>
      <c r="G1" s="1215"/>
      <c r="H1" s="1215"/>
      <c r="I1" s="1215"/>
      <c r="J1" s="1215"/>
      <c r="K1" s="1215"/>
      <c r="L1" s="1215"/>
      <c r="M1" s="1215"/>
      <c r="N1" s="1215"/>
      <c r="O1" s="1215"/>
      <c r="P1" s="1215"/>
      <c r="Q1" s="1215"/>
      <c r="R1" s="1215"/>
      <c r="S1" s="1215"/>
      <c r="T1" s="1215"/>
      <c r="U1" s="1215"/>
      <c r="V1" s="1215"/>
    </row>
    <row r="2" spans="1:23" s="223" customFormat="1" ht="37.5" hidden="1" customHeight="1">
      <c r="A2" s="1390"/>
      <c r="B2" s="1343" t="s">
        <v>3</v>
      </c>
      <c r="C2" s="1335" t="s">
        <v>4</v>
      </c>
      <c r="D2" s="1335" t="s">
        <v>5</v>
      </c>
      <c r="E2" s="1335" t="s">
        <v>6</v>
      </c>
      <c r="F2" s="1335" t="s">
        <v>7</v>
      </c>
      <c r="G2" s="1335" t="s">
        <v>8</v>
      </c>
      <c r="H2" s="1335" t="s">
        <v>9</v>
      </c>
      <c r="I2" s="1335" t="s">
        <v>10</v>
      </c>
      <c r="J2" s="1335" t="s">
        <v>11</v>
      </c>
      <c r="K2" s="1335" t="s">
        <v>12</v>
      </c>
      <c r="L2" s="1335" t="s">
        <v>13</v>
      </c>
      <c r="M2" s="1335" t="s">
        <v>14</v>
      </c>
      <c r="N2" s="1335" t="s">
        <v>15</v>
      </c>
      <c r="O2" s="1333" t="s">
        <v>16</v>
      </c>
      <c r="P2" s="1333" t="s">
        <v>17</v>
      </c>
      <c r="Q2" s="1333" t="s">
        <v>18</v>
      </c>
      <c r="R2" s="1333" t="s">
        <v>19</v>
      </c>
      <c r="S2" s="1333" t="s">
        <v>20</v>
      </c>
      <c r="T2" s="1333" t="s">
        <v>21</v>
      </c>
      <c r="U2" s="1333" t="s">
        <v>22</v>
      </c>
      <c r="V2" s="1333" t="s">
        <v>23</v>
      </c>
    </row>
    <row r="3" spans="1:23" s="223" customFormat="1" ht="16.3" hidden="1" thickBot="1">
      <c r="A3" s="1391"/>
      <c r="B3" s="1344"/>
      <c r="C3" s="1336"/>
      <c r="D3" s="1336"/>
      <c r="E3" s="1336"/>
      <c r="F3" s="1336"/>
      <c r="G3" s="1336"/>
      <c r="H3" s="1336"/>
      <c r="I3" s="1336"/>
      <c r="J3" s="1336"/>
      <c r="K3" s="1336"/>
      <c r="L3" s="1336"/>
      <c r="M3" s="1336"/>
      <c r="N3" s="1336"/>
      <c r="O3" s="1334"/>
      <c r="P3" s="1334"/>
      <c r="Q3" s="1334"/>
      <c r="R3" s="1334"/>
      <c r="S3" s="1334"/>
      <c r="T3" s="1334"/>
      <c r="U3" s="1334"/>
      <c r="V3" s="1334"/>
      <c r="W3" s="281"/>
    </row>
    <row r="4" spans="1:23" s="223" customFormat="1" hidden="1">
      <c r="A4" s="1189" t="s">
        <v>701</v>
      </c>
      <c r="B4" s="224" t="s">
        <v>702</v>
      </c>
      <c r="C4" s="195">
        <v>310</v>
      </c>
      <c r="D4" s="195">
        <v>150</v>
      </c>
      <c r="E4" s="195">
        <v>16</v>
      </c>
      <c r="F4" s="195">
        <v>15</v>
      </c>
      <c r="G4" s="195">
        <v>0</v>
      </c>
      <c r="H4" s="195">
        <v>25</v>
      </c>
      <c r="I4" s="195">
        <v>70</v>
      </c>
      <c r="J4" s="195">
        <v>39</v>
      </c>
      <c r="K4" s="195">
        <v>0</v>
      </c>
      <c r="L4" s="195">
        <v>34</v>
      </c>
      <c r="M4" s="195">
        <v>10</v>
      </c>
      <c r="N4" s="195">
        <v>2</v>
      </c>
      <c r="O4" s="195">
        <v>0</v>
      </c>
      <c r="P4" s="195">
        <v>0</v>
      </c>
      <c r="Q4" s="195">
        <v>2.3731900000000001</v>
      </c>
      <c r="R4" s="195">
        <v>0</v>
      </c>
      <c r="S4" s="195">
        <v>4.2401000000000001E-2</v>
      </c>
      <c r="T4" s="195">
        <v>0</v>
      </c>
      <c r="U4" s="195">
        <v>0</v>
      </c>
      <c r="V4" s="195">
        <v>2</v>
      </c>
    </row>
    <row r="5" spans="1:23" s="223" customFormat="1" hidden="1">
      <c r="A5" s="1190"/>
      <c r="B5" s="217" t="s">
        <v>703</v>
      </c>
      <c r="C5" s="195">
        <v>440</v>
      </c>
      <c r="D5" s="195">
        <v>250</v>
      </c>
      <c r="E5" s="195">
        <v>28</v>
      </c>
      <c r="F5" s="195">
        <v>17</v>
      </c>
      <c r="G5" s="195">
        <v>0</v>
      </c>
      <c r="H5" s="195">
        <v>35</v>
      </c>
      <c r="I5" s="195">
        <v>250</v>
      </c>
      <c r="J5" s="195">
        <v>45</v>
      </c>
      <c r="K5" s="195">
        <v>0</v>
      </c>
      <c r="L5" s="195">
        <v>35</v>
      </c>
      <c r="M5" s="195">
        <v>7</v>
      </c>
      <c r="N5" s="195">
        <v>7</v>
      </c>
      <c r="O5" s="195">
        <v>0</v>
      </c>
      <c r="P5" s="195">
        <v>0</v>
      </c>
      <c r="Q5" s="195">
        <v>97</v>
      </c>
      <c r="R5" s="195">
        <v>8</v>
      </c>
      <c r="S5" s="195">
        <v>1</v>
      </c>
      <c r="T5" s="195">
        <v>6</v>
      </c>
      <c r="U5" s="195">
        <v>97</v>
      </c>
      <c r="V5" s="195">
        <v>5</v>
      </c>
    </row>
    <row r="6" spans="1:23" s="223" customFormat="1" hidden="1">
      <c r="A6" s="1190"/>
      <c r="B6" s="217" t="s">
        <v>704</v>
      </c>
      <c r="C6" s="195">
        <v>420</v>
      </c>
      <c r="D6" s="195">
        <v>200</v>
      </c>
      <c r="E6" s="195">
        <v>22</v>
      </c>
      <c r="F6" s="195">
        <v>17</v>
      </c>
      <c r="G6" s="195">
        <v>0</v>
      </c>
      <c r="H6" s="195">
        <v>40</v>
      </c>
      <c r="I6" s="195">
        <v>210</v>
      </c>
      <c r="J6" s="195">
        <v>54</v>
      </c>
      <c r="K6" s="195">
        <v>0</v>
      </c>
      <c r="L6" s="195">
        <v>39</v>
      </c>
      <c r="M6" s="195">
        <v>17</v>
      </c>
      <c r="N6" s="195">
        <v>4</v>
      </c>
      <c r="O6" s="195">
        <v>0</v>
      </c>
      <c r="P6" s="195">
        <v>0</v>
      </c>
      <c r="Q6" s="195">
        <v>79</v>
      </c>
      <c r="R6" s="195">
        <v>6</v>
      </c>
      <c r="S6" s="195">
        <v>1</v>
      </c>
      <c r="T6" s="195">
        <v>6</v>
      </c>
      <c r="U6" s="195">
        <v>129</v>
      </c>
      <c r="V6" s="195">
        <v>2</v>
      </c>
    </row>
    <row r="7" spans="1:23" s="223" customFormat="1" hidden="1">
      <c r="A7" s="1190"/>
      <c r="B7" s="217" t="s">
        <v>705</v>
      </c>
      <c r="C7" s="195">
        <v>390</v>
      </c>
      <c r="D7" s="195">
        <v>170</v>
      </c>
      <c r="E7" s="195">
        <v>19</v>
      </c>
      <c r="F7" s="195">
        <v>15</v>
      </c>
      <c r="G7" s="195">
        <v>0</v>
      </c>
      <c r="H7" s="195">
        <v>30</v>
      </c>
      <c r="I7" s="195">
        <v>210</v>
      </c>
      <c r="J7" s="195">
        <v>54</v>
      </c>
      <c r="K7" s="195">
        <v>0</v>
      </c>
      <c r="L7" s="195">
        <v>38</v>
      </c>
      <c r="M7" s="195">
        <v>12</v>
      </c>
      <c r="N7" s="195">
        <v>5</v>
      </c>
      <c r="O7" s="195">
        <v>0</v>
      </c>
      <c r="P7" s="195">
        <v>0</v>
      </c>
      <c r="Q7" s="195">
        <v>88.687799999999996</v>
      </c>
      <c r="R7" s="195">
        <v>8</v>
      </c>
      <c r="S7" s="195">
        <v>1.2719499999999999</v>
      </c>
      <c r="T7" s="195">
        <v>8</v>
      </c>
      <c r="U7" s="195">
        <v>170</v>
      </c>
      <c r="V7" s="195">
        <v>7</v>
      </c>
    </row>
    <row r="8" spans="1:23" s="223" customFormat="1" hidden="1">
      <c r="A8" s="1190"/>
      <c r="B8" s="217" t="s">
        <v>706</v>
      </c>
      <c r="C8" s="195">
        <v>390</v>
      </c>
      <c r="D8" s="195">
        <v>180</v>
      </c>
      <c r="E8" s="195">
        <v>20</v>
      </c>
      <c r="F8" s="195">
        <v>15</v>
      </c>
      <c r="G8" s="195">
        <v>0</v>
      </c>
      <c r="H8" s="195">
        <v>35</v>
      </c>
      <c r="I8" s="195">
        <v>250</v>
      </c>
      <c r="J8" s="195">
        <v>49</v>
      </c>
      <c r="K8" s="195">
        <v>0</v>
      </c>
      <c r="L8" s="195">
        <v>35</v>
      </c>
      <c r="M8" s="195">
        <v>7</v>
      </c>
      <c r="N8" s="195">
        <v>4</v>
      </c>
      <c r="O8" s="195">
        <v>0</v>
      </c>
      <c r="P8" s="195">
        <v>0</v>
      </c>
      <c r="Q8" s="195">
        <v>75</v>
      </c>
      <c r="R8" s="195">
        <v>6</v>
      </c>
      <c r="S8" s="195">
        <v>1</v>
      </c>
      <c r="T8" s="195">
        <v>6</v>
      </c>
      <c r="U8" s="195">
        <v>101</v>
      </c>
      <c r="V8" s="195">
        <v>5</v>
      </c>
    </row>
    <row r="9" spans="1:23" s="223" customFormat="1" hidden="1">
      <c r="A9" s="1190"/>
      <c r="B9" s="216" t="s">
        <v>707</v>
      </c>
      <c r="C9" s="195">
        <v>210</v>
      </c>
      <c r="D9" s="195">
        <v>120</v>
      </c>
      <c r="E9" s="195">
        <v>13</v>
      </c>
      <c r="F9" s="195">
        <v>9</v>
      </c>
      <c r="G9" s="195">
        <v>0</v>
      </c>
      <c r="H9" s="195">
        <v>45</v>
      </c>
      <c r="I9" s="195">
        <v>125</v>
      </c>
      <c r="J9" s="195">
        <v>33</v>
      </c>
      <c r="K9" s="195">
        <v>0</v>
      </c>
      <c r="L9" s="195">
        <v>25</v>
      </c>
      <c r="M9" s="195">
        <v>16</v>
      </c>
      <c r="N9" s="195">
        <v>4</v>
      </c>
      <c r="O9" s="195">
        <v>0</v>
      </c>
      <c r="P9" s="195">
        <v>0</v>
      </c>
      <c r="Q9" s="195">
        <v>99.934299999999993</v>
      </c>
      <c r="R9" s="195">
        <v>10</v>
      </c>
      <c r="S9" s="195">
        <v>1.2624</v>
      </c>
      <c r="T9" s="195">
        <v>8</v>
      </c>
      <c r="U9" s="195">
        <v>230</v>
      </c>
      <c r="V9" s="195">
        <v>0</v>
      </c>
    </row>
    <row r="10" spans="1:23" s="223" customFormat="1" hidden="1">
      <c r="A10" s="1190"/>
      <c r="B10" s="216" t="s">
        <v>708</v>
      </c>
      <c r="C10" s="195">
        <v>270</v>
      </c>
      <c r="D10" s="195">
        <v>130</v>
      </c>
      <c r="E10" s="195">
        <v>15</v>
      </c>
      <c r="F10" s="195">
        <v>10</v>
      </c>
      <c r="G10" s="195">
        <v>0</v>
      </c>
      <c r="H10" s="195">
        <v>60</v>
      </c>
      <c r="I10" s="195">
        <v>135</v>
      </c>
      <c r="J10" s="195">
        <v>33</v>
      </c>
      <c r="K10" s="195">
        <v>0</v>
      </c>
      <c r="L10" s="195">
        <v>26</v>
      </c>
      <c r="M10" s="195">
        <v>17</v>
      </c>
      <c r="N10" s="195">
        <v>4</v>
      </c>
      <c r="O10" s="195">
        <v>0</v>
      </c>
      <c r="P10" s="195">
        <v>0</v>
      </c>
      <c r="Q10" s="195">
        <v>106.401</v>
      </c>
      <c r="R10" s="195">
        <v>10</v>
      </c>
      <c r="S10" s="195">
        <v>0.39519199999999999</v>
      </c>
      <c r="T10" s="195">
        <v>2</v>
      </c>
      <c r="U10" s="195">
        <v>170</v>
      </c>
      <c r="V10" s="188">
        <v>7</v>
      </c>
    </row>
    <row r="11" spans="1:23" s="223" customFormat="1" hidden="1">
      <c r="A11" s="1190"/>
      <c r="B11" s="216" t="s">
        <v>709</v>
      </c>
      <c r="C11" s="195">
        <v>200</v>
      </c>
      <c r="D11" s="195">
        <v>70</v>
      </c>
      <c r="E11" s="195">
        <v>7</v>
      </c>
      <c r="F11" s="195">
        <v>6</v>
      </c>
      <c r="G11" s="195">
        <v>0</v>
      </c>
      <c r="H11" s="195">
        <v>20</v>
      </c>
      <c r="I11" s="195">
        <v>50</v>
      </c>
      <c r="J11" s="195">
        <v>33</v>
      </c>
      <c r="K11" s="195">
        <v>0</v>
      </c>
      <c r="L11" s="195">
        <v>29</v>
      </c>
      <c r="M11" s="195">
        <v>17</v>
      </c>
      <c r="N11" s="195">
        <v>1</v>
      </c>
      <c r="O11" s="195">
        <v>0</v>
      </c>
      <c r="P11" s="195">
        <v>0</v>
      </c>
      <c r="Q11" s="195">
        <v>2.7862300000000002</v>
      </c>
      <c r="R11" s="195">
        <v>0</v>
      </c>
      <c r="S11" s="195">
        <v>3.2662999999999998E-2</v>
      </c>
      <c r="T11" s="195">
        <v>0</v>
      </c>
      <c r="U11" s="195">
        <v>5</v>
      </c>
      <c r="V11" s="188">
        <v>0</v>
      </c>
    </row>
    <row r="12" spans="1:23" s="223" customFormat="1" hidden="1">
      <c r="A12" s="1190"/>
      <c r="B12" s="225" t="s">
        <v>710</v>
      </c>
      <c r="C12" s="188">
        <v>15</v>
      </c>
      <c r="D12" s="226" t="s">
        <v>711</v>
      </c>
      <c r="E12" s="188">
        <v>0</v>
      </c>
      <c r="F12" s="226" t="s">
        <v>711</v>
      </c>
      <c r="G12" s="226" t="s">
        <v>711</v>
      </c>
      <c r="H12" s="226" t="s">
        <v>711</v>
      </c>
      <c r="I12" s="188">
        <v>10</v>
      </c>
      <c r="J12" s="188">
        <v>4</v>
      </c>
      <c r="K12" s="226" t="s">
        <v>711</v>
      </c>
      <c r="L12" s="188">
        <v>3</v>
      </c>
      <c r="M12" s="188">
        <v>0</v>
      </c>
      <c r="N12" s="226" t="s">
        <v>711</v>
      </c>
      <c r="O12" s="226" t="s">
        <v>711</v>
      </c>
      <c r="P12" s="226" t="s">
        <v>711</v>
      </c>
      <c r="Q12" s="226" t="s">
        <v>711</v>
      </c>
      <c r="R12" s="226" t="s">
        <v>711</v>
      </c>
      <c r="S12" s="226" t="s">
        <v>711</v>
      </c>
      <c r="T12" s="226" t="s">
        <v>711</v>
      </c>
      <c r="U12" s="226" t="s">
        <v>711</v>
      </c>
      <c r="V12" s="226" t="s">
        <v>711</v>
      </c>
    </row>
    <row r="13" spans="1:23" s="223" customFormat="1" hidden="1">
      <c r="A13" s="1190"/>
      <c r="B13" s="225" t="s">
        <v>712</v>
      </c>
      <c r="C13" s="188">
        <v>15</v>
      </c>
      <c r="D13" s="226" t="s">
        <v>711</v>
      </c>
      <c r="E13" s="188">
        <v>0</v>
      </c>
      <c r="F13" s="226" t="s">
        <v>711</v>
      </c>
      <c r="G13" s="226" t="s">
        <v>711</v>
      </c>
      <c r="H13" s="226" t="s">
        <v>711</v>
      </c>
      <c r="I13" s="188">
        <v>10</v>
      </c>
      <c r="J13" s="188">
        <v>4</v>
      </c>
      <c r="K13" s="226" t="s">
        <v>711</v>
      </c>
      <c r="L13" s="188">
        <v>3</v>
      </c>
      <c r="M13" s="188">
        <v>0</v>
      </c>
      <c r="N13" s="226" t="s">
        <v>711</v>
      </c>
      <c r="O13" s="226" t="s">
        <v>711</v>
      </c>
      <c r="P13" s="226" t="s">
        <v>711</v>
      </c>
      <c r="Q13" s="226" t="s">
        <v>711</v>
      </c>
      <c r="R13" s="226" t="s">
        <v>711</v>
      </c>
      <c r="S13" s="226" t="s">
        <v>711</v>
      </c>
      <c r="T13" s="226" t="s">
        <v>711</v>
      </c>
      <c r="U13" s="226" t="s">
        <v>711</v>
      </c>
      <c r="V13" s="226" t="s">
        <v>711</v>
      </c>
    </row>
    <row r="14" spans="1:23" ht="22.5" hidden="1" customHeight="1" thickBot="1">
      <c r="A14" s="1198"/>
      <c r="B14" s="225" t="s">
        <v>713</v>
      </c>
      <c r="C14" s="188">
        <v>15</v>
      </c>
      <c r="D14" s="226" t="s">
        <v>711</v>
      </c>
      <c r="E14" s="188">
        <v>0</v>
      </c>
      <c r="F14" s="226" t="s">
        <v>711</v>
      </c>
      <c r="G14" s="226" t="s">
        <v>711</v>
      </c>
      <c r="H14" s="226" t="s">
        <v>711</v>
      </c>
      <c r="I14" s="188">
        <v>10</v>
      </c>
      <c r="J14" s="188">
        <v>4</v>
      </c>
      <c r="K14" s="226" t="s">
        <v>711</v>
      </c>
      <c r="L14" s="188">
        <v>3</v>
      </c>
      <c r="M14" s="188">
        <v>0</v>
      </c>
      <c r="N14" s="226" t="s">
        <v>711</v>
      </c>
      <c r="O14" s="226" t="s">
        <v>711</v>
      </c>
      <c r="P14" s="226" t="s">
        <v>711</v>
      </c>
      <c r="Q14" s="226" t="s">
        <v>711</v>
      </c>
      <c r="R14" s="226" t="s">
        <v>711</v>
      </c>
      <c r="S14" s="226" t="s">
        <v>711</v>
      </c>
      <c r="T14" s="226" t="s">
        <v>711</v>
      </c>
      <c r="U14" s="226" t="s">
        <v>711</v>
      </c>
      <c r="V14" s="226" t="s">
        <v>711</v>
      </c>
    </row>
    <row r="15" spans="1:23" ht="18" hidden="1" customHeight="1">
      <c r="A15" s="227"/>
      <c r="B15" s="228"/>
      <c r="C15" s="188"/>
      <c r="D15" s="226"/>
      <c r="E15" s="188"/>
      <c r="F15" s="226"/>
      <c r="G15" s="226"/>
      <c r="H15" s="226"/>
      <c r="I15" s="188"/>
      <c r="J15" s="188"/>
      <c r="K15" s="226"/>
      <c r="L15" s="188"/>
      <c r="M15" s="188"/>
      <c r="N15" s="226"/>
      <c r="O15" s="226"/>
      <c r="P15" s="226"/>
      <c r="Q15" s="226"/>
      <c r="R15" s="191"/>
      <c r="S15" s="191"/>
      <c r="T15" s="191"/>
      <c r="U15" s="191"/>
      <c r="V15" s="188"/>
    </row>
    <row r="16" spans="1:23" s="223" customFormat="1" ht="37.5" customHeight="1" thickBot="1">
      <c r="A16" s="1214" t="s">
        <v>714</v>
      </c>
      <c r="B16" s="1215"/>
      <c r="C16" s="1215"/>
      <c r="D16" s="1215"/>
      <c r="E16" s="1215"/>
      <c r="F16" s="1215"/>
      <c r="G16" s="1215"/>
      <c r="H16" s="1215"/>
      <c r="I16" s="1215"/>
      <c r="J16" s="1215"/>
      <c r="K16" s="1215"/>
      <c r="L16" s="1215"/>
      <c r="M16" s="1215"/>
      <c r="N16" s="1215"/>
      <c r="O16" s="1215"/>
      <c r="P16" s="1215"/>
      <c r="Q16" s="1215"/>
      <c r="R16" s="1215"/>
      <c r="S16" s="1215"/>
      <c r="T16" s="1215"/>
      <c r="U16" s="1215"/>
      <c r="V16" s="1243"/>
    </row>
    <row r="17" spans="1:22" ht="15" customHeight="1">
      <c r="A17" s="1392"/>
      <c r="B17" s="1343" t="s">
        <v>3</v>
      </c>
      <c r="C17" s="1335" t="s">
        <v>4</v>
      </c>
      <c r="D17" s="1335" t="s">
        <v>5</v>
      </c>
      <c r="E17" s="1335" t="s">
        <v>6</v>
      </c>
      <c r="F17" s="1335" t="s">
        <v>7</v>
      </c>
      <c r="G17" s="1335" t="s">
        <v>8</v>
      </c>
      <c r="H17" s="1335" t="s">
        <v>9</v>
      </c>
      <c r="I17" s="1335" t="s">
        <v>10</v>
      </c>
      <c r="J17" s="1335" t="s">
        <v>11</v>
      </c>
      <c r="K17" s="1335" t="s">
        <v>12</v>
      </c>
      <c r="L17" s="1335" t="s">
        <v>13</v>
      </c>
      <c r="M17" s="1335" t="s">
        <v>14</v>
      </c>
      <c r="N17" s="1335" t="s">
        <v>15</v>
      </c>
      <c r="O17" s="1333" t="s">
        <v>16</v>
      </c>
      <c r="P17" s="1333" t="s">
        <v>17</v>
      </c>
      <c r="Q17" s="1333" t="s">
        <v>18</v>
      </c>
      <c r="R17" s="1333" t="s">
        <v>19</v>
      </c>
      <c r="S17" s="1333" t="s">
        <v>20</v>
      </c>
      <c r="T17" s="1333" t="s">
        <v>21</v>
      </c>
      <c r="U17" s="1333" t="s">
        <v>22</v>
      </c>
      <c r="V17" s="1333" t="s">
        <v>23</v>
      </c>
    </row>
    <row r="18" spans="1:22" ht="16.3" thickBot="1">
      <c r="A18" s="1393"/>
      <c r="B18" s="1344"/>
      <c r="C18" s="1336"/>
      <c r="D18" s="1336"/>
      <c r="E18" s="1336"/>
      <c r="F18" s="1336"/>
      <c r="G18" s="1336"/>
      <c r="H18" s="1336"/>
      <c r="I18" s="1336"/>
      <c r="J18" s="1336"/>
      <c r="K18" s="1336"/>
      <c r="L18" s="1336"/>
      <c r="M18" s="1336"/>
      <c r="N18" s="1336"/>
      <c r="O18" s="1334"/>
      <c r="P18" s="1334"/>
      <c r="Q18" s="1334"/>
      <c r="R18" s="1334"/>
      <c r="S18" s="1334"/>
      <c r="T18" s="1334"/>
      <c r="U18" s="1334"/>
      <c r="V18" s="1334"/>
    </row>
    <row r="19" spans="1:22" hidden="1">
      <c r="A19" s="1394" t="s">
        <v>715</v>
      </c>
      <c r="B19" s="186" t="s">
        <v>716</v>
      </c>
      <c r="C19" s="195">
        <v>370</v>
      </c>
      <c r="D19" s="195">
        <v>150</v>
      </c>
      <c r="E19" s="195">
        <v>17</v>
      </c>
      <c r="F19" s="195">
        <v>10</v>
      </c>
      <c r="G19" s="195">
        <v>0</v>
      </c>
      <c r="H19" s="195">
        <v>40</v>
      </c>
      <c r="I19" s="195">
        <v>45</v>
      </c>
      <c r="J19" s="195">
        <v>49</v>
      </c>
      <c r="K19" s="195">
        <v>0</v>
      </c>
      <c r="L19" s="195">
        <v>36</v>
      </c>
      <c r="M19" s="195">
        <v>14</v>
      </c>
      <c r="N19" s="195">
        <v>6</v>
      </c>
      <c r="O19" s="195">
        <v>0</v>
      </c>
      <c r="P19" s="195">
        <v>0</v>
      </c>
      <c r="Q19" s="195">
        <v>84.081800000000001</v>
      </c>
      <c r="R19" s="195">
        <v>8</v>
      </c>
      <c r="S19" s="195">
        <v>3.61375</v>
      </c>
      <c r="T19" s="195">
        <v>20</v>
      </c>
      <c r="U19" s="195">
        <v>170</v>
      </c>
      <c r="V19" s="195">
        <v>5</v>
      </c>
    </row>
    <row r="20" spans="1:22" hidden="1">
      <c r="A20" s="1395"/>
      <c r="B20" s="186" t="s">
        <v>717</v>
      </c>
      <c r="C20" s="195">
        <v>370</v>
      </c>
      <c r="D20" s="195">
        <v>160</v>
      </c>
      <c r="E20" s="195">
        <v>17</v>
      </c>
      <c r="F20" s="195">
        <v>11</v>
      </c>
      <c r="G20" s="195">
        <v>0</v>
      </c>
      <c r="H20" s="195">
        <v>45</v>
      </c>
      <c r="I20" s="195">
        <v>55</v>
      </c>
      <c r="J20" s="195">
        <v>49</v>
      </c>
      <c r="K20" s="195">
        <v>0</v>
      </c>
      <c r="L20" s="195">
        <v>36</v>
      </c>
      <c r="M20" s="195">
        <v>14</v>
      </c>
      <c r="N20" s="195">
        <v>6</v>
      </c>
      <c r="O20" s="195">
        <v>0</v>
      </c>
      <c r="P20" s="195">
        <v>0</v>
      </c>
      <c r="Q20" s="195">
        <v>88.334199999999996</v>
      </c>
      <c r="R20" s="195">
        <v>8</v>
      </c>
      <c r="S20" s="195">
        <v>3.15449</v>
      </c>
      <c r="T20" s="195">
        <v>20</v>
      </c>
      <c r="U20" s="195">
        <v>140</v>
      </c>
      <c r="V20" s="195">
        <v>4</v>
      </c>
    </row>
    <row r="21" spans="1:22" hidden="1">
      <c r="A21" s="1395"/>
      <c r="B21" s="186" t="s">
        <v>718</v>
      </c>
      <c r="C21" s="195">
        <v>370</v>
      </c>
      <c r="D21" s="195">
        <v>150</v>
      </c>
      <c r="E21" s="195">
        <v>17</v>
      </c>
      <c r="F21" s="195">
        <v>10</v>
      </c>
      <c r="G21" s="195">
        <v>0</v>
      </c>
      <c r="H21" s="195">
        <v>40</v>
      </c>
      <c r="I21" s="195">
        <v>50</v>
      </c>
      <c r="J21" s="195">
        <v>49</v>
      </c>
      <c r="K21" s="195">
        <v>0</v>
      </c>
      <c r="L21" s="195">
        <v>36</v>
      </c>
      <c r="M21" s="195">
        <v>14</v>
      </c>
      <c r="N21" s="195">
        <v>6</v>
      </c>
      <c r="O21" s="195">
        <v>0</v>
      </c>
      <c r="P21" s="195">
        <v>0</v>
      </c>
      <c r="Q21" s="195">
        <v>86.207999999999998</v>
      </c>
      <c r="R21" s="195">
        <v>8</v>
      </c>
      <c r="S21" s="195">
        <v>3.3841199999999998</v>
      </c>
      <c r="T21" s="195">
        <v>20</v>
      </c>
      <c r="U21" s="195">
        <v>160</v>
      </c>
      <c r="V21" s="195">
        <v>5</v>
      </c>
    </row>
    <row r="22" spans="1:22" hidden="1">
      <c r="A22" s="1395"/>
      <c r="B22" s="186" t="s">
        <v>719</v>
      </c>
      <c r="C22" s="304">
        <v>300</v>
      </c>
      <c r="D22" s="304">
        <v>120</v>
      </c>
      <c r="E22" s="304">
        <v>14</v>
      </c>
      <c r="F22" s="304">
        <v>8</v>
      </c>
      <c r="G22" s="304">
        <v>0</v>
      </c>
      <c r="H22" s="304">
        <v>45</v>
      </c>
      <c r="I22" s="304">
        <v>55</v>
      </c>
      <c r="J22" s="304">
        <v>40</v>
      </c>
      <c r="K22" s="304">
        <v>2</v>
      </c>
      <c r="L22" s="304">
        <v>28</v>
      </c>
      <c r="M22" s="304">
        <v>6</v>
      </c>
      <c r="N22" s="304">
        <v>5</v>
      </c>
      <c r="O22" s="304">
        <v>0</v>
      </c>
      <c r="P22" s="304">
        <v>0</v>
      </c>
      <c r="Q22" s="304">
        <v>83</v>
      </c>
      <c r="R22" s="304">
        <v>6</v>
      </c>
      <c r="S22" s="304">
        <v>2</v>
      </c>
      <c r="T22" s="304">
        <v>10</v>
      </c>
      <c r="U22" s="304">
        <v>81</v>
      </c>
      <c r="V22" s="304">
        <v>2</v>
      </c>
    </row>
    <row r="23" spans="1:22" hidden="1">
      <c r="A23" s="1395"/>
      <c r="B23" s="186" t="s">
        <v>720</v>
      </c>
      <c r="C23" s="304">
        <v>300</v>
      </c>
      <c r="D23" s="304">
        <v>120</v>
      </c>
      <c r="E23" s="304">
        <v>13</v>
      </c>
      <c r="F23" s="304">
        <v>8</v>
      </c>
      <c r="G23" s="304">
        <v>0</v>
      </c>
      <c r="H23" s="304">
        <v>40</v>
      </c>
      <c r="I23" s="304">
        <v>45</v>
      </c>
      <c r="J23" s="304">
        <v>40</v>
      </c>
      <c r="K23" s="304">
        <v>0</v>
      </c>
      <c r="L23" s="304">
        <v>28</v>
      </c>
      <c r="M23" s="304">
        <v>6</v>
      </c>
      <c r="N23" s="304">
        <v>5</v>
      </c>
      <c r="O23" s="304">
        <v>0</v>
      </c>
      <c r="P23" s="304">
        <v>0</v>
      </c>
      <c r="Q23" s="304">
        <v>79</v>
      </c>
      <c r="R23" s="304">
        <v>6</v>
      </c>
      <c r="S23" s="304">
        <v>2</v>
      </c>
      <c r="T23" s="304">
        <v>10</v>
      </c>
      <c r="U23" s="304">
        <v>111</v>
      </c>
      <c r="V23" s="304">
        <v>2</v>
      </c>
    </row>
    <row r="24" spans="1:22" hidden="1">
      <c r="A24" s="1395"/>
      <c r="B24" s="186" t="s">
        <v>721</v>
      </c>
      <c r="C24" s="304">
        <v>300</v>
      </c>
      <c r="D24" s="304">
        <v>120</v>
      </c>
      <c r="E24" s="304">
        <v>13</v>
      </c>
      <c r="F24" s="304">
        <v>8</v>
      </c>
      <c r="G24" s="304">
        <v>0</v>
      </c>
      <c r="H24" s="304">
        <v>40</v>
      </c>
      <c r="I24" s="304">
        <v>50</v>
      </c>
      <c r="J24" s="304">
        <v>40</v>
      </c>
      <c r="K24" s="304">
        <v>2</v>
      </c>
      <c r="L24" s="304">
        <v>28</v>
      </c>
      <c r="M24" s="304">
        <v>6</v>
      </c>
      <c r="N24" s="304">
        <v>5</v>
      </c>
      <c r="O24" s="304">
        <v>0</v>
      </c>
      <c r="P24" s="304">
        <v>0</v>
      </c>
      <c r="Q24" s="304">
        <v>81</v>
      </c>
      <c r="R24" s="304">
        <v>6</v>
      </c>
      <c r="S24" s="304">
        <v>2</v>
      </c>
      <c r="T24" s="304">
        <v>10</v>
      </c>
      <c r="U24" s="304">
        <v>96</v>
      </c>
      <c r="V24" s="304">
        <v>2</v>
      </c>
    </row>
    <row r="25" spans="1:22">
      <c r="A25" s="1395"/>
      <c r="B25" s="186" t="s">
        <v>722</v>
      </c>
      <c r="C25" s="664"/>
      <c r="D25" s="664"/>
      <c r="E25" s="664"/>
      <c r="F25" s="664"/>
      <c r="G25" s="664"/>
      <c r="H25" s="664"/>
      <c r="I25" s="664"/>
      <c r="J25" s="664"/>
      <c r="K25" s="664"/>
      <c r="L25" s="664"/>
      <c r="M25" s="664"/>
      <c r="N25" s="664"/>
      <c r="O25" s="664"/>
      <c r="P25" s="664"/>
      <c r="Q25" s="664"/>
      <c r="R25" s="664"/>
      <c r="S25" s="664"/>
      <c r="T25" s="664"/>
      <c r="U25" s="664"/>
      <c r="V25" s="664"/>
    </row>
    <row r="26" spans="1:22" ht="16.3" thickBot="1">
      <c r="A26" s="212"/>
      <c r="B26" s="219"/>
      <c r="C26" s="219"/>
      <c r="D26" s="219"/>
      <c r="E26" s="219"/>
      <c r="F26" s="219"/>
      <c r="G26" s="219"/>
      <c r="H26" s="219"/>
      <c r="I26" s="219"/>
      <c r="J26" s="219"/>
      <c r="K26" s="219"/>
      <c r="L26" s="219"/>
      <c r="M26" s="219"/>
      <c r="N26" s="219"/>
      <c r="O26" s="219"/>
      <c r="P26" s="219"/>
      <c r="Q26" s="219"/>
      <c r="R26" s="229"/>
      <c r="S26" s="229"/>
      <c r="T26" s="229"/>
      <c r="U26" s="229"/>
      <c r="V26" s="229"/>
    </row>
    <row r="27" spans="1:22" ht="15" customHeight="1">
      <c r="A27" s="212"/>
      <c r="B27" s="1396" t="s">
        <v>168</v>
      </c>
      <c r="C27" s="1397"/>
      <c r="D27" s="1397"/>
      <c r="E27" s="1397"/>
      <c r="F27" s="1397"/>
      <c r="G27" s="1397"/>
      <c r="H27" s="1397"/>
      <c r="I27" s="1397"/>
      <c r="J27" s="1397"/>
      <c r="K27" s="1397"/>
      <c r="L27" s="1397"/>
      <c r="M27" s="1397"/>
      <c r="N27" s="1397"/>
      <c r="O27" s="1397"/>
      <c r="P27" s="1397"/>
      <c r="Q27" s="1397"/>
      <c r="R27" s="1397"/>
      <c r="S27" s="1397"/>
      <c r="T27" s="1397"/>
      <c r="U27" s="1397"/>
      <c r="V27" s="1398"/>
    </row>
    <row r="28" spans="1:22">
      <c r="A28" s="212"/>
      <c r="B28" s="1399"/>
      <c r="C28" s="1238"/>
      <c r="D28" s="1238"/>
      <c r="E28" s="1238"/>
      <c r="F28" s="1238"/>
      <c r="G28" s="1238"/>
      <c r="H28" s="1238"/>
      <c r="I28" s="1238"/>
      <c r="J28" s="1238"/>
      <c r="K28" s="1238"/>
      <c r="L28" s="1238"/>
      <c r="M28" s="1238"/>
      <c r="N28" s="1238"/>
      <c r="O28" s="1238"/>
      <c r="P28" s="1238"/>
      <c r="Q28" s="1238"/>
      <c r="R28" s="1238"/>
      <c r="S28" s="1238"/>
      <c r="T28" s="1238"/>
      <c r="U28" s="1238"/>
      <c r="V28" s="1400"/>
    </row>
    <row r="29" spans="1:22" ht="16.3" thickBot="1">
      <c r="A29" s="212"/>
      <c r="B29" s="1401"/>
      <c r="C29" s="1402"/>
      <c r="D29" s="1402"/>
      <c r="E29" s="1402"/>
      <c r="F29" s="1402"/>
      <c r="G29" s="1402"/>
      <c r="H29" s="1402"/>
      <c r="I29" s="1402"/>
      <c r="J29" s="1402"/>
      <c r="K29" s="1402"/>
      <c r="L29" s="1402"/>
      <c r="M29" s="1402"/>
      <c r="N29" s="1402"/>
      <c r="O29" s="1402"/>
      <c r="P29" s="1402"/>
      <c r="Q29" s="1402"/>
      <c r="R29" s="1402"/>
      <c r="S29" s="1402"/>
      <c r="T29" s="1402"/>
      <c r="U29" s="1402"/>
      <c r="V29" s="1403"/>
    </row>
    <row r="30" spans="1:22" hidden="1">
      <c r="B30" s="230"/>
      <c r="C30" s="230"/>
      <c r="D30" s="230"/>
      <c r="E30" s="230"/>
      <c r="F30" s="230"/>
      <c r="G30" s="230"/>
      <c r="H30" s="230"/>
      <c r="I30" s="230"/>
      <c r="J30" s="230"/>
      <c r="K30" s="230"/>
      <c r="L30" s="230"/>
      <c r="M30" s="230"/>
      <c r="N30" s="230"/>
      <c r="O30" s="230"/>
      <c r="P30" s="230"/>
      <c r="Q30" s="230"/>
      <c r="R30" s="230"/>
      <c r="S30" s="230"/>
      <c r="T30" s="230"/>
      <c r="U30" s="230"/>
      <c r="V30" s="230"/>
    </row>
    <row r="31" spans="1:22" hidden="1">
      <c r="B31" s="231" t="s">
        <v>630</v>
      </c>
      <c r="C31" s="232">
        <f t="shared" ref="C31:V31" si="0">AVERAGE(C19:C25)</f>
        <v>335</v>
      </c>
      <c r="D31" s="232">
        <f t="shared" si="0"/>
        <v>136.66666666666666</v>
      </c>
      <c r="E31" s="232">
        <f t="shared" si="0"/>
        <v>15.166666666666666</v>
      </c>
      <c r="F31" s="232">
        <f t="shared" si="0"/>
        <v>9.1666666666666661</v>
      </c>
      <c r="G31" s="232">
        <f t="shared" si="0"/>
        <v>0</v>
      </c>
      <c r="H31" s="232">
        <f t="shared" si="0"/>
        <v>41.666666666666664</v>
      </c>
      <c r="I31" s="232">
        <f t="shared" si="0"/>
        <v>50</v>
      </c>
      <c r="J31" s="232">
        <f t="shared" si="0"/>
        <v>44.5</v>
      </c>
      <c r="K31" s="232">
        <f t="shared" si="0"/>
        <v>0.66666666666666663</v>
      </c>
      <c r="L31" s="232">
        <f t="shared" si="0"/>
        <v>32</v>
      </c>
      <c r="M31" s="232">
        <f t="shared" si="0"/>
        <v>10</v>
      </c>
      <c r="N31" s="232">
        <f t="shared" si="0"/>
        <v>5.5</v>
      </c>
      <c r="O31" s="232">
        <f t="shared" si="0"/>
        <v>0</v>
      </c>
      <c r="P31" s="232">
        <f t="shared" si="0"/>
        <v>0</v>
      </c>
      <c r="Q31" s="232">
        <f t="shared" si="0"/>
        <v>83.603999999999999</v>
      </c>
      <c r="R31" s="232">
        <f t="shared" si="0"/>
        <v>7</v>
      </c>
      <c r="S31" s="232">
        <f t="shared" si="0"/>
        <v>2.6920600000000001</v>
      </c>
      <c r="T31" s="232">
        <f t="shared" si="0"/>
        <v>15</v>
      </c>
      <c r="U31" s="232">
        <f t="shared" si="0"/>
        <v>126.33333333333333</v>
      </c>
      <c r="V31" s="232">
        <f t="shared" si="0"/>
        <v>3.3333333333333335</v>
      </c>
    </row>
    <row r="32" spans="1:22" ht="21" hidden="1" customHeight="1">
      <c r="B32" s="234" t="s">
        <v>631</v>
      </c>
      <c r="C32" s="191" t="str">
        <f t="shared" ref="C32:V32" si="1">ROUND(MIN(C19:C25),0)&amp;" - "&amp;ROUND(MAX(C19:C25),0)</f>
        <v>300 - 370</v>
      </c>
      <c r="D32" s="191" t="str">
        <f t="shared" si="1"/>
        <v>120 - 160</v>
      </c>
      <c r="E32" s="191" t="str">
        <f t="shared" si="1"/>
        <v>13 - 17</v>
      </c>
      <c r="F32" s="191" t="str">
        <f t="shared" si="1"/>
        <v>8 - 11</v>
      </c>
      <c r="G32" s="191" t="str">
        <f t="shared" si="1"/>
        <v>0 - 0</v>
      </c>
      <c r="H32" s="191" t="str">
        <f t="shared" si="1"/>
        <v>40 - 45</v>
      </c>
      <c r="I32" s="191" t="str">
        <f t="shared" si="1"/>
        <v>45 - 55</v>
      </c>
      <c r="J32" s="191" t="str">
        <f t="shared" si="1"/>
        <v>40 - 49</v>
      </c>
      <c r="K32" s="191" t="str">
        <f t="shared" si="1"/>
        <v>0 - 2</v>
      </c>
      <c r="L32" s="191" t="str">
        <f t="shared" si="1"/>
        <v>28 - 36</v>
      </c>
      <c r="M32" s="191" t="str">
        <f t="shared" si="1"/>
        <v>6 - 14</v>
      </c>
      <c r="N32" s="191" t="str">
        <f t="shared" si="1"/>
        <v>5 - 6</v>
      </c>
      <c r="O32" s="191" t="str">
        <f t="shared" si="1"/>
        <v>0 - 0</v>
      </c>
      <c r="P32" s="191" t="str">
        <f t="shared" si="1"/>
        <v>0 - 0</v>
      </c>
      <c r="Q32" s="191" t="str">
        <f t="shared" si="1"/>
        <v>79 - 88</v>
      </c>
      <c r="R32" s="191" t="str">
        <f t="shared" si="1"/>
        <v>6 - 8</v>
      </c>
      <c r="S32" s="191" t="str">
        <f t="shared" si="1"/>
        <v>2 - 4</v>
      </c>
      <c r="T32" s="191" t="str">
        <f t="shared" si="1"/>
        <v>10 - 20</v>
      </c>
      <c r="U32" s="191" t="str">
        <f t="shared" si="1"/>
        <v>81 - 170</v>
      </c>
      <c r="V32" s="191" t="str">
        <f t="shared" si="1"/>
        <v>2 - 5</v>
      </c>
    </row>
    <row r="33" spans="2:22" hidden="1">
      <c r="B33" s="234" t="s">
        <v>632</v>
      </c>
      <c r="C33" s="191">
        <f t="shared" ref="C33:V33" si="2">AVERAGE(C4,C7,C8)</f>
        <v>363.33333333333331</v>
      </c>
      <c r="D33" s="191">
        <f t="shared" si="2"/>
        <v>166.66666666666666</v>
      </c>
      <c r="E33" s="191">
        <f t="shared" si="2"/>
        <v>18.333333333333332</v>
      </c>
      <c r="F33" s="191">
        <f t="shared" si="2"/>
        <v>15</v>
      </c>
      <c r="G33" s="191">
        <f t="shared" si="2"/>
        <v>0</v>
      </c>
      <c r="H33" s="191">
        <f t="shared" si="2"/>
        <v>30</v>
      </c>
      <c r="I33" s="191">
        <f t="shared" si="2"/>
        <v>176.66666666666666</v>
      </c>
      <c r="J33" s="191">
        <f t="shared" si="2"/>
        <v>47.333333333333336</v>
      </c>
      <c r="K33" s="191">
        <f t="shared" si="2"/>
        <v>0</v>
      </c>
      <c r="L33" s="191">
        <f t="shared" si="2"/>
        <v>35.666666666666664</v>
      </c>
      <c r="M33" s="191">
        <f t="shared" si="2"/>
        <v>9.6666666666666661</v>
      </c>
      <c r="N33" s="191">
        <f t="shared" si="2"/>
        <v>3.6666666666666665</v>
      </c>
      <c r="O33" s="191">
        <f t="shared" si="2"/>
        <v>0</v>
      </c>
      <c r="P33" s="191">
        <f t="shared" si="2"/>
        <v>0</v>
      </c>
      <c r="Q33" s="191">
        <f t="shared" si="2"/>
        <v>55.353663333333337</v>
      </c>
      <c r="R33" s="191">
        <f t="shared" si="2"/>
        <v>4.666666666666667</v>
      </c>
      <c r="S33" s="191">
        <f t="shared" si="2"/>
        <v>0.77145033333333324</v>
      </c>
      <c r="T33" s="191">
        <f t="shared" si="2"/>
        <v>4.666666666666667</v>
      </c>
      <c r="U33" s="191">
        <f t="shared" si="2"/>
        <v>90.333333333333329</v>
      </c>
      <c r="V33" s="256">
        <f t="shared" si="2"/>
        <v>4.666666666666667</v>
      </c>
    </row>
    <row r="34" spans="2:22" ht="20.25" hidden="1" customHeight="1">
      <c r="B34" s="234" t="s">
        <v>633</v>
      </c>
      <c r="C34" s="191" t="str">
        <f t="shared" ref="C34:V34" si="3">ROUND(MIN(C4:C8),0)&amp;" - "&amp;ROUND(MAX(C4,C7,C8),0)</f>
        <v>310 - 390</v>
      </c>
      <c r="D34" s="191" t="str">
        <f t="shared" si="3"/>
        <v>150 - 180</v>
      </c>
      <c r="E34" s="191" t="str">
        <f t="shared" si="3"/>
        <v>16 - 20</v>
      </c>
      <c r="F34" s="191" t="str">
        <f t="shared" si="3"/>
        <v>15 - 15</v>
      </c>
      <c r="G34" s="191" t="str">
        <f t="shared" si="3"/>
        <v>0 - 0</v>
      </c>
      <c r="H34" s="191" t="str">
        <f t="shared" si="3"/>
        <v>25 - 35</v>
      </c>
      <c r="I34" s="191" t="str">
        <f t="shared" si="3"/>
        <v>70 - 250</v>
      </c>
      <c r="J34" s="191" t="str">
        <f t="shared" si="3"/>
        <v>39 - 54</v>
      </c>
      <c r="K34" s="191" t="str">
        <f t="shared" si="3"/>
        <v>0 - 0</v>
      </c>
      <c r="L34" s="191" t="str">
        <f t="shared" si="3"/>
        <v>34 - 38</v>
      </c>
      <c r="M34" s="191" t="str">
        <f t="shared" si="3"/>
        <v>7 - 12</v>
      </c>
      <c r="N34" s="191" t="str">
        <f t="shared" si="3"/>
        <v>2 - 5</v>
      </c>
      <c r="O34" s="191" t="str">
        <f t="shared" si="3"/>
        <v>0 - 0</v>
      </c>
      <c r="P34" s="191" t="str">
        <f t="shared" si="3"/>
        <v>0 - 0</v>
      </c>
      <c r="Q34" s="191" t="str">
        <f t="shared" si="3"/>
        <v>2 - 89</v>
      </c>
      <c r="R34" s="191" t="str">
        <f t="shared" si="3"/>
        <v>0 - 8</v>
      </c>
      <c r="S34" s="191" t="str">
        <f t="shared" si="3"/>
        <v>0 - 1</v>
      </c>
      <c r="T34" s="191" t="str">
        <f t="shared" si="3"/>
        <v>0 - 8</v>
      </c>
      <c r="U34" s="191" t="str">
        <f t="shared" si="3"/>
        <v>0 - 170</v>
      </c>
      <c r="V34" s="256" t="str">
        <f t="shared" si="3"/>
        <v>2 - 7</v>
      </c>
    </row>
    <row r="35" spans="2:22" hidden="1">
      <c r="B35" s="234" t="s">
        <v>634</v>
      </c>
      <c r="C35" s="191">
        <f t="shared" ref="C35:V35" si="4">AVERAGE(C9:C11)</f>
        <v>226.66666666666666</v>
      </c>
      <c r="D35" s="191">
        <f t="shared" si="4"/>
        <v>106.66666666666667</v>
      </c>
      <c r="E35" s="191">
        <f t="shared" si="4"/>
        <v>11.666666666666666</v>
      </c>
      <c r="F35" s="191">
        <f t="shared" si="4"/>
        <v>8.3333333333333339</v>
      </c>
      <c r="G35" s="191">
        <f t="shared" si="4"/>
        <v>0</v>
      </c>
      <c r="H35" s="191">
        <f t="shared" si="4"/>
        <v>41.666666666666664</v>
      </c>
      <c r="I35" s="191">
        <f t="shared" si="4"/>
        <v>103.33333333333333</v>
      </c>
      <c r="J35" s="191">
        <f t="shared" si="4"/>
        <v>33</v>
      </c>
      <c r="K35" s="191">
        <f t="shared" si="4"/>
        <v>0</v>
      </c>
      <c r="L35" s="191">
        <f t="shared" si="4"/>
        <v>26.666666666666668</v>
      </c>
      <c r="M35" s="191">
        <f t="shared" si="4"/>
        <v>16.666666666666668</v>
      </c>
      <c r="N35" s="191">
        <f t="shared" si="4"/>
        <v>3</v>
      </c>
      <c r="O35" s="191">
        <f t="shared" si="4"/>
        <v>0</v>
      </c>
      <c r="P35" s="191">
        <f t="shared" si="4"/>
        <v>0</v>
      </c>
      <c r="Q35" s="191">
        <f t="shared" si="4"/>
        <v>69.707176666666655</v>
      </c>
      <c r="R35" s="191">
        <f t="shared" si="4"/>
        <v>6.666666666666667</v>
      </c>
      <c r="S35" s="191">
        <f t="shared" si="4"/>
        <v>0.56341833333333335</v>
      </c>
      <c r="T35" s="191">
        <f t="shared" si="4"/>
        <v>3.3333333333333335</v>
      </c>
      <c r="U35" s="191">
        <f t="shared" si="4"/>
        <v>135</v>
      </c>
      <c r="V35" s="256">
        <f t="shared" si="4"/>
        <v>2.3333333333333335</v>
      </c>
    </row>
    <row r="36" spans="2:22" ht="22.5" hidden="1" customHeight="1" thickBot="1">
      <c r="B36" s="235" t="s">
        <v>635</v>
      </c>
      <c r="C36" s="257" t="str">
        <f t="shared" ref="C36:V36" si="5">ROUND(MIN(C9:C11),0)&amp;" - "&amp;ROUND(MAX(C9:C11),0)</f>
        <v>200 - 270</v>
      </c>
      <c r="D36" s="257" t="str">
        <f t="shared" si="5"/>
        <v>70 - 130</v>
      </c>
      <c r="E36" s="257" t="str">
        <f t="shared" si="5"/>
        <v>7 - 15</v>
      </c>
      <c r="F36" s="257" t="str">
        <f t="shared" si="5"/>
        <v>6 - 10</v>
      </c>
      <c r="G36" s="257" t="str">
        <f t="shared" si="5"/>
        <v>0 - 0</v>
      </c>
      <c r="H36" s="257" t="str">
        <f t="shared" si="5"/>
        <v>20 - 60</v>
      </c>
      <c r="I36" s="257" t="str">
        <f t="shared" si="5"/>
        <v>50 - 135</v>
      </c>
      <c r="J36" s="257" t="str">
        <f t="shared" si="5"/>
        <v>33 - 33</v>
      </c>
      <c r="K36" s="257" t="str">
        <f t="shared" si="5"/>
        <v>0 - 0</v>
      </c>
      <c r="L36" s="257" t="str">
        <f t="shared" si="5"/>
        <v>25 - 29</v>
      </c>
      <c r="M36" s="257" t="str">
        <f t="shared" si="5"/>
        <v>16 - 17</v>
      </c>
      <c r="N36" s="257" t="str">
        <f t="shared" si="5"/>
        <v>1 - 4</v>
      </c>
      <c r="O36" s="257" t="str">
        <f t="shared" si="5"/>
        <v>0 - 0</v>
      </c>
      <c r="P36" s="257" t="str">
        <f t="shared" si="5"/>
        <v>0 - 0</v>
      </c>
      <c r="Q36" s="257" t="str">
        <f t="shared" si="5"/>
        <v>3 - 106</v>
      </c>
      <c r="R36" s="257" t="str">
        <f t="shared" si="5"/>
        <v>0 - 10</v>
      </c>
      <c r="S36" s="257" t="str">
        <f t="shared" si="5"/>
        <v>0 - 1</v>
      </c>
      <c r="T36" s="257" t="str">
        <f t="shared" si="5"/>
        <v>0 - 8</v>
      </c>
      <c r="U36" s="257" t="str">
        <f t="shared" si="5"/>
        <v>5 - 230</v>
      </c>
      <c r="V36" s="258" t="str">
        <f t="shared" si="5"/>
        <v>0 - 7</v>
      </c>
    </row>
    <row r="41" spans="2:22" ht="31.75" hidden="1">
      <c r="B41" s="179" t="s">
        <v>636</v>
      </c>
      <c r="C41" s="179">
        <v>60</v>
      </c>
      <c r="D41" s="179">
        <v>35</v>
      </c>
      <c r="E41" s="179">
        <v>3.5</v>
      </c>
      <c r="F41" s="179">
        <v>2</v>
      </c>
      <c r="G41" s="179">
        <v>0</v>
      </c>
      <c r="H41" s="179">
        <v>0</v>
      </c>
      <c r="I41" s="179">
        <v>0</v>
      </c>
      <c r="J41" s="179">
        <v>10</v>
      </c>
      <c r="K41" s="179">
        <v>1</v>
      </c>
      <c r="L41" s="179">
        <v>8</v>
      </c>
      <c r="M41" s="179">
        <v>8</v>
      </c>
      <c r="N41" s="179">
        <v>1</v>
      </c>
      <c r="O41" s="179">
        <v>0</v>
      </c>
      <c r="P41" s="179">
        <v>0</v>
      </c>
      <c r="Q41" s="179">
        <v>5</v>
      </c>
      <c r="R41" s="179">
        <v>0</v>
      </c>
      <c r="S41" s="179">
        <v>1</v>
      </c>
      <c r="T41" s="179">
        <v>6</v>
      </c>
      <c r="U41" s="179">
        <v>62</v>
      </c>
      <c r="V41" s="179">
        <v>2</v>
      </c>
    </row>
    <row r="42" spans="2:22" hidden="1">
      <c r="B42" s="179" t="s">
        <v>637</v>
      </c>
      <c r="C42" s="179">
        <v>80</v>
      </c>
      <c r="D42" s="179">
        <v>40</v>
      </c>
      <c r="E42" s="179">
        <v>4.5</v>
      </c>
      <c r="F42" s="179">
        <v>2.5</v>
      </c>
      <c r="G42" s="179">
        <v>0</v>
      </c>
      <c r="H42" s="179">
        <v>25</v>
      </c>
      <c r="I42" s="179">
        <v>45</v>
      </c>
      <c r="J42" s="179">
        <v>9</v>
      </c>
      <c r="L42" s="179">
        <v>9</v>
      </c>
      <c r="M42" s="179">
        <v>6</v>
      </c>
      <c r="N42" s="179">
        <v>2</v>
      </c>
      <c r="O42" s="179">
        <v>0</v>
      </c>
      <c r="P42" s="179">
        <v>0</v>
      </c>
      <c r="Q42" s="179">
        <v>55</v>
      </c>
      <c r="R42" s="179">
        <v>4</v>
      </c>
      <c r="S42" s="179">
        <v>0</v>
      </c>
      <c r="T42" s="179">
        <v>0</v>
      </c>
      <c r="U42" s="179">
        <v>111</v>
      </c>
      <c r="V42" s="179">
        <v>2</v>
      </c>
    </row>
    <row r="43" spans="2:22" hidden="1">
      <c r="B43" s="179" t="s">
        <v>638</v>
      </c>
      <c r="C43" s="179">
        <v>80</v>
      </c>
      <c r="D43" s="179">
        <v>40</v>
      </c>
      <c r="E43" s="179">
        <v>4.5</v>
      </c>
      <c r="F43" s="179">
        <v>3</v>
      </c>
      <c r="G43" s="179">
        <v>0</v>
      </c>
      <c r="H43" s="179">
        <v>30</v>
      </c>
      <c r="I43" s="179">
        <v>50</v>
      </c>
      <c r="J43" s="179">
        <v>9</v>
      </c>
      <c r="K43" s="179">
        <v>0</v>
      </c>
      <c r="L43" s="179">
        <v>8</v>
      </c>
      <c r="M43" s="179">
        <v>6</v>
      </c>
      <c r="N43" s="179">
        <v>2</v>
      </c>
      <c r="O43" s="179">
        <v>0</v>
      </c>
      <c r="P43" s="179">
        <v>0</v>
      </c>
      <c r="Q43" s="179">
        <v>57</v>
      </c>
      <c r="R43" s="179">
        <v>4</v>
      </c>
      <c r="S43" s="179">
        <v>0</v>
      </c>
      <c r="T43" s="179">
        <v>0</v>
      </c>
      <c r="U43" s="179">
        <v>96</v>
      </c>
      <c r="V43" s="179">
        <v>2</v>
      </c>
    </row>
    <row r="44" spans="2:22" hidden="1">
      <c r="B44" s="179" t="s">
        <v>639</v>
      </c>
      <c r="C44" s="179">
        <v>90</v>
      </c>
      <c r="D44" s="179">
        <v>40</v>
      </c>
      <c r="E44" s="179">
        <v>4.5</v>
      </c>
      <c r="F44" s="179">
        <v>3</v>
      </c>
      <c r="G44" s="179">
        <v>0</v>
      </c>
      <c r="H44" s="179">
        <v>30</v>
      </c>
      <c r="I44" s="179">
        <v>55</v>
      </c>
      <c r="J44" s="179">
        <v>9</v>
      </c>
      <c r="K44" s="179">
        <v>0</v>
      </c>
      <c r="L44" s="179">
        <v>8</v>
      </c>
      <c r="M44" s="179">
        <v>6</v>
      </c>
      <c r="N44" s="179">
        <v>2</v>
      </c>
      <c r="O44" s="179">
        <v>0</v>
      </c>
      <c r="P44" s="179">
        <v>0</v>
      </c>
      <c r="Q44" s="179">
        <v>60</v>
      </c>
      <c r="R44" s="179">
        <v>4</v>
      </c>
      <c r="S44" s="179">
        <v>0</v>
      </c>
      <c r="T44" s="179">
        <v>0</v>
      </c>
      <c r="U44" s="179">
        <v>81</v>
      </c>
      <c r="V44" s="179">
        <v>2</v>
      </c>
    </row>
    <row r="45" spans="2:22" hidden="1">
      <c r="B45" s="179" t="s">
        <v>640</v>
      </c>
      <c r="C45" s="179">
        <v>130</v>
      </c>
      <c r="D45" s="179">
        <v>50</v>
      </c>
      <c r="E45" s="179">
        <v>6</v>
      </c>
      <c r="F45" s="179">
        <v>3</v>
      </c>
      <c r="G45" s="179">
        <v>0</v>
      </c>
      <c r="H45" s="179">
        <v>5</v>
      </c>
      <c r="I45" s="179">
        <v>65</v>
      </c>
      <c r="J45" s="179">
        <v>18</v>
      </c>
      <c r="K45" s="179">
        <v>1</v>
      </c>
      <c r="L45" s="179">
        <v>11</v>
      </c>
      <c r="M45" s="179" t="s">
        <v>641</v>
      </c>
      <c r="N45" s="179">
        <v>1</v>
      </c>
      <c r="O45" s="179">
        <v>0</v>
      </c>
      <c r="P45" s="179">
        <v>0</v>
      </c>
      <c r="Q45" s="179">
        <v>0</v>
      </c>
      <c r="R45" s="179">
        <v>0</v>
      </c>
      <c r="S45" s="179">
        <v>0</v>
      </c>
      <c r="T45" s="179">
        <v>0</v>
      </c>
      <c r="U45" s="179" t="s">
        <v>641</v>
      </c>
      <c r="V45" s="179" t="s">
        <v>641</v>
      </c>
    </row>
    <row r="46" spans="2:22" hidden="1"/>
    <row r="47" spans="2:22" hidden="1">
      <c r="B47" s="186" t="s">
        <v>642</v>
      </c>
      <c r="C47" s="179">
        <f>SUM(C42,C45,C45)</f>
        <v>340</v>
      </c>
      <c r="D47" s="179">
        <f t="shared" ref="D47:T47" si="6">SUM(D42,D45,D45)</f>
        <v>140</v>
      </c>
      <c r="E47" s="179">
        <f t="shared" si="6"/>
        <v>16.5</v>
      </c>
      <c r="F47" s="179">
        <f t="shared" si="6"/>
        <v>8.5</v>
      </c>
      <c r="G47" s="179">
        <f t="shared" si="6"/>
        <v>0</v>
      </c>
      <c r="H47" s="179">
        <f t="shared" si="6"/>
        <v>35</v>
      </c>
      <c r="I47" s="179">
        <f t="shared" si="6"/>
        <v>175</v>
      </c>
      <c r="J47" s="179">
        <f>SUM(J42,J45,J45)</f>
        <v>45</v>
      </c>
      <c r="K47" s="179">
        <f t="shared" si="6"/>
        <v>2</v>
      </c>
      <c r="L47" s="179">
        <f t="shared" si="6"/>
        <v>31</v>
      </c>
      <c r="M47" s="179" t="s">
        <v>641</v>
      </c>
      <c r="N47" s="179">
        <f t="shared" si="6"/>
        <v>4</v>
      </c>
      <c r="O47" s="179">
        <f t="shared" si="6"/>
        <v>0</v>
      </c>
      <c r="P47" s="179">
        <f t="shared" si="6"/>
        <v>0</v>
      </c>
      <c r="Q47" s="179">
        <f t="shared" si="6"/>
        <v>55</v>
      </c>
      <c r="R47" s="179">
        <f t="shared" si="6"/>
        <v>4</v>
      </c>
      <c r="S47" s="179">
        <f t="shared" si="6"/>
        <v>0</v>
      </c>
      <c r="T47" s="179">
        <f t="shared" si="6"/>
        <v>0</v>
      </c>
      <c r="U47" s="179" t="s">
        <v>641</v>
      </c>
      <c r="V47" s="179" t="s">
        <v>641</v>
      </c>
    </row>
    <row r="48" spans="2:22" hidden="1">
      <c r="B48" s="186" t="s">
        <v>626</v>
      </c>
      <c r="C48" s="179">
        <f>C45+C45+C44</f>
        <v>350</v>
      </c>
      <c r="D48" s="179">
        <f t="shared" ref="D48:T48" si="7">D45+D45+D44</f>
        <v>140</v>
      </c>
      <c r="E48" s="179">
        <f t="shared" si="7"/>
        <v>16.5</v>
      </c>
      <c r="F48" s="179">
        <f t="shared" si="7"/>
        <v>9</v>
      </c>
      <c r="G48" s="179">
        <f t="shared" si="7"/>
        <v>0</v>
      </c>
      <c r="H48" s="179">
        <f t="shared" si="7"/>
        <v>40</v>
      </c>
      <c r="I48" s="179">
        <f t="shared" si="7"/>
        <v>185</v>
      </c>
      <c r="J48" s="179">
        <f t="shared" si="7"/>
        <v>45</v>
      </c>
      <c r="K48" s="179">
        <f t="shared" si="7"/>
        <v>2</v>
      </c>
      <c r="L48" s="179">
        <f t="shared" si="7"/>
        <v>30</v>
      </c>
      <c r="M48" s="179" t="s">
        <v>641</v>
      </c>
      <c r="N48" s="179">
        <f t="shared" si="7"/>
        <v>4</v>
      </c>
      <c r="O48" s="179">
        <f t="shared" si="7"/>
        <v>0</v>
      </c>
      <c r="P48" s="179">
        <f t="shared" si="7"/>
        <v>0</v>
      </c>
      <c r="Q48" s="179">
        <f t="shared" si="7"/>
        <v>60</v>
      </c>
      <c r="R48" s="179">
        <f t="shared" si="7"/>
        <v>4</v>
      </c>
      <c r="S48" s="179">
        <f t="shared" si="7"/>
        <v>0</v>
      </c>
      <c r="T48" s="179">
        <f t="shared" si="7"/>
        <v>0</v>
      </c>
      <c r="U48" s="179" t="s">
        <v>641</v>
      </c>
      <c r="V48" s="179" t="s">
        <v>641</v>
      </c>
    </row>
    <row r="49" spans="2:22" hidden="1">
      <c r="B49" s="186" t="s">
        <v>643</v>
      </c>
      <c r="C49" s="179">
        <f>(C45*2)+C43</f>
        <v>340</v>
      </c>
      <c r="D49" s="179">
        <f t="shared" ref="D49:T49" si="8">(D45*2)+D43</f>
        <v>140</v>
      </c>
      <c r="E49" s="179">
        <f t="shared" si="8"/>
        <v>16.5</v>
      </c>
      <c r="F49" s="179">
        <f t="shared" si="8"/>
        <v>9</v>
      </c>
      <c r="G49" s="179">
        <f t="shared" si="8"/>
        <v>0</v>
      </c>
      <c r="H49" s="179">
        <f t="shared" si="8"/>
        <v>40</v>
      </c>
      <c r="I49" s="179">
        <f t="shared" si="8"/>
        <v>180</v>
      </c>
      <c r="J49" s="179">
        <f t="shared" si="8"/>
        <v>45</v>
      </c>
      <c r="K49" s="179">
        <f t="shared" si="8"/>
        <v>2</v>
      </c>
      <c r="L49" s="179">
        <f t="shared" si="8"/>
        <v>30</v>
      </c>
      <c r="M49" s="179" t="s">
        <v>641</v>
      </c>
      <c r="N49" s="179">
        <f t="shared" si="8"/>
        <v>4</v>
      </c>
      <c r="O49" s="179">
        <f t="shared" si="8"/>
        <v>0</v>
      </c>
      <c r="P49" s="179">
        <f t="shared" si="8"/>
        <v>0</v>
      </c>
      <c r="Q49" s="179">
        <f t="shared" si="8"/>
        <v>57</v>
      </c>
      <c r="R49" s="179">
        <f t="shared" si="8"/>
        <v>4</v>
      </c>
      <c r="S49" s="179">
        <f t="shared" si="8"/>
        <v>0</v>
      </c>
      <c r="T49" s="179">
        <f t="shared" si="8"/>
        <v>0</v>
      </c>
      <c r="U49" s="179" t="s">
        <v>641</v>
      </c>
      <c r="V49" s="179" t="s">
        <v>641</v>
      </c>
    </row>
    <row r="50" spans="2:22" hidden="1">
      <c r="B50" s="186" t="s">
        <v>644</v>
      </c>
      <c r="C50" s="179">
        <f>C45+C45+C42+C41</f>
        <v>400</v>
      </c>
      <c r="D50" s="179">
        <f t="shared" ref="D50:T50" si="9">D45+D45+D42+D41</f>
        <v>175</v>
      </c>
      <c r="E50" s="179">
        <f t="shared" si="9"/>
        <v>20</v>
      </c>
      <c r="F50" s="179">
        <f t="shared" si="9"/>
        <v>10.5</v>
      </c>
      <c r="G50" s="179">
        <f t="shared" si="9"/>
        <v>0</v>
      </c>
      <c r="H50" s="179">
        <f t="shared" si="9"/>
        <v>35</v>
      </c>
      <c r="I50" s="179">
        <f t="shared" si="9"/>
        <v>175</v>
      </c>
      <c r="J50" s="179">
        <f t="shared" si="9"/>
        <v>55</v>
      </c>
      <c r="K50" s="179">
        <f t="shared" si="9"/>
        <v>3</v>
      </c>
      <c r="L50" s="179">
        <f t="shared" si="9"/>
        <v>39</v>
      </c>
      <c r="M50" s="179" t="s">
        <v>641</v>
      </c>
      <c r="N50" s="179">
        <f t="shared" si="9"/>
        <v>5</v>
      </c>
      <c r="O50" s="179">
        <f t="shared" si="9"/>
        <v>0</v>
      </c>
      <c r="P50" s="179">
        <f t="shared" si="9"/>
        <v>0</v>
      </c>
      <c r="Q50" s="179">
        <f t="shared" si="9"/>
        <v>60</v>
      </c>
      <c r="R50" s="179">
        <f t="shared" si="9"/>
        <v>4</v>
      </c>
      <c r="S50" s="179">
        <f t="shared" si="9"/>
        <v>1</v>
      </c>
      <c r="T50" s="179">
        <f t="shared" si="9"/>
        <v>6</v>
      </c>
      <c r="U50" s="179" t="s">
        <v>641</v>
      </c>
      <c r="V50" s="179" t="s">
        <v>641</v>
      </c>
    </row>
    <row r="51" spans="2:22" hidden="1">
      <c r="B51" s="186" t="s">
        <v>627</v>
      </c>
      <c r="C51" s="179">
        <f>C45+C45+C41+C44</f>
        <v>410</v>
      </c>
      <c r="D51" s="179">
        <f t="shared" ref="D51:T51" si="10">D45+D45+D41+D44</f>
        <v>175</v>
      </c>
      <c r="E51" s="179">
        <f t="shared" si="10"/>
        <v>20</v>
      </c>
      <c r="F51" s="179">
        <f t="shared" si="10"/>
        <v>11</v>
      </c>
      <c r="G51" s="179">
        <f t="shared" si="10"/>
        <v>0</v>
      </c>
      <c r="H51" s="179">
        <f t="shared" si="10"/>
        <v>40</v>
      </c>
      <c r="I51" s="179">
        <f t="shared" si="10"/>
        <v>185</v>
      </c>
      <c r="J51" s="179">
        <f t="shared" si="10"/>
        <v>55</v>
      </c>
      <c r="K51" s="179">
        <f t="shared" si="10"/>
        <v>3</v>
      </c>
      <c r="L51" s="179">
        <f t="shared" si="10"/>
        <v>38</v>
      </c>
      <c r="M51" s="179" t="s">
        <v>641</v>
      </c>
      <c r="N51" s="179">
        <f t="shared" si="10"/>
        <v>5</v>
      </c>
      <c r="O51" s="179">
        <f t="shared" si="10"/>
        <v>0</v>
      </c>
      <c r="P51" s="179">
        <f t="shared" si="10"/>
        <v>0</v>
      </c>
      <c r="Q51" s="179">
        <f t="shared" si="10"/>
        <v>65</v>
      </c>
      <c r="R51" s="179">
        <f t="shared" si="10"/>
        <v>4</v>
      </c>
      <c r="S51" s="179">
        <f t="shared" si="10"/>
        <v>1</v>
      </c>
      <c r="T51" s="179">
        <f t="shared" si="10"/>
        <v>6</v>
      </c>
      <c r="U51" s="179" t="s">
        <v>641</v>
      </c>
      <c r="V51" s="179" t="s">
        <v>641</v>
      </c>
    </row>
    <row r="52" spans="2:22" hidden="1">
      <c r="B52" s="186" t="s">
        <v>645</v>
      </c>
      <c r="C52" s="179">
        <f>C45+C45+C43+C41</f>
        <v>400</v>
      </c>
      <c r="D52" s="179">
        <f t="shared" ref="D52:T52" si="11">D45+D45+D43+D41</f>
        <v>175</v>
      </c>
      <c r="E52" s="179">
        <f t="shared" si="11"/>
        <v>20</v>
      </c>
      <c r="F52" s="179">
        <f t="shared" si="11"/>
        <v>11</v>
      </c>
      <c r="G52" s="179">
        <f t="shared" si="11"/>
        <v>0</v>
      </c>
      <c r="H52" s="179">
        <f t="shared" si="11"/>
        <v>40</v>
      </c>
      <c r="I52" s="179">
        <f t="shared" si="11"/>
        <v>180</v>
      </c>
      <c r="J52" s="179">
        <f t="shared" si="11"/>
        <v>55</v>
      </c>
      <c r="K52" s="179">
        <f t="shared" si="11"/>
        <v>3</v>
      </c>
      <c r="L52" s="179">
        <f t="shared" si="11"/>
        <v>38</v>
      </c>
      <c r="M52" s="179" t="s">
        <v>641</v>
      </c>
      <c r="N52" s="179">
        <f t="shared" si="11"/>
        <v>5</v>
      </c>
      <c r="O52" s="179">
        <f t="shared" si="11"/>
        <v>0</v>
      </c>
      <c r="P52" s="179">
        <f t="shared" si="11"/>
        <v>0</v>
      </c>
      <c r="Q52" s="179">
        <f t="shared" si="11"/>
        <v>62</v>
      </c>
      <c r="R52" s="179">
        <f t="shared" si="11"/>
        <v>4</v>
      </c>
      <c r="S52" s="179">
        <f t="shared" si="11"/>
        <v>1</v>
      </c>
      <c r="T52" s="179">
        <f t="shared" si="11"/>
        <v>6</v>
      </c>
      <c r="U52" s="179" t="s">
        <v>641</v>
      </c>
      <c r="V52" s="179" t="s">
        <v>641</v>
      </c>
    </row>
  </sheetData>
  <mergeCells count="49">
    <mergeCell ref="B27:V29"/>
    <mergeCell ref="N17:N18"/>
    <mergeCell ref="O17:O18"/>
    <mergeCell ref="P17:P18"/>
    <mergeCell ref="Q17:Q18"/>
    <mergeCell ref="R17:R18"/>
    <mergeCell ref="S17:S18"/>
    <mergeCell ref="H17:H18"/>
    <mergeCell ref="I17:I18"/>
    <mergeCell ref="J17:J18"/>
    <mergeCell ref="K17:K18"/>
    <mergeCell ref="L17:L18"/>
    <mergeCell ref="G17:G18"/>
    <mergeCell ref="V17:V18"/>
    <mergeCell ref="A19:A25"/>
    <mergeCell ref="O2:O3"/>
    <mergeCell ref="M17:M18"/>
    <mergeCell ref="A4:A14"/>
    <mergeCell ref="C17:C18"/>
    <mergeCell ref="L2:L3"/>
    <mergeCell ref="M2:M3"/>
    <mergeCell ref="F17:F18"/>
    <mergeCell ref="N2:N3"/>
    <mergeCell ref="R2:R3"/>
    <mergeCell ref="S2:S3"/>
    <mergeCell ref="P2:P3"/>
    <mergeCell ref="U17:U18"/>
    <mergeCell ref="A16:V16"/>
    <mergeCell ref="A17:A18"/>
    <mergeCell ref="B17:B18"/>
    <mergeCell ref="T17:T18"/>
    <mergeCell ref="D17:D18"/>
    <mergeCell ref="E17:E18"/>
    <mergeCell ref="A1:V1"/>
    <mergeCell ref="A2:A3"/>
    <mergeCell ref="B2:B3"/>
    <mergeCell ref="C2:C3"/>
    <mergeCell ref="D2:D3"/>
    <mergeCell ref="E2:E3"/>
    <mergeCell ref="F2:F3"/>
    <mergeCell ref="G2:G3"/>
    <mergeCell ref="H2:H3"/>
    <mergeCell ref="I2:I3"/>
    <mergeCell ref="U2:U3"/>
    <mergeCell ref="J2:J3"/>
    <mergeCell ref="T2:T3"/>
    <mergeCell ref="K2:K3"/>
    <mergeCell ref="V2:V3"/>
    <mergeCell ref="Q2:Q3"/>
  </mergeCells>
  <pageMargins left="0.7" right="0.7" top="0.75" bottom="0.75" header="0.3" footer="0.3"/>
  <pageSetup scale="43" fitToHeight="0" orientation="landscape" r:id="rId1"/>
  <headerFooter>
    <oddHeader xml:space="preserve">&amp;R&amp;14 2024 Nutrition Information </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33C85-9967-4259-A1A9-BBBBC6F982DC}">
  <sheetPr filterMode="1">
    <pageSetUpPr fitToPage="1"/>
  </sheetPr>
  <dimension ref="A1:BV113"/>
  <sheetViews>
    <sheetView zoomScale="70" zoomScaleNormal="70" zoomScalePageLayoutView="70" workbookViewId="0">
      <pane xSplit="1" ySplit="3" topLeftCell="B4" activePane="bottomRight" state="frozen"/>
      <selection pane="topRight"/>
      <selection pane="bottomLeft"/>
      <selection pane="bottomRight" activeCell="F95" sqref="F95"/>
    </sheetView>
    <sheetView zoomScale="70" zoomScaleNormal="70" workbookViewId="1">
      <pane xSplit="2" ySplit="3" topLeftCell="C73" activePane="bottomRight" state="frozen"/>
      <selection pane="topRight" activeCell="C1" sqref="C1"/>
      <selection pane="bottomLeft" activeCell="A4" sqref="A4"/>
      <selection pane="bottomRight" activeCell="D104" sqref="D104"/>
    </sheetView>
    <sheetView topLeftCell="A75" workbookViewId="2">
      <selection activeCell="H15" sqref="H15"/>
    </sheetView>
  </sheetViews>
  <sheetFormatPr defaultColWidth="9.15234375" defaultRowHeight="12.9"/>
  <cols>
    <col min="1" max="1" width="24.3828125" style="373" bestFit="1" customWidth="1"/>
    <col min="2" max="2" width="33.3828125" style="373" bestFit="1" customWidth="1"/>
    <col min="3" max="3" width="16.3046875" style="901" bestFit="1" customWidth="1"/>
    <col min="4" max="4" width="13.3828125" style="844" customWidth="1"/>
    <col min="5" max="5" width="16.3046875" style="901" bestFit="1" customWidth="1"/>
    <col min="6" max="6" width="10.84375" style="373" customWidth="1"/>
    <col min="7" max="7" width="10.84375" style="901" customWidth="1"/>
    <col min="8" max="8" width="10.84375" style="373" customWidth="1"/>
    <col min="9" max="9" width="14.15234375" style="901" customWidth="1"/>
    <col min="10" max="10" width="14.15234375" style="373" customWidth="1"/>
    <col min="11" max="11" width="10.84375" style="901" customWidth="1"/>
    <col min="12" max="12" width="10.84375" style="373" customWidth="1"/>
    <col min="13" max="13" width="19.3046875" style="901" customWidth="1"/>
    <col min="14" max="14" width="19.3046875" style="373" customWidth="1"/>
    <col min="15" max="15" width="10.84375" style="901" customWidth="1"/>
    <col min="16" max="16" width="10.84375" style="373" customWidth="1"/>
    <col min="17" max="17" width="10.84375" style="901" customWidth="1"/>
    <col min="18" max="18" width="10.84375" style="844" customWidth="1"/>
    <col min="19" max="19" width="10.84375" style="901" customWidth="1"/>
    <col min="20" max="20" width="10.84375" style="373" customWidth="1"/>
    <col min="21" max="21" width="10.84375" style="901" customWidth="1"/>
    <col min="22" max="22" width="10.84375" style="373" customWidth="1"/>
    <col min="23" max="23" width="10.84375" style="901" customWidth="1"/>
    <col min="24" max="24" width="10.84375" style="844" customWidth="1"/>
    <col min="25" max="25" width="10.84375" style="901" customWidth="1"/>
    <col min="26" max="32" width="10.84375" style="373" customWidth="1"/>
    <col min="33" max="33" width="13" style="373" customWidth="1"/>
    <col min="34" max="34" width="14.3828125" style="373" customWidth="1"/>
    <col min="35" max="36" width="9.15234375" style="373"/>
    <col min="37" max="37" width="16.15234375" style="373" customWidth="1"/>
    <col min="38" max="16384" width="9.15234375" style="373"/>
  </cols>
  <sheetData>
    <row r="1" spans="1:45" s="374" customFormat="1" ht="18.45">
      <c r="A1" s="1274" t="s">
        <v>723</v>
      </c>
      <c r="B1" s="1275"/>
      <c r="C1" s="1410"/>
      <c r="D1" s="1411"/>
      <c r="E1" s="1410"/>
      <c r="F1" s="1275"/>
      <c r="G1" s="1410"/>
      <c r="H1" s="1275"/>
      <c r="I1" s="1410"/>
      <c r="J1" s="1275"/>
      <c r="K1" s="1410"/>
      <c r="L1" s="1275"/>
      <c r="M1" s="1410"/>
      <c r="N1" s="1275"/>
      <c r="O1" s="1410"/>
      <c r="P1" s="1275"/>
      <c r="Q1" s="1410"/>
      <c r="R1" s="1411"/>
      <c r="S1" s="1410"/>
      <c r="T1" s="1275"/>
      <c r="U1" s="1410"/>
      <c r="V1" s="1275"/>
      <c r="W1" s="1410"/>
      <c r="X1" s="1411"/>
      <c r="Y1" s="1410"/>
      <c r="Z1" s="1275"/>
      <c r="AA1" s="1275"/>
      <c r="AB1" s="1275"/>
      <c r="AC1" s="1275"/>
      <c r="AD1" s="1275"/>
      <c r="AE1" s="1275"/>
      <c r="AF1" s="1275"/>
      <c r="AG1" s="1275"/>
      <c r="AH1" s="1275"/>
    </row>
    <row r="2" spans="1:45" s="374" customFormat="1" ht="18.899999999999999" thickBot="1">
      <c r="A2" s="1276"/>
      <c r="B2" s="1277"/>
      <c r="C2" s="1412"/>
      <c r="D2" s="1413"/>
      <c r="E2" s="1412"/>
      <c r="F2" s="1277"/>
      <c r="G2" s="1412"/>
      <c r="H2" s="1277"/>
      <c r="I2" s="1412"/>
      <c r="J2" s="1277"/>
      <c r="K2" s="1412"/>
      <c r="L2" s="1277"/>
      <c r="M2" s="1412"/>
      <c r="N2" s="1277"/>
      <c r="O2" s="1412"/>
      <c r="P2" s="1277"/>
      <c r="Q2" s="1412"/>
      <c r="R2" s="1413"/>
      <c r="S2" s="1412"/>
      <c r="T2" s="1277"/>
      <c r="U2" s="1412"/>
      <c r="V2" s="1277"/>
      <c r="W2" s="1412"/>
      <c r="X2" s="1413"/>
      <c r="Y2" s="1412"/>
      <c r="Z2" s="1277"/>
      <c r="AA2" s="1277"/>
      <c r="AB2" s="1277"/>
      <c r="AC2" s="1277"/>
      <c r="AD2" s="1277"/>
      <c r="AE2" s="1277"/>
      <c r="AF2" s="1277"/>
      <c r="AG2" s="1277"/>
      <c r="AH2" s="1277"/>
    </row>
    <row r="3" spans="1:45" s="374" customFormat="1" ht="55.75" thickBot="1">
      <c r="A3" s="393"/>
      <c r="B3" s="392" t="s">
        <v>3</v>
      </c>
      <c r="C3" s="898" t="s">
        <v>4</v>
      </c>
      <c r="D3" s="391" t="s">
        <v>4</v>
      </c>
      <c r="E3" s="898"/>
      <c r="F3" s="391" t="s">
        <v>5</v>
      </c>
      <c r="G3" s="898" t="s">
        <v>6</v>
      </c>
      <c r="H3" s="391" t="s">
        <v>6</v>
      </c>
      <c r="I3" s="898" t="s">
        <v>7</v>
      </c>
      <c r="J3" s="391" t="s">
        <v>7</v>
      </c>
      <c r="K3" s="898" t="s">
        <v>8</v>
      </c>
      <c r="L3" s="391" t="s">
        <v>8</v>
      </c>
      <c r="M3" s="898" t="s">
        <v>9</v>
      </c>
      <c r="N3" s="391" t="s">
        <v>9</v>
      </c>
      <c r="O3" s="898" t="s">
        <v>10</v>
      </c>
      <c r="P3" s="391" t="s">
        <v>10</v>
      </c>
      <c r="Q3" s="898" t="s">
        <v>11</v>
      </c>
      <c r="R3" s="391" t="s">
        <v>11</v>
      </c>
      <c r="S3" s="898" t="s">
        <v>12</v>
      </c>
      <c r="T3" s="391" t="s">
        <v>12</v>
      </c>
      <c r="U3" s="898" t="s">
        <v>13</v>
      </c>
      <c r="V3" s="391" t="s">
        <v>13</v>
      </c>
      <c r="W3" s="898" t="s">
        <v>14</v>
      </c>
      <c r="X3" s="391" t="s">
        <v>14</v>
      </c>
      <c r="Y3" s="898" t="s">
        <v>15</v>
      </c>
      <c r="Z3" s="391" t="s">
        <v>15</v>
      </c>
      <c r="AA3" s="390" t="s">
        <v>16</v>
      </c>
      <c r="AB3" s="390" t="s">
        <v>17</v>
      </c>
      <c r="AC3" s="390" t="s">
        <v>18</v>
      </c>
      <c r="AD3" s="390" t="s">
        <v>19</v>
      </c>
      <c r="AE3" s="390" t="s">
        <v>20</v>
      </c>
      <c r="AF3" s="390" t="s">
        <v>21</v>
      </c>
      <c r="AG3" s="390" t="s">
        <v>22</v>
      </c>
      <c r="AH3" s="390" t="s">
        <v>23</v>
      </c>
    </row>
    <row r="4" spans="1:45" s="374" customFormat="1" ht="18.45">
      <c r="A4" s="389" t="s">
        <v>484</v>
      </c>
      <c r="B4" s="389" t="s">
        <v>134</v>
      </c>
      <c r="C4" s="899">
        <v>243.596</v>
      </c>
      <c r="D4" s="897">
        <f t="shared" ref="D4:D26" si="0">MROUND(C4,10)</f>
        <v>240</v>
      </c>
      <c r="E4" s="899">
        <v>88.197999999999993</v>
      </c>
      <c r="F4" s="897">
        <f>IF(E4&lt;5,0,(IF(E4&gt;50,MROUND(E4,10),MROUND(E4,5))))</f>
        <v>90</v>
      </c>
      <c r="G4" s="899">
        <v>9.8000000000000007</v>
      </c>
      <c r="H4" s="739">
        <f>IF(G4&lt;0.5,0,IF(G4&gt;5,MROUND(G4,1),MROUND(G4,0.5)))</f>
        <v>10</v>
      </c>
      <c r="I4" s="899">
        <v>6.2359999999999998</v>
      </c>
      <c r="J4" s="739">
        <f>IF(I4&lt;0.5,0,IF(I4&gt;5,MROUND(I4,1),MROUND(I4,0.5)))</f>
        <v>6</v>
      </c>
      <c r="K4" s="899">
        <v>0</v>
      </c>
      <c r="L4" s="739">
        <v>0</v>
      </c>
      <c r="M4" s="899">
        <v>57.908000000000001</v>
      </c>
      <c r="N4" s="897">
        <f>IF(M4&lt;2,0,IF(M4&gt;5,MROUND(M4,5),"less than 5 mg"))</f>
        <v>60</v>
      </c>
      <c r="O4" s="899">
        <v>151.661</v>
      </c>
      <c r="P4" s="897">
        <f>IF(O4&lt;5,0,IF(O4&gt;140,MROUND(O4,10),MROUND(O4,5)))</f>
        <v>150</v>
      </c>
      <c r="Q4" s="899">
        <v>35.113999999999997</v>
      </c>
      <c r="R4" s="897">
        <f>IF(Q4&lt;0.5,0,IF(Q4&gt;1,MROUND(Q4,1),"less than 1 g"))</f>
        <v>35</v>
      </c>
      <c r="S4" s="899">
        <v>0</v>
      </c>
      <c r="T4" s="739">
        <f>IF(S4&lt;0.5,0,IF(S4&gt;1,MROUND(S4,1),"less than 1 g"))</f>
        <v>0</v>
      </c>
      <c r="U4" s="899">
        <v>26.425999999999998</v>
      </c>
      <c r="V4" s="897">
        <f>IF(U4&lt;0.5,0,IF(U4&gt;1,MROUND(U4,1),"less than 1 g"))</f>
        <v>26</v>
      </c>
      <c r="W4" s="899">
        <v>10.39</v>
      </c>
      <c r="X4" s="897">
        <f>IF(W4&lt;0.5,0,IF(W4&gt;1,MROUND(W4,1),"less than 1 g"))</f>
        <v>10</v>
      </c>
      <c r="Y4" s="899">
        <v>3.5640000000000001</v>
      </c>
      <c r="Z4" s="897">
        <f>IF(Y4&lt;0.5,0,IF(Y4&gt;1,MROUND(Y4,1),"less than 1 g"))</f>
        <v>4</v>
      </c>
      <c r="AA4" s="739">
        <v>0</v>
      </c>
      <c r="AB4" s="739">
        <v>0</v>
      </c>
      <c r="AC4" s="739">
        <v>176.03100000000001</v>
      </c>
      <c r="AD4" s="739">
        <v>13.541</v>
      </c>
      <c r="AE4" s="739">
        <v>0</v>
      </c>
      <c r="AF4" s="739">
        <v>0</v>
      </c>
      <c r="AG4" s="739">
        <v>11.545</v>
      </c>
      <c r="AH4" s="739">
        <v>0.246</v>
      </c>
    </row>
    <row r="5" spans="1:45" s="374" customFormat="1" ht="18.45">
      <c r="A5" s="389" t="s">
        <v>484</v>
      </c>
      <c r="B5" s="389" t="s">
        <v>373</v>
      </c>
      <c r="C5" s="899">
        <v>225.505</v>
      </c>
      <c r="D5" s="897">
        <f t="shared" si="0"/>
        <v>230</v>
      </c>
      <c r="E5" s="899">
        <v>108.014</v>
      </c>
      <c r="F5" s="897">
        <f t="shared" ref="F5:F68" si="1">IF(E5&lt;5,0,(IF(E5&gt;50,MROUND(E5,10),MROUND(E5,5))))</f>
        <v>110</v>
      </c>
      <c r="G5" s="899">
        <v>12.002000000000001</v>
      </c>
      <c r="H5" s="739">
        <f t="shared" ref="H5:H68" si="2">IF(G5&lt;0.5,0,IF(G5&gt;5,MROUND(G5,1),MROUND(G5,0.5)))</f>
        <v>12</v>
      </c>
      <c r="I5" s="899">
        <v>7.6369999999999996</v>
      </c>
      <c r="J5" s="739">
        <f t="shared" ref="J5:J68" si="3">IF(I5&lt;0.5,0,IF(I5&gt;5,MROUND(I5,1),MROUND(I5,0.5)))</f>
        <v>8</v>
      </c>
      <c r="K5" s="899">
        <v>0</v>
      </c>
      <c r="L5" s="739">
        <v>0</v>
      </c>
      <c r="M5" s="899">
        <v>70.918999999999997</v>
      </c>
      <c r="N5" s="897">
        <f t="shared" ref="N5:N68" si="4">IF(M5&lt;2,0,IF(M5&gt;5,MROUND(M5,5),"less than 5 mg"))</f>
        <v>70</v>
      </c>
      <c r="O5" s="899">
        <v>169.32</v>
      </c>
      <c r="P5" s="897">
        <f t="shared" ref="P5:P68" si="5">IF(O5&lt;5,0,IF(O5&gt;140,MROUND(O5,10),MROUND(O5,5)))</f>
        <v>170</v>
      </c>
      <c r="Q5" s="899">
        <v>26.337</v>
      </c>
      <c r="R5" s="897">
        <f t="shared" ref="R5:R68" si="6">IF(Q5&lt;0.5,0,IF(Q5&gt;1,MROUND(Q5,1),"less than 1 g"))</f>
        <v>26</v>
      </c>
      <c r="S5" s="899">
        <v>0</v>
      </c>
      <c r="T5" s="739">
        <f t="shared" ref="T5:T68" si="7">IF(S5&lt;0.5,0,IF(S5&gt;1,MROUND(S5,1),"less than 1 g"))</f>
        <v>0</v>
      </c>
      <c r="U5" s="899">
        <v>20.876000000000001</v>
      </c>
      <c r="V5" s="897">
        <f t="shared" ref="V5:V68" si="8">IF(U5&lt;0.5,0,IF(U5&gt;1,MROUND(U5,1),"less than 1 g"))</f>
        <v>21</v>
      </c>
      <c r="W5" s="899">
        <v>1.2370000000000001</v>
      </c>
      <c r="X5" s="897">
        <f t="shared" ref="X5:X68" si="9">IF(W5&lt;0.5,0,IF(W5&gt;1,MROUND(W5,1),"less than 1 g"))</f>
        <v>1</v>
      </c>
      <c r="Y5" s="899">
        <v>4.3639999999999999</v>
      </c>
      <c r="Z5" s="897">
        <f t="shared" ref="Z5:Z68" si="10">IF(Y5&lt;0.5,0,IF(Y5&gt;1,MROUND(Y5,1),"less than 1 g"))</f>
        <v>4</v>
      </c>
      <c r="AA5" s="739">
        <v>0</v>
      </c>
      <c r="AB5" s="739">
        <v>0</v>
      </c>
      <c r="AC5" s="739">
        <v>213.12</v>
      </c>
      <c r="AD5" s="739">
        <v>16.393999999999998</v>
      </c>
      <c r="AE5" s="739">
        <v>3.2000000000000001E-2</v>
      </c>
      <c r="AF5" s="739">
        <v>0.17699999999999999</v>
      </c>
      <c r="AG5" s="739">
        <v>3.72</v>
      </c>
      <c r="AH5" s="739">
        <v>7.9000000000000001E-2</v>
      </c>
    </row>
    <row r="6" spans="1:45" s="374" customFormat="1" ht="18.45">
      <c r="A6" s="389" t="s">
        <v>484</v>
      </c>
      <c r="B6" s="387" t="s">
        <v>402</v>
      </c>
      <c r="C6" s="899">
        <v>226.184</v>
      </c>
      <c r="D6" s="897">
        <f t="shared" si="0"/>
        <v>230</v>
      </c>
      <c r="E6" s="899">
        <v>109.252</v>
      </c>
      <c r="F6" s="897">
        <f t="shared" si="1"/>
        <v>110</v>
      </c>
      <c r="G6" s="899">
        <v>12.138999999999999</v>
      </c>
      <c r="H6" s="739">
        <f t="shared" si="2"/>
        <v>12</v>
      </c>
      <c r="I6" s="899">
        <v>7.7249999999999996</v>
      </c>
      <c r="J6" s="739">
        <f t="shared" si="3"/>
        <v>8</v>
      </c>
      <c r="K6" s="899">
        <v>0</v>
      </c>
      <c r="L6" s="739">
        <v>0</v>
      </c>
      <c r="M6" s="899">
        <v>71.730999999999995</v>
      </c>
      <c r="N6" s="897">
        <f t="shared" si="4"/>
        <v>70</v>
      </c>
      <c r="O6" s="899">
        <v>156.626</v>
      </c>
      <c r="P6" s="897">
        <f t="shared" si="5"/>
        <v>160</v>
      </c>
      <c r="Q6" s="899">
        <v>26.78</v>
      </c>
      <c r="R6" s="897">
        <f t="shared" si="6"/>
        <v>27</v>
      </c>
      <c r="S6" s="899">
        <v>0</v>
      </c>
      <c r="T6" s="739">
        <f t="shared" si="7"/>
        <v>0</v>
      </c>
      <c r="U6" s="899">
        <v>20.806000000000001</v>
      </c>
      <c r="V6" s="897">
        <f t="shared" si="8"/>
        <v>21</v>
      </c>
      <c r="W6" s="899">
        <v>0.94199999999999995</v>
      </c>
      <c r="X6" s="897" t="str">
        <f t="shared" si="9"/>
        <v>less than 1 g</v>
      </c>
      <c r="Y6" s="899">
        <v>4.4139999999999997</v>
      </c>
      <c r="Z6" s="897">
        <f t="shared" si="10"/>
        <v>4</v>
      </c>
      <c r="AA6" s="739">
        <v>0</v>
      </c>
      <c r="AB6" s="739">
        <v>0</v>
      </c>
      <c r="AC6" s="739">
        <v>215.40700000000001</v>
      </c>
      <c r="AD6" s="739">
        <v>16.57</v>
      </c>
      <c r="AE6" s="739">
        <v>0</v>
      </c>
      <c r="AF6" s="739">
        <v>0</v>
      </c>
      <c r="AG6" s="739">
        <v>1.0029999999999999</v>
      </c>
      <c r="AH6" s="739">
        <v>2.1000000000000001E-2</v>
      </c>
    </row>
    <row r="7" spans="1:45" s="374" customFormat="1" ht="18.45">
      <c r="A7" s="389" t="s">
        <v>484</v>
      </c>
      <c r="B7" s="389" t="s">
        <v>417</v>
      </c>
      <c r="C7" s="899">
        <v>255.14099999999999</v>
      </c>
      <c r="D7" s="897">
        <f t="shared" si="0"/>
        <v>260</v>
      </c>
      <c r="E7" s="899">
        <v>119.38800000000001</v>
      </c>
      <c r="F7" s="897">
        <f t="shared" si="1"/>
        <v>120</v>
      </c>
      <c r="G7" s="899">
        <v>13.265000000000001</v>
      </c>
      <c r="H7" s="739">
        <f t="shared" si="2"/>
        <v>13</v>
      </c>
      <c r="I7" s="899">
        <v>8.4420000000000002</v>
      </c>
      <c r="J7" s="739">
        <f t="shared" si="3"/>
        <v>8</v>
      </c>
      <c r="K7" s="899">
        <v>0</v>
      </c>
      <c r="L7" s="739">
        <v>0</v>
      </c>
      <c r="M7" s="899">
        <v>78.385999999999996</v>
      </c>
      <c r="N7" s="897">
        <f t="shared" si="4"/>
        <v>80</v>
      </c>
      <c r="O7" s="899">
        <v>171.274</v>
      </c>
      <c r="P7" s="897">
        <f t="shared" si="5"/>
        <v>170</v>
      </c>
      <c r="Q7" s="899">
        <v>30.388000000000002</v>
      </c>
      <c r="R7" s="897">
        <f t="shared" si="6"/>
        <v>30</v>
      </c>
      <c r="S7" s="899">
        <v>0</v>
      </c>
      <c r="T7" s="739">
        <f t="shared" si="7"/>
        <v>0</v>
      </c>
      <c r="U7" s="899">
        <v>23.311</v>
      </c>
      <c r="V7" s="897">
        <f t="shared" si="8"/>
        <v>23</v>
      </c>
      <c r="W7" s="899">
        <v>1.605</v>
      </c>
      <c r="X7" s="897">
        <f t="shared" si="9"/>
        <v>2</v>
      </c>
      <c r="Y7" s="899">
        <v>4.8239999999999998</v>
      </c>
      <c r="Z7" s="897">
        <f t="shared" si="10"/>
        <v>5</v>
      </c>
      <c r="AA7" s="739">
        <v>0</v>
      </c>
      <c r="AB7" s="739">
        <v>0</v>
      </c>
      <c r="AC7" s="739">
        <v>235.577</v>
      </c>
      <c r="AD7" s="739">
        <v>18.120999999999999</v>
      </c>
      <c r="AE7" s="903">
        <v>0</v>
      </c>
      <c r="AF7" s="903">
        <v>0</v>
      </c>
      <c r="AG7" s="739">
        <v>2.093</v>
      </c>
      <c r="AH7" s="739">
        <v>4.4999999999999998E-2</v>
      </c>
      <c r="AI7" s="857"/>
      <c r="AJ7" s="857"/>
    </row>
    <row r="8" spans="1:45" s="374" customFormat="1" ht="18.45">
      <c r="A8" s="389" t="s">
        <v>484</v>
      </c>
      <c r="B8" s="902" t="s">
        <v>117</v>
      </c>
      <c r="C8" s="899">
        <v>252.30500000000001</v>
      </c>
      <c r="D8" s="897">
        <f t="shared" si="0"/>
        <v>250</v>
      </c>
      <c r="E8" s="899">
        <v>120.1</v>
      </c>
      <c r="F8" s="897">
        <f t="shared" si="1"/>
        <v>120</v>
      </c>
      <c r="G8" s="899">
        <v>13.343999999999999</v>
      </c>
      <c r="H8" s="739">
        <f t="shared" si="2"/>
        <v>13</v>
      </c>
      <c r="I8" s="899">
        <v>8.4920000000000009</v>
      </c>
      <c r="J8" s="739">
        <f t="shared" si="3"/>
        <v>8</v>
      </c>
      <c r="K8" s="899">
        <v>0</v>
      </c>
      <c r="L8" s="739">
        <v>0</v>
      </c>
      <c r="M8" s="899">
        <v>78.852999999999994</v>
      </c>
      <c r="N8" s="897">
        <f t="shared" si="4"/>
        <v>80</v>
      </c>
      <c r="O8" s="899">
        <v>171.715</v>
      </c>
      <c r="P8" s="897">
        <f t="shared" si="5"/>
        <v>170</v>
      </c>
      <c r="Q8" s="899">
        <v>30.334</v>
      </c>
      <c r="R8" s="897">
        <f t="shared" si="6"/>
        <v>30</v>
      </c>
      <c r="S8" s="899">
        <v>0</v>
      </c>
      <c r="T8" s="739">
        <f t="shared" si="7"/>
        <v>0</v>
      </c>
      <c r="U8" s="899">
        <v>23.425999999999998</v>
      </c>
      <c r="V8" s="897">
        <f t="shared" si="8"/>
        <v>23</v>
      </c>
      <c r="W8" s="899">
        <v>1.59</v>
      </c>
      <c r="X8" s="897">
        <f t="shared" si="9"/>
        <v>2</v>
      </c>
      <c r="Y8" s="899">
        <v>4.8529999999999998</v>
      </c>
      <c r="Z8" s="897">
        <f t="shared" si="10"/>
        <v>5</v>
      </c>
      <c r="AA8" s="739">
        <v>0</v>
      </c>
      <c r="AB8" s="739">
        <v>0</v>
      </c>
      <c r="AC8" s="739">
        <v>236.96899999999999</v>
      </c>
      <c r="AD8" s="739">
        <v>18.228000000000002</v>
      </c>
      <c r="AE8" s="739">
        <v>0</v>
      </c>
      <c r="AF8" s="739">
        <v>0</v>
      </c>
      <c r="AG8" s="739">
        <v>1.8440000000000001</v>
      </c>
      <c r="AH8" s="739">
        <v>3.9E-2</v>
      </c>
    </row>
    <row r="9" spans="1:45" s="374" customFormat="1" ht="18.45">
      <c r="A9" s="389" t="s">
        <v>484</v>
      </c>
      <c r="B9" s="389" t="s">
        <v>137</v>
      </c>
      <c r="C9" s="899">
        <v>256.94900000000001</v>
      </c>
      <c r="D9" s="897">
        <f t="shared" si="0"/>
        <v>260</v>
      </c>
      <c r="E9" s="899">
        <v>120.328</v>
      </c>
      <c r="F9" s="897">
        <f t="shared" si="1"/>
        <v>120</v>
      </c>
      <c r="G9" s="899">
        <v>13.37</v>
      </c>
      <c r="H9" s="739">
        <f t="shared" si="2"/>
        <v>13</v>
      </c>
      <c r="I9" s="899">
        <v>8.5079999999999991</v>
      </c>
      <c r="J9" s="739">
        <f t="shared" si="3"/>
        <v>9</v>
      </c>
      <c r="K9" s="899">
        <v>0</v>
      </c>
      <c r="L9" s="739">
        <v>0</v>
      </c>
      <c r="M9" s="899">
        <v>79.003</v>
      </c>
      <c r="N9" s="897">
        <f t="shared" si="4"/>
        <v>80</v>
      </c>
      <c r="O9" s="899">
        <v>171.96899999999999</v>
      </c>
      <c r="P9" s="897">
        <f t="shared" si="5"/>
        <v>170</v>
      </c>
      <c r="Q9" s="899">
        <v>30.908000000000001</v>
      </c>
      <c r="R9" s="897">
        <f t="shared" si="6"/>
        <v>31</v>
      </c>
      <c r="S9" s="899">
        <v>0</v>
      </c>
      <c r="T9" s="739">
        <f t="shared" si="7"/>
        <v>0</v>
      </c>
      <c r="U9" s="899">
        <v>23.385000000000002</v>
      </c>
      <c r="V9" s="897">
        <f t="shared" si="8"/>
        <v>23</v>
      </c>
      <c r="W9" s="899">
        <v>1.5069999999999999</v>
      </c>
      <c r="X9" s="897">
        <f t="shared" si="9"/>
        <v>2</v>
      </c>
      <c r="Y9" s="899">
        <v>4.8620000000000001</v>
      </c>
      <c r="Z9" s="897">
        <f t="shared" si="10"/>
        <v>5</v>
      </c>
      <c r="AA9" s="739">
        <v>0</v>
      </c>
      <c r="AB9" s="739">
        <v>0</v>
      </c>
      <c r="AC9" s="739">
        <v>237.191</v>
      </c>
      <c r="AD9" s="739">
        <v>18.245000000000001</v>
      </c>
      <c r="AE9" s="739">
        <v>0</v>
      </c>
      <c r="AF9" s="739">
        <v>0</v>
      </c>
      <c r="AG9" s="739">
        <v>2.411</v>
      </c>
      <c r="AH9" s="739">
        <v>5.0999999999999997E-2</v>
      </c>
    </row>
    <row r="10" spans="1:45" s="374" customFormat="1" ht="18.45">
      <c r="A10" s="389" t="s">
        <v>484</v>
      </c>
      <c r="B10" s="389" t="s">
        <v>397</v>
      </c>
      <c r="C10" s="899">
        <v>264.964</v>
      </c>
      <c r="D10" s="897">
        <f t="shared" si="0"/>
        <v>260</v>
      </c>
      <c r="E10" s="899">
        <v>109.533</v>
      </c>
      <c r="F10" s="897">
        <f t="shared" si="1"/>
        <v>110</v>
      </c>
      <c r="G10" s="899">
        <v>12.17</v>
      </c>
      <c r="H10" s="739">
        <f t="shared" si="2"/>
        <v>12</v>
      </c>
      <c r="I10" s="899">
        <v>7.3019999999999996</v>
      </c>
      <c r="J10" s="739">
        <f t="shared" si="3"/>
        <v>7</v>
      </c>
      <c r="K10" s="899">
        <v>0</v>
      </c>
      <c r="L10" s="739">
        <v>0</v>
      </c>
      <c r="M10" s="899">
        <v>66.936999999999998</v>
      </c>
      <c r="N10" s="897">
        <f t="shared" si="4"/>
        <v>65</v>
      </c>
      <c r="O10" s="899">
        <v>141.71899999999999</v>
      </c>
      <c r="P10" s="897">
        <f t="shared" si="5"/>
        <v>140</v>
      </c>
      <c r="Q10" s="899">
        <v>35.265000000000001</v>
      </c>
      <c r="R10" s="897">
        <f t="shared" si="6"/>
        <v>35</v>
      </c>
      <c r="S10" s="899">
        <v>0</v>
      </c>
      <c r="T10" s="739">
        <f t="shared" si="7"/>
        <v>0</v>
      </c>
      <c r="U10" s="899">
        <v>27.141999999999999</v>
      </c>
      <c r="V10" s="897">
        <f t="shared" si="8"/>
        <v>27</v>
      </c>
      <c r="W10" s="899">
        <v>1.5840000000000001</v>
      </c>
      <c r="X10" s="897">
        <f t="shared" si="9"/>
        <v>2</v>
      </c>
      <c r="Y10" s="899">
        <v>4.8680000000000003</v>
      </c>
      <c r="Z10" s="897">
        <f t="shared" si="10"/>
        <v>5</v>
      </c>
      <c r="AA10" s="739">
        <v>0</v>
      </c>
      <c r="AB10" s="739">
        <v>0</v>
      </c>
      <c r="AC10" s="739">
        <v>158.566</v>
      </c>
      <c r="AD10" s="739">
        <v>12.196999999999999</v>
      </c>
      <c r="AE10" s="739">
        <v>1.3140000000000001</v>
      </c>
      <c r="AF10" s="739">
        <v>7.3019999999999996</v>
      </c>
      <c r="AG10" s="739">
        <v>1.76</v>
      </c>
      <c r="AH10" s="739">
        <v>3.6999999999999998E-2</v>
      </c>
    </row>
    <row r="11" spans="1:45" s="374" customFormat="1" ht="18.45">
      <c r="A11" s="389" t="s">
        <v>484</v>
      </c>
      <c r="B11" s="389" t="s">
        <v>399</v>
      </c>
      <c r="C11" s="899">
        <v>264.54599999999999</v>
      </c>
      <c r="D11" s="897">
        <f t="shared" si="0"/>
        <v>260</v>
      </c>
      <c r="E11" s="899">
        <v>109.785</v>
      </c>
      <c r="F11" s="897">
        <f t="shared" si="1"/>
        <v>110</v>
      </c>
      <c r="G11" s="899">
        <v>12.198</v>
      </c>
      <c r="H11" s="739">
        <f t="shared" si="2"/>
        <v>12</v>
      </c>
      <c r="I11" s="899">
        <v>7.319</v>
      </c>
      <c r="J11" s="739">
        <f t="shared" si="3"/>
        <v>7</v>
      </c>
      <c r="K11" s="899">
        <v>0</v>
      </c>
      <c r="L11" s="739">
        <v>0</v>
      </c>
      <c r="M11" s="899">
        <v>67.090999999999994</v>
      </c>
      <c r="N11" s="897">
        <f t="shared" si="4"/>
        <v>65</v>
      </c>
      <c r="O11" s="899">
        <v>141.95699999999999</v>
      </c>
      <c r="P11" s="897">
        <f t="shared" si="5"/>
        <v>140</v>
      </c>
      <c r="Q11" s="899">
        <v>35.003</v>
      </c>
      <c r="R11" s="897">
        <f t="shared" si="6"/>
        <v>35</v>
      </c>
      <c r="S11" s="899">
        <v>0</v>
      </c>
      <c r="T11" s="739">
        <f t="shared" si="7"/>
        <v>0</v>
      </c>
      <c r="U11" s="899">
        <v>26.957000000000001</v>
      </c>
      <c r="V11" s="897">
        <f t="shared" si="8"/>
        <v>27</v>
      </c>
      <c r="W11" s="899">
        <v>1.341</v>
      </c>
      <c r="X11" s="897">
        <f t="shared" si="9"/>
        <v>1</v>
      </c>
      <c r="Y11" s="899">
        <v>4.8789999999999996</v>
      </c>
      <c r="Z11" s="897">
        <f t="shared" si="10"/>
        <v>5</v>
      </c>
      <c r="AA11" s="739">
        <v>0</v>
      </c>
      <c r="AB11" s="739">
        <v>0</v>
      </c>
      <c r="AC11" s="739">
        <v>158.97</v>
      </c>
      <c r="AD11" s="739">
        <v>12.228</v>
      </c>
      <c r="AE11" s="739">
        <v>1.3169999999999999</v>
      </c>
      <c r="AF11" s="739">
        <v>7.319</v>
      </c>
      <c r="AG11" s="739">
        <v>1.62</v>
      </c>
      <c r="AH11" s="739">
        <v>3.4000000000000002E-2</v>
      </c>
    </row>
    <row r="12" spans="1:45" s="374" customFormat="1" ht="18.45">
      <c r="A12" s="389" t="s">
        <v>484</v>
      </c>
      <c r="B12" s="389" t="s">
        <v>36</v>
      </c>
      <c r="C12" s="899">
        <v>257.834</v>
      </c>
      <c r="D12" s="897">
        <f t="shared" si="0"/>
        <v>260</v>
      </c>
      <c r="E12" s="899">
        <v>120.96299999999999</v>
      </c>
      <c r="F12" s="897">
        <f t="shared" si="1"/>
        <v>120</v>
      </c>
      <c r="G12" s="899">
        <v>13.44</v>
      </c>
      <c r="H12" s="739">
        <f t="shared" si="2"/>
        <v>13</v>
      </c>
      <c r="I12" s="899">
        <v>8.5530000000000008</v>
      </c>
      <c r="J12" s="739">
        <f t="shared" si="3"/>
        <v>9</v>
      </c>
      <c r="K12" s="899">
        <v>0</v>
      </c>
      <c r="L12" s="739">
        <v>0</v>
      </c>
      <c r="M12" s="899">
        <v>79.42</v>
      </c>
      <c r="N12" s="897">
        <f t="shared" si="4"/>
        <v>80</v>
      </c>
      <c r="O12" s="899">
        <v>171.059</v>
      </c>
      <c r="P12" s="897">
        <f t="shared" si="5"/>
        <v>170</v>
      </c>
      <c r="Q12" s="899">
        <v>31.334</v>
      </c>
      <c r="R12" s="897">
        <f t="shared" si="6"/>
        <v>31</v>
      </c>
      <c r="S12" s="899">
        <v>0</v>
      </c>
      <c r="T12" s="739">
        <f t="shared" si="7"/>
        <v>0</v>
      </c>
      <c r="U12" s="899">
        <v>24.901</v>
      </c>
      <c r="V12" s="897">
        <f t="shared" si="8"/>
        <v>25</v>
      </c>
      <c r="W12" s="899">
        <v>2.9079999999999999</v>
      </c>
      <c r="X12" s="897">
        <f t="shared" si="9"/>
        <v>3</v>
      </c>
      <c r="Y12" s="899">
        <v>4.8869999999999996</v>
      </c>
      <c r="Z12" s="897">
        <f t="shared" si="10"/>
        <v>5</v>
      </c>
      <c r="AA12" s="739">
        <v>0</v>
      </c>
      <c r="AB12" s="739">
        <v>0</v>
      </c>
      <c r="AC12" s="739">
        <v>238.53</v>
      </c>
      <c r="AD12" s="739">
        <v>18.347999999999999</v>
      </c>
      <c r="AE12" s="739">
        <v>0</v>
      </c>
      <c r="AF12" s="739">
        <v>0</v>
      </c>
      <c r="AG12" s="739">
        <v>2.262</v>
      </c>
      <c r="AH12" s="739">
        <v>4.8000000000000001E-2</v>
      </c>
    </row>
    <row r="13" spans="1:45" s="520" customFormat="1" ht="18.45">
      <c r="A13" s="389" t="s">
        <v>484</v>
      </c>
      <c r="B13" s="389" t="s">
        <v>418</v>
      </c>
      <c r="C13" s="899">
        <v>253.62200000000001</v>
      </c>
      <c r="D13" s="897">
        <f t="shared" si="0"/>
        <v>250</v>
      </c>
      <c r="E13" s="899">
        <v>121.283</v>
      </c>
      <c r="F13" s="897">
        <f t="shared" si="1"/>
        <v>120</v>
      </c>
      <c r="G13" s="899">
        <v>13.476000000000001</v>
      </c>
      <c r="H13" s="739">
        <f t="shared" si="2"/>
        <v>13</v>
      </c>
      <c r="I13" s="899">
        <v>8.5760000000000005</v>
      </c>
      <c r="J13" s="739">
        <f t="shared" si="3"/>
        <v>9</v>
      </c>
      <c r="K13" s="899">
        <v>0</v>
      </c>
      <c r="L13" s="739">
        <v>0</v>
      </c>
      <c r="M13" s="899">
        <v>79.63</v>
      </c>
      <c r="N13" s="897">
        <f t="shared" si="4"/>
        <v>80</v>
      </c>
      <c r="O13" s="899">
        <v>177.08</v>
      </c>
      <c r="P13" s="897">
        <f t="shared" si="5"/>
        <v>180</v>
      </c>
      <c r="Q13" s="899">
        <v>28.835000000000001</v>
      </c>
      <c r="R13" s="897">
        <f t="shared" si="6"/>
        <v>29</v>
      </c>
      <c r="S13" s="899">
        <v>0</v>
      </c>
      <c r="T13" s="739">
        <f t="shared" si="7"/>
        <v>0</v>
      </c>
      <c r="U13" s="899">
        <v>23.367999999999999</v>
      </c>
      <c r="V13" s="897">
        <f t="shared" si="8"/>
        <v>23</v>
      </c>
      <c r="W13" s="899">
        <v>1.3160000000000001</v>
      </c>
      <c r="X13" s="897">
        <f t="shared" si="9"/>
        <v>1</v>
      </c>
      <c r="Y13" s="899">
        <v>4.9000000000000004</v>
      </c>
      <c r="Z13" s="897">
        <f t="shared" si="10"/>
        <v>5</v>
      </c>
      <c r="AA13" s="739">
        <v>0</v>
      </c>
      <c r="AB13" s="739">
        <v>0</v>
      </c>
      <c r="AC13" s="739">
        <v>239.19499999999999</v>
      </c>
      <c r="AD13" s="739">
        <v>18.399999999999999</v>
      </c>
      <c r="AE13" s="739">
        <v>0</v>
      </c>
      <c r="AF13" s="739">
        <v>0</v>
      </c>
      <c r="AG13" s="739">
        <v>1.569</v>
      </c>
      <c r="AH13" s="739">
        <v>3.3000000000000002E-2</v>
      </c>
      <c r="AI13" s="374"/>
      <c r="AJ13" s="374"/>
      <c r="AK13" s="374"/>
      <c r="AL13" s="374"/>
      <c r="AM13" s="374"/>
      <c r="AN13" s="374"/>
      <c r="AO13" s="374"/>
      <c r="AP13" s="374"/>
      <c r="AQ13" s="374"/>
      <c r="AR13" s="374"/>
      <c r="AS13" s="374"/>
    </row>
    <row r="14" spans="1:45" s="374" customFormat="1" ht="18.45">
      <c r="A14" s="389" t="s">
        <v>484</v>
      </c>
      <c r="B14" s="389" t="s">
        <v>454</v>
      </c>
      <c r="C14" s="899">
        <v>265.91199999999998</v>
      </c>
      <c r="D14" s="897">
        <f t="shared" si="0"/>
        <v>270</v>
      </c>
      <c r="E14" s="899">
        <v>110.345</v>
      </c>
      <c r="F14" s="897">
        <f t="shared" si="1"/>
        <v>110</v>
      </c>
      <c r="G14" s="899">
        <v>12.260999999999999</v>
      </c>
      <c r="H14" s="739">
        <f t="shared" si="2"/>
        <v>12</v>
      </c>
      <c r="I14" s="899">
        <v>7.3559999999999999</v>
      </c>
      <c r="J14" s="739">
        <f t="shared" si="3"/>
        <v>7</v>
      </c>
      <c r="K14" s="899">
        <v>0</v>
      </c>
      <c r="L14" s="739">
        <v>0</v>
      </c>
      <c r="M14" s="899">
        <v>67.433000000000007</v>
      </c>
      <c r="N14" s="897">
        <f t="shared" si="4"/>
        <v>65</v>
      </c>
      <c r="O14" s="899">
        <v>144.47200000000001</v>
      </c>
      <c r="P14" s="897">
        <f t="shared" si="5"/>
        <v>140</v>
      </c>
      <c r="Q14" s="899">
        <v>34.99</v>
      </c>
      <c r="R14" s="897">
        <f t="shared" si="6"/>
        <v>35</v>
      </c>
      <c r="S14" s="899">
        <v>0</v>
      </c>
      <c r="T14" s="739">
        <f t="shared" si="7"/>
        <v>0</v>
      </c>
      <c r="U14" s="899">
        <v>27.088000000000001</v>
      </c>
      <c r="V14" s="897">
        <f t="shared" si="8"/>
        <v>27</v>
      </c>
      <c r="W14" s="899">
        <v>1.341</v>
      </c>
      <c r="X14" s="897">
        <f t="shared" si="9"/>
        <v>1</v>
      </c>
      <c r="Y14" s="899">
        <v>4.9039999999999999</v>
      </c>
      <c r="Z14" s="897">
        <f t="shared" si="10"/>
        <v>5</v>
      </c>
      <c r="AA14" s="739">
        <v>0</v>
      </c>
      <c r="AB14" s="739">
        <v>0</v>
      </c>
      <c r="AC14" s="739">
        <v>159.685</v>
      </c>
      <c r="AD14" s="739">
        <v>12.282999999999999</v>
      </c>
      <c r="AE14" s="739">
        <v>1.3240000000000001</v>
      </c>
      <c r="AF14" s="739">
        <v>7.3559999999999999</v>
      </c>
      <c r="AG14" s="739">
        <v>1.4890000000000001</v>
      </c>
      <c r="AH14" s="739">
        <v>3.2000000000000001E-2</v>
      </c>
    </row>
    <row r="15" spans="1:45" s="374" customFormat="1" ht="18.45">
      <c r="A15" s="389" t="s">
        <v>484</v>
      </c>
      <c r="B15" s="389" t="s">
        <v>98</v>
      </c>
      <c r="C15" s="899">
        <v>253.37700000000001</v>
      </c>
      <c r="D15" s="897">
        <f t="shared" si="0"/>
        <v>250</v>
      </c>
      <c r="E15" s="899">
        <v>121.928</v>
      </c>
      <c r="F15" s="897">
        <f t="shared" si="1"/>
        <v>120</v>
      </c>
      <c r="G15" s="899">
        <v>13.548</v>
      </c>
      <c r="H15" s="739">
        <f t="shared" si="2"/>
        <v>14</v>
      </c>
      <c r="I15" s="899">
        <v>8.6210000000000004</v>
      </c>
      <c r="J15" s="739">
        <f t="shared" si="3"/>
        <v>9</v>
      </c>
      <c r="K15" s="899">
        <v>0</v>
      </c>
      <c r="L15" s="739">
        <v>0</v>
      </c>
      <c r="M15" s="899">
        <v>80.054000000000002</v>
      </c>
      <c r="N15" s="897">
        <f t="shared" si="4"/>
        <v>80</v>
      </c>
      <c r="O15" s="899">
        <v>182.56800000000001</v>
      </c>
      <c r="P15" s="897">
        <f t="shared" si="5"/>
        <v>180</v>
      </c>
      <c r="Q15" s="899">
        <v>30.047000000000001</v>
      </c>
      <c r="R15" s="897">
        <f t="shared" si="6"/>
        <v>30</v>
      </c>
      <c r="S15" s="899">
        <v>0</v>
      </c>
      <c r="T15" s="739">
        <f t="shared" si="7"/>
        <v>0</v>
      </c>
      <c r="U15" s="899">
        <v>23.536000000000001</v>
      </c>
      <c r="V15" s="897">
        <f t="shared" si="8"/>
        <v>24</v>
      </c>
      <c r="W15" s="899">
        <v>1.367</v>
      </c>
      <c r="X15" s="897">
        <f t="shared" si="9"/>
        <v>1</v>
      </c>
      <c r="Y15" s="899">
        <v>4.9260000000000002</v>
      </c>
      <c r="Z15" s="897">
        <f t="shared" si="10"/>
        <v>5</v>
      </c>
      <c r="AA15" s="739">
        <v>0</v>
      </c>
      <c r="AB15" s="739">
        <v>0</v>
      </c>
      <c r="AC15" s="739">
        <v>252.732</v>
      </c>
      <c r="AD15" s="739">
        <v>19.440999999999999</v>
      </c>
      <c r="AE15" s="739">
        <v>0</v>
      </c>
      <c r="AF15" s="739">
        <v>0</v>
      </c>
      <c r="AG15" s="739">
        <v>1.2350000000000001</v>
      </c>
      <c r="AH15" s="739">
        <v>2.5999999999999999E-2</v>
      </c>
    </row>
    <row r="16" spans="1:45" s="374" customFormat="1" ht="18.45">
      <c r="A16" s="389" t="s">
        <v>484</v>
      </c>
      <c r="B16" s="389" t="s">
        <v>360</v>
      </c>
      <c r="C16" s="899">
        <v>254.01300000000001</v>
      </c>
      <c r="D16" s="897">
        <f t="shared" si="0"/>
        <v>250</v>
      </c>
      <c r="E16" s="899">
        <v>122.572</v>
      </c>
      <c r="F16" s="897">
        <f t="shared" si="1"/>
        <v>120</v>
      </c>
      <c r="G16" s="899">
        <v>13.619</v>
      </c>
      <c r="H16" s="739">
        <f t="shared" si="2"/>
        <v>14</v>
      </c>
      <c r="I16" s="899">
        <v>8.6669999999999998</v>
      </c>
      <c r="J16" s="739">
        <f t="shared" si="3"/>
        <v>9</v>
      </c>
      <c r="K16" s="899">
        <v>0</v>
      </c>
      <c r="L16" s="739">
        <v>0</v>
      </c>
      <c r="M16" s="899">
        <v>80.477000000000004</v>
      </c>
      <c r="N16" s="897">
        <f t="shared" si="4"/>
        <v>80</v>
      </c>
      <c r="O16" s="899">
        <v>211.31299999999999</v>
      </c>
      <c r="P16" s="897">
        <f t="shared" si="5"/>
        <v>210</v>
      </c>
      <c r="Q16" s="899">
        <v>28.475999999999999</v>
      </c>
      <c r="R16" s="897">
        <f t="shared" si="6"/>
        <v>28</v>
      </c>
      <c r="S16" s="899">
        <v>0</v>
      </c>
      <c r="T16" s="739">
        <f t="shared" si="7"/>
        <v>0</v>
      </c>
      <c r="U16" s="899">
        <v>23.677</v>
      </c>
      <c r="V16" s="897">
        <f t="shared" si="8"/>
        <v>24</v>
      </c>
      <c r="W16" s="899">
        <v>1.391</v>
      </c>
      <c r="X16" s="897">
        <f t="shared" si="9"/>
        <v>1</v>
      </c>
      <c r="Y16" s="899">
        <v>4.952</v>
      </c>
      <c r="Z16" s="897">
        <f t="shared" si="10"/>
        <v>5</v>
      </c>
      <c r="AA16" s="739">
        <v>0</v>
      </c>
      <c r="AB16" s="739">
        <v>0</v>
      </c>
      <c r="AC16" s="739">
        <v>241.69300000000001</v>
      </c>
      <c r="AD16" s="739">
        <v>18.591999999999999</v>
      </c>
      <c r="AE16" s="739">
        <v>0</v>
      </c>
      <c r="AF16" s="739">
        <v>0</v>
      </c>
      <c r="AG16" s="739">
        <v>1.1659999999999999</v>
      </c>
      <c r="AH16" s="739">
        <v>2.5000000000000001E-2</v>
      </c>
    </row>
    <row r="17" spans="1:37" s="374" customFormat="1" ht="18.45">
      <c r="A17" s="389" t="s">
        <v>484</v>
      </c>
      <c r="B17" s="389" t="s">
        <v>361</v>
      </c>
      <c r="C17" s="899">
        <v>266.39400000000001</v>
      </c>
      <c r="D17" s="897">
        <f t="shared" si="0"/>
        <v>270</v>
      </c>
      <c r="E17" s="899">
        <v>111.429</v>
      </c>
      <c r="F17" s="897">
        <f t="shared" si="1"/>
        <v>110</v>
      </c>
      <c r="G17" s="899">
        <v>12.381</v>
      </c>
      <c r="H17" s="739">
        <f t="shared" si="2"/>
        <v>12</v>
      </c>
      <c r="I17" s="899">
        <v>7.4290000000000003</v>
      </c>
      <c r="J17" s="739">
        <f t="shared" si="3"/>
        <v>7</v>
      </c>
      <c r="K17" s="899">
        <v>0</v>
      </c>
      <c r="L17" s="739">
        <v>0</v>
      </c>
      <c r="M17" s="899">
        <v>68.096000000000004</v>
      </c>
      <c r="N17" s="897">
        <f t="shared" si="4"/>
        <v>70</v>
      </c>
      <c r="O17" s="899">
        <v>180.36099999999999</v>
      </c>
      <c r="P17" s="897">
        <f t="shared" si="5"/>
        <v>180</v>
      </c>
      <c r="Q17" s="899">
        <v>33.429000000000002</v>
      </c>
      <c r="R17" s="897">
        <f t="shared" si="6"/>
        <v>33</v>
      </c>
      <c r="S17" s="899">
        <v>0</v>
      </c>
      <c r="T17" s="739">
        <f t="shared" si="7"/>
        <v>0</v>
      </c>
      <c r="U17" s="899">
        <v>27.390999999999998</v>
      </c>
      <c r="V17" s="897">
        <f t="shared" si="8"/>
        <v>27</v>
      </c>
      <c r="W17" s="899">
        <v>1.391</v>
      </c>
      <c r="X17" s="897">
        <f t="shared" si="9"/>
        <v>1</v>
      </c>
      <c r="Y17" s="899">
        <v>4.952</v>
      </c>
      <c r="Z17" s="897">
        <f t="shared" si="10"/>
        <v>5</v>
      </c>
      <c r="AA17" s="739">
        <v>0</v>
      </c>
      <c r="AB17" s="739">
        <v>0</v>
      </c>
      <c r="AC17" s="739">
        <v>161.21600000000001</v>
      </c>
      <c r="AD17" s="739">
        <v>12.401</v>
      </c>
      <c r="AE17" s="739">
        <v>1.337</v>
      </c>
      <c r="AF17" s="739">
        <v>7.4290000000000003</v>
      </c>
      <c r="AG17" s="739">
        <v>1.1659999999999999</v>
      </c>
      <c r="AH17" s="739">
        <v>2.5000000000000001E-2</v>
      </c>
    </row>
    <row r="18" spans="1:37" s="374" customFormat="1" ht="18.45">
      <c r="A18" s="389" t="s">
        <v>484</v>
      </c>
      <c r="B18" s="389" t="s">
        <v>136</v>
      </c>
      <c r="C18" s="899">
        <v>254.05500000000001</v>
      </c>
      <c r="D18" s="897">
        <f t="shared" si="0"/>
        <v>250</v>
      </c>
      <c r="E18" s="899">
        <v>122.712</v>
      </c>
      <c r="F18" s="897">
        <f t="shared" si="1"/>
        <v>120</v>
      </c>
      <c r="G18" s="899">
        <v>13.635</v>
      </c>
      <c r="H18" s="739">
        <f t="shared" si="2"/>
        <v>14</v>
      </c>
      <c r="I18" s="899">
        <v>8.6769999999999996</v>
      </c>
      <c r="J18" s="739">
        <f t="shared" si="3"/>
        <v>9</v>
      </c>
      <c r="K18" s="899">
        <v>0</v>
      </c>
      <c r="L18" s="739">
        <v>0</v>
      </c>
      <c r="M18" s="899">
        <v>80.567999999999998</v>
      </c>
      <c r="N18" s="897">
        <f t="shared" si="4"/>
        <v>80</v>
      </c>
      <c r="O18" s="899">
        <v>179.685</v>
      </c>
      <c r="P18" s="897">
        <f t="shared" si="5"/>
        <v>180</v>
      </c>
      <c r="Q18" s="899">
        <v>29.92</v>
      </c>
      <c r="R18" s="897">
        <f t="shared" si="6"/>
        <v>30</v>
      </c>
      <c r="S18" s="899">
        <v>0</v>
      </c>
      <c r="T18" s="739">
        <f t="shared" si="7"/>
        <v>0</v>
      </c>
      <c r="U18" s="899">
        <v>23.251999999999999</v>
      </c>
      <c r="V18" s="897">
        <f t="shared" si="8"/>
        <v>23</v>
      </c>
      <c r="W18" s="899">
        <v>0.94099999999999995</v>
      </c>
      <c r="X18" s="897" t="str">
        <f t="shared" si="9"/>
        <v>less than 1 g</v>
      </c>
      <c r="Y18" s="899">
        <v>4.9580000000000002</v>
      </c>
      <c r="Z18" s="897">
        <f t="shared" si="10"/>
        <v>5</v>
      </c>
      <c r="AA18" s="739">
        <v>0</v>
      </c>
      <c r="AB18" s="739">
        <v>0</v>
      </c>
      <c r="AC18" s="739">
        <v>242.03</v>
      </c>
      <c r="AD18" s="739">
        <v>18.617999999999999</v>
      </c>
      <c r="AE18" s="739">
        <v>3.5999999999999997E-2</v>
      </c>
      <c r="AF18" s="739">
        <v>0.20100000000000001</v>
      </c>
      <c r="AG18" s="739">
        <v>3.8370000000000002</v>
      </c>
      <c r="AH18" s="739">
        <v>8.2000000000000003E-2</v>
      </c>
    </row>
    <row r="19" spans="1:37" s="374" customFormat="1" ht="18.45">
      <c r="A19" s="389" t="s">
        <v>484</v>
      </c>
      <c r="B19" s="389" t="s">
        <v>66</v>
      </c>
      <c r="C19" s="899">
        <v>253.70599999999999</v>
      </c>
      <c r="D19" s="897">
        <f t="shared" si="0"/>
        <v>250</v>
      </c>
      <c r="E19" s="899">
        <v>122.744</v>
      </c>
      <c r="F19" s="897">
        <f t="shared" si="1"/>
        <v>120</v>
      </c>
      <c r="G19" s="899">
        <v>13.638</v>
      </c>
      <c r="H19" s="739">
        <f t="shared" si="2"/>
        <v>14</v>
      </c>
      <c r="I19" s="899">
        <v>8.6790000000000003</v>
      </c>
      <c r="J19" s="739">
        <f t="shared" si="3"/>
        <v>9</v>
      </c>
      <c r="K19" s="899">
        <v>0</v>
      </c>
      <c r="L19" s="739">
        <v>0</v>
      </c>
      <c r="M19" s="899">
        <v>80.59</v>
      </c>
      <c r="N19" s="897">
        <f t="shared" si="4"/>
        <v>80</v>
      </c>
      <c r="O19" s="899">
        <v>174.654</v>
      </c>
      <c r="P19" s="897">
        <f t="shared" si="5"/>
        <v>170</v>
      </c>
      <c r="Q19" s="899">
        <v>29.986999999999998</v>
      </c>
      <c r="R19" s="897">
        <f t="shared" si="6"/>
        <v>30</v>
      </c>
      <c r="S19" s="899">
        <v>0</v>
      </c>
      <c r="T19" s="739">
        <f t="shared" si="7"/>
        <v>0</v>
      </c>
      <c r="U19" s="899">
        <v>23.285</v>
      </c>
      <c r="V19" s="897">
        <f t="shared" si="8"/>
        <v>23</v>
      </c>
      <c r="W19" s="899">
        <v>0.96799999999999997</v>
      </c>
      <c r="X19" s="897" t="str">
        <f t="shared" si="9"/>
        <v>less than 1 g</v>
      </c>
      <c r="Y19" s="899">
        <v>4.9589999999999996</v>
      </c>
      <c r="Z19" s="897">
        <f t="shared" si="10"/>
        <v>5</v>
      </c>
      <c r="AA19" s="739">
        <v>0</v>
      </c>
      <c r="AB19" s="739">
        <v>0</v>
      </c>
      <c r="AC19" s="739">
        <v>241.98400000000001</v>
      </c>
      <c r="AD19" s="739">
        <v>18.614000000000001</v>
      </c>
      <c r="AE19" s="739">
        <v>0</v>
      </c>
      <c r="AF19" s="739">
        <v>0</v>
      </c>
      <c r="AG19" s="739">
        <v>1.0760000000000001</v>
      </c>
      <c r="AH19" s="739">
        <v>2.3E-2</v>
      </c>
    </row>
    <row r="20" spans="1:37" s="374" customFormat="1" ht="18.45">
      <c r="A20" s="389" t="s">
        <v>484</v>
      </c>
      <c r="B20" s="902" t="s">
        <v>26</v>
      </c>
      <c r="C20" s="899">
        <v>253.43100000000001</v>
      </c>
      <c r="D20" s="897">
        <f t="shared" si="0"/>
        <v>250</v>
      </c>
      <c r="E20" s="899">
        <v>122.90900000000001</v>
      </c>
      <c r="F20" s="897">
        <f t="shared" si="1"/>
        <v>120</v>
      </c>
      <c r="G20" s="899">
        <v>13.657</v>
      </c>
      <c r="H20" s="739">
        <f t="shared" si="2"/>
        <v>14</v>
      </c>
      <c r="I20" s="899">
        <v>8.6910000000000007</v>
      </c>
      <c r="J20" s="739">
        <f t="shared" si="3"/>
        <v>9</v>
      </c>
      <c r="K20" s="899">
        <v>0</v>
      </c>
      <c r="L20" s="739">
        <v>0</v>
      </c>
      <c r="M20" s="899">
        <v>80.697999999999993</v>
      </c>
      <c r="N20" s="897">
        <f t="shared" si="4"/>
        <v>80</v>
      </c>
      <c r="O20" s="899">
        <v>174.83699999999999</v>
      </c>
      <c r="P20" s="897">
        <f t="shared" si="5"/>
        <v>170</v>
      </c>
      <c r="Q20" s="899">
        <v>29.82</v>
      </c>
      <c r="R20" s="897">
        <f t="shared" si="6"/>
        <v>30</v>
      </c>
      <c r="S20" s="899">
        <v>0</v>
      </c>
      <c r="T20" s="739">
        <f t="shared" si="7"/>
        <v>0</v>
      </c>
      <c r="U20" s="899">
        <v>23.167999999999999</v>
      </c>
      <c r="V20" s="897">
        <f t="shared" si="8"/>
        <v>23</v>
      </c>
      <c r="W20" s="899">
        <v>0.82099999999999995</v>
      </c>
      <c r="X20" s="897" t="str">
        <f t="shared" si="9"/>
        <v>less than 1 g</v>
      </c>
      <c r="Y20" s="899">
        <v>4.9660000000000002</v>
      </c>
      <c r="Z20" s="897">
        <f t="shared" si="10"/>
        <v>5</v>
      </c>
      <c r="AA20" s="739">
        <v>0</v>
      </c>
      <c r="AB20" s="739">
        <v>0</v>
      </c>
      <c r="AC20" s="739">
        <v>242.333</v>
      </c>
      <c r="AD20" s="739">
        <v>18.640999999999998</v>
      </c>
      <c r="AE20" s="739">
        <v>0</v>
      </c>
      <c r="AF20" s="739">
        <v>0</v>
      </c>
      <c r="AG20" s="739">
        <v>0.99199999999999999</v>
      </c>
      <c r="AH20" s="739">
        <v>2.1000000000000001E-2</v>
      </c>
      <c r="AI20" s="857"/>
      <c r="AK20" s="374" t="s">
        <v>179</v>
      </c>
    </row>
    <row r="21" spans="1:37" s="374" customFormat="1" ht="18.45">
      <c r="A21" s="389" t="s">
        <v>484</v>
      </c>
      <c r="B21" s="389" t="s">
        <v>356</v>
      </c>
      <c r="C21" s="899">
        <v>253.97399999999999</v>
      </c>
      <c r="D21" s="897">
        <f t="shared" si="0"/>
        <v>250</v>
      </c>
      <c r="E21" s="899">
        <v>123.405</v>
      </c>
      <c r="F21" s="897">
        <f t="shared" si="1"/>
        <v>120</v>
      </c>
      <c r="G21" s="899">
        <v>13.712</v>
      </c>
      <c r="H21" s="739">
        <f t="shared" si="2"/>
        <v>14</v>
      </c>
      <c r="I21" s="899">
        <v>8.7260000000000009</v>
      </c>
      <c r="J21" s="739">
        <f t="shared" si="3"/>
        <v>9</v>
      </c>
      <c r="K21" s="899">
        <v>0</v>
      </c>
      <c r="L21" s="739">
        <v>0</v>
      </c>
      <c r="M21" s="899">
        <v>81.024000000000001</v>
      </c>
      <c r="N21" s="897">
        <f t="shared" si="4"/>
        <v>80</v>
      </c>
      <c r="O21" s="899">
        <v>175.82599999999999</v>
      </c>
      <c r="P21" s="897">
        <f t="shared" si="5"/>
        <v>180</v>
      </c>
      <c r="Q21" s="899">
        <v>29.75</v>
      </c>
      <c r="R21" s="897">
        <f t="shared" si="6"/>
        <v>30</v>
      </c>
      <c r="S21" s="899">
        <v>0</v>
      </c>
      <c r="T21" s="739">
        <f t="shared" si="7"/>
        <v>0</v>
      </c>
      <c r="U21" s="899">
        <v>23.167000000000002</v>
      </c>
      <c r="V21" s="897">
        <f t="shared" si="8"/>
        <v>23</v>
      </c>
      <c r="W21" s="899">
        <v>0.73</v>
      </c>
      <c r="X21" s="897" t="str">
        <f t="shared" si="9"/>
        <v>less than 1 g</v>
      </c>
      <c r="Y21" s="899">
        <v>4.9859999999999998</v>
      </c>
      <c r="Z21" s="897">
        <f t="shared" si="10"/>
        <v>5</v>
      </c>
      <c r="AA21" s="739">
        <v>0</v>
      </c>
      <c r="AB21" s="739">
        <v>0</v>
      </c>
      <c r="AC21" s="739">
        <v>243.27500000000001</v>
      </c>
      <c r="AD21" s="739">
        <v>18.713000000000001</v>
      </c>
      <c r="AE21" s="904">
        <v>0</v>
      </c>
      <c r="AF21" s="904">
        <v>0</v>
      </c>
      <c r="AG21" s="739">
        <v>0.876</v>
      </c>
      <c r="AH21" s="739">
        <v>1.9E-2</v>
      </c>
      <c r="AI21" s="904"/>
      <c r="AJ21" s="904"/>
    </row>
    <row r="22" spans="1:37" s="374" customFormat="1" ht="18.45">
      <c r="A22" s="389" t="s">
        <v>484</v>
      </c>
      <c r="B22" s="389" t="s">
        <v>416</v>
      </c>
      <c r="C22" s="899">
        <v>255.14099999999999</v>
      </c>
      <c r="D22" s="897">
        <f t="shared" si="0"/>
        <v>260</v>
      </c>
      <c r="E22" s="899">
        <v>123.53</v>
      </c>
      <c r="F22" s="897">
        <f t="shared" si="1"/>
        <v>120</v>
      </c>
      <c r="G22" s="899">
        <v>13.726000000000001</v>
      </c>
      <c r="H22" s="739">
        <f t="shared" si="2"/>
        <v>14</v>
      </c>
      <c r="I22" s="899">
        <v>8.734</v>
      </c>
      <c r="J22" s="739">
        <f t="shared" si="3"/>
        <v>9</v>
      </c>
      <c r="K22" s="899">
        <v>0</v>
      </c>
      <c r="L22" s="739">
        <v>0</v>
      </c>
      <c r="M22" s="899">
        <v>81.105000000000004</v>
      </c>
      <c r="N22" s="897">
        <f t="shared" si="4"/>
        <v>80</v>
      </c>
      <c r="O22" s="899">
        <v>174.68899999999999</v>
      </c>
      <c r="P22" s="897">
        <f t="shared" si="5"/>
        <v>170</v>
      </c>
      <c r="Q22" s="899">
        <v>29.872</v>
      </c>
      <c r="R22" s="897">
        <f t="shared" si="6"/>
        <v>30</v>
      </c>
      <c r="S22" s="899">
        <v>0</v>
      </c>
      <c r="T22" s="739">
        <f t="shared" si="7"/>
        <v>0</v>
      </c>
      <c r="U22" s="899">
        <v>23.382000000000001</v>
      </c>
      <c r="V22" s="897">
        <f t="shared" si="8"/>
        <v>23</v>
      </c>
      <c r="W22" s="899">
        <v>0.92200000000000004</v>
      </c>
      <c r="X22" s="897" t="str">
        <f t="shared" si="9"/>
        <v>less than 1 g</v>
      </c>
      <c r="Y22" s="899">
        <v>4.9909999999999997</v>
      </c>
      <c r="Z22" s="897">
        <f t="shared" si="10"/>
        <v>5</v>
      </c>
      <c r="AA22" s="739">
        <v>0</v>
      </c>
      <c r="AB22" s="739">
        <v>0</v>
      </c>
      <c r="AC22" s="739">
        <v>243.45599999999999</v>
      </c>
      <c r="AD22" s="739">
        <v>18.727</v>
      </c>
      <c r="AE22" s="739">
        <v>0</v>
      </c>
      <c r="AF22" s="739">
        <v>0</v>
      </c>
      <c r="AG22" s="739">
        <v>1.2010000000000001</v>
      </c>
      <c r="AH22" s="739">
        <v>2.5999999999999999E-2</v>
      </c>
    </row>
    <row r="23" spans="1:37" s="374" customFormat="1" ht="18.45">
      <c r="A23" s="389" t="s">
        <v>484</v>
      </c>
      <c r="B23" s="389" t="s">
        <v>431</v>
      </c>
      <c r="C23" s="899">
        <v>254.60900000000001</v>
      </c>
      <c r="D23" s="897">
        <f t="shared" si="0"/>
        <v>250</v>
      </c>
      <c r="E23" s="899">
        <v>123.663</v>
      </c>
      <c r="F23" s="897">
        <f t="shared" si="1"/>
        <v>120</v>
      </c>
      <c r="G23" s="899">
        <v>13.74</v>
      </c>
      <c r="H23" s="739">
        <f t="shared" si="2"/>
        <v>14</v>
      </c>
      <c r="I23" s="899">
        <v>8.7439999999999998</v>
      </c>
      <c r="J23" s="739">
        <f t="shared" si="3"/>
        <v>9</v>
      </c>
      <c r="K23" s="899">
        <v>0</v>
      </c>
      <c r="L23" s="739">
        <v>0</v>
      </c>
      <c r="M23" s="899">
        <v>81.192999999999998</v>
      </c>
      <c r="N23" s="897">
        <f t="shared" si="4"/>
        <v>80</v>
      </c>
      <c r="O23" s="899">
        <v>175.67500000000001</v>
      </c>
      <c r="P23" s="897">
        <f t="shared" si="5"/>
        <v>180</v>
      </c>
      <c r="Q23" s="899">
        <v>29.634</v>
      </c>
      <c r="R23" s="897">
        <f t="shared" si="6"/>
        <v>30</v>
      </c>
      <c r="S23" s="899">
        <v>0</v>
      </c>
      <c r="T23" s="739">
        <f t="shared" si="7"/>
        <v>0</v>
      </c>
      <c r="U23" s="899">
        <v>23.175000000000001</v>
      </c>
      <c r="V23" s="897">
        <f t="shared" si="8"/>
        <v>23</v>
      </c>
      <c r="W23" s="899">
        <v>0.63800000000000001</v>
      </c>
      <c r="X23" s="897" t="str">
        <f t="shared" si="9"/>
        <v>less than 1 g</v>
      </c>
      <c r="Y23" s="899">
        <v>4.9960000000000004</v>
      </c>
      <c r="Z23" s="897">
        <f t="shared" si="10"/>
        <v>5</v>
      </c>
      <c r="AA23" s="739">
        <v>0</v>
      </c>
      <c r="AB23" s="739">
        <v>0</v>
      </c>
      <c r="AC23" s="739">
        <v>243.76499999999999</v>
      </c>
      <c r="AD23" s="739">
        <v>18.751000000000001</v>
      </c>
      <c r="AE23" s="739">
        <v>0</v>
      </c>
      <c r="AF23" s="739">
        <v>0</v>
      </c>
      <c r="AG23" s="739">
        <v>1.7010000000000001</v>
      </c>
      <c r="AH23" s="739">
        <v>3.5999999999999997E-2</v>
      </c>
      <c r="AI23" s="905"/>
    </row>
    <row r="24" spans="1:37" s="374" customFormat="1" ht="18.45">
      <c r="A24" s="389" t="s">
        <v>484</v>
      </c>
      <c r="B24" s="389" t="s">
        <v>404</v>
      </c>
      <c r="C24" s="899">
        <v>254.72800000000001</v>
      </c>
      <c r="D24" s="897">
        <f t="shared" si="0"/>
        <v>250</v>
      </c>
      <c r="E24" s="899">
        <v>123.739</v>
      </c>
      <c r="F24" s="897">
        <f t="shared" si="1"/>
        <v>120</v>
      </c>
      <c r="G24" s="899">
        <v>13.749000000000001</v>
      </c>
      <c r="H24" s="739">
        <f t="shared" si="2"/>
        <v>14</v>
      </c>
      <c r="I24" s="899">
        <v>8.7490000000000006</v>
      </c>
      <c r="J24" s="739">
        <f t="shared" si="3"/>
        <v>9</v>
      </c>
      <c r="K24" s="899">
        <v>0</v>
      </c>
      <c r="L24" s="739">
        <v>0</v>
      </c>
      <c r="M24" s="899">
        <v>81.242000000000004</v>
      </c>
      <c r="N24" s="897">
        <f t="shared" si="4"/>
        <v>80</v>
      </c>
      <c r="O24" s="899">
        <v>176.60499999999999</v>
      </c>
      <c r="P24" s="897">
        <f t="shared" si="5"/>
        <v>180</v>
      </c>
      <c r="Q24" s="899">
        <v>29.959</v>
      </c>
      <c r="R24" s="897">
        <f t="shared" si="6"/>
        <v>30</v>
      </c>
      <c r="S24" s="899">
        <v>1.9E-2</v>
      </c>
      <c r="T24" s="739">
        <f t="shared" si="7"/>
        <v>0</v>
      </c>
      <c r="U24" s="899">
        <v>23.463999999999999</v>
      </c>
      <c r="V24" s="897">
        <f t="shared" si="8"/>
        <v>23</v>
      </c>
      <c r="W24" s="899">
        <v>0</v>
      </c>
      <c r="X24" s="897">
        <f t="shared" si="9"/>
        <v>0</v>
      </c>
      <c r="Y24" s="899">
        <v>5</v>
      </c>
      <c r="Z24" s="897">
        <f t="shared" si="10"/>
        <v>5</v>
      </c>
      <c r="AA24" s="739">
        <v>0</v>
      </c>
      <c r="AB24" s="739">
        <v>0</v>
      </c>
      <c r="AC24" s="739">
        <v>243.785</v>
      </c>
      <c r="AD24" s="739">
        <v>18.753</v>
      </c>
      <c r="AE24" s="739">
        <v>2E-3</v>
      </c>
      <c r="AF24" s="739">
        <v>8.9999999999999993E-3</v>
      </c>
      <c r="AG24" s="739">
        <v>1.0189999999999999</v>
      </c>
      <c r="AH24" s="739">
        <v>2.1999999999999999E-2</v>
      </c>
    </row>
    <row r="25" spans="1:37" s="374" customFormat="1" ht="18.45">
      <c r="A25" s="389" t="s">
        <v>484</v>
      </c>
      <c r="B25" s="387" t="s">
        <v>574</v>
      </c>
      <c r="C25" s="899">
        <v>255.14099999999999</v>
      </c>
      <c r="D25" s="897">
        <f t="shared" si="0"/>
        <v>260</v>
      </c>
      <c r="E25" s="899">
        <v>126.295</v>
      </c>
      <c r="F25" s="897">
        <f t="shared" si="1"/>
        <v>130</v>
      </c>
      <c r="G25" s="899">
        <v>14.032999999999999</v>
      </c>
      <c r="H25" s="739">
        <f t="shared" si="2"/>
        <v>14</v>
      </c>
      <c r="I25" s="899">
        <v>8.93</v>
      </c>
      <c r="J25" s="739">
        <f t="shared" si="3"/>
        <v>9</v>
      </c>
      <c r="K25" s="899">
        <v>0</v>
      </c>
      <c r="L25" s="739">
        <v>0</v>
      </c>
      <c r="M25" s="899">
        <v>82.921000000000006</v>
      </c>
      <c r="N25" s="897">
        <f t="shared" si="4"/>
        <v>85</v>
      </c>
      <c r="O25" s="899">
        <v>178.59899999999999</v>
      </c>
      <c r="P25" s="897">
        <f t="shared" si="5"/>
        <v>180</v>
      </c>
      <c r="Q25" s="899">
        <v>29.341000000000001</v>
      </c>
      <c r="R25" s="897">
        <f t="shared" si="6"/>
        <v>29</v>
      </c>
      <c r="S25" s="899">
        <v>0</v>
      </c>
      <c r="T25" s="739">
        <f t="shared" si="7"/>
        <v>0</v>
      </c>
      <c r="U25" s="899">
        <v>22.963000000000001</v>
      </c>
      <c r="V25" s="897">
        <f t="shared" si="8"/>
        <v>23</v>
      </c>
      <c r="W25" s="899">
        <v>0</v>
      </c>
      <c r="X25" s="897">
        <f t="shared" si="9"/>
        <v>0</v>
      </c>
      <c r="Y25" s="899">
        <v>5.1029999999999998</v>
      </c>
      <c r="Z25" s="897">
        <f t="shared" si="10"/>
        <v>5</v>
      </c>
      <c r="AA25" s="739">
        <v>0</v>
      </c>
      <c r="AB25" s="739">
        <v>0</v>
      </c>
      <c r="AC25" s="739">
        <v>248.762</v>
      </c>
      <c r="AD25" s="739">
        <v>19.135999999999999</v>
      </c>
      <c r="AE25" s="739">
        <v>0</v>
      </c>
      <c r="AF25" s="739">
        <v>0</v>
      </c>
      <c r="AG25" s="739">
        <v>0</v>
      </c>
      <c r="AH25" s="739">
        <v>0</v>
      </c>
      <c r="AK25" s="374" t="s">
        <v>179</v>
      </c>
    </row>
    <row r="26" spans="1:37" s="374" customFormat="1" ht="18.45">
      <c r="A26" s="389" t="s">
        <v>484</v>
      </c>
      <c r="B26" s="389" t="s">
        <v>573</v>
      </c>
      <c r="C26" s="899">
        <v>267.89800000000002</v>
      </c>
      <c r="D26" s="897">
        <f t="shared" si="0"/>
        <v>270</v>
      </c>
      <c r="E26" s="899">
        <v>114.813</v>
      </c>
      <c r="F26" s="897">
        <f t="shared" si="1"/>
        <v>110</v>
      </c>
      <c r="G26" s="899">
        <v>12.757</v>
      </c>
      <c r="H26" s="739">
        <f t="shared" si="2"/>
        <v>13</v>
      </c>
      <c r="I26" s="899">
        <v>7.6539999999999999</v>
      </c>
      <c r="J26" s="739">
        <f t="shared" si="3"/>
        <v>8</v>
      </c>
      <c r="K26" s="899">
        <v>0</v>
      </c>
      <c r="L26" s="739">
        <v>0</v>
      </c>
      <c r="M26" s="899">
        <v>70.164000000000001</v>
      </c>
      <c r="N26" s="897">
        <f t="shared" si="4"/>
        <v>70</v>
      </c>
      <c r="O26" s="899">
        <v>146.70599999999999</v>
      </c>
      <c r="P26" s="897">
        <f t="shared" si="5"/>
        <v>150</v>
      </c>
      <c r="Q26" s="899">
        <v>34.444000000000003</v>
      </c>
      <c r="R26" s="897">
        <f t="shared" si="6"/>
        <v>34</v>
      </c>
      <c r="S26" s="899">
        <v>0</v>
      </c>
      <c r="T26" s="739">
        <f t="shared" si="7"/>
        <v>0</v>
      </c>
      <c r="U26" s="899">
        <v>26.79</v>
      </c>
      <c r="V26" s="897">
        <f t="shared" si="8"/>
        <v>27</v>
      </c>
      <c r="W26" s="899">
        <v>0</v>
      </c>
      <c r="X26" s="897">
        <f t="shared" si="9"/>
        <v>0</v>
      </c>
      <c r="Y26" s="899">
        <v>5.1029999999999998</v>
      </c>
      <c r="Z26" s="897">
        <f t="shared" si="10"/>
        <v>5</v>
      </c>
      <c r="AA26" s="739">
        <v>0</v>
      </c>
      <c r="AB26" s="739">
        <v>0</v>
      </c>
      <c r="AC26" s="739">
        <v>165.84200000000001</v>
      </c>
      <c r="AD26" s="739">
        <v>12.757</v>
      </c>
      <c r="AE26" s="739">
        <v>1.3779999999999999</v>
      </c>
      <c r="AF26" s="739">
        <v>7.6539999999999999</v>
      </c>
      <c r="AG26" s="739">
        <v>0</v>
      </c>
      <c r="AH26" s="739">
        <v>0</v>
      </c>
    </row>
    <row r="27" spans="1:37" s="374" customFormat="1" ht="18.75" hidden="1" customHeight="1">
      <c r="A27" s="389" t="s">
        <v>499</v>
      </c>
      <c r="B27" s="524" t="s">
        <v>573</v>
      </c>
      <c r="C27" s="739">
        <v>342.31400000000002</v>
      </c>
      <c r="D27" s="897">
        <f t="shared" ref="D27:D66" si="11">MROUND(C27,10)</f>
        <v>340</v>
      </c>
      <c r="E27" s="739">
        <v>146.70599999999999</v>
      </c>
      <c r="F27" s="897">
        <f t="shared" si="1"/>
        <v>150</v>
      </c>
      <c r="G27" s="739">
        <v>16.300999999999998</v>
      </c>
      <c r="H27" s="739">
        <f t="shared" si="2"/>
        <v>16</v>
      </c>
      <c r="I27" s="739">
        <v>9.7799999999999994</v>
      </c>
      <c r="J27" s="739">
        <f t="shared" si="3"/>
        <v>10</v>
      </c>
      <c r="K27" s="739">
        <v>0</v>
      </c>
      <c r="L27" s="739">
        <v>0</v>
      </c>
      <c r="M27" s="739">
        <v>89.653999999999996</v>
      </c>
      <c r="N27" s="897">
        <f t="shared" si="4"/>
        <v>90</v>
      </c>
      <c r="O27" s="739">
        <v>187.458</v>
      </c>
      <c r="P27" s="897">
        <f t="shared" si="5"/>
        <v>190</v>
      </c>
      <c r="Q27" s="739">
        <v>44.012</v>
      </c>
      <c r="R27" s="897">
        <f t="shared" si="6"/>
        <v>44</v>
      </c>
      <c r="S27" s="739">
        <v>0</v>
      </c>
      <c r="T27" s="739">
        <f t="shared" si="7"/>
        <v>0</v>
      </c>
      <c r="U27" s="739">
        <v>34.231000000000002</v>
      </c>
      <c r="V27" s="897">
        <f t="shared" si="8"/>
        <v>34</v>
      </c>
      <c r="W27" s="739">
        <v>0</v>
      </c>
      <c r="X27" s="897">
        <f t="shared" si="9"/>
        <v>0</v>
      </c>
      <c r="Y27" s="739">
        <v>6.52</v>
      </c>
      <c r="Z27" s="897">
        <f t="shared" si="10"/>
        <v>7</v>
      </c>
      <c r="AA27" s="739">
        <v>0</v>
      </c>
      <c r="AB27" s="739">
        <v>0</v>
      </c>
      <c r="AC27" s="739">
        <v>211.90899999999999</v>
      </c>
      <c r="AD27" s="739">
        <v>16.300999999999998</v>
      </c>
      <c r="AE27" s="739">
        <v>1.76</v>
      </c>
      <c r="AF27" s="739">
        <v>9.7799999999999994</v>
      </c>
      <c r="AG27" s="739">
        <v>0</v>
      </c>
      <c r="AH27" s="739">
        <v>0</v>
      </c>
    </row>
    <row r="28" spans="1:37" s="374" customFormat="1" ht="18.45" hidden="1">
      <c r="A28" s="389" t="s">
        <v>499</v>
      </c>
      <c r="B28" s="524" t="s">
        <v>574</v>
      </c>
      <c r="C28" s="739">
        <v>326.01400000000001</v>
      </c>
      <c r="D28" s="897">
        <f t="shared" si="11"/>
        <v>330</v>
      </c>
      <c r="E28" s="739">
        <v>161.37700000000001</v>
      </c>
      <c r="F28" s="897">
        <f t="shared" si="1"/>
        <v>160</v>
      </c>
      <c r="G28" s="739">
        <v>17.931000000000001</v>
      </c>
      <c r="H28" s="739">
        <f t="shared" si="2"/>
        <v>18</v>
      </c>
      <c r="I28" s="739">
        <v>11.41</v>
      </c>
      <c r="J28" s="739">
        <f t="shared" si="3"/>
        <v>11</v>
      </c>
      <c r="K28" s="739">
        <v>0</v>
      </c>
      <c r="L28" s="739">
        <v>0</v>
      </c>
      <c r="M28" s="739">
        <v>105.95399999999999</v>
      </c>
      <c r="N28" s="897">
        <f t="shared" si="4"/>
        <v>105</v>
      </c>
      <c r="O28" s="739">
        <v>228.209</v>
      </c>
      <c r="P28" s="897">
        <f t="shared" si="5"/>
        <v>230</v>
      </c>
      <c r="Q28" s="739">
        <v>37.491999999999997</v>
      </c>
      <c r="R28" s="897">
        <f t="shared" si="6"/>
        <v>37</v>
      </c>
      <c r="S28" s="739">
        <v>0</v>
      </c>
      <c r="T28" s="739">
        <f t="shared" si="7"/>
        <v>0</v>
      </c>
      <c r="U28" s="739">
        <v>29.341000000000001</v>
      </c>
      <c r="V28" s="897">
        <f t="shared" si="8"/>
        <v>29</v>
      </c>
      <c r="W28" s="739">
        <v>0</v>
      </c>
      <c r="X28" s="897">
        <f t="shared" si="9"/>
        <v>0</v>
      </c>
      <c r="Y28" s="739">
        <v>6.52</v>
      </c>
      <c r="Z28" s="897">
        <f t="shared" si="10"/>
        <v>7</v>
      </c>
      <c r="AA28" s="739">
        <v>0</v>
      </c>
      <c r="AB28" s="739">
        <v>0</v>
      </c>
      <c r="AC28" s="739">
        <v>317.863</v>
      </c>
      <c r="AD28" s="739">
        <v>24.451000000000001</v>
      </c>
      <c r="AE28" s="739">
        <v>0</v>
      </c>
      <c r="AF28" s="739">
        <v>0</v>
      </c>
      <c r="AG28" s="739">
        <v>0</v>
      </c>
      <c r="AH28" s="739">
        <v>0</v>
      </c>
    </row>
    <row r="29" spans="1:37" s="374" customFormat="1" ht="18.45" hidden="1">
      <c r="A29" s="389" t="s">
        <v>499</v>
      </c>
      <c r="B29" s="525" t="s">
        <v>26</v>
      </c>
      <c r="C29" s="801">
        <v>320</v>
      </c>
      <c r="D29" s="897">
        <f t="shared" si="11"/>
        <v>320</v>
      </c>
      <c r="E29" s="801">
        <v>160</v>
      </c>
      <c r="F29" s="897">
        <f t="shared" si="1"/>
        <v>160</v>
      </c>
      <c r="G29" s="801">
        <v>20</v>
      </c>
      <c r="H29" s="739">
        <f t="shared" si="2"/>
        <v>20</v>
      </c>
      <c r="I29" s="801">
        <v>10</v>
      </c>
      <c r="J29" s="739">
        <f t="shared" si="3"/>
        <v>10</v>
      </c>
      <c r="K29" s="801">
        <v>0</v>
      </c>
      <c r="L29" s="739">
        <v>0</v>
      </c>
      <c r="M29" s="801">
        <v>100</v>
      </c>
      <c r="N29" s="897">
        <f t="shared" si="4"/>
        <v>100</v>
      </c>
      <c r="O29" s="801">
        <v>220</v>
      </c>
      <c r="P29" s="897">
        <f t="shared" si="5"/>
        <v>220</v>
      </c>
      <c r="Q29" s="801">
        <v>40</v>
      </c>
      <c r="R29" s="897">
        <f t="shared" si="6"/>
        <v>40</v>
      </c>
      <c r="S29" s="801">
        <v>0</v>
      </c>
      <c r="T29" s="739">
        <f t="shared" si="7"/>
        <v>0</v>
      </c>
      <c r="U29" s="801">
        <v>30</v>
      </c>
      <c r="V29" s="897">
        <f t="shared" si="8"/>
        <v>30</v>
      </c>
      <c r="W29" s="801">
        <v>1.383</v>
      </c>
      <c r="X29" s="897">
        <f t="shared" si="9"/>
        <v>1</v>
      </c>
      <c r="Y29" s="801">
        <v>5</v>
      </c>
      <c r="Z29" s="897">
        <f t="shared" si="10"/>
        <v>5</v>
      </c>
      <c r="AA29" s="801">
        <v>0</v>
      </c>
      <c r="AB29" s="801">
        <v>0</v>
      </c>
      <c r="AC29" s="801">
        <v>310</v>
      </c>
      <c r="AD29" s="801">
        <v>20</v>
      </c>
      <c r="AE29" s="801">
        <v>0</v>
      </c>
      <c r="AF29" s="801">
        <v>0</v>
      </c>
      <c r="AG29" s="801">
        <v>0</v>
      </c>
      <c r="AH29" s="801">
        <v>0</v>
      </c>
    </row>
    <row r="30" spans="1:37" s="374" customFormat="1" ht="18.45" hidden="1">
      <c r="A30" s="389" t="s">
        <v>499</v>
      </c>
      <c r="B30" s="524" t="s">
        <v>356</v>
      </c>
      <c r="C30" s="801">
        <v>320</v>
      </c>
      <c r="D30" s="897">
        <f t="shared" si="11"/>
        <v>320</v>
      </c>
      <c r="E30" s="801">
        <v>160</v>
      </c>
      <c r="F30" s="897">
        <f t="shared" si="1"/>
        <v>160</v>
      </c>
      <c r="G30" s="801">
        <v>20</v>
      </c>
      <c r="H30" s="739">
        <f t="shared" si="2"/>
        <v>20</v>
      </c>
      <c r="I30" s="801">
        <v>10</v>
      </c>
      <c r="J30" s="739">
        <f t="shared" si="3"/>
        <v>10</v>
      </c>
      <c r="K30" s="801">
        <v>0</v>
      </c>
      <c r="L30" s="739">
        <v>0</v>
      </c>
      <c r="M30" s="801">
        <v>100</v>
      </c>
      <c r="N30" s="897">
        <f t="shared" si="4"/>
        <v>100</v>
      </c>
      <c r="O30" s="801">
        <v>220</v>
      </c>
      <c r="P30" s="897">
        <f t="shared" si="5"/>
        <v>220</v>
      </c>
      <c r="Q30" s="801">
        <v>40</v>
      </c>
      <c r="R30" s="897">
        <f t="shared" si="6"/>
        <v>40</v>
      </c>
      <c r="S30" s="801">
        <v>0</v>
      </c>
      <c r="T30" s="739">
        <f t="shared" si="7"/>
        <v>0</v>
      </c>
      <c r="U30" s="801">
        <v>30</v>
      </c>
      <c r="V30" s="897">
        <f t="shared" si="8"/>
        <v>30</v>
      </c>
      <c r="W30" s="801">
        <v>0.93200000000000005</v>
      </c>
      <c r="X30" s="897" t="str">
        <f t="shared" si="9"/>
        <v>less than 1 g</v>
      </c>
      <c r="Y30" s="801">
        <v>5</v>
      </c>
      <c r="Z30" s="897">
        <f t="shared" si="10"/>
        <v>5</v>
      </c>
      <c r="AA30" s="801">
        <v>0</v>
      </c>
      <c r="AB30" s="801">
        <v>0</v>
      </c>
      <c r="AC30" s="801">
        <v>310</v>
      </c>
      <c r="AD30" s="801">
        <v>20</v>
      </c>
      <c r="AE30" s="801">
        <v>0</v>
      </c>
      <c r="AF30" s="801">
        <v>0</v>
      </c>
      <c r="AG30" s="801">
        <v>0</v>
      </c>
      <c r="AH30" s="801">
        <v>0</v>
      </c>
    </row>
    <row r="31" spans="1:37" s="374" customFormat="1" ht="18.45" hidden="1">
      <c r="A31" s="389" t="s">
        <v>499</v>
      </c>
      <c r="B31" s="524" t="s">
        <v>404</v>
      </c>
      <c r="C31" s="801">
        <v>330</v>
      </c>
      <c r="D31" s="897">
        <f t="shared" si="11"/>
        <v>330</v>
      </c>
      <c r="E31" s="801">
        <v>160</v>
      </c>
      <c r="F31" s="897">
        <f t="shared" si="1"/>
        <v>160</v>
      </c>
      <c r="G31" s="801">
        <v>20</v>
      </c>
      <c r="H31" s="739">
        <f t="shared" si="2"/>
        <v>20</v>
      </c>
      <c r="I31" s="801">
        <v>10</v>
      </c>
      <c r="J31" s="739">
        <f t="shared" si="3"/>
        <v>10</v>
      </c>
      <c r="K31" s="801">
        <v>0</v>
      </c>
      <c r="L31" s="739">
        <v>0</v>
      </c>
      <c r="M31" s="801">
        <v>100</v>
      </c>
      <c r="N31" s="897">
        <f t="shared" si="4"/>
        <v>100</v>
      </c>
      <c r="O31" s="801">
        <v>230</v>
      </c>
      <c r="P31" s="897">
        <f t="shared" si="5"/>
        <v>230</v>
      </c>
      <c r="Q31" s="801">
        <v>40</v>
      </c>
      <c r="R31" s="897">
        <f t="shared" si="6"/>
        <v>40</v>
      </c>
      <c r="S31" s="801">
        <v>0</v>
      </c>
      <c r="T31" s="739">
        <f t="shared" si="7"/>
        <v>0</v>
      </c>
      <c r="U31" s="801">
        <v>30</v>
      </c>
      <c r="V31" s="897">
        <f t="shared" si="8"/>
        <v>30</v>
      </c>
      <c r="W31" s="801">
        <v>0</v>
      </c>
      <c r="X31" s="897">
        <f t="shared" si="9"/>
        <v>0</v>
      </c>
      <c r="Y31" s="801">
        <v>5</v>
      </c>
      <c r="Z31" s="897">
        <f t="shared" si="10"/>
        <v>5</v>
      </c>
      <c r="AA31" s="801">
        <v>0</v>
      </c>
      <c r="AB31" s="801">
        <v>0</v>
      </c>
      <c r="AC31" s="801">
        <v>310</v>
      </c>
      <c r="AD31" s="801">
        <v>20</v>
      </c>
      <c r="AE31" s="801">
        <v>0</v>
      </c>
      <c r="AF31" s="801">
        <v>0</v>
      </c>
      <c r="AG31" s="801">
        <v>0</v>
      </c>
      <c r="AH31" s="801">
        <v>0</v>
      </c>
    </row>
    <row r="32" spans="1:37" s="374" customFormat="1" ht="18.45" hidden="1">
      <c r="A32" s="389" t="s">
        <v>499</v>
      </c>
      <c r="B32" s="524" t="s">
        <v>134</v>
      </c>
      <c r="C32" s="739">
        <v>311.262</v>
      </c>
      <c r="D32" s="897">
        <f t="shared" si="11"/>
        <v>310</v>
      </c>
      <c r="E32" s="739">
        <v>112.697</v>
      </c>
      <c r="F32" s="897">
        <f t="shared" si="1"/>
        <v>110</v>
      </c>
      <c r="G32" s="739">
        <v>12.522</v>
      </c>
      <c r="H32" s="739">
        <f t="shared" si="2"/>
        <v>13</v>
      </c>
      <c r="I32" s="739">
        <v>7.9690000000000003</v>
      </c>
      <c r="J32" s="739">
        <f t="shared" si="3"/>
        <v>8</v>
      </c>
      <c r="K32" s="739">
        <v>0</v>
      </c>
      <c r="L32" s="739">
        <v>0</v>
      </c>
      <c r="M32" s="739">
        <v>73.992999999999995</v>
      </c>
      <c r="N32" s="897">
        <f t="shared" si="4"/>
        <v>75</v>
      </c>
      <c r="O32" s="739">
        <v>193.79</v>
      </c>
      <c r="P32" s="897">
        <f t="shared" si="5"/>
        <v>190</v>
      </c>
      <c r="Q32" s="739">
        <v>44.866999999999997</v>
      </c>
      <c r="R32" s="897">
        <f t="shared" si="6"/>
        <v>45</v>
      </c>
      <c r="S32" s="739">
        <v>0</v>
      </c>
      <c r="T32" s="739">
        <f t="shared" si="7"/>
        <v>0</v>
      </c>
      <c r="U32" s="739">
        <v>33.767000000000003</v>
      </c>
      <c r="V32" s="897">
        <f t="shared" si="8"/>
        <v>34</v>
      </c>
      <c r="W32" s="739">
        <v>13.276999999999999</v>
      </c>
      <c r="X32" s="897">
        <f t="shared" si="9"/>
        <v>13</v>
      </c>
      <c r="Y32" s="739">
        <v>4.5540000000000003</v>
      </c>
      <c r="Z32" s="897">
        <f t="shared" si="10"/>
        <v>5</v>
      </c>
      <c r="AA32" s="739">
        <v>0</v>
      </c>
      <c r="AB32" s="739">
        <v>0</v>
      </c>
      <c r="AC32" s="739">
        <v>224.929</v>
      </c>
      <c r="AD32" s="739">
        <v>17.302</v>
      </c>
      <c r="AE32" s="739">
        <v>0</v>
      </c>
      <c r="AF32" s="739">
        <v>0</v>
      </c>
      <c r="AG32" s="739">
        <v>14.750999999999999</v>
      </c>
      <c r="AH32" s="739">
        <v>0.314</v>
      </c>
    </row>
    <row r="33" spans="1:35" s="374" customFormat="1" ht="18.45" hidden="1">
      <c r="A33" s="389" t="s">
        <v>499</v>
      </c>
      <c r="B33" s="524" t="s">
        <v>402</v>
      </c>
      <c r="C33" s="739">
        <v>325.13900000000001</v>
      </c>
      <c r="D33" s="897">
        <f t="shared" si="11"/>
        <v>330</v>
      </c>
      <c r="E33" s="739">
        <v>157.05000000000001</v>
      </c>
      <c r="F33" s="897">
        <f t="shared" si="1"/>
        <v>160</v>
      </c>
      <c r="G33" s="739">
        <v>17.45</v>
      </c>
      <c r="H33" s="739">
        <f t="shared" si="2"/>
        <v>17</v>
      </c>
      <c r="I33" s="739">
        <v>11.105</v>
      </c>
      <c r="J33" s="739">
        <f t="shared" si="3"/>
        <v>11</v>
      </c>
      <c r="K33" s="739">
        <v>0</v>
      </c>
      <c r="L33" s="739">
        <v>0</v>
      </c>
      <c r="M33" s="739">
        <v>103.114</v>
      </c>
      <c r="N33" s="897">
        <f t="shared" si="4"/>
        <v>105</v>
      </c>
      <c r="O33" s="739">
        <v>225.15</v>
      </c>
      <c r="P33" s="897">
        <f t="shared" si="5"/>
        <v>230</v>
      </c>
      <c r="Q33" s="739">
        <v>38.497</v>
      </c>
      <c r="R33" s="897">
        <f t="shared" si="6"/>
        <v>38</v>
      </c>
      <c r="S33" s="739">
        <v>0</v>
      </c>
      <c r="T33" s="739">
        <f t="shared" si="7"/>
        <v>0</v>
      </c>
      <c r="U33" s="739">
        <v>29.908999999999999</v>
      </c>
      <c r="V33" s="897">
        <f t="shared" si="8"/>
        <v>30</v>
      </c>
      <c r="W33" s="739">
        <v>1.355</v>
      </c>
      <c r="X33" s="897">
        <f t="shared" si="9"/>
        <v>1</v>
      </c>
      <c r="Y33" s="739">
        <v>6.3449999999999998</v>
      </c>
      <c r="Z33" s="897">
        <f t="shared" si="10"/>
        <v>6</v>
      </c>
      <c r="AA33" s="739">
        <v>0</v>
      </c>
      <c r="AB33" s="739">
        <v>0</v>
      </c>
      <c r="AC33" s="739">
        <v>309.64699999999999</v>
      </c>
      <c r="AD33" s="739">
        <v>23.818999999999999</v>
      </c>
      <c r="AE33" s="739">
        <v>0</v>
      </c>
      <c r="AF33" s="739">
        <v>0</v>
      </c>
      <c r="AG33" s="739">
        <v>1.4419999999999999</v>
      </c>
      <c r="AH33" s="739">
        <v>3.1E-2</v>
      </c>
    </row>
    <row r="34" spans="1:35" s="374" customFormat="1" ht="18.45" hidden="1">
      <c r="A34" s="389" t="s">
        <v>499</v>
      </c>
      <c r="B34" s="524" t="s">
        <v>373</v>
      </c>
      <c r="C34" s="739">
        <v>324.16300000000001</v>
      </c>
      <c r="D34" s="897">
        <f t="shared" si="11"/>
        <v>320</v>
      </c>
      <c r="E34" s="739">
        <v>155.27099999999999</v>
      </c>
      <c r="F34" s="897">
        <f t="shared" si="1"/>
        <v>160</v>
      </c>
      <c r="G34" s="739">
        <v>17.251999999999999</v>
      </c>
      <c r="H34" s="739">
        <f t="shared" si="2"/>
        <v>17</v>
      </c>
      <c r="I34" s="739">
        <v>10.978999999999999</v>
      </c>
      <c r="J34" s="739">
        <f t="shared" si="3"/>
        <v>11</v>
      </c>
      <c r="K34" s="739">
        <v>0</v>
      </c>
      <c r="L34" s="739">
        <v>0</v>
      </c>
      <c r="M34" s="739">
        <v>101.94499999999999</v>
      </c>
      <c r="N34" s="897">
        <f t="shared" si="4"/>
        <v>100</v>
      </c>
      <c r="O34" s="739">
        <v>243.39699999999999</v>
      </c>
      <c r="P34" s="897">
        <f t="shared" si="5"/>
        <v>240</v>
      </c>
      <c r="Q34" s="739">
        <v>37.859000000000002</v>
      </c>
      <c r="R34" s="897">
        <f t="shared" si="6"/>
        <v>38</v>
      </c>
      <c r="S34" s="739">
        <v>0</v>
      </c>
      <c r="T34" s="739">
        <f t="shared" si="7"/>
        <v>0</v>
      </c>
      <c r="U34" s="739">
        <v>30.009</v>
      </c>
      <c r="V34" s="897">
        <f t="shared" si="8"/>
        <v>30</v>
      </c>
      <c r="W34" s="739">
        <v>1.778</v>
      </c>
      <c r="X34" s="897">
        <f t="shared" si="9"/>
        <v>2</v>
      </c>
      <c r="Y34" s="739">
        <v>6.274</v>
      </c>
      <c r="Z34" s="897">
        <f t="shared" si="10"/>
        <v>6</v>
      </c>
      <c r="AA34" s="739">
        <v>0</v>
      </c>
      <c r="AB34" s="739">
        <v>0</v>
      </c>
      <c r="AC34" s="739">
        <v>306.36</v>
      </c>
      <c r="AD34" s="739">
        <v>23.565999999999999</v>
      </c>
      <c r="AE34" s="739">
        <v>4.5999999999999999E-2</v>
      </c>
      <c r="AF34" s="739">
        <v>0.254</v>
      </c>
      <c r="AG34" s="739">
        <v>5.3470000000000004</v>
      </c>
      <c r="AH34" s="739">
        <v>0.114</v>
      </c>
    </row>
    <row r="35" spans="1:35" s="374" customFormat="1" ht="18.45" hidden="1">
      <c r="A35" s="389" t="s">
        <v>499</v>
      </c>
      <c r="B35" s="524" t="s">
        <v>98</v>
      </c>
      <c r="C35" s="739">
        <v>323.75900000000001</v>
      </c>
      <c r="D35" s="897">
        <f t="shared" si="11"/>
        <v>320</v>
      </c>
      <c r="E35" s="739">
        <v>155.797</v>
      </c>
      <c r="F35" s="897">
        <f t="shared" si="1"/>
        <v>160</v>
      </c>
      <c r="G35" s="739">
        <v>17.311</v>
      </c>
      <c r="H35" s="739">
        <f t="shared" si="2"/>
        <v>17</v>
      </c>
      <c r="I35" s="739">
        <v>11.016</v>
      </c>
      <c r="J35" s="739">
        <f t="shared" si="3"/>
        <v>11</v>
      </c>
      <c r="K35" s="739">
        <v>0</v>
      </c>
      <c r="L35" s="739">
        <v>0</v>
      </c>
      <c r="M35" s="739">
        <v>102.291</v>
      </c>
      <c r="N35" s="897">
        <f t="shared" si="4"/>
        <v>100</v>
      </c>
      <c r="O35" s="739">
        <v>233.28200000000001</v>
      </c>
      <c r="P35" s="897">
        <f t="shared" si="5"/>
        <v>230</v>
      </c>
      <c r="Q35" s="739">
        <v>38.393000000000001</v>
      </c>
      <c r="R35" s="897">
        <f t="shared" si="6"/>
        <v>38</v>
      </c>
      <c r="S35" s="739">
        <v>0</v>
      </c>
      <c r="T35" s="739">
        <f t="shared" si="7"/>
        <v>0</v>
      </c>
      <c r="U35" s="739">
        <v>30.074000000000002</v>
      </c>
      <c r="V35" s="897">
        <f t="shared" si="8"/>
        <v>30</v>
      </c>
      <c r="W35" s="739">
        <v>1.7470000000000001</v>
      </c>
      <c r="X35" s="897">
        <f t="shared" si="9"/>
        <v>2</v>
      </c>
      <c r="Y35" s="739">
        <v>6.2949999999999999</v>
      </c>
      <c r="Z35" s="897">
        <f t="shared" si="10"/>
        <v>6</v>
      </c>
      <c r="AA35" s="739">
        <v>0</v>
      </c>
      <c r="AB35" s="739">
        <v>0</v>
      </c>
      <c r="AC35" s="739">
        <v>322.935</v>
      </c>
      <c r="AD35" s="739">
        <v>24.841000000000001</v>
      </c>
      <c r="AE35" s="739">
        <v>0</v>
      </c>
      <c r="AF35" s="739">
        <v>0</v>
      </c>
      <c r="AG35" s="739">
        <v>1.5780000000000001</v>
      </c>
      <c r="AH35" s="739">
        <v>3.4000000000000002E-2</v>
      </c>
    </row>
    <row r="36" spans="1:35" s="374" customFormat="1" ht="18.45" hidden="1">
      <c r="A36" s="389" t="s">
        <v>499</v>
      </c>
      <c r="B36" s="524" t="s">
        <v>454</v>
      </c>
      <c r="C36" s="739">
        <v>339.77699999999999</v>
      </c>
      <c r="D36" s="897">
        <f t="shared" si="11"/>
        <v>340</v>
      </c>
      <c r="E36" s="739">
        <v>140.99600000000001</v>
      </c>
      <c r="F36" s="897">
        <f t="shared" si="1"/>
        <v>140</v>
      </c>
      <c r="G36" s="739">
        <v>15.666</v>
      </c>
      <c r="H36" s="739">
        <f t="shared" si="2"/>
        <v>16</v>
      </c>
      <c r="I36" s="739">
        <v>9.4</v>
      </c>
      <c r="J36" s="739">
        <f t="shared" si="3"/>
        <v>9</v>
      </c>
      <c r="K36" s="739">
        <v>0</v>
      </c>
      <c r="L36" s="739">
        <v>0</v>
      </c>
      <c r="M36" s="739">
        <v>86.164000000000001</v>
      </c>
      <c r="N36" s="897">
        <f t="shared" si="4"/>
        <v>85</v>
      </c>
      <c r="O36" s="739">
        <v>184.60300000000001</v>
      </c>
      <c r="P36" s="897">
        <f t="shared" si="5"/>
        <v>180</v>
      </c>
      <c r="Q36" s="739">
        <v>44.71</v>
      </c>
      <c r="R36" s="897">
        <f t="shared" si="6"/>
        <v>45</v>
      </c>
      <c r="S36" s="739">
        <v>0</v>
      </c>
      <c r="T36" s="739">
        <f t="shared" si="7"/>
        <v>0</v>
      </c>
      <c r="U36" s="739">
        <v>34.612000000000002</v>
      </c>
      <c r="V36" s="897">
        <f t="shared" si="8"/>
        <v>35</v>
      </c>
      <c r="W36" s="739">
        <v>1.7130000000000001</v>
      </c>
      <c r="X36" s="897">
        <f t="shared" si="9"/>
        <v>2</v>
      </c>
      <c r="Y36" s="739">
        <v>6.2670000000000003</v>
      </c>
      <c r="Z36" s="897">
        <f t="shared" si="10"/>
        <v>6</v>
      </c>
      <c r="AA36" s="739">
        <v>0</v>
      </c>
      <c r="AB36" s="739">
        <v>0</v>
      </c>
      <c r="AC36" s="739">
        <v>204.042</v>
      </c>
      <c r="AD36" s="739">
        <v>15.696</v>
      </c>
      <c r="AE36" s="739">
        <v>1.6919999999999999</v>
      </c>
      <c r="AF36" s="739">
        <v>9.4</v>
      </c>
      <c r="AG36" s="739">
        <v>1.903</v>
      </c>
      <c r="AH36" s="739">
        <v>0.04</v>
      </c>
    </row>
    <row r="37" spans="1:35" s="374" customFormat="1" ht="18.45" hidden="1">
      <c r="A37" s="389" t="s">
        <v>499</v>
      </c>
      <c r="B37" s="524" t="s">
        <v>399</v>
      </c>
      <c r="C37" s="739">
        <v>338.03100000000001</v>
      </c>
      <c r="D37" s="897">
        <f t="shared" si="11"/>
        <v>340</v>
      </c>
      <c r="E37" s="739">
        <v>140.28100000000001</v>
      </c>
      <c r="F37" s="897">
        <f t="shared" si="1"/>
        <v>140</v>
      </c>
      <c r="G37" s="739">
        <v>15.587</v>
      </c>
      <c r="H37" s="739">
        <f t="shared" si="2"/>
        <v>16</v>
      </c>
      <c r="I37" s="739">
        <v>9.3520000000000003</v>
      </c>
      <c r="J37" s="739">
        <f t="shared" si="3"/>
        <v>9</v>
      </c>
      <c r="K37" s="739">
        <v>0</v>
      </c>
      <c r="L37" s="739">
        <v>0</v>
      </c>
      <c r="M37" s="739">
        <v>85.727999999999994</v>
      </c>
      <c r="N37" s="897">
        <f t="shared" si="4"/>
        <v>85</v>
      </c>
      <c r="O37" s="739">
        <v>181.39</v>
      </c>
      <c r="P37" s="897">
        <f t="shared" si="5"/>
        <v>180</v>
      </c>
      <c r="Q37" s="739">
        <v>44.725999999999999</v>
      </c>
      <c r="R37" s="897">
        <f t="shared" si="6"/>
        <v>45</v>
      </c>
      <c r="S37" s="739">
        <v>0</v>
      </c>
      <c r="T37" s="739">
        <f t="shared" si="7"/>
        <v>0</v>
      </c>
      <c r="U37" s="739">
        <v>34.445999999999998</v>
      </c>
      <c r="V37" s="897">
        <f t="shared" si="8"/>
        <v>34</v>
      </c>
      <c r="W37" s="739">
        <v>1.7130000000000001</v>
      </c>
      <c r="X37" s="897">
        <f t="shared" si="9"/>
        <v>2</v>
      </c>
      <c r="Y37" s="739">
        <v>6.2350000000000003</v>
      </c>
      <c r="Z37" s="897">
        <f t="shared" si="10"/>
        <v>6</v>
      </c>
      <c r="AA37" s="739">
        <v>0</v>
      </c>
      <c r="AB37" s="739">
        <v>0</v>
      </c>
      <c r="AC37" s="739">
        <v>203.12799999999999</v>
      </c>
      <c r="AD37" s="739">
        <v>15.625</v>
      </c>
      <c r="AE37" s="739">
        <v>1.6830000000000001</v>
      </c>
      <c r="AF37" s="739">
        <v>9.3520000000000003</v>
      </c>
      <c r="AG37" s="739">
        <v>2.0699999999999998</v>
      </c>
      <c r="AH37" s="739">
        <v>4.3999999999999997E-2</v>
      </c>
    </row>
    <row r="38" spans="1:35" s="374" customFormat="1" ht="18.45" hidden="1">
      <c r="A38" s="389" t="s">
        <v>499</v>
      </c>
      <c r="B38" s="524" t="s">
        <v>397</v>
      </c>
      <c r="C38" s="739">
        <v>338.56599999999997</v>
      </c>
      <c r="D38" s="897">
        <f t="shared" si="11"/>
        <v>340</v>
      </c>
      <c r="E38" s="739">
        <v>139.959</v>
      </c>
      <c r="F38" s="897">
        <f t="shared" si="1"/>
        <v>140</v>
      </c>
      <c r="G38" s="739">
        <v>15.551</v>
      </c>
      <c r="H38" s="739">
        <f t="shared" si="2"/>
        <v>16</v>
      </c>
      <c r="I38" s="739">
        <v>9.3309999999999995</v>
      </c>
      <c r="J38" s="739">
        <f t="shared" si="3"/>
        <v>9</v>
      </c>
      <c r="K38" s="739">
        <v>0</v>
      </c>
      <c r="L38" s="739">
        <v>0</v>
      </c>
      <c r="M38" s="739">
        <v>85.53</v>
      </c>
      <c r="N38" s="897">
        <f t="shared" si="4"/>
        <v>85</v>
      </c>
      <c r="O38" s="739">
        <v>181.08500000000001</v>
      </c>
      <c r="P38" s="897">
        <f t="shared" si="5"/>
        <v>180</v>
      </c>
      <c r="Q38" s="739">
        <v>45.061</v>
      </c>
      <c r="R38" s="897">
        <f t="shared" si="6"/>
        <v>45</v>
      </c>
      <c r="S38" s="739">
        <v>0</v>
      </c>
      <c r="T38" s="739">
        <f t="shared" si="7"/>
        <v>0</v>
      </c>
      <c r="U38" s="739">
        <v>34.680999999999997</v>
      </c>
      <c r="V38" s="897">
        <f t="shared" si="8"/>
        <v>35</v>
      </c>
      <c r="W38" s="739">
        <v>2.024</v>
      </c>
      <c r="X38" s="897">
        <f t="shared" si="9"/>
        <v>2</v>
      </c>
      <c r="Y38" s="739">
        <v>6.22</v>
      </c>
      <c r="Z38" s="897">
        <f t="shared" si="10"/>
        <v>6</v>
      </c>
      <c r="AA38" s="739">
        <v>0</v>
      </c>
      <c r="AB38" s="739">
        <v>0</v>
      </c>
      <c r="AC38" s="739">
        <v>202.613</v>
      </c>
      <c r="AD38" s="739">
        <v>15.586</v>
      </c>
      <c r="AE38" s="739">
        <v>1.68</v>
      </c>
      <c r="AF38" s="739">
        <v>9.3309999999999995</v>
      </c>
      <c r="AG38" s="739">
        <v>2.2490000000000001</v>
      </c>
      <c r="AH38" s="739">
        <v>4.8000000000000001E-2</v>
      </c>
    </row>
    <row r="39" spans="1:35" s="374" customFormat="1" ht="18.45" hidden="1">
      <c r="A39" s="389" t="s">
        <v>499</v>
      </c>
      <c r="B39" s="524" t="s">
        <v>136</v>
      </c>
      <c r="C39" s="739">
        <v>324.62599999999998</v>
      </c>
      <c r="D39" s="897">
        <f t="shared" si="11"/>
        <v>320</v>
      </c>
      <c r="E39" s="739">
        <v>156.798</v>
      </c>
      <c r="F39" s="897">
        <f t="shared" si="1"/>
        <v>160</v>
      </c>
      <c r="G39" s="739">
        <v>17.422000000000001</v>
      </c>
      <c r="H39" s="739">
        <f t="shared" si="2"/>
        <v>17</v>
      </c>
      <c r="I39" s="739">
        <v>11.087</v>
      </c>
      <c r="J39" s="739">
        <f t="shared" si="3"/>
        <v>11</v>
      </c>
      <c r="K39" s="739">
        <v>0</v>
      </c>
      <c r="L39" s="739">
        <v>0</v>
      </c>
      <c r="M39" s="739">
        <v>102.94799999999999</v>
      </c>
      <c r="N39" s="897">
        <f t="shared" si="4"/>
        <v>105</v>
      </c>
      <c r="O39" s="739">
        <v>229.59700000000001</v>
      </c>
      <c r="P39" s="897">
        <f t="shared" si="5"/>
        <v>230</v>
      </c>
      <c r="Q39" s="739">
        <v>38.231999999999999</v>
      </c>
      <c r="R39" s="897">
        <f t="shared" si="6"/>
        <v>38</v>
      </c>
      <c r="S39" s="739">
        <v>0</v>
      </c>
      <c r="T39" s="739">
        <f t="shared" si="7"/>
        <v>0</v>
      </c>
      <c r="U39" s="739">
        <v>29.710999999999999</v>
      </c>
      <c r="V39" s="897">
        <f t="shared" si="8"/>
        <v>30</v>
      </c>
      <c r="W39" s="739">
        <v>1.202</v>
      </c>
      <c r="X39" s="897">
        <f t="shared" si="9"/>
        <v>1</v>
      </c>
      <c r="Y39" s="739">
        <v>6.335</v>
      </c>
      <c r="Z39" s="897">
        <f t="shared" si="10"/>
        <v>6</v>
      </c>
      <c r="AA39" s="739">
        <v>0</v>
      </c>
      <c r="AB39" s="739">
        <v>0</v>
      </c>
      <c r="AC39" s="739">
        <v>309.26100000000002</v>
      </c>
      <c r="AD39" s="739">
        <v>23.789000000000001</v>
      </c>
      <c r="AE39" s="739">
        <v>4.5999999999999999E-2</v>
      </c>
      <c r="AF39" s="739">
        <v>0.25700000000000001</v>
      </c>
      <c r="AG39" s="739">
        <v>4.9020000000000001</v>
      </c>
      <c r="AH39" s="739">
        <v>0.104</v>
      </c>
      <c r="AI39" s="739"/>
    </row>
    <row r="40" spans="1:35" s="374" customFormat="1" ht="18.45" hidden="1">
      <c r="A40" s="389" t="s">
        <v>499</v>
      </c>
      <c r="B40" s="524" t="s">
        <v>36</v>
      </c>
      <c r="C40" s="739">
        <v>329.45400000000001</v>
      </c>
      <c r="D40" s="897">
        <f t="shared" si="11"/>
        <v>330</v>
      </c>
      <c r="E40" s="739">
        <v>154.56399999999999</v>
      </c>
      <c r="F40" s="897">
        <f t="shared" si="1"/>
        <v>150</v>
      </c>
      <c r="G40" s="739">
        <v>17.173999999999999</v>
      </c>
      <c r="H40" s="739">
        <f t="shared" si="2"/>
        <v>17</v>
      </c>
      <c r="I40" s="739">
        <v>10.929</v>
      </c>
      <c r="J40" s="739">
        <f t="shared" si="3"/>
        <v>11</v>
      </c>
      <c r="K40" s="739">
        <v>0</v>
      </c>
      <c r="L40" s="739">
        <v>0</v>
      </c>
      <c r="M40" s="739">
        <v>101.48099999999999</v>
      </c>
      <c r="N40" s="897">
        <f t="shared" si="4"/>
        <v>100</v>
      </c>
      <c r="O40" s="739">
        <v>218.57499999999999</v>
      </c>
      <c r="P40" s="897">
        <f t="shared" si="5"/>
        <v>220</v>
      </c>
      <c r="Q40" s="739">
        <v>40.037999999999997</v>
      </c>
      <c r="R40" s="897">
        <f t="shared" si="6"/>
        <v>40</v>
      </c>
      <c r="S40" s="739">
        <v>0</v>
      </c>
      <c r="T40" s="739">
        <f t="shared" si="7"/>
        <v>0</v>
      </c>
      <c r="U40" s="739">
        <v>31.818999999999999</v>
      </c>
      <c r="V40" s="897">
        <f t="shared" si="8"/>
        <v>32</v>
      </c>
      <c r="W40" s="739">
        <v>3.7160000000000002</v>
      </c>
      <c r="X40" s="897">
        <f t="shared" si="9"/>
        <v>4</v>
      </c>
      <c r="Y40" s="739">
        <v>6.2450000000000001</v>
      </c>
      <c r="Z40" s="897">
        <f t="shared" si="10"/>
        <v>6</v>
      </c>
      <c r="AA40" s="739">
        <v>0</v>
      </c>
      <c r="AB40" s="739">
        <v>0</v>
      </c>
      <c r="AC40" s="739">
        <v>304.78800000000001</v>
      </c>
      <c r="AD40" s="739">
        <v>23.445</v>
      </c>
      <c r="AE40" s="739">
        <v>0</v>
      </c>
      <c r="AF40" s="739">
        <v>0</v>
      </c>
      <c r="AG40" s="739">
        <v>2.89</v>
      </c>
      <c r="AH40" s="739">
        <v>6.0999999999999999E-2</v>
      </c>
      <c r="AI40" s="739"/>
    </row>
    <row r="41" spans="1:35" s="374" customFormat="1" ht="18.45" hidden="1">
      <c r="A41" s="389" t="s">
        <v>499</v>
      </c>
      <c r="B41" s="524" t="s">
        <v>137</v>
      </c>
      <c r="C41" s="739">
        <v>328.32400000000001</v>
      </c>
      <c r="D41" s="897">
        <f t="shared" si="11"/>
        <v>330</v>
      </c>
      <c r="E41" s="739">
        <v>153.75299999999999</v>
      </c>
      <c r="F41" s="897">
        <f t="shared" si="1"/>
        <v>150</v>
      </c>
      <c r="G41" s="739">
        <v>17.084</v>
      </c>
      <c r="H41" s="739">
        <f t="shared" si="2"/>
        <v>17</v>
      </c>
      <c r="I41" s="739">
        <v>10.871</v>
      </c>
      <c r="J41" s="739">
        <f t="shared" si="3"/>
        <v>11</v>
      </c>
      <c r="K41" s="739">
        <v>0</v>
      </c>
      <c r="L41" s="739">
        <v>0</v>
      </c>
      <c r="M41" s="739">
        <v>100.949</v>
      </c>
      <c r="N41" s="897">
        <f t="shared" si="4"/>
        <v>100</v>
      </c>
      <c r="O41" s="739">
        <v>219.738</v>
      </c>
      <c r="P41" s="897">
        <f t="shared" si="5"/>
        <v>220</v>
      </c>
      <c r="Q41" s="739">
        <v>39.494</v>
      </c>
      <c r="R41" s="897">
        <f t="shared" si="6"/>
        <v>39</v>
      </c>
      <c r="S41" s="739">
        <v>0</v>
      </c>
      <c r="T41" s="739">
        <f t="shared" si="7"/>
        <v>0</v>
      </c>
      <c r="U41" s="739">
        <v>29.88</v>
      </c>
      <c r="V41" s="897">
        <f t="shared" si="8"/>
        <v>30</v>
      </c>
      <c r="W41" s="739">
        <v>1.925</v>
      </c>
      <c r="X41" s="897">
        <f t="shared" si="9"/>
        <v>2</v>
      </c>
      <c r="Y41" s="739">
        <v>6.2119999999999997</v>
      </c>
      <c r="Z41" s="897">
        <f t="shared" si="10"/>
        <v>6</v>
      </c>
      <c r="AA41" s="739">
        <v>0</v>
      </c>
      <c r="AB41" s="739">
        <v>0</v>
      </c>
      <c r="AC41" s="739">
        <v>303.077</v>
      </c>
      <c r="AD41" s="739">
        <v>23.314</v>
      </c>
      <c r="AE41" s="739">
        <v>0</v>
      </c>
      <c r="AF41" s="739">
        <v>0</v>
      </c>
      <c r="AG41" s="739">
        <v>3.08</v>
      </c>
      <c r="AH41" s="739">
        <v>6.6000000000000003E-2</v>
      </c>
    </row>
    <row r="42" spans="1:35" s="374" customFormat="1" ht="18.45" hidden="1">
      <c r="A42" s="389" t="s">
        <v>499</v>
      </c>
      <c r="B42" s="524" t="s">
        <v>416</v>
      </c>
      <c r="C42" s="739">
        <v>326.01400000000001</v>
      </c>
      <c r="D42" s="897">
        <f t="shared" si="11"/>
        <v>330</v>
      </c>
      <c r="E42" s="739">
        <v>157.84399999999999</v>
      </c>
      <c r="F42" s="897">
        <f t="shared" si="1"/>
        <v>160</v>
      </c>
      <c r="G42" s="739">
        <v>17.538</v>
      </c>
      <c r="H42" s="739">
        <f t="shared" si="2"/>
        <v>18</v>
      </c>
      <c r="I42" s="739">
        <v>11.161</v>
      </c>
      <c r="J42" s="739">
        <f t="shared" si="3"/>
        <v>11</v>
      </c>
      <c r="K42" s="739">
        <v>0</v>
      </c>
      <c r="L42" s="739">
        <v>0</v>
      </c>
      <c r="M42" s="739">
        <v>103.63500000000001</v>
      </c>
      <c r="N42" s="897">
        <f t="shared" si="4"/>
        <v>105</v>
      </c>
      <c r="O42" s="739">
        <v>223.21299999999999</v>
      </c>
      <c r="P42" s="897">
        <f t="shared" si="5"/>
        <v>220</v>
      </c>
      <c r="Q42" s="739">
        <v>38.17</v>
      </c>
      <c r="R42" s="897">
        <f t="shared" si="6"/>
        <v>38</v>
      </c>
      <c r="S42" s="739">
        <v>0</v>
      </c>
      <c r="T42" s="739">
        <f t="shared" si="7"/>
        <v>0</v>
      </c>
      <c r="U42" s="739">
        <v>29.876000000000001</v>
      </c>
      <c r="V42" s="897">
        <f t="shared" si="8"/>
        <v>30</v>
      </c>
      <c r="W42" s="739">
        <v>1.1779999999999999</v>
      </c>
      <c r="X42" s="897">
        <f t="shared" si="9"/>
        <v>1</v>
      </c>
      <c r="Y42" s="739">
        <v>6.3780000000000001</v>
      </c>
      <c r="Z42" s="897">
        <f t="shared" si="10"/>
        <v>6</v>
      </c>
      <c r="AA42" s="739">
        <v>0</v>
      </c>
      <c r="AB42" s="739">
        <v>0</v>
      </c>
      <c r="AC42" s="739">
        <v>311.08300000000003</v>
      </c>
      <c r="AD42" s="739">
        <v>23.928999999999998</v>
      </c>
      <c r="AE42" s="739">
        <v>0</v>
      </c>
      <c r="AF42" s="739">
        <v>0</v>
      </c>
      <c r="AG42" s="739">
        <v>1.5349999999999999</v>
      </c>
      <c r="AH42" s="739">
        <v>3.3000000000000002E-2</v>
      </c>
    </row>
    <row r="43" spans="1:35" s="374" customFormat="1" ht="18.45" hidden="1">
      <c r="A43" s="389" t="s">
        <v>499</v>
      </c>
      <c r="B43" s="524" t="s">
        <v>431</v>
      </c>
      <c r="C43" s="739">
        <v>325.334</v>
      </c>
      <c r="D43" s="897">
        <f t="shared" si="11"/>
        <v>330</v>
      </c>
      <c r="E43" s="739">
        <v>158.01400000000001</v>
      </c>
      <c r="F43" s="897">
        <f t="shared" si="1"/>
        <v>160</v>
      </c>
      <c r="G43" s="739">
        <v>17.556999999999999</v>
      </c>
      <c r="H43" s="739">
        <f t="shared" si="2"/>
        <v>18</v>
      </c>
      <c r="I43" s="739">
        <v>11.173</v>
      </c>
      <c r="J43" s="739">
        <f t="shared" si="3"/>
        <v>11</v>
      </c>
      <c r="K43" s="739">
        <v>0</v>
      </c>
      <c r="L43" s="739">
        <v>0</v>
      </c>
      <c r="M43" s="739">
        <v>103.747</v>
      </c>
      <c r="N43" s="897">
        <f t="shared" si="4"/>
        <v>105</v>
      </c>
      <c r="O43" s="739">
        <v>224.47300000000001</v>
      </c>
      <c r="P43" s="897">
        <f t="shared" si="5"/>
        <v>220</v>
      </c>
      <c r="Q43" s="739">
        <v>37.865000000000002</v>
      </c>
      <c r="R43" s="897">
        <f t="shared" si="6"/>
        <v>38</v>
      </c>
      <c r="S43" s="739">
        <v>0</v>
      </c>
      <c r="T43" s="739">
        <f t="shared" si="7"/>
        <v>0</v>
      </c>
      <c r="U43" s="739">
        <v>29.613</v>
      </c>
      <c r="V43" s="897">
        <f t="shared" si="8"/>
        <v>30</v>
      </c>
      <c r="W43" s="739">
        <v>0.81499999999999995</v>
      </c>
      <c r="X43" s="897" t="str">
        <f t="shared" si="9"/>
        <v>less than 1 g</v>
      </c>
      <c r="Y43" s="739">
        <v>6.3840000000000003</v>
      </c>
      <c r="Z43" s="897">
        <f t="shared" si="10"/>
        <v>6</v>
      </c>
      <c r="AA43" s="739">
        <v>0</v>
      </c>
      <c r="AB43" s="739">
        <v>0</v>
      </c>
      <c r="AC43" s="739">
        <v>311.47800000000001</v>
      </c>
      <c r="AD43" s="739">
        <v>23.96</v>
      </c>
      <c r="AE43" s="739">
        <v>0</v>
      </c>
      <c r="AF43" s="739">
        <v>0</v>
      </c>
      <c r="AG43" s="739">
        <v>2.1739999999999999</v>
      </c>
      <c r="AH43" s="739">
        <v>4.5999999999999999E-2</v>
      </c>
    </row>
    <row r="44" spans="1:35" s="374" customFormat="1" ht="18.45" hidden="1">
      <c r="A44" s="389" t="s">
        <v>499</v>
      </c>
      <c r="B44" s="524" t="s">
        <v>417</v>
      </c>
      <c r="C44" s="739">
        <v>326.01400000000001</v>
      </c>
      <c r="D44" s="897">
        <f t="shared" si="11"/>
        <v>330</v>
      </c>
      <c r="E44" s="739">
        <v>152.55199999999999</v>
      </c>
      <c r="F44" s="897">
        <f t="shared" si="1"/>
        <v>150</v>
      </c>
      <c r="G44" s="739">
        <v>16.95</v>
      </c>
      <c r="H44" s="739">
        <f t="shared" si="2"/>
        <v>17</v>
      </c>
      <c r="I44" s="739">
        <v>10.786</v>
      </c>
      <c r="J44" s="739">
        <f t="shared" si="3"/>
        <v>11</v>
      </c>
      <c r="K44" s="739">
        <v>0</v>
      </c>
      <c r="L44" s="739">
        <v>0</v>
      </c>
      <c r="M44" s="739">
        <v>100.16</v>
      </c>
      <c r="N44" s="897">
        <f t="shared" si="4"/>
        <v>100</v>
      </c>
      <c r="O44" s="739">
        <v>218.84899999999999</v>
      </c>
      <c r="P44" s="897">
        <f t="shared" si="5"/>
        <v>220</v>
      </c>
      <c r="Q44" s="739">
        <v>38.829000000000001</v>
      </c>
      <c r="R44" s="897">
        <f t="shared" si="6"/>
        <v>39</v>
      </c>
      <c r="S44" s="739">
        <v>0</v>
      </c>
      <c r="T44" s="739">
        <f t="shared" si="7"/>
        <v>0</v>
      </c>
      <c r="U44" s="739">
        <v>29.786999999999999</v>
      </c>
      <c r="V44" s="897">
        <f t="shared" si="8"/>
        <v>30</v>
      </c>
      <c r="W44" s="739">
        <v>2.0499999999999998</v>
      </c>
      <c r="X44" s="897">
        <f t="shared" si="9"/>
        <v>2</v>
      </c>
      <c r="Y44" s="739">
        <v>6.1639999999999997</v>
      </c>
      <c r="Z44" s="897">
        <f t="shared" si="10"/>
        <v>6</v>
      </c>
      <c r="AA44" s="739">
        <v>0</v>
      </c>
      <c r="AB44" s="739">
        <v>0</v>
      </c>
      <c r="AC44" s="739">
        <v>301.01499999999999</v>
      </c>
      <c r="AD44" s="739">
        <v>23.155000000000001</v>
      </c>
      <c r="AE44" s="739">
        <v>0</v>
      </c>
      <c r="AF44" s="739">
        <v>0</v>
      </c>
      <c r="AG44" s="739">
        <v>2.6739999999999999</v>
      </c>
      <c r="AH44" s="739">
        <v>5.7000000000000002E-2</v>
      </c>
    </row>
    <row r="45" spans="1:35" s="374" customFormat="1" ht="18.45" hidden="1">
      <c r="A45" s="389" t="s">
        <v>499</v>
      </c>
      <c r="B45" s="524" t="s">
        <v>418</v>
      </c>
      <c r="C45" s="739">
        <v>324.07299999999998</v>
      </c>
      <c r="D45" s="897">
        <f t="shared" si="11"/>
        <v>320</v>
      </c>
      <c r="E45" s="739">
        <v>154.97300000000001</v>
      </c>
      <c r="F45" s="897">
        <f t="shared" si="1"/>
        <v>150</v>
      </c>
      <c r="G45" s="739">
        <v>17.219000000000001</v>
      </c>
      <c r="H45" s="739">
        <f t="shared" si="2"/>
        <v>17</v>
      </c>
      <c r="I45" s="739">
        <v>10.958</v>
      </c>
      <c r="J45" s="739">
        <f t="shared" si="3"/>
        <v>11</v>
      </c>
      <c r="K45" s="739">
        <v>0</v>
      </c>
      <c r="L45" s="739">
        <v>0</v>
      </c>
      <c r="M45" s="739">
        <v>101.75</v>
      </c>
      <c r="N45" s="897">
        <f t="shared" si="4"/>
        <v>100</v>
      </c>
      <c r="O45" s="739">
        <v>226.26900000000001</v>
      </c>
      <c r="P45" s="897">
        <f t="shared" si="5"/>
        <v>230</v>
      </c>
      <c r="Q45" s="739">
        <v>36.844999999999999</v>
      </c>
      <c r="R45" s="897">
        <f t="shared" si="6"/>
        <v>37</v>
      </c>
      <c r="S45" s="739">
        <v>0</v>
      </c>
      <c r="T45" s="739">
        <f t="shared" si="7"/>
        <v>0</v>
      </c>
      <c r="U45" s="739">
        <v>29.859000000000002</v>
      </c>
      <c r="V45" s="897">
        <f t="shared" si="8"/>
        <v>30</v>
      </c>
      <c r="W45" s="739">
        <v>1.6819999999999999</v>
      </c>
      <c r="X45" s="897">
        <f t="shared" si="9"/>
        <v>2</v>
      </c>
      <c r="Y45" s="739">
        <v>6.2619999999999996</v>
      </c>
      <c r="Z45" s="897">
        <f t="shared" si="10"/>
        <v>6</v>
      </c>
      <c r="AA45" s="739">
        <v>0</v>
      </c>
      <c r="AB45" s="739">
        <v>0</v>
      </c>
      <c r="AC45" s="739">
        <v>305.63799999999998</v>
      </c>
      <c r="AD45" s="739">
        <v>23.510999999999999</v>
      </c>
      <c r="AE45" s="739">
        <v>0</v>
      </c>
      <c r="AF45" s="739">
        <v>0</v>
      </c>
      <c r="AG45" s="739">
        <v>2.0049999999999999</v>
      </c>
      <c r="AH45" s="739">
        <v>4.2999999999999997E-2</v>
      </c>
    </row>
    <row r="46" spans="1:35" s="374" customFormat="1" ht="18.45" hidden="1">
      <c r="A46" s="389" t="s">
        <v>499</v>
      </c>
      <c r="B46" s="524" t="s">
        <v>398</v>
      </c>
      <c r="C46" s="741">
        <v>323.78699999999998</v>
      </c>
      <c r="D46" s="897">
        <f t="shared" si="11"/>
        <v>320</v>
      </c>
      <c r="E46" s="741">
        <v>154.029</v>
      </c>
      <c r="F46" s="897">
        <f t="shared" si="1"/>
        <v>150</v>
      </c>
      <c r="G46" s="741">
        <v>17.114000000000001</v>
      </c>
      <c r="H46" s="739">
        <f t="shared" si="2"/>
        <v>17</v>
      </c>
      <c r="I46" s="741">
        <v>10.891</v>
      </c>
      <c r="J46" s="739">
        <f t="shared" si="3"/>
        <v>11</v>
      </c>
      <c r="K46" s="741">
        <v>0</v>
      </c>
      <c r="L46" s="739">
        <v>0</v>
      </c>
      <c r="M46" s="741">
        <v>101.13</v>
      </c>
      <c r="N46" s="897">
        <f t="shared" si="4"/>
        <v>100</v>
      </c>
      <c r="O46" s="741">
        <v>228.02600000000001</v>
      </c>
      <c r="P46" s="897">
        <f t="shared" si="5"/>
        <v>230</v>
      </c>
      <c r="Q46" s="741">
        <v>37.634999999999998</v>
      </c>
      <c r="R46" s="897">
        <f t="shared" si="6"/>
        <v>38</v>
      </c>
      <c r="S46" s="741">
        <v>0</v>
      </c>
      <c r="T46" s="739">
        <f t="shared" si="7"/>
        <v>0</v>
      </c>
      <c r="U46" s="741">
        <v>29.934999999999999</v>
      </c>
      <c r="V46" s="897">
        <f t="shared" si="8"/>
        <v>30</v>
      </c>
      <c r="W46" s="741">
        <v>1.93</v>
      </c>
      <c r="X46" s="897">
        <f t="shared" si="9"/>
        <v>2</v>
      </c>
      <c r="Y46" s="741">
        <v>6.2229999999999999</v>
      </c>
      <c r="Z46" s="897">
        <f t="shared" si="10"/>
        <v>6</v>
      </c>
      <c r="AA46" s="741">
        <v>0</v>
      </c>
      <c r="AB46" s="741">
        <v>0</v>
      </c>
      <c r="AC46" s="741">
        <v>303.93900000000002</v>
      </c>
      <c r="AD46" s="741">
        <v>23.38</v>
      </c>
      <c r="AE46" s="741">
        <v>3.4000000000000002E-2</v>
      </c>
      <c r="AF46" s="741">
        <v>0.189</v>
      </c>
      <c r="AG46" s="741">
        <v>4.8550000000000004</v>
      </c>
      <c r="AH46" s="741">
        <v>0.10299999999999999</v>
      </c>
    </row>
    <row r="47" spans="1:35" s="374" customFormat="1" ht="18.45" hidden="1">
      <c r="A47" s="389" t="s">
        <v>499</v>
      </c>
      <c r="B47" s="524" t="s">
        <v>361</v>
      </c>
      <c r="C47" s="739">
        <v>340.392</v>
      </c>
      <c r="D47" s="897">
        <f t="shared" si="11"/>
        <v>340</v>
      </c>
      <c r="E47" s="739">
        <v>142.38200000000001</v>
      </c>
      <c r="F47" s="897">
        <f t="shared" si="1"/>
        <v>140</v>
      </c>
      <c r="G47" s="739">
        <v>15.82</v>
      </c>
      <c r="H47" s="739">
        <f t="shared" si="2"/>
        <v>16</v>
      </c>
      <c r="I47" s="739">
        <v>9.4920000000000009</v>
      </c>
      <c r="J47" s="739">
        <f t="shared" si="3"/>
        <v>9</v>
      </c>
      <c r="K47" s="739">
        <v>0</v>
      </c>
      <c r="L47" s="739">
        <v>0</v>
      </c>
      <c r="M47" s="739">
        <v>87.010999999999996</v>
      </c>
      <c r="N47" s="897">
        <f t="shared" si="4"/>
        <v>85</v>
      </c>
      <c r="O47" s="739">
        <v>230.46100000000001</v>
      </c>
      <c r="P47" s="897">
        <f t="shared" si="5"/>
        <v>230</v>
      </c>
      <c r="Q47" s="739">
        <v>42.715000000000003</v>
      </c>
      <c r="R47" s="897">
        <f t="shared" si="6"/>
        <v>43</v>
      </c>
      <c r="S47" s="739">
        <v>0</v>
      </c>
      <c r="T47" s="739">
        <f t="shared" si="7"/>
        <v>0</v>
      </c>
      <c r="U47" s="739">
        <v>35</v>
      </c>
      <c r="V47" s="897">
        <f t="shared" si="8"/>
        <v>35</v>
      </c>
      <c r="W47" s="739">
        <v>1.778</v>
      </c>
      <c r="X47" s="897">
        <f t="shared" si="9"/>
        <v>2</v>
      </c>
      <c r="Y47" s="739">
        <v>6.3280000000000003</v>
      </c>
      <c r="Z47" s="897">
        <f t="shared" si="10"/>
        <v>6</v>
      </c>
      <c r="AA47" s="739">
        <v>0</v>
      </c>
      <c r="AB47" s="739">
        <v>0</v>
      </c>
      <c r="AC47" s="739">
        <v>205.999</v>
      </c>
      <c r="AD47" s="739">
        <v>15.846</v>
      </c>
      <c r="AE47" s="739">
        <v>1.7090000000000001</v>
      </c>
      <c r="AF47" s="739">
        <v>9.4920000000000009</v>
      </c>
      <c r="AG47" s="739">
        <v>1.4890000000000001</v>
      </c>
      <c r="AH47" s="739">
        <v>3.2000000000000001E-2</v>
      </c>
    </row>
    <row r="48" spans="1:35" s="374" customFormat="1" ht="18.45" hidden="1">
      <c r="A48" s="389" t="s">
        <v>499</v>
      </c>
      <c r="B48" s="524" t="s">
        <v>360</v>
      </c>
      <c r="C48" s="739">
        <v>324.572</v>
      </c>
      <c r="D48" s="897">
        <f t="shared" si="11"/>
        <v>320</v>
      </c>
      <c r="E48" s="739">
        <v>156.62</v>
      </c>
      <c r="F48" s="897">
        <f t="shared" si="1"/>
        <v>160</v>
      </c>
      <c r="G48" s="739">
        <v>17.402000000000001</v>
      </c>
      <c r="H48" s="739">
        <f t="shared" si="2"/>
        <v>17</v>
      </c>
      <c r="I48" s="739">
        <v>11.074</v>
      </c>
      <c r="J48" s="739">
        <f t="shared" si="3"/>
        <v>11</v>
      </c>
      <c r="K48" s="739">
        <v>0</v>
      </c>
      <c r="L48" s="739">
        <v>0</v>
      </c>
      <c r="M48" s="739">
        <v>102.831</v>
      </c>
      <c r="N48" s="897">
        <f t="shared" si="4"/>
        <v>105</v>
      </c>
      <c r="O48" s="739">
        <v>270.01100000000002</v>
      </c>
      <c r="P48" s="897">
        <f t="shared" si="5"/>
        <v>270</v>
      </c>
      <c r="Q48" s="739">
        <v>36.386000000000003</v>
      </c>
      <c r="R48" s="897">
        <f t="shared" si="6"/>
        <v>36</v>
      </c>
      <c r="S48" s="739">
        <v>0</v>
      </c>
      <c r="T48" s="739">
        <f t="shared" si="7"/>
        <v>0</v>
      </c>
      <c r="U48" s="739">
        <v>30.254000000000001</v>
      </c>
      <c r="V48" s="897">
        <f t="shared" si="8"/>
        <v>30</v>
      </c>
      <c r="W48" s="739">
        <v>1.778</v>
      </c>
      <c r="X48" s="897">
        <f t="shared" si="9"/>
        <v>2</v>
      </c>
      <c r="Y48" s="739">
        <v>6.3280000000000003</v>
      </c>
      <c r="Z48" s="897">
        <f t="shared" si="10"/>
        <v>6</v>
      </c>
      <c r="AA48" s="739">
        <v>0</v>
      </c>
      <c r="AB48" s="739">
        <v>0</v>
      </c>
      <c r="AC48" s="739">
        <v>308.83</v>
      </c>
      <c r="AD48" s="739">
        <v>23.756</v>
      </c>
      <c r="AE48" s="739">
        <v>0</v>
      </c>
      <c r="AF48" s="739">
        <v>0</v>
      </c>
      <c r="AG48" s="739">
        <v>1.4890000000000001</v>
      </c>
      <c r="AH48" s="739">
        <v>3.2000000000000001E-2</v>
      </c>
    </row>
    <row r="49" spans="1:34" s="374" customFormat="1" ht="18.45" hidden="1">
      <c r="A49" s="389" t="s">
        <v>499</v>
      </c>
      <c r="B49" s="525" t="s">
        <v>117</v>
      </c>
      <c r="C49" s="739">
        <v>322.38900000000001</v>
      </c>
      <c r="D49" s="897">
        <f t="shared" si="11"/>
        <v>320</v>
      </c>
      <c r="E49" s="739">
        <v>153.46100000000001</v>
      </c>
      <c r="F49" s="897">
        <f t="shared" si="1"/>
        <v>150</v>
      </c>
      <c r="G49" s="739">
        <v>17.050999999999998</v>
      </c>
      <c r="H49" s="739">
        <f t="shared" si="2"/>
        <v>17</v>
      </c>
      <c r="I49" s="739">
        <v>10.851000000000001</v>
      </c>
      <c r="J49" s="739">
        <f t="shared" si="3"/>
        <v>11</v>
      </c>
      <c r="K49" s="739">
        <v>0</v>
      </c>
      <c r="L49" s="739">
        <v>0</v>
      </c>
      <c r="M49" s="739">
        <v>100.75700000000001</v>
      </c>
      <c r="N49" s="897">
        <f t="shared" si="4"/>
        <v>100</v>
      </c>
      <c r="O49" s="739">
        <v>219.41399999999999</v>
      </c>
      <c r="P49" s="897">
        <f t="shared" si="5"/>
        <v>220</v>
      </c>
      <c r="Q49" s="739">
        <v>38.76</v>
      </c>
      <c r="R49" s="897">
        <f t="shared" si="6"/>
        <v>39</v>
      </c>
      <c r="S49" s="739">
        <v>0</v>
      </c>
      <c r="T49" s="739">
        <f t="shared" si="7"/>
        <v>0</v>
      </c>
      <c r="U49" s="739">
        <v>29.933</v>
      </c>
      <c r="V49" s="897">
        <f t="shared" si="8"/>
        <v>30</v>
      </c>
      <c r="W49" s="739">
        <v>2.0310000000000001</v>
      </c>
      <c r="X49" s="897">
        <f t="shared" si="9"/>
        <v>2</v>
      </c>
      <c r="Y49" s="739">
        <v>6.2</v>
      </c>
      <c r="Z49" s="897">
        <f t="shared" si="10"/>
        <v>6</v>
      </c>
      <c r="AA49" s="739">
        <v>0</v>
      </c>
      <c r="AB49" s="739">
        <v>0</v>
      </c>
      <c r="AC49" s="739">
        <v>302.79300000000001</v>
      </c>
      <c r="AD49" s="739">
        <v>23.292000000000002</v>
      </c>
      <c r="AE49" s="739">
        <v>0</v>
      </c>
      <c r="AF49" s="739">
        <v>0</v>
      </c>
      <c r="AG49" s="739">
        <v>2.3559999999999999</v>
      </c>
      <c r="AH49" s="739">
        <v>0.05</v>
      </c>
    </row>
    <row r="50" spans="1:34" s="374" customFormat="1" ht="18.45" hidden="1">
      <c r="A50" s="389" t="s">
        <v>499</v>
      </c>
      <c r="B50" s="524" t="s">
        <v>66</v>
      </c>
      <c r="C50" s="739">
        <v>324.18</v>
      </c>
      <c r="D50" s="897">
        <f t="shared" si="11"/>
        <v>320</v>
      </c>
      <c r="E50" s="739">
        <v>156.84</v>
      </c>
      <c r="F50" s="897">
        <f t="shared" si="1"/>
        <v>160</v>
      </c>
      <c r="G50" s="739">
        <v>17.427</v>
      </c>
      <c r="H50" s="739">
        <f t="shared" si="2"/>
        <v>17</v>
      </c>
      <c r="I50" s="739">
        <v>11.09</v>
      </c>
      <c r="J50" s="739">
        <f t="shared" si="3"/>
        <v>11</v>
      </c>
      <c r="K50" s="739">
        <v>0</v>
      </c>
      <c r="L50" s="739">
        <v>0</v>
      </c>
      <c r="M50" s="739">
        <v>102.976</v>
      </c>
      <c r="N50" s="897">
        <f t="shared" si="4"/>
        <v>105</v>
      </c>
      <c r="O50" s="739">
        <v>223.16900000000001</v>
      </c>
      <c r="P50" s="897">
        <f t="shared" si="5"/>
        <v>220</v>
      </c>
      <c r="Q50" s="739">
        <v>38.316000000000003</v>
      </c>
      <c r="R50" s="897">
        <f t="shared" si="6"/>
        <v>38</v>
      </c>
      <c r="S50" s="739">
        <v>0</v>
      </c>
      <c r="T50" s="739">
        <f t="shared" si="7"/>
        <v>0</v>
      </c>
      <c r="U50" s="739">
        <v>29.754000000000001</v>
      </c>
      <c r="V50" s="897">
        <f t="shared" si="8"/>
        <v>30</v>
      </c>
      <c r="W50" s="739">
        <v>1.2370000000000001</v>
      </c>
      <c r="X50" s="897">
        <f t="shared" si="9"/>
        <v>1</v>
      </c>
      <c r="Y50" s="739">
        <v>6.3369999999999997</v>
      </c>
      <c r="Z50" s="897">
        <f t="shared" si="10"/>
        <v>6</v>
      </c>
      <c r="AA50" s="739">
        <v>0</v>
      </c>
      <c r="AB50" s="739">
        <v>0</v>
      </c>
      <c r="AC50" s="739">
        <v>309.202</v>
      </c>
      <c r="AD50" s="739">
        <v>23.785</v>
      </c>
      <c r="AE50" s="739">
        <v>0</v>
      </c>
      <c r="AF50" s="739">
        <v>0</v>
      </c>
      <c r="AG50" s="739">
        <v>1.375</v>
      </c>
      <c r="AH50" s="739">
        <v>2.9000000000000001E-2</v>
      </c>
    </row>
    <row r="51" spans="1:34" s="374" customFormat="1" ht="18.75" hidden="1" customHeight="1">
      <c r="A51" s="389" t="s">
        <v>143</v>
      </c>
      <c r="B51" s="501" t="s">
        <v>455</v>
      </c>
      <c r="C51" s="775">
        <v>100.735</v>
      </c>
      <c r="D51" s="897">
        <f t="shared" si="11"/>
        <v>100</v>
      </c>
      <c r="E51" s="775">
        <v>0.747</v>
      </c>
      <c r="F51" s="897">
        <f t="shared" si="1"/>
        <v>0</v>
      </c>
      <c r="G51" s="775">
        <v>8.3000000000000004E-2</v>
      </c>
      <c r="H51" s="739">
        <f t="shared" si="2"/>
        <v>0</v>
      </c>
      <c r="I51" s="775">
        <v>0</v>
      </c>
      <c r="J51" s="739">
        <f t="shared" si="3"/>
        <v>0</v>
      </c>
      <c r="K51" s="775">
        <v>0</v>
      </c>
      <c r="L51" s="739">
        <v>0</v>
      </c>
      <c r="M51" s="775">
        <v>0</v>
      </c>
      <c r="N51" s="897">
        <f t="shared" si="4"/>
        <v>0</v>
      </c>
      <c r="O51" s="775">
        <v>22.035</v>
      </c>
      <c r="P51" s="897">
        <f t="shared" si="5"/>
        <v>20</v>
      </c>
      <c r="Q51" s="775">
        <v>25.366</v>
      </c>
      <c r="R51" s="897">
        <f>IF(Q51&lt;0.5,0,IF(Q51&gt;1,MROUND(Q51,1),"less than 1 g"))</f>
        <v>25</v>
      </c>
      <c r="S51" s="775">
        <v>0.60399999999999998</v>
      </c>
      <c r="T51" s="739" t="str">
        <f>IF(S51&lt;0.5,0,IF(S51&gt;1,MROUND(S51,1),"less than 1 g"))</f>
        <v>less than 1 g</v>
      </c>
      <c r="U51" s="775">
        <v>19.568999999999999</v>
      </c>
      <c r="V51" s="897">
        <f>IF(U51&lt;0.5,0,IF(U51&gt;1,MROUND(U51,1),"less than 1 g"))</f>
        <v>20</v>
      </c>
      <c r="W51" s="775">
        <v>19.568000000000001</v>
      </c>
      <c r="X51" s="897">
        <f t="shared" si="9"/>
        <v>20</v>
      </c>
      <c r="Y51" s="775">
        <v>0</v>
      </c>
      <c r="Z51" s="897">
        <f t="shared" si="10"/>
        <v>0</v>
      </c>
      <c r="AA51" s="776">
        <v>0</v>
      </c>
      <c r="AB51" s="776">
        <v>0</v>
      </c>
      <c r="AC51" s="776">
        <v>0</v>
      </c>
      <c r="AD51" s="776">
        <v>0</v>
      </c>
      <c r="AE51" s="776">
        <v>9.5000000000000001E-2</v>
      </c>
      <c r="AF51" s="776">
        <v>0.52900000000000003</v>
      </c>
      <c r="AG51" s="776">
        <v>46.533999999999999</v>
      </c>
      <c r="AH51" s="777">
        <v>0.99</v>
      </c>
    </row>
    <row r="52" spans="1:34" s="374" customFormat="1" ht="18.45" hidden="1">
      <c r="A52" s="389" t="s">
        <v>143</v>
      </c>
      <c r="B52" s="501" t="s">
        <v>461</v>
      </c>
      <c r="C52" s="654">
        <v>100.05800000000001</v>
      </c>
      <c r="D52" s="897">
        <f t="shared" si="11"/>
        <v>100</v>
      </c>
      <c r="E52" s="654">
        <v>64.247</v>
      </c>
      <c r="F52" s="897">
        <f t="shared" si="1"/>
        <v>60</v>
      </c>
      <c r="G52" s="654">
        <v>7.1390000000000002</v>
      </c>
      <c r="H52" s="739">
        <f t="shared" si="2"/>
        <v>7</v>
      </c>
      <c r="I52" s="654">
        <v>3.1589999999999998</v>
      </c>
      <c r="J52" s="739">
        <f t="shared" si="3"/>
        <v>3</v>
      </c>
      <c r="K52" s="654">
        <v>0.1</v>
      </c>
      <c r="L52" s="739">
        <v>0</v>
      </c>
      <c r="M52" s="654">
        <v>7.242</v>
      </c>
      <c r="N52" s="897">
        <f t="shared" si="4"/>
        <v>5</v>
      </c>
      <c r="O52" s="654">
        <v>8.8729999999999993</v>
      </c>
      <c r="P52" s="897">
        <f t="shared" si="5"/>
        <v>10</v>
      </c>
      <c r="Q52" s="654">
        <v>8.8729999999999993</v>
      </c>
      <c r="R52" s="897">
        <f t="shared" si="6"/>
        <v>9</v>
      </c>
      <c r="S52" s="739">
        <v>0.57899999999999996</v>
      </c>
      <c r="T52" s="739" t="str">
        <f t="shared" si="7"/>
        <v>less than 1 g</v>
      </c>
      <c r="U52" s="654">
        <v>8.0549999999999997</v>
      </c>
      <c r="V52" s="897">
        <f t="shared" si="8"/>
        <v>8</v>
      </c>
      <c r="W52" s="654">
        <v>7.7549999999999999</v>
      </c>
      <c r="X52" s="897">
        <f t="shared" si="9"/>
        <v>8</v>
      </c>
      <c r="Y52" s="654">
        <v>0.95199999999999996</v>
      </c>
      <c r="Z52" s="897" t="str">
        <f t="shared" si="10"/>
        <v>less than 1 g</v>
      </c>
      <c r="AA52" s="654">
        <v>2.1000000000000001E-2</v>
      </c>
      <c r="AB52" s="654">
        <v>0.107</v>
      </c>
      <c r="AC52" s="654">
        <v>13.824</v>
      </c>
      <c r="AD52" s="654">
        <v>1.0629999999999999</v>
      </c>
      <c r="AE52" s="654">
        <v>0.246</v>
      </c>
      <c r="AF52" s="654">
        <v>1.369</v>
      </c>
      <c r="AG52" s="654">
        <v>42.262</v>
      </c>
      <c r="AH52" s="654">
        <v>0.89900000000000002</v>
      </c>
    </row>
    <row r="53" spans="1:34" s="374" customFormat="1" ht="18.75" hidden="1" customHeight="1">
      <c r="A53" s="389" t="s">
        <v>143</v>
      </c>
      <c r="B53" s="501" t="s">
        <v>462</v>
      </c>
      <c r="C53" s="654">
        <v>153.042</v>
      </c>
      <c r="D53" s="897">
        <f t="shared" si="11"/>
        <v>150</v>
      </c>
      <c r="E53" s="654">
        <v>86.084999999999994</v>
      </c>
      <c r="F53" s="897">
        <f t="shared" si="1"/>
        <v>90</v>
      </c>
      <c r="G53" s="654">
        <v>9.5649999999999995</v>
      </c>
      <c r="H53" s="739">
        <f t="shared" si="2"/>
        <v>10</v>
      </c>
      <c r="I53" s="654">
        <v>8.6210000000000004</v>
      </c>
      <c r="J53" s="739">
        <f t="shared" si="3"/>
        <v>9</v>
      </c>
      <c r="K53" s="654">
        <v>1.7000000000000001E-2</v>
      </c>
      <c r="L53" s="739">
        <v>0</v>
      </c>
      <c r="M53" s="654">
        <v>0.57799999999999996</v>
      </c>
      <c r="N53" s="897">
        <f t="shared" si="4"/>
        <v>0</v>
      </c>
      <c r="O53" s="654">
        <v>12.138999999999999</v>
      </c>
      <c r="P53" s="897">
        <f t="shared" si="5"/>
        <v>10</v>
      </c>
      <c r="Q53" s="654">
        <v>16.72</v>
      </c>
      <c r="R53" s="897">
        <f t="shared" si="6"/>
        <v>17</v>
      </c>
      <c r="S53" s="739">
        <v>1.0089999999999999</v>
      </c>
      <c r="T53" s="739">
        <f t="shared" si="7"/>
        <v>1</v>
      </c>
      <c r="U53" s="654">
        <v>15.186999999999999</v>
      </c>
      <c r="V53" s="897">
        <f t="shared" si="8"/>
        <v>15</v>
      </c>
      <c r="W53" s="654">
        <v>13.891</v>
      </c>
      <c r="X53" s="897">
        <f t="shared" si="9"/>
        <v>14</v>
      </c>
      <c r="Y53" s="654">
        <v>1.4430000000000001</v>
      </c>
      <c r="Z53" s="897">
        <f t="shared" si="10"/>
        <v>1</v>
      </c>
      <c r="AA53" s="654">
        <v>0.35699999999999998</v>
      </c>
      <c r="AB53" s="654">
        <v>1.786</v>
      </c>
      <c r="AC53" s="654">
        <v>32.036999999999999</v>
      </c>
      <c r="AD53" s="654">
        <v>2.464</v>
      </c>
      <c r="AE53" s="654">
        <v>1.157</v>
      </c>
      <c r="AF53" s="654">
        <v>6.4260000000000002</v>
      </c>
      <c r="AG53" s="654">
        <v>96.965000000000003</v>
      </c>
      <c r="AH53" s="828">
        <v>2.0630000000000002</v>
      </c>
    </row>
    <row r="54" spans="1:34" s="374" customFormat="1" ht="18.45" hidden="1">
      <c r="A54" s="389" t="s">
        <v>143</v>
      </c>
      <c r="B54" s="327" t="s">
        <v>144</v>
      </c>
      <c r="C54" s="555">
        <v>111.661</v>
      </c>
      <c r="D54" s="897">
        <f t="shared" si="11"/>
        <v>110</v>
      </c>
      <c r="E54" s="555">
        <v>55.951999999999998</v>
      </c>
      <c r="F54" s="897">
        <f t="shared" si="1"/>
        <v>60</v>
      </c>
      <c r="G54" s="555">
        <v>6.2169999999999996</v>
      </c>
      <c r="H54" s="739">
        <f t="shared" si="2"/>
        <v>6</v>
      </c>
      <c r="I54" s="555">
        <v>3.73</v>
      </c>
      <c r="J54" s="739">
        <f t="shared" si="3"/>
        <v>3.5</v>
      </c>
      <c r="K54" s="555">
        <v>0</v>
      </c>
      <c r="L54" s="739">
        <v>0</v>
      </c>
      <c r="M54" s="555">
        <v>0</v>
      </c>
      <c r="N54" s="897">
        <f t="shared" si="4"/>
        <v>0</v>
      </c>
      <c r="O54" s="555">
        <v>4.9000000000000002E-2</v>
      </c>
      <c r="P54" s="897">
        <f t="shared" si="5"/>
        <v>0</v>
      </c>
      <c r="Q54" s="555">
        <v>16.603000000000002</v>
      </c>
      <c r="R54" s="897">
        <f t="shared" si="6"/>
        <v>17</v>
      </c>
      <c r="S54" s="555">
        <v>1.7549999999999999</v>
      </c>
      <c r="T54" s="739">
        <f t="shared" si="7"/>
        <v>2</v>
      </c>
      <c r="U54" s="555">
        <v>13.726000000000001</v>
      </c>
      <c r="V54" s="897">
        <f t="shared" si="8"/>
        <v>14</v>
      </c>
      <c r="W54" s="555">
        <v>0</v>
      </c>
      <c r="X54" s="897">
        <f t="shared" si="9"/>
        <v>0</v>
      </c>
      <c r="Y54" s="555">
        <v>1.121</v>
      </c>
      <c r="Z54" s="897">
        <f t="shared" si="10"/>
        <v>1</v>
      </c>
      <c r="AA54" s="773">
        <v>0</v>
      </c>
      <c r="AB54" s="773">
        <v>0</v>
      </c>
      <c r="AC54" s="773">
        <v>8.5329999999999995</v>
      </c>
      <c r="AD54" s="773">
        <v>0.65600000000000003</v>
      </c>
      <c r="AE54" s="773">
        <v>1.9159999999999999</v>
      </c>
      <c r="AF54" s="773">
        <v>10.646000000000001</v>
      </c>
      <c r="AG54" s="773">
        <v>97.911000000000001</v>
      </c>
      <c r="AH54" s="774">
        <v>2.0830000000000002</v>
      </c>
    </row>
    <row r="55" spans="1:34" s="374" customFormat="1" ht="18.45" hidden="1">
      <c r="A55" s="389" t="s">
        <v>143</v>
      </c>
      <c r="B55" s="327" t="s">
        <v>145</v>
      </c>
      <c r="C55" s="555">
        <v>54.722999999999999</v>
      </c>
      <c r="D55" s="897">
        <f t="shared" si="11"/>
        <v>50</v>
      </c>
      <c r="E55" s="555">
        <v>17.059000000000001</v>
      </c>
      <c r="F55" s="897">
        <f t="shared" si="1"/>
        <v>15</v>
      </c>
      <c r="G55" s="555">
        <v>1.895</v>
      </c>
      <c r="H55" s="739">
        <f t="shared" si="2"/>
        <v>2</v>
      </c>
      <c r="I55" s="555">
        <v>0.77800000000000002</v>
      </c>
      <c r="J55" s="739">
        <f t="shared" si="3"/>
        <v>1</v>
      </c>
      <c r="K55" s="555">
        <v>3.9E-2</v>
      </c>
      <c r="L55" s="739">
        <v>0</v>
      </c>
      <c r="M55" s="555">
        <v>2.306</v>
      </c>
      <c r="N55" s="897" t="str">
        <f t="shared" si="4"/>
        <v>less than 5 mg</v>
      </c>
      <c r="O55" s="555">
        <v>4.7809999999999997</v>
      </c>
      <c r="P55" s="897">
        <f t="shared" si="5"/>
        <v>0</v>
      </c>
      <c r="Q55" s="555">
        <v>9.1460000000000008</v>
      </c>
      <c r="R55" s="897">
        <f t="shared" si="6"/>
        <v>9</v>
      </c>
      <c r="S55" s="555">
        <v>0.45400000000000001</v>
      </c>
      <c r="T55" s="739">
        <f t="shared" si="7"/>
        <v>0</v>
      </c>
      <c r="U55" s="555">
        <v>4.7809999999999997</v>
      </c>
      <c r="V55" s="897">
        <f t="shared" si="8"/>
        <v>5</v>
      </c>
      <c r="W55" s="555">
        <v>4.7679999999999998</v>
      </c>
      <c r="X55" s="897">
        <f t="shared" si="9"/>
        <v>5</v>
      </c>
      <c r="Y55" s="555">
        <v>0.62</v>
      </c>
      <c r="Z55" s="897" t="str">
        <f t="shared" si="10"/>
        <v>less than 1 g</v>
      </c>
      <c r="AA55" s="773">
        <v>0</v>
      </c>
      <c r="AB55" s="773">
        <v>0</v>
      </c>
      <c r="AC55" s="773">
        <v>2.6960000000000002</v>
      </c>
      <c r="AD55" s="773">
        <v>0.20699999999999999</v>
      </c>
      <c r="AE55" s="773">
        <v>0.32800000000000001</v>
      </c>
      <c r="AF55" s="773">
        <v>1.823</v>
      </c>
      <c r="AG55" s="773">
        <v>40.585000000000001</v>
      </c>
      <c r="AH55" s="774">
        <v>0.86399999999999999</v>
      </c>
    </row>
    <row r="56" spans="1:34" s="374" customFormat="1" ht="18.45" hidden="1">
      <c r="A56" s="389" t="s">
        <v>143</v>
      </c>
      <c r="B56" s="327" t="s">
        <v>146</v>
      </c>
      <c r="C56" s="555">
        <v>73.915999999999997</v>
      </c>
      <c r="D56" s="897">
        <f t="shared" si="11"/>
        <v>70</v>
      </c>
      <c r="E56" s="555">
        <v>22.012</v>
      </c>
      <c r="F56" s="897">
        <f t="shared" si="1"/>
        <v>20</v>
      </c>
      <c r="G56" s="555">
        <v>2.4460000000000002</v>
      </c>
      <c r="H56" s="739">
        <f t="shared" si="2"/>
        <v>2.5</v>
      </c>
      <c r="I56" s="555">
        <v>1.002</v>
      </c>
      <c r="J56" s="739">
        <f t="shared" si="3"/>
        <v>1</v>
      </c>
      <c r="K56" s="555">
        <v>5.0999999999999997E-2</v>
      </c>
      <c r="L56" s="739">
        <v>0</v>
      </c>
      <c r="M56" s="555">
        <v>2.9769999999999999</v>
      </c>
      <c r="N56" s="897" t="str">
        <f t="shared" si="4"/>
        <v>less than 5 mg</v>
      </c>
      <c r="O56" s="555">
        <v>45.311</v>
      </c>
      <c r="P56" s="897">
        <f t="shared" si="5"/>
        <v>45</v>
      </c>
      <c r="Q56" s="555">
        <v>12.352</v>
      </c>
      <c r="R56" s="897">
        <f t="shared" si="6"/>
        <v>12</v>
      </c>
      <c r="S56" s="555">
        <v>0.223</v>
      </c>
      <c r="T56" s="739">
        <f t="shared" si="7"/>
        <v>0</v>
      </c>
      <c r="U56" s="555">
        <v>6.9580000000000002</v>
      </c>
      <c r="V56" s="897">
        <f t="shared" si="8"/>
        <v>7</v>
      </c>
      <c r="W56" s="555">
        <v>6.9420000000000002</v>
      </c>
      <c r="X56" s="897">
        <f t="shared" si="9"/>
        <v>7</v>
      </c>
      <c r="Y56" s="555">
        <v>0.55200000000000005</v>
      </c>
      <c r="Z56" s="897" t="str">
        <f t="shared" si="10"/>
        <v>less than 1 g</v>
      </c>
      <c r="AA56" s="773">
        <v>2E-3</v>
      </c>
      <c r="AB56" s="773">
        <v>8.9999999999999993E-3</v>
      </c>
      <c r="AC56" s="773">
        <v>3.0369999999999999</v>
      </c>
      <c r="AD56" s="773">
        <v>0.23400000000000001</v>
      </c>
      <c r="AE56" s="773">
        <v>0.161</v>
      </c>
      <c r="AF56" s="773">
        <v>0.89700000000000002</v>
      </c>
      <c r="AG56" s="773">
        <v>17.439</v>
      </c>
      <c r="AH56" s="774">
        <v>0.371</v>
      </c>
    </row>
    <row r="57" spans="1:34" s="374" customFormat="1" ht="18.45" hidden="1">
      <c r="A57" s="389" t="s">
        <v>143</v>
      </c>
      <c r="B57" s="328" t="s">
        <v>147</v>
      </c>
      <c r="C57" s="536">
        <v>147.85400000000001</v>
      </c>
      <c r="D57" s="897">
        <f t="shared" si="11"/>
        <v>150</v>
      </c>
      <c r="E57" s="536">
        <v>116.727</v>
      </c>
      <c r="F57" s="897">
        <f t="shared" si="1"/>
        <v>120</v>
      </c>
      <c r="G57" s="536">
        <v>12.97</v>
      </c>
      <c r="H57" s="739">
        <f t="shared" si="2"/>
        <v>13</v>
      </c>
      <c r="I57" s="536">
        <v>1.8160000000000001</v>
      </c>
      <c r="J57" s="739">
        <f t="shared" si="3"/>
        <v>2</v>
      </c>
      <c r="K57" s="536">
        <v>0</v>
      </c>
      <c r="L57" s="739">
        <v>0</v>
      </c>
      <c r="M57" s="536">
        <v>0</v>
      </c>
      <c r="N57" s="897">
        <f t="shared" si="4"/>
        <v>0</v>
      </c>
      <c r="O57" s="536">
        <v>1.2969999999999999</v>
      </c>
      <c r="P57" s="897">
        <f t="shared" si="5"/>
        <v>0</v>
      </c>
      <c r="Q57" s="536">
        <v>5.4470000000000001</v>
      </c>
      <c r="R57" s="897">
        <f t="shared" si="6"/>
        <v>5</v>
      </c>
      <c r="S57" s="536">
        <v>1.8160000000000001</v>
      </c>
      <c r="T57" s="739">
        <f t="shared" si="7"/>
        <v>2</v>
      </c>
      <c r="U57" s="536">
        <v>0.93400000000000005</v>
      </c>
      <c r="V57" s="897" t="str">
        <f t="shared" si="8"/>
        <v>less than 1 g</v>
      </c>
      <c r="W57" s="536">
        <v>0</v>
      </c>
      <c r="X57" s="897">
        <f t="shared" si="9"/>
        <v>0</v>
      </c>
      <c r="Y57" s="536">
        <v>6.4850000000000003</v>
      </c>
      <c r="Z57" s="897">
        <f t="shared" si="10"/>
        <v>6</v>
      </c>
      <c r="AA57" s="536">
        <v>0</v>
      </c>
      <c r="AB57" s="536">
        <v>0</v>
      </c>
      <c r="AC57" s="536">
        <v>15.045</v>
      </c>
      <c r="AD57" s="536">
        <v>1.157</v>
      </c>
      <c r="AE57" s="536">
        <v>0.41</v>
      </c>
      <c r="AF57" s="536">
        <v>2.2770000000000001</v>
      </c>
      <c r="AG57" s="536">
        <v>168.60599999999999</v>
      </c>
      <c r="AH57" s="665">
        <v>3.5870000000000002</v>
      </c>
    </row>
    <row r="58" spans="1:34" s="374" customFormat="1" ht="18.75" hidden="1" customHeight="1">
      <c r="A58" s="389" t="s">
        <v>143</v>
      </c>
      <c r="B58" s="328" t="s">
        <v>150</v>
      </c>
      <c r="C58" s="536">
        <v>127.224</v>
      </c>
      <c r="D58" s="897">
        <f t="shared" si="11"/>
        <v>130</v>
      </c>
      <c r="E58" s="536">
        <v>17.951000000000001</v>
      </c>
      <c r="F58" s="897">
        <f t="shared" si="1"/>
        <v>20</v>
      </c>
      <c r="G58" s="536">
        <v>1.9950000000000001</v>
      </c>
      <c r="H58" s="739">
        <f t="shared" si="2"/>
        <v>2</v>
      </c>
      <c r="I58" s="536">
        <v>1.228</v>
      </c>
      <c r="J58" s="739">
        <f t="shared" si="3"/>
        <v>1</v>
      </c>
      <c r="K58" s="536">
        <v>0</v>
      </c>
      <c r="L58" s="739">
        <v>0</v>
      </c>
      <c r="M58" s="536">
        <v>5.2210000000000001</v>
      </c>
      <c r="N58" s="897">
        <f t="shared" si="4"/>
        <v>5</v>
      </c>
      <c r="O58" s="536">
        <v>102.91200000000001</v>
      </c>
      <c r="P58" s="897">
        <f t="shared" si="5"/>
        <v>105</v>
      </c>
      <c r="Q58" s="536">
        <v>26.513000000000002</v>
      </c>
      <c r="R58" s="897">
        <f t="shared" si="6"/>
        <v>27</v>
      </c>
      <c r="S58" s="536">
        <v>2.8000000000000001E-2</v>
      </c>
      <c r="T58" s="739">
        <f t="shared" si="7"/>
        <v>0</v>
      </c>
      <c r="U58" s="536">
        <v>20.395</v>
      </c>
      <c r="V58" s="897">
        <f t="shared" si="8"/>
        <v>20</v>
      </c>
      <c r="W58" s="536">
        <v>20.390999999999998</v>
      </c>
      <c r="X58" s="897">
        <f t="shared" si="9"/>
        <v>20</v>
      </c>
      <c r="Y58" s="536">
        <v>1.0009999999999999</v>
      </c>
      <c r="Z58" s="897">
        <f t="shared" si="10"/>
        <v>1</v>
      </c>
      <c r="AA58" s="536">
        <v>1.6E-2</v>
      </c>
      <c r="AB58" s="536">
        <v>8.1000000000000003E-2</v>
      </c>
      <c r="AC58" s="536">
        <v>29.184000000000001</v>
      </c>
      <c r="AD58" s="536">
        <v>2.2450000000000001</v>
      </c>
      <c r="AE58" s="536">
        <v>2.4E-2</v>
      </c>
      <c r="AF58" s="536">
        <v>0.13500000000000001</v>
      </c>
      <c r="AG58" s="536">
        <v>41.162999999999997</v>
      </c>
      <c r="AH58" s="665">
        <v>0.876</v>
      </c>
    </row>
    <row r="59" spans="1:34" s="374" customFormat="1" ht="18.45" hidden="1">
      <c r="A59" s="389" t="s">
        <v>143</v>
      </c>
      <c r="B59" s="328" t="s">
        <v>151</v>
      </c>
      <c r="C59" s="536">
        <v>117.709</v>
      </c>
      <c r="D59" s="897">
        <f t="shared" si="11"/>
        <v>120</v>
      </c>
      <c r="E59" s="536">
        <v>36.851999999999997</v>
      </c>
      <c r="F59" s="897">
        <f t="shared" si="1"/>
        <v>35</v>
      </c>
      <c r="G59" s="536">
        <v>4.0949999999999998</v>
      </c>
      <c r="H59" s="739">
        <f t="shared" si="2"/>
        <v>4</v>
      </c>
      <c r="I59" s="536">
        <v>3.9359999999999999</v>
      </c>
      <c r="J59" s="739">
        <f t="shared" si="3"/>
        <v>4</v>
      </c>
      <c r="K59" s="536">
        <v>0</v>
      </c>
      <c r="L59" s="739">
        <v>0</v>
      </c>
      <c r="M59" s="536">
        <v>4.0000000000000001E-3</v>
      </c>
      <c r="N59" s="897">
        <f t="shared" si="4"/>
        <v>0</v>
      </c>
      <c r="O59" s="536">
        <v>105.624</v>
      </c>
      <c r="P59" s="897">
        <f t="shared" si="5"/>
        <v>105</v>
      </c>
      <c r="Q59" s="536">
        <v>20.123000000000001</v>
      </c>
      <c r="R59" s="897">
        <f t="shared" si="6"/>
        <v>20</v>
      </c>
      <c r="S59" s="536">
        <v>0.71599999999999997</v>
      </c>
      <c r="T59" s="739" t="str">
        <f t="shared" si="7"/>
        <v>less than 1 g</v>
      </c>
      <c r="U59" s="536">
        <v>16.646000000000001</v>
      </c>
      <c r="V59" s="897">
        <f t="shared" si="8"/>
        <v>17</v>
      </c>
      <c r="W59" s="536">
        <v>16.547999999999998</v>
      </c>
      <c r="X59" s="897">
        <f t="shared" si="9"/>
        <v>17</v>
      </c>
      <c r="Y59" s="536">
        <v>1.1459999999999999</v>
      </c>
      <c r="Z59" s="897">
        <f t="shared" si="10"/>
        <v>1</v>
      </c>
      <c r="AA59" s="536">
        <v>0</v>
      </c>
      <c r="AB59" s="536">
        <v>0</v>
      </c>
      <c r="AC59" s="536">
        <v>24.055</v>
      </c>
      <c r="AD59" s="536">
        <v>1.85</v>
      </c>
      <c r="AE59" s="536">
        <v>0.99199999999999999</v>
      </c>
      <c r="AF59" s="536">
        <v>5.5090000000000003</v>
      </c>
      <c r="AG59" s="536">
        <v>138.608</v>
      </c>
      <c r="AH59" s="665">
        <v>2.9489999999999998</v>
      </c>
    </row>
    <row r="60" spans="1:34" s="374" customFormat="1" ht="18.45" hidden="1">
      <c r="A60" s="389" t="s">
        <v>143</v>
      </c>
      <c r="B60" s="328" t="s">
        <v>152</v>
      </c>
      <c r="C60" s="536">
        <v>133.96600000000001</v>
      </c>
      <c r="D60" s="897">
        <f t="shared" si="11"/>
        <v>130</v>
      </c>
      <c r="E60" s="536">
        <v>51.131</v>
      </c>
      <c r="F60" s="897">
        <f t="shared" si="1"/>
        <v>50</v>
      </c>
      <c r="G60" s="536">
        <v>5.681</v>
      </c>
      <c r="H60" s="739">
        <f t="shared" si="2"/>
        <v>6</v>
      </c>
      <c r="I60" s="536">
        <v>3.492</v>
      </c>
      <c r="J60" s="739">
        <f t="shared" si="3"/>
        <v>3.5</v>
      </c>
      <c r="K60" s="536">
        <v>0</v>
      </c>
      <c r="L60" s="739">
        <v>0</v>
      </c>
      <c r="M60" s="536">
        <v>2.4140000000000001</v>
      </c>
      <c r="N60" s="897" t="str">
        <f t="shared" si="4"/>
        <v>less than 5 mg</v>
      </c>
      <c r="O60" s="536">
        <v>21.251000000000001</v>
      </c>
      <c r="P60" s="897">
        <f t="shared" si="5"/>
        <v>20</v>
      </c>
      <c r="Q60" s="536">
        <v>19.190999999999999</v>
      </c>
      <c r="R60" s="897">
        <f t="shared" si="6"/>
        <v>19</v>
      </c>
      <c r="S60" s="536">
        <v>0.76700000000000002</v>
      </c>
      <c r="T60" s="739" t="str">
        <f t="shared" si="7"/>
        <v>less than 1 g</v>
      </c>
      <c r="U60" s="536">
        <v>17.629000000000001</v>
      </c>
      <c r="V60" s="897">
        <f t="shared" si="8"/>
        <v>18</v>
      </c>
      <c r="W60" s="536">
        <v>16.303999999999998</v>
      </c>
      <c r="X60" s="897">
        <f t="shared" si="9"/>
        <v>16</v>
      </c>
      <c r="Y60" s="536">
        <v>1.4490000000000001</v>
      </c>
      <c r="Z60" s="897">
        <f t="shared" si="10"/>
        <v>1</v>
      </c>
      <c r="AA60" s="536">
        <v>0</v>
      </c>
      <c r="AB60" s="536">
        <v>0</v>
      </c>
      <c r="AC60" s="536">
        <v>36.003999999999998</v>
      </c>
      <c r="AD60" s="536">
        <v>2.77</v>
      </c>
      <c r="AE60" s="536">
        <v>0.36</v>
      </c>
      <c r="AF60" s="536">
        <v>2.0009999999999999</v>
      </c>
      <c r="AG60" s="536">
        <v>87.786000000000001</v>
      </c>
      <c r="AH60" s="665">
        <v>1.8680000000000001</v>
      </c>
    </row>
    <row r="61" spans="1:34" s="374" customFormat="1" ht="18.45" hidden="1">
      <c r="A61" s="389" t="s">
        <v>143</v>
      </c>
      <c r="B61" s="328" t="s">
        <v>153</v>
      </c>
      <c r="C61" s="536">
        <v>101.59099999999999</v>
      </c>
      <c r="D61" s="897">
        <f t="shared" si="11"/>
        <v>100</v>
      </c>
      <c r="E61" s="536">
        <v>1.7999999999999999E-2</v>
      </c>
      <c r="F61" s="897">
        <f t="shared" si="1"/>
        <v>0</v>
      </c>
      <c r="G61" s="536">
        <v>2E-3</v>
      </c>
      <c r="H61" s="739">
        <f t="shared" si="2"/>
        <v>0</v>
      </c>
      <c r="I61" s="536">
        <v>0</v>
      </c>
      <c r="J61" s="739">
        <f t="shared" si="3"/>
        <v>0</v>
      </c>
      <c r="K61" s="536">
        <v>0</v>
      </c>
      <c r="L61" s="739">
        <v>0</v>
      </c>
      <c r="M61" s="536">
        <v>0</v>
      </c>
      <c r="N61" s="897">
        <f t="shared" si="4"/>
        <v>0</v>
      </c>
      <c r="O61" s="536">
        <v>10.077999999999999</v>
      </c>
      <c r="P61" s="897">
        <f t="shared" si="5"/>
        <v>10</v>
      </c>
      <c r="Q61" s="536">
        <v>24.859000000000002</v>
      </c>
      <c r="R61" s="897">
        <f t="shared" si="6"/>
        <v>25</v>
      </c>
      <c r="S61" s="536">
        <v>0</v>
      </c>
      <c r="T61" s="739">
        <f t="shared" si="7"/>
        <v>0</v>
      </c>
      <c r="U61" s="536">
        <v>16.257999999999999</v>
      </c>
      <c r="V61" s="897">
        <f t="shared" si="8"/>
        <v>16</v>
      </c>
      <c r="W61" s="536">
        <v>14.445</v>
      </c>
      <c r="X61" s="897">
        <f t="shared" si="9"/>
        <v>14</v>
      </c>
      <c r="Y61" s="536">
        <v>1.8740000000000001</v>
      </c>
      <c r="Z61" s="897">
        <f t="shared" si="10"/>
        <v>2</v>
      </c>
      <c r="AA61" s="536">
        <v>0</v>
      </c>
      <c r="AB61" s="536">
        <v>0</v>
      </c>
      <c r="AC61" s="536">
        <v>0.376</v>
      </c>
      <c r="AD61" s="536">
        <v>2.9000000000000001E-2</v>
      </c>
      <c r="AE61" s="536">
        <v>1.4999999999999999E-2</v>
      </c>
      <c r="AF61" s="536">
        <v>8.2000000000000003E-2</v>
      </c>
      <c r="AG61" s="536">
        <v>0</v>
      </c>
      <c r="AH61" s="665">
        <v>0</v>
      </c>
    </row>
    <row r="62" spans="1:34" s="374" customFormat="1" ht="18.45" hidden="1">
      <c r="A62" s="389" t="s">
        <v>143</v>
      </c>
      <c r="B62" s="328" t="s">
        <v>458</v>
      </c>
      <c r="C62" s="536">
        <v>50.271999999999998</v>
      </c>
      <c r="D62" s="897">
        <f t="shared" si="11"/>
        <v>50</v>
      </c>
      <c r="E62" s="536">
        <v>19.390999999999998</v>
      </c>
      <c r="F62" s="897">
        <f t="shared" si="1"/>
        <v>20</v>
      </c>
      <c r="G62" s="536">
        <v>2.1549999999999998</v>
      </c>
      <c r="H62" s="739">
        <f t="shared" si="2"/>
        <v>2</v>
      </c>
      <c r="I62" s="536">
        <v>0.53900000000000003</v>
      </c>
      <c r="J62" s="739">
        <f t="shared" si="3"/>
        <v>0.5</v>
      </c>
      <c r="K62" s="536">
        <v>0</v>
      </c>
      <c r="L62" s="739">
        <v>0</v>
      </c>
      <c r="M62" s="536">
        <v>0</v>
      </c>
      <c r="N62" s="897">
        <f t="shared" si="4"/>
        <v>0</v>
      </c>
      <c r="O62" s="536">
        <v>41.295000000000002</v>
      </c>
      <c r="P62" s="897">
        <f t="shared" si="5"/>
        <v>40</v>
      </c>
      <c r="Q62" s="536">
        <v>7.5410000000000004</v>
      </c>
      <c r="R62" s="897">
        <f t="shared" si="6"/>
        <v>8</v>
      </c>
      <c r="S62" s="536">
        <v>8.9770000000000003</v>
      </c>
      <c r="T62" s="739">
        <f t="shared" si="7"/>
        <v>9</v>
      </c>
      <c r="U62" s="536">
        <v>3.95</v>
      </c>
      <c r="V62" s="897">
        <f t="shared" si="8"/>
        <v>4</v>
      </c>
      <c r="W62" s="536">
        <v>0</v>
      </c>
      <c r="X62" s="897">
        <f t="shared" si="9"/>
        <v>0</v>
      </c>
      <c r="Y62" s="536">
        <v>0.35899999999999999</v>
      </c>
      <c r="Z62" s="897">
        <f t="shared" si="10"/>
        <v>0</v>
      </c>
      <c r="AA62" s="536">
        <v>0</v>
      </c>
      <c r="AB62" s="536">
        <v>0</v>
      </c>
      <c r="AC62" s="536">
        <v>0</v>
      </c>
      <c r="AD62" s="536">
        <v>0</v>
      </c>
      <c r="AE62" s="536">
        <v>0</v>
      </c>
      <c r="AF62" s="536">
        <v>0</v>
      </c>
      <c r="AG62" s="536">
        <v>10.773</v>
      </c>
      <c r="AH62" s="665">
        <v>0.22900000000000001</v>
      </c>
    </row>
    <row r="63" spans="1:34" s="374" customFormat="1" ht="18.75" hidden="1" customHeight="1">
      <c r="A63" s="389" t="s">
        <v>143</v>
      </c>
      <c r="B63" s="328" t="s">
        <v>460</v>
      </c>
      <c r="C63" s="536">
        <v>101.495</v>
      </c>
      <c r="D63" s="897">
        <f t="shared" si="11"/>
        <v>100</v>
      </c>
      <c r="E63" s="536">
        <v>37.008000000000003</v>
      </c>
      <c r="F63" s="897">
        <f t="shared" si="1"/>
        <v>35</v>
      </c>
      <c r="G63" s="536">
        <v>4.1120000000000001</v>
      </c>
      <c r="H63" s="739">
        <f t="shared" si="2"/>
        <v>4</v>
      </c>
      <c r="I63" s="536">
        <v>1.2689999999999999</v>
      </c>
      <c r="J63" s="739">
        <f t="shared" si="3"/>
        <v>1.5</v>
      </c>
      <c r="K63" s="536">
        <v>0</v>
      </c>
      <c r="L63" s="739">
        <v>0</v>
      </c>
      <c r="M63" s="536">
        <v>0.14000000000000001</v>
      </c>
      <c r="N63" s="897">
        <f t="shared" si="4"/>
        <v>0</v>
      </c>
      <c r="O63" s="536">
        <v>72.807000000000002</v>
      </c>
      <c r="P63" s="897">
        <f t="shared" si="5"/>
        <v>75</v>
      </c>
      <c r="Q63" s="536">
        <v>15.414999999999999</v>
      </c>
      <c r="R63" s="897">
        <f t="shared" si="6"/>
        <v>15</v>
      </c>
      <c r="S63" s="536">
        <v>0.42499999999999999</v>
      </c>
      <c r="T63" s="739">
        <f t="shared" si="7"/>
        <v>0</v>
      </c>
      <c r="U63" s="536">
        <v>8.4429999999999996</v>
      </c>
      <c r="V63" s="897">
        <f t="shared" si="8"/>
        <v>8</v>
      </c>
      <c r="W63" s="536">
        <v>8.3710000000000004</v>
      </c>
      <c r="X63" s="897">
        <f t="shared" si="9"/>
        <v>8</v>
      </c>
      <c r="Y63" s="536">
        <v>0.89300000000000002</v>
      </c>
      <c r="Z63" s="897" t="str">
        <f t="shared" si="10"/>
        <v>less than 1 g</v>
      </c>
      <c r="AA63" s="536">
        <v>0</v>
      </c>
      <c r="AB63" s="536">
        <v>0</v>
      </c>
      <c r="AC63" s="536">
        <v>9.1910000000000007</v>
      </c>
      <c r="AD63" s="536">
        <v>0.70699999999999996</v>
      </c>
      <c r="AE63" s="536">
        <v>0.88700000000000001</v>
      </c>
      <c r="AF63" s="536">
        <v>4.9260000000000002</v>
      </c>
      <c r="AG63" s="536">
        <v>29.843</v>
      </c>
      <c r="AH63" s="665">
        <v>0.63500000000000001</v>
      </c>
    </row>
    <row r="64" spans="1:34" s="374" customFormat="1" ht="18.45" hidden="1">
      <c r="A64" s="389" t="s">
        <v>143</v>
      </c>
      <c r="B64" s="328" t="s">
        <v>463</v>
      </c>
      <c r="C64" s="536">
        <v>208.47900000000001</v>
      </c>
      <c r="D64" s="897">
        <f t="shared" si="11"/>
        <v>210</v>
      </c>
      <c r="E64" s="536">
        <v>171.55</v>
      </c>
      <c r="F64" s="897">
        <f t="shared" si="1"/>
        <v>170</v>
      </c>
      <c r="G64" s="536">
        <v>19.061</v>
      </c>
      <c r="H64" s="739">
        <f t="shared" si="2"/>
        <v>19</v>
      </c>
      <c r="I64" s="536">
        <v>3.1640000000000001</v>
      </c>
      <c r="J64" s="739">
        <f t="shared" si="3"/>
        <v>3</v>
      </c>
      <c r="K64" s="536">
        <v>0</v>
      </c>
      <c r="L64" s="739">
        <v>0</v>
      </c>
      <c r="M64" s="536">
        <v>0</v>
      </c>
      <c r="N64" s="897">
        <f t="shared" si="4"/>
        <v>0</v>
      </c>
      <c r="O64" s="536">
        <v>141.21299999999999</v>
      </c>
      <c r="P64" s="897">
        <f t="shared" si="5"/>
        <v>140</v>
      </c>
      <c r="Q64" s="536">
        <v>5.9530000000000003</v>
      </c>
      <c r="R64" s="897">
        <f t="shared" si="6"/>
        <v>6</v>
      </c>
      <c r="S64" s="536">
        <v>2.0680000000000001</v>
      </c>
      <c r="T64" s="739">
        <f t="shared" si="7"/>
        <v>2</v>
      </c>
      <c r="U64" s="536">
        <v>2.9929999999999999</v>
      </c>
      <c r="V64" s="897">
        <f t="shared" si="8"/>
        <v>3</v>
      </c>
      <c r="W64" s="536">
        <v>2.0259999999999998</v>
      </c>
      <c r="X64" s="897">
        <f t="shared" si="9"/>
        <v>2</v>
      </c>
      <c r="Y64" s="536">
        <v>6.2789999999999999</v>
      </c>
      <c r="Z64" s="897">
        <f t="shared" si="10"/>
        <v>6</v>
      </c>
      <c r="AA64" s="536">
        <v>0</v>
      </c>
      <c r="AB64" s="536">
        <v>0</v>
      </c>
      <c r="AC64" s="536">
        <v>22.6</v>
      </c>
      <c r="AD64" s="536">
        <v>1.738</v>
      </c>
      <c r="AE64" s="536">
        <v>1.115</v>
      </c>
      <c r="AF64" s="536">
        <v>6.194</v>
      </c>
      <c r="AG64" s="536">
        <v>171.601</v>
      </c>
      <c r="AH64" s="665">
        <v>3.6509999999999998</v>
      </c>
    </row>
    <row r="65" spans="1:74" s="374" customFormat="1" ht="18.75" hidden="1" customHeight="1">
      <c r="A65" s="389" t="s">
        <v>143</v>
      </c>
      <c r="B65" s="328" t="s">
        <v>459</v>
      </c>
      <c r="C65" s="536">
        <v>50.241</v>
      </c>
      <c r="D65" s="897">
        <f t="shared" si="11"/>
        <v>50</v>
      </c>
      <c r="E65" s="536">
        <v>22.099</v>
      </c>
      <c r="F65" s="897">
        <f t="shared" si="1"/>
        <v>20</v>
      </c>
      <c r="G65" s="536">
        <v>2.4550000000000001</v>
      </c>
      <c r="H65" s="739">
        <f t="shared" si="2"/>
        <v>2.5</v>
      </c>
      <c r="I65" s="536">
        <v>1.2410000000000001</v>
      </c>
      <c r="J65" s="739">
        <f t="shared" si="3"/>
        <v>1</v>
      </c>
      <c r="K65" s="536">
        <v>5.0999999999999997E-2</v>
      </c>
      <c r="L65" s="739">
        <v>0</v>
      </c>
      <c r="M65" s="536">
        <v>3.1749999999999998</v>
      </c>
      <c r="N65" s="897" t="str">
        <f t="shared" si="4"/>
        <v>less than 5 mg</v>
      </c>
      <c r="O65" s="536">
        <v>12.585000000000001</v>
      </c>
      <c r="P65" s="897">
        <f t="shared" si="5"/>
        <v>15</v>
      </c>
      <c r="Q65" s="536">
        <v>6.6509999999999998</v>
      </c>
      <c r="R65" s="897">
        <f t="shared" si="6"/>
        <v>7</v>
      </c>
      <c r="S65" s="536">
        <v>0.15</v>
      </c>
      <c r="T65" s="739">
        <f t="shared" si="7"/>
        <v>0</v>
      </c>
      <c r="U65" s="536">
        <v>2.121</v>
      </c>
      <c r="V65" s="897">
        <f t="shared" si="8"/>
        <v>2</v>
      </c>
      <c r="W65" s="536">
        <v>2.12</v>
      </c>
      <c r="X65" s="897">
        <f t="shared" si="9"/>
        <v>2</v>
      </c>
      <c r="Y65" s="536">
        <v>0.52900000000000003</v>
      </c>
      <c r="Z65" s="897" t="str">
        <f t="shared" si="10"/>
        <v>less than 1 g</v>
      </c>
      <c r="AA65" s="536">
        <v>1.4999999999999999E-2</v>
      </c>
      <c r="AB65" s="536">
        <v>7.6999999999999999E-2</v>
      </c>
      <c r="AC65" s="536">
        <v>1.2330000000000001</v>
      </c>
      <c r="AD65" s="536">
        <v>9.5000000000000001E-2</v>
      </c>
      <c r="AE65" s="536">
        <v>0.26800000000000002</v>
      </c>
      <c r="AF65" s="536">
        <v>1.4910000000000001</v>
      </c>
      <c r="AG65" s="536">
        <v>6.8330000000000002</v>
      </c>
      <c r="AH65" s="665">
        <v>0.14499999999999999</v>
      </c>
    </row>
    <row r="66" spans="1:74" s="374" customFormat="1" ht="18.45" hidden="1">
      <c r="A66" s="389" t="s">
        <v>143</v>
      </c>
      <c r="B66" s="328" t="s">
        <v>457</v>
      </c>
      <c r="C66" s="536">
        <v>101.43</v>
      </c>
      <c r="D66" s="897">
        <f t="shared" si="11"/>
        <v>100</v>
      </c>
      <c r="E66" s="536">
        <v>0.152</v>
      </c>
      <c r="F66" s="897">
        <f t="shared" si="1"/>
        <v>0</v>
      </c>
      <c r="G66" s="536">
        <v>1.7000000000000001E-2</v>
      </c>
      <c r="H66" s="739">
        <f t="shared" si="2"/>
        <v>0</v>
      </c>
      <c r="I66" s="536">
        <v>3.0000000000000001E-3</v>
      </c>
      <c r="J66" s="739">
        <f t="shared" si="3"/>
        <v>0</v>
      </c>
      <c r="K66" s="536">
        <v>0</v>
      </c>
      <c r="L66" s="739">
        <v>0</v>
      </c>
      <c r="M66" s="536">
        <v>0.17</v>
      </c>
      <c r="N66" s="897">
        <f t="shared" si="4"/>
        <v>0</v>
      </c>
      <c r="O66" s="536">
        <v>1.206</v>
      </c>
      <c r="P66" s="897">
        <f t="shared" si="5"/>
        <v>0</v>
      </c>
      <c r="Q66" s="536">
        <v>24.928999999999998</v>
      </c>
      <c r="R66" s="897">
        <f t="shared" si="6"/>
        <v>25</v>
      </c>
      <c r="S66" s="536">
        <v>1.4999999999999999E-2</v>
      </c>
      <c r="T66" s="739">
        <f t="shared" si="7"/>
        <v>0</v>
      </c>
      <c r="U66" s="536">
        <v>24.684000000000001</v>
      </c>
      <c r="V66" s="897">
        <f t="shared" si="8"/>
        <v>25</v>
      </c>
      <c r="W66" s="536">
        <v>24.684000000000001</v>
      </c>
      <c r="X66" s="897">
        <f t="shared" si="9"/>
        <v>25</v>
      </c>
      <c r="Y66" s="536">
        <v>1.4E-2</v>
      </c>
      <c r="Z66" s="897">
        <f t="shared" si="10"/>
        <v>0</v>
      </c>
      <c r="AA66" s="536">
        <v>0</v>
      </c>
      <c r="AB66" s="536">
        <v>0</v>
      </c>
      <c r="AC66" s="536">
        <v>0.751</v>
      </c>
      <c r="AD66" s="536">
        <v>5.8000000000000003E-2</v>
      </c>
      <c r="AE66" s="536">
        <v>4.1000000000000002E-2</v>
      </c>
      <c r="AF66" s="536">
        <v>0.23</v>
      </c>
      <c r="AG66" s="536">
        <v>1.84</v>
      </c>
      <c r="AH66" s="665">
        <v>3.9E-2</v>
      </c>
    </row>
    <row r="67" spans="1:74" s="374" customFormat="1" ht="18.45" hidden="1">
      <c r="A67" s="389" t="s">
        <v>143</v>
      </c>
      <c r="B67" s="328" t="s">
        <v>157</v>
      </c>
      <c r="C67" s="536">
        <v>100.864</v>
      </c>
      <c r="D67" s="897">
        <f t="shared" ref="D67:D70" si="12">MROUND(C67,10)</f>
        <v>100</v>
      </c>
      <c r="E67" s="536">
        <v>52.262</v>
      </c>
      <c r="F67" s="897">
        <f t="shared" si="1"/>
        <v>50</v>
      </c>
      <c r="G67" s="536">
        <v>5.8070000000000004</v>
      </c>
      <c r="H67" s="739">
        <f t="shared" si="2"/>
        <v>6</v>
      </c>
      <c r="I67" s="536">
        <v>2.1440000000000001</v>
      </c>
      <c r="J67" s="739">
        <f t="shared" si="3"/>
        <v>2</v>
      </c>
      <c r="K67" s="536">
        <v>0</v>
      </c>
      <c r="L67" s="739">
        <v>0</v>
      </c>
      <c r="M67" s="536">
        <v>1.4890000000000001</v>
      </c>
      <c r="N67" s="897">
        <f t="shared" si="4"/>
        <v>0</v>
      </c>
      <c r="O67" s="536">
        <v>62.076000000000001</v>
      </c>
      <c r="P67" s="897">
        <f t="shared" si="5"/>
        <v>60</v>
      </c>
      <c r="Q67" s="536">
        <v>11.651999999999999</v>
      </c>
      <c r="R67" s="897">
        <f t="shared" si="6"/>
        <v>12</v>
      </c>
      <c r="S67" s="536">
        <v>0.73299999999999998</v>
      </c>
      <c r="T67" s="739" t="str">
        <f t="shared" si="7"/>
        <v>less than 1 g</v>
      </c>
      <c r="U67" s="536">
        <v>10.629</v>
      </c>
      <c r="V67" s="897">
        <f t="shared" si="8"/>
        <v>11</v>
      </c>
      <c r="W67" s="536">
        <v>9.8260000000000005</v>
      </c>
      <c r="X67" s="897">
        <f t="shared" si="9"/>
        <v>10</v>
      </c>
      <c r="Y67" s="536">
        <v>2.121</v>
      </c>
      <c r="Z67" s="897">
        <f t="shared" si="10"/>
        <v>2</v>
      </c>
      <c r="AA67" s="536">
        <v>0</v>
      </c>
      <c r="AB67" s="536">
        <v>0</v>
      </c>
      <c r="AC67" s="536">
        <v>18.925999999999998</v>
      </c>
      <c r="AD67" s="536">
        <v>1.456</v>
      </c>
      <c r="AE67" s="536">
        <v>0.57799999999999996</v>
      </c>
      <c r="AF67" s="536">
        <v>3.2090000000000001</v>
      </c>
      <c r="AG67" s="536">
        <v>71.394999999999996</v>
      </c>
      <c r="AH67" s="665">
        <v>1.5189999999999999</v>
      </c>
    </row>
    <row r="68" spans="1:74" s="374" customFormat="1" ht="18.45" hidden="1">
      <c r="A68" s="389" t="s">
        <v>143</v>
      </c>
      <c r="B68" s="328" t="s">
        <v>160</v>
      </c>
      <c r="C68" s="536">
        <v>118.566</v>
      </c>
      <c r="D68" s="897">
        <f t="shared" si="12"/>
        <v>120</v>
      </c>
      <c r="E68" s="536">
        <v>40.506</v>
      </c>
      <c r="F68" s="897">
        <f t="shared" si="1"/>
        <v>40</v>
      </c>
      <c r="G68" s="536">
        <v>4.5010000000000003</v>
      </c>
      <c r="H68" s="739">
        <f t="shared" si="2"/>
        <v>4.5</v>
      </c>
      <c r="I68" s="536">
        <v>3.8149999999999999</v>
      </c>
      <c r="J68" s="739">
        <f t="shared" si="3"/>
        <v>4</v>
      </c>
      <c r="K68" s="536">
        <v>0</v>
      </c>
      <c r="L68" s="739">
        <v>0</v>
      </c>
      <c r="M68" s="536">
        <v>0.11899999999999999</v>
      </c>
      <c r="N68" s="897">
        <f t="shared" si="4"/>
        <v>0</v>
      </c>
      <c r="O68" s="536">
        <v>2.024</v>
      </c>
      <c r="P68" s="897">
        <f t="shared" si="5"/>
        <v>0</v>
      </c>
      <c r="Q68" s="536">
        <v>18.789000000000001</v>
      </c>
      <c r="R68" s="897">
        <f t="shared" si="6"/>
        <v>19</v>
      </c>
      <c r="S68" s="536">
        <v>4.8000000000000001E-2</v>
      </c>
      <c r="T68" s="739">
        <f t="shared" si="7"/>
        <v>0</v>
      </c>
      <c r="U68" s="536">
        <v>11.454000000000001</v>
      </c>
      <c r="V68" s="897">
        <f t="shared" si="8"/>
        <v>11</v>
      </c>
      <c r="W68" s="536">
        <v>0</v>
      </c>
      <c r="X68" s="897">
        <f t="shared" si="9"/>
        <v>0</v>
      </c>
      <c r="Y68" s="536">
        <v>0</v>
      </c>
      <c r="Z68" s="897">
        <f t="shared" si="10"/>
        <v>0</v>
      </c>
      <c r="AA68" s="536">
        <v>0</v>
      </c>
      <c r="AB68" s="536">
        <v>0</v>
      </c>
      <c r="AC68" s="536">
        <v>0.47599999999999998</v>
      </c>
      <c r="AD68" s="536">
        <v>3.6999999999999998E-2</v>
      </c>
      <c r="AE68" s="536">
        <v>0</v>
      </c>
      <c r="AF68" s="536">
        <v>0</v>
      </c>
      <c r="AG68" s="536">
        <v>0</v>
      </c>
      <c r="AH68" s="665">
        <v>0</v>
      </c>
    </row>
    <row r="69" spans="1:74" s="374" customFormat="1" ht="15" hidden="1" customHeight="1">
      <c r="A69" s="389" t="s">
        <v>143</v>
      </c>
      <c r="B69" s="328" t="s">
        <v>161</v>
      </c>
      <c r="C69" s="536">
        <v>119.82</v>
      </c>
      <c r="D69" s="897">
        <f t="shared" si="12"/>
        <v>120</v>
      </c>
      <c r="E69" s="536">
        <v>42.917000000000002</v>
      </c>
      <c r="F69" s="897">
        <f t="shared" ref="F69:F70" si="13">IF(E69&lt;5,0,(IF(E69&gt;50,MROUND(E69,10),MROUND(E69,5))))</f>
        <v>45</v>
      </c>
      <c r="G69" s="536">
        <v>4.7690000000000001</v>
      </c>
      <c r="H69" s="739">
        <f t="shared" ref="H69:H70" si="14">IF(G69&lt;0.5,0,IF(G69&gt;5,MROUND(G69,1),MROUND(G69,0.5)))</f>
        <v>5</v>
      </c>
      <c r="I69" s="536">
        <v>4.0419999999999998</v>
      </c>
      <c r="J69" s="739">
        <f t="shared" ref="J69:J70" si="15">IF(I69&lt;0.5,0,IF(I69&gt;5,MROUND(I69,1),MROUND(I69,0.5)))</f>
        <v>4</v>
      </c>
      <c r="K69" s="536">
        <v>0</v>
      </c>
      <c r="L69" s="739">
        <v>0</v>
      </c>
      <c r="M69" s="536">
        <v>0.126</v>
      </c>
      <c r="N69" s="897">
        <f t="shared" ref="N69:N70" si="16">IF(M69&lt;2,0,IF(M69&gt;5,MROUND(M69,5),"less than 5 mg"))</f>
        <v>0</v>
      </c>
      <c r="O69" s="536">
        <v>2.145</v>
      </c>
      <c r="P69" s="897">
        <f t="shared" ref="P69:P70" si="17">IF(O69&lt;5,0,IF(O69&gt;140,MROUND(O69,10),MROUND(O69,5)))</f>
        <v>0</v>
      </c>
      <c r="Q69" s="536">
        <v>19.68</v>
      </c>
      <c r="R69" s="897">
        <f t="shared" ref="R69:R70" si="18">IF(Q69&lt;0.5,0,IF(Q69&gt;1,MROUND(Q69,1),"less than 1 g"))</f>
        <v>20</v>
      </c>
      <c r="S69" s="536">
        <v>0.05</v>
      </c>
      <c r="T69" s="739">
        <f t="shared" ref="T69:T70" si="19">IF(S69&lt;0.5,0,IF(S69&gt;1,MROUND(S69,1),"less than 1 g"))</f>
        <v>0</v>
      </c>
      <c r="U69" s="536">
        <v>12.135999999999999</v>
      </c>
      <c r="V69" s="897">
        <f t="shared" ref="V69:V70" si="20">IF(U69&lt;0.5,0,IF(U69&gt;1,MROUND(U69,1),"less than 1 g"))</f>
        <v>12</v>
      </c>
      <c r="W69" s="536">
        <v>12.135999999999999</v>
      </c>
      <c r="X69" s="897">
        <f t="shared" ref="X69:X70" si="21">IF(W69&lt;0.5,0,IF(W69&gt;1,MROUND(W69,1),"less than 1 g"))</f>
        <v>12</v>
      </c>
      <c r="Y69" s="536">
        <v>0</v>
      </c>
      <c r="Z69" s="897">
        <f t="shared" ref="Z69:Z70" si="22">IF(Y69&lt;0.5,0,IF(Y69&gt;1,MROUND(Y69,1),"less than 1 g"))</f>
        <v>0</v>
      </c>
      <c r="AA69" s="536">
        <v>0</v>
      </c>
      <c r="AB69" s="536">
        <v>0</v>
      </c>
      <c r="AC69" s="536">
        <v>0.505</v>
      </c>
      <c r="AD69" s="536">
        <v>3.9E-2</v>
      </c>
      <c r="AE69" s="536">
        <v>0</v>
      </c>
      <c r="AF69" s="536">
        <v>0</v>
      </c>
      <c r="AG69" s="536">
        <v>0.27800000000000002</v>
      </c>
      <c r="AH69" s="665">
        <v>6.0000000000000001E-3</v>
      </c>
    </row>
    <row r="70" spans="1:74" s="374" customFormat="1" ht="18.75" hidden="1" customHeight="1">
      <c r="A70" s="389" t="s">
        <v>143</v>
      </c>
      <c r="B70" s="328" t="s">
        <v>162</v>
      </c>
      <c r="C70" s="536">
        <v>69.887</v>
      </c>
      <c r="D70" s="897">
        <f t="shared" si="12"/>
        <v>70</v>
      </c>
      <c r="E70" s="536">
        <v>0.28699999999999998</v>
      </c>
      <c r="F70" s="897">
        <f t="shared" si="13"/>
        <v>0</v>
      </c>
      <c r="G70" s="536">
        <v>3.2000000000000001E-2</v>
      </c>
      <c r="H70" s="739">
        <f t="shared" si="14"/>
        <v>0</v>
      </c>
      <c r="I70" s="536">
        <v>3.0000000000000001E-3</v>
      </c>
      <c r="J70" s="739">
        <f t="shared" si="15"/>
        <v>0</v>
      </c>
      <c r="K70" s="536">
        <v>0</v>
      </c>
      <c r="L70" s="739">
        <v>0</v>
      </c>
      <c r="M70" s="536">
        <v>0</v>
      </c>
      <c r="N70" s="897">
        <f t="shared" si="16"/>
        <v>0</v>
      </c>
      <c r="O70" s="536">
        <v>9.7279999999999998</v>
      </c>
      <c r="P70" s="897">
        <f t="shared" si="17"/>
        <v>10</v>
      </c>
      <c r="Q70" s="536">
        <v>19.102</v>
      </c>
      <c r="R70" s="897">
        <f t="shared" si="18"/>
        <v>19</v>
      </c>
      <c r="S70" s="536">
        <v>0.60799999999999998</v>
      </c>
      <c r="T70" s="739" t="str">
        <f t="shared" si="19"/>
        <v>less than 1 g</v>
      </c>
      <c r="U70" s="536">
        <v>16.192</v>
      </c>
      <c r="V70" s="897">
        <f t="shared" si="20"/>
        <v>16</v>
      </c>
      <c r="W70" s="536">
        <v>10.198</v>
      </c>
      <c r="X70" s="897">
        <f t="shared" si="21"/>
        <v>10</v>
      </c>
      <c r="Y70" s="536">
        <v>0.16200000000000001</v>
      </c>
      <c r="Z70" s="897">
        <f t="shared" si="22"/>
        <v>0</v>
      </c>
      <c r="AA70" s="536">
        <v>0</v>
      </c>
      <c r="AB70" s="536">
        <v>0</v>
      </c>
      <c r="AC70" s="536">
        <v>5.0949999999999998</v>
      </c>
      <c r="AD70" s="536">
        <v>0.39200000000000002</v>
      </c>
      <c r="AE70" s="536">
        <v>0.218</v>
      </c>
      <c r="AF70" s="536">
        <v>1.212</v>
      </c>
      <c r="AG70" s="536">
        <v>48.47</v>
      </c>
      <c r="AH70" s="665">
        <v>1.0309999999999999</v>
      </c>
    </row>
    <row r="71" spans="1:74" s="374" customFormat="1" ht="18.45">
      <c r="A71" s="380"/>
      <c r="B71" s="383"/>
      <c r="C71" s="900"/>
      <c r="D71" s="382"/>
      <c r="E71" s="900"/>
      <c r="F71" s="381"/>
      <c r="G71" s="900"/>
      <c r="H71" s="381"/>
      <c r="I71" s="900"/>
      <c r="J71" s="381"/>
      <c r="K71" s="900"/>
      <c r="L71" s="381"/>
      <c r="M71" s="900"/>
      <c r="N71" s="381"/>
      <c r="O71" s="900"/>
      <c r="P71" s="381"/>
      <c r="Q71" s="900"/>
      <c r="R71" s="382"/>
      <c r="S71" s="900"/>
      <c r="T71" s="381"/>
      <c r="U71" s="900"/>
      <c r="V71" s="381"/>
      <c r="W71" s="900"/>
      <c r="X71" s="382"/>
      <c r="Y71" s="900"/>
      <c r="Z71" s="381"/>
      <c r="AA71" s="382"/>
      <c r="AB71" s="382"/>
      <c r="AC71" s="381"/>
      <c r="AD71" s="381"/>
      <c r="AE71" s="381"/>
      <c r="AF71" s="381"/>
      <c r="AG71" s="381"/>
      <c r="AH71" s="381"/>
    </row>
    <row r="72" spans="1:74" s="374" customFormat="1" ht="18.45">
      <c r="A72" s="380"/>
      <c r="B72" s="1294" t="s">
        <v>492</v>
      </c>
      <c r="C72" s="1291"/>
      <c r="D72" s="1291"/>
      <c r="E72" s="1291"/>
      <c r="F72" s="1291"/>
      <c r="G72" s="1291"/>
      <c r="H72" s="1291"/>
      <c r="I72" s="1291"/>
      <c r="J72" s="1291"/>
      <c r="K72" s="1291"/>
      <c r="L72" s="1291"/>
      <c r="M72" s="1291"/>
      <c r="N72" s="1291"/>
      <c r="O72" s="1291"/>
      <c r="P72" s="1291"/>
      <c r="Q72" s="1291"/>
      <c r="R72" s="1291"/>
      <c r="S72" s="1291"/>
      <c r="T72" s="1291"/>
      <c r="U72" s="1291"/>
      <c r="V72" s="1291"/>
      <c r="W72" s="383"/>
      <c r="X72" s="900"/>
      <c r="Y72" s="382"/>
      <c r="Z72" s="900"/>
      <c r="AA72" s="381"/>
      <c r="AB72" s="900"/>
      <c r="AC72" s="381"/>
      <c r="AD72" s="900"/>
      <c r="AE72" s="381"/>
      <c r="AF72" s="900"/>
      <c r="AG72" s="381"/>
      <c r="AH72" s="900"/>
      <c r="AI72" s="381"/>
      <c r="AJ72" s="900"/>
      <c r="AK72" s="381"/>
      <c r="AL72" s="900"/>
      <c r="AM72" s="382"/>
      <c r="AN72" s="900"/>
      <c r="AO72" s="381"/>
      <c r="AP72" s="900"/>
      <c r="AQ72" s="381"/>
      <c r="AR72" s="900"/>
      <c r="AS72" s="382"/>
      <c r="AT72" s="900"/>
      <c r="AU72" s="381"/>
      <c r="AV72" s="382"/>
      <c r="AW72" s="382"/>
      <c r="AX72" s="381"/>
      <c r="AY72" s="381"/>
      <c r="AZ72" s="381"/>
      <c r="BA72" s="381"/>
      <c r="BB72" s="381"/>
      <c r="BC72" s="381"/>
    </row>
    <row r="73" spans="1:74" s="374" customFormat="1" ht="18.899999999999999" thickBot="1">
      <c r="A73" s="380"/>
      <c r="B73" s="1294" t="s">
        <v>690</v>
      </c>
      <c r="C73" s="1291"/>
      <c r="D73" s="1291"/>
      <c r="E73" s="1291"/>
      <c r="F73" s="1291"/>
      <c r="G73" s="1291"/>
      <c r="H73" s="1291"/>
      <c r="I73" s="1291"/>
      <c r="J73" s="1291"/>
      <c r="K73" s="1291"/>
      <c r="L73" s="1291"/>
      <c r="M73" s="1291"/>
      <c r="N73" s="1291"/>
      <c r="O73" s="1291"/>
      <c r="P73" s="1291"/>
      <c r="Q73" s="1291"/>
      <c r="R73" s="1291"/>
      <c r="S73" s="1291"/>
      <c r="T73" s="1291"/>
      <c r="U73" s="1291"/>
      <c r="V73" s="1291"/>
      <c r="W73" s="383"/>
      <c r="X73" s="900"/>
      <c r="Y73" s="382"/>
      <c r="Z73" s="900"/>
      <c r="AA73" s="381"/>
      <c r="AB73" s="900"/>
      <c r="AC73" s="381"/>
      <c r="AD73" s="900"/>
      <c r="AE73" s="381"/>
      <c r="AF73" s="900"/>
      <c r="AG73" s="381"/>
      <c r="AH73" s="900"/>
      <c r="AI73" s="381"/>
      <c r="AJ73" s="900"/>
      <c r="AK73" s="381"/>
      <c r="AL73" s="900"/>
      <c r="AM73" s="382"/>
      <c r="AN73" s="900"/>
      <c r="AO73" s="381"/>
      <c r="AP73" s="900"/>
      <c r="AQ73" s="381"/>
      <c r="AR73" s="900"/>
      <c r="AS73" s="382"/>
      <c r="AT73" s="900"/>
      <c r="AU73" s="381"/>
      <c r="AV73" s="382"/>
      <c r="AW73" s="382"/>
      <c r="AX73" s="381"/>
      <c r="AY73" s="381"/>
      <c r="AZ73" s="381"/>
      <c r="BA73" s="381"/>
      <c r="BB73" s="381"/>
      <c r="BC73" s="381"/>
    </row>
    <row r="74" spans="1:74" s="374" customFormat="1" ht="55.75" thickBot="1">
      <c r="A74" s="380"/>
      <c r="B74" s="461" t="s">
        <v>3</v>
      </c>
      <c r="C74" s="460" t="s">
        <v>4</v>
      </c>
      <c r="D74" s="460" t="s">
        <v>4</v>
      </c>
      <c r="E74" s="460" t="s">
        <v>5</v>
      </c>
      <c r="F74" s="460" t="s">
        <v>5</v>
      </c>
      <c r="G74" s="460" t="s">
        <v>6</v>
      </c>
      <c r="H74" s="460" t="s">
        <v>6</v>
      </c>
      <c r="I74" s="460" t="s">
        <v>7</v>
      </c>
      <c r="J74" s="460" t="s">
        <v>7</v>
      </c>
      <c r="K74" s="460" t="s">
        <v>8</v>
      </c>
      <c r="L74" s="460" t="s">
        <v>8</v>
      </c>
      <c r="M74" s="460" t="s">
        <v>9</v>
      </c>
      <c r="N74" s="460" t="s">
        <v>9</v>
      </c>
      <c r="O74" s="460" t="s">
        <v>10</v>
      </c>
      <c r="P74" s="460" t="s">
        <v>10</v>
      </c>
      <c r="Q74" s="460" t="s">
        <v>11</v>
      </c>
      <c r="R74" s="460" t="s">
        <v>11</v>
      </c>
      <c r="S74" s="460" t="s">
        <v>12</v>
      </c>
      <c r="T74" s="460" t="s">
        <v>12</v>
      </c>
      <c r="U74" s="460" t="s">
        <v>13</v>
      </c>
      <c r="V74" s="460" t="s">
        <v>13</v>
      </c>
      <c r="W74" s="460" t="s">
        <v>14</v>
      </c>
      <c r="X74" s="460" t="s">
        <v>14</v>
      </c>
      <c r="Y74" s="460" t="s">
        <v>15</v>
      </c>
      <c r="Z74" s="460" t="s">
        <v>15</v>
      </c>
      <c r="AA74" s="441" t="s">
        <v>16</v>
      </c>
      <c r="AB74" s="441" t="s">
        <v>17</v>
      </c>
      <c r="AC74" s="441" t="s">
        <v>18</v>
      </c>
      <c r="AD74" s="441" t="s">
        <v>19</v>
      </c>
      <c r="AE74" s="441" t="s">
        <v>20</v>
      </c>
      <c r="AF74" s="441" t="s">
        <v>21</v>
      </c>
      <c r="AG74" s="441" t="s">
        <v>22</v>
      </c>
      <c r="AH74" s="441" t="s">
        <v>23</v>
      </c>
      <c r="AP74" s="383"/>
      <c r="AQ74" s="900"/>
      <c r="AR74" s="382"/>
      <c r="AS74" s="900"/>
      <c r="AT74" s="381"/>
      <c r="AU74" s="900"/>
      <c r="AV74" s="381"/>
      <c r="AW74" s="900"/>
      <c r="AX74" s="381"/>
      <c r="AY74" s="900"/>
      <c r="AZ74" s="381"/>
      <c r="BA74" s="900"/>
      <c r="BB74" s="381"/>
      <c r="BC74" s="900"/>
      <c r="BD74" s="381"/>
      <c r="BE74" s="900"/>
      <c r="BF74" s="382"/>
      <c r="BG74" s="900"/>
      <c r="BH74" s="381"/>
      <c r="BI74" s="900"/>
      <c r="BJ74" s="381"/>
      <c r="BK74" s="900"/>
      <c r="BL74" s="382"/>
      <c r="BM74" s="900"/>
      <c r="BN74" s="381"/>
      <c r="BO74" s="382"/>
      <c r="BP74" s="382"/>
      <c r="BQ74" s="381"/>
      <c r="BR74" s="381"/>
      <c r="BS74" s="381"/>
      <c r="BT74" s="381"/>
      <c r="BU74" s="381"/>
      <c r="BV74" s="381"/>
    </row>
    <row r="75" spans="1:74" s="374" customFormat="1" ht="18.45">
      <c r="A75" s="380"/>
      <c r="B75" s="459" t="s">
        <v>422</v>
      </c>
      <c r="C75" s="458">
        <v>5</v>
      </c>
      <c r="D75" s="458">
        <v>5</v>
      </c>
      <c r="E75" s="458">
        <v>0</v>
      </c>
      <c r="F75" s="897">
        <f t="shared" ref="F75:F76" si="23">IF(E75&lt;5,0,(IF(E75&gt;50,MROUND(E75,10),MROUND(E75,5))))</f>
        <v>0</v>
      </c>
      <c r="G75" s="458">
        <v>0</v>
      </c>
      <c r="H75" s="739">
        <f t="shared" ref="H75:H76" si="24">IF(G75&lt;0.5,0,IF(G75&gt;5,MROUND(G75,1),MROUND(G75,0.5)))</f>
        <v>0</v>
      </c>
      <c r="I75" s="458">
        <v>0</v>
      </c>
      <c r="J75" s="739">
        <f t="shared" ref="J75:J76" si="25">IF(I75&lt;0.5,0,IF(I75&gt;5,MROUND(I75,1),MROUND(I75,0.5)))</f>
        <v>0</v>
      </c>
      <c r="K75" s="458">
        <v>0</v>
      </c>
      <c r="L75" s="739">
        <v>0</v>
      </c>
      <c r="M75" s="458">
        <v>0</v>
      </c>
      <c r="N75" s="897">
        <f t="shared" ref="N75:N76" si="26">IF(M75&lt;2,0,IF(M75&gt;5,MROUND(M75,5),"less than 5 mg"))</f>
        <v>0</v>
      </c>
      <c r="O75" s="458">
        <v>0</v>
      </c>
      <c r="P75" s="897">
        <f t="shared" ref="P75:P76" si="27">IF(O75&lt;5,0,IF(O75&gt;140,MROUND(O75,10),MROUND(O75,5)))</f>
        <v>0</v>
      </c>
      <c r="Q75" s="458">
        <v>1</v>
      </c>
      <c r="R75" s="897" t="str">
        <f t="shared" ref="R75:R76" si="28">IF(Q75&lt;0.5,0,IF(Q75&gt;1,MROUND(Q75,1),"less than 1 g"))</f>
        <v>less than 1 g</v>
      </c>
      <c r="S75" s="458">
        <v>0</v>
      </c>
      <c r="T75" s="739">
        <f t="shared" ref="T75:T76" si="29">IF(S75&lt;0.5,0,IF(S75&gt;1,MROUND(S75,1),"less than 1 g"))</f>
        <v>0</v>
      </c>
      <c r="U75" s="458">
        <v>1</v>
      </c>
      <c r="V75" s="897" t="str">
        <f t="shared" ref="V75:V76" si="30">IF(U75&lt;0.5,0,IF(U75&gt;1,MROUND(U75,1),"less than 1 g"))</f>
        <v>less than 1 g</v>
      </c>
      <c r="W75" s="458">
        <v>1</v>
      </c>
      <c r="X75" s="897" t="str">
        <f t="shared" ref="X75:X76" si="31">IF(W75&lt;0.5,0,IF(W75&gt;1,MROUND(W75,1),"less than 1 g"))</f>
        <v>less than 1 g</v>
      </c>
      <c r="Y75" s="458">
        <v>0</v>
      </c>
      <c r="Z75" s="897">
        <f t="shared" ref="Z75:Z76" si="32">IF(Y75&lt;0.5,0,IF(Y75&gt;1,MROUND(Y75,1),"less than 1 g"))</f>
        <v>0</v>
      </c>
      <c r="AA75" s="458">
        <v>0</v>
      </c>
      <c r="AB75" s="458">
        <v>0</v>
      </c>
      <c r="AC75" s="458">
        <v>1</v>
      </c>
      <c r="AD75" s="798">
        <v>0</v>
      </c>
      <c r="AE75" s="798">
        <v>0</v>
      </c>
      <c r="AF75" s="798">
        <v>0</v>
      </c>
      <c r="AG75" s="798">
        <v>1</v>
      </c>
      <c r="AH75" s="798">
        <v>0</v>
      </c>
      <c r="AP75" s="383"/>
      <c r="AQ75" s="900"/>
      <c r="AR75" s="382"/>
      <c r="AS75" s="900"/>
      <c r="AT75" s="381"/>
      <c r="AU75" s="900"/>
      <c r="AV75" s="381"/>
      <c r="AW75" s="900"/>
      <c r="AX75" s="381"/>
      <c r="AY75" s="900"/>
      <c r="AZ75" s="381"/>
      <c r="BA75" s="900"/>
      <c r="BB75" s="381"/>
      <c r="BC75" s="900"/>
      <c r="BD75" s="381"/>
      <c r="BE75" s="900"/>
      <c r="BF75" s="382"/>
      <c r="BG75" s="900"/>
      <c r="BH75" s="381"/>
      <c r="BI75" s="900"/>
      <c r="BJ75" s="381"/>
      <c r="BK75" s="900"/>
      <c r="BL75" s="382"/>
      <c r="BM75" s="900"/>
      <c r="BN75" s="381"/>
      <c r="BO75" s="382"/>
      <c r="BP75" s="382"/>
      <c r="BQ75" s="381"/>
      <c r="BR75" s="381"/>
      <c r="BS75" s="381"/>
      <c r="BT75" s="381"/>
      <c r="BU75" s="381"/>
      <c r="BV75" s="381"/>
    </row>
    <row r="76" spans="1:74" s="374" customFormat="1" ht="18.45">
      <c r="A76" s="380"/>
      <c r="B76" s="459" t="s">
        <v>423</v>
      </c>
      <c r="C76" s="457">
        <v>38.271000000000001</v>
      </c>
      <c r="D76" s="458">
        <f>MROUND(C76,5)</f>
        <v>40</v>
      </c>
      <c r="E76" s="457">
        <v>25.513999999999999</v>
      </c>
      <c r="F76" s="897">
        <f t="shared" si="23"/>
        <v>25</v>
      </c>
      <c r="G76" s="457">
        <v>2.835</v>
      </c>
      <c r="H76" s="739">
        <f t="shared" si="24"/>
        <v>3</v>
      </c>
      <c r="I76" s="457">
        <v>1.843</v>
      </c>
      <c r="J76" s="739">
        <f t="shared" si="25"/>
        <v>2</v>
      </c>
      <c r="K76" s="457">
        <v>0</v>
      </c>
      <c r="L76" s="739">
        <v>0</v>
      </c>
      <c r="M76" s="457">
        <v>9.2129999999999992</v>
      </c>
      <c r="N76" s="897">
        <f t="shared" si="26"/>
        <v>10</v>
      </c>
      <c r="O76" s="457">
        <v>3.544</v>
      </c>
      <c r="P76" s="897">
        <f t="shared" si="27"/>
        <v>0</v>
      </c>
      <c r="Q76" s="457">
        <v>3.1179999999999999</v>
      </c>
      <c r="R76" s="897">
        <f t="shared" si="28"/>
        <v>3</v>
      </c>
      <c r="S76" s="457">
        <v>0</v>
      </c>
      <c r="T76" s="739">
        <f t="shared" si="29"/>
        <v>0</v>
      </c>
      <c r="U76" s="457">
        <v>1.417</v>
      </c>
      <c r="V76" s="897">
        <f t="shared" si="30"/>
        <v>1</v>
      </c>
      <c r="W76" s="457">
        <v>1.1339999999999999</v>
      </c>
      <c r="X76" s="897">
        <f t="shared" si="31"/>
        <v>1</v>
      </c>
      <c r="Y76" s="457">
        <v>0.28299999999999997</v>
      </c>
      <c r="Z76" s="897">
        <f t="shared" si="32"/>
        <v>0</v>
      </c>
      <c r="AA76" s="458">
        <v>0</v>
      </c>
      <c r="AB76" s="458">
        <v>0</v>
      </c>
      <c r="AC76" s="457">
        <v>9.9220000000000006</v>
      </c>
      <c r="AD76" s="457">
        <v>0.76300000000000001</v>
      </c>
      <c r="AE76" s="457">
        <v>0</v>
      </c>
      <c r="AF76" s="457">
        <v>0</v>
      </c>
      <c r="AG76" s="457">
        <v>12.757</v>
      </c>
      <c r="AH76" s="457">
        <v>0.27100000000000002</v>
      </c>
      <c r="AP76" s="383"/>
      <c r="AQ76" s="900"/>
      <c r="AR76" s="382"/>
      <c r="AS76" s="900"/>
      <c r="AT76" s="381"/>
      <c r="AU76" s="900"/>
      <c r="AV76" s="381"/>
      <c r="AW76" s="900"/>
      <c r="AX76" s="381"/>
      <c r="AY76" s="900"/>
      <c r="AZ76" s="381"/>
      <c r="BA76" s="900"/>
      <c r="BB76" s="381"/>
      <c r="BC76" s="900"/>
      <c r="BD76" s="381"/>
      <c r="BE76" s="900"/>
      <c r="BF76" s="382"/>
      <c r="BG76" s="900"/>
      <c r="BH76" s="381"/>
      <c r="BI76" s="900"/>
      <c r="BJ76" s="381"/>
      <c r="BK76" s="900"/>
      <c r="BL76" s="382"/>
      <c r="BM76" s="900"/>
      <c r="BN76" s="381"/>
      <c r="BO76" s="382"/>
      <c r="BP76" s="382"/>
      <c r="BQ76" s="381"/>
      <c r="BR76" s="381"/>
      <c r="BS76" s="381"/>
      <c r="BT76" s="381"/>
      <c r="BU76" s="381"/>
      <c r="BV76" s="381"/>
    </row>
    <row r="77" spans="1:74" s="374" customFormat="1" ht="18.45">
      <c r="A77" s="380"/>
      <c r="B77" s="383"/>
      <c r="C77" s="900"/>
      <c r="D77" s="382"/>
      <c r="E77" s="900"/>
      <c r="F77" s="381"/>
      <c r="G77" s="900"/>
      <c r="H77" s="381"/>
      <c r="I77" s="900"/>
      <c r="J77" s="381"/>
      <c r="K77" s="900"/>
      <c r="L77" s="381"/>
      <c r="M77" s="900"/>
      <c r="N77" s="381"/>
      <c r="O77" s="900"/>
      <c r="P77" s="381"/>
      <c r="Q77" s="900"/>
      <c r="R77" s="382"/>
      <c r="S77" s="900"/>
      <c r="T77" s="381"/>
      <c r="U77" s="900"/>
      <c r="V77" s="381"/>
      <c r="W77" s="900"/>
      <c r="X77" s="382"/>
      <c r="Y77" s="900"/>
      <c r="Z77" s="381"/>
      <c r="AA77" s="382"/>
      <c r="AB77" s="382"/>
      <c r="AC77" s="381"/>
      <c r="AD77" s="381"/>
      <c r="AE77" s="381"/>
      <c r="AF77" s="381"/>
      <c r="AG77" s="381"/>
      <c r="AH77" s="381"/>
    </row>
    <row r="78" spans="1:74" s="374" customFormat="1" ht="18.45">
      <c r="A78" s="380"/>
      <c r="B78" s="1294" t="s">
        <v>492</v>
      </c>
      <c r="C78" s="1291"/>
      <c r="D78" s="1291"/>
      <c r="E78" s="1291"/>
      <c r="F78" s="1291"/>
      <c r="G78" s="1291"/>
      <c r="H78" s="1291"/>
      <c r="I78" s="1291"/>
      <c r="J78" s="1291"/>
      <c r="K78" s="1291"/>
      <c r="L78" s="1291"/>
      <c r="M78" s="1291"/>
      <c r="N78" s="1291"/>
      <c r="O78" s="1291"/>
      <c r="P78" s="1291"/>
      <c r="Q78" s="1291"/>
      <c r="R78" s="1291"/>
      <c r="S78" s="1291"/>
      <c r="T78" s="1291"/>
      <c r="U78" s="1291"/>
      <c r="V78" s="1291"/>
      <c r="W78" s="383"/>
      <c r="X78" s="900"/>
      <c r="Y78" s="382"/>
      <c r="Z78" s="900"/>
      <c r="AA78" s="381"/>
      <c r="AB78" s="900"/>
      <c r="AC78" s="381"/>
      <c r="AD78" s="900"/>
      <c r="AE78" s="381"/>
      <c r="AF78" s="900"/>
      <c r="AG78" s="381"/>
      <c r="AH78" s="900"/>
    </row>
    <row r="79" spans="1:74" s="374" customFormat="1" ht="18.899999999999999" thickBot="1">
      <c r="A79" s="380"/>
      <c r="B79" s="1294" t="s">
        <v>690</v>
      </c>
      <c r="C79" s="1291"/>
      <c r="D79" s="1291"/>
      <c r="E79" s="1291"/>
      <c r="F79" s="1291"/>
      <c r="G79" s="1291"/>
      <c r="H79" s="1291"/>
      <c r="I79" s="1291"/>
      <c r="J79" s="1291"/>
      <c r="K79" s="1291"/>
      <c r="L79" s="1291"/>
      <c r="M79" s="1291"/>
      <c r="N79" s="1291"/>
      <c r="O79" s="1291"/>
      <c r="P79" s="1291"/>
      <c r="Q79" s="1291"/>
      <c r="R79" s="1291"/>
      <c r="S79" s="1291"/>
      <c r="T79" s="1291"/>
      <c r="U79" s="1291"/>
      <c r="V79" s="1291"/>
      <c r="W79" s="383"/>
      <c r="X79" s="900"/>
      <c r="Y79" s="382"/>
      <c r="Z79" s="900"/>
      <c r="AA79" s="381"/>
      <c r="AB79" s="900"/>
      <c r="AC79" s="381"/>
      <c r="AD79" s="900"/>
      <c r="AE79" s="381"/>
      <c r="AF79" s="900"/>
      <c r="AG79" s="381"/>
      <c r="AH79" s="900"/>
    </row>
    <row r="80" spans="1:74" s="374" customFormat="1" ht="55.75" thickBot="1">
      <c r="A80" s="380"/>
      <c r="B80" s="461" t="s">
        <v>724</v>
      </c>
      <c r="C80" s="460" t="s">
        <v>4</v>
      </c>
      <c r="D80" s="460" t="s">
        <v>4</v>
      </c>
      <c r="E80" s="460" t="s">
        <v>5</v>
      </c>
      <c r="F80" s="460" t="s">
        <v>5</v>
      </c>
      <c r="G80" s="460" t="s">
        <v>6</v>
      </c>
      <c r="H80" s="460" t="s">
        <v>6</v>
      </c>
      <c r="I80" s="460" t="s">
        <v>7</v>
      </c>
      <c r="J80" s="460" t="s">
        <v>7</v>
      </c>
      <c r="K80" s="460" t="s">
        <v>8</v>
      </c>
      <c r="L80" s="460" t="s">
        <v>8</v>
      </c>
      <c r="M80" s="460" t="s">
        <v>9</v>
      </c>
      <c r="N80" s="460" t="s">
        <v>9</v>
      </c>
      <c r="O80" s="460" t="s">
        <v>10</v>
      </c>
      <c r="P80" s="460" t="s">
        <v>10</v>
      </c>
      <c r="Q80" s="460" t="s">
        <v>11</v>
      </c>
      <c r="R80" s="460" t="s">
        <v>11</v>
      </c>
      <c r="S80" s="460" t="s">
        <v>12</v>
      </c>
      <c r="T80" s="460" t="s">
        <v>12</v>
      </c>
      <c r="U80" s="460" t="s">
        <v>13</v>
      </c>
      <c r="V80" s="460" t="s">
        <v>13</v>
      </c>
      <c r="W80" s="460" t="s">
        <v>14</v>
      </c>
      <c r="X80" s="460" t="s">
        <v>14</v>
      </c>
      <c r="Y80" s="460" t="s">
        <v>15</v>
      </c>
      <c r="Z80" s="460" t="s">
        <v>15</v>
      </c>
      <c r="AA80" s="441" t="s">
        <v>16</v>
      </c>
      <c r="AB80" s="441" t="s">
        <v>17</v>
      </c>
      <c r="AC80" s="441" t="s">
        <v>18</v>
      </c>
      <c r="AD80" s="441" t="s">
        <v>19</v>
      </c>
      <c r="AE80" s="441" t="s">
        <v>20</v>
      </c>
      <c r="AF80" s="441" t="s">
        <v>21</v>
      </c>
      <c r="AG80" s="441" t="s">
        <v>22</v>
      </c>
      <c r="AH80" s="441" t="s">
        <v>23</v>
      </c>
    </row>
    <row r="81" spans="1:34" s="374" customFormat="1" ht="18.45">
      <c r="A81" s="380"/>
      <c r="B81" s="459" t="s">
        <v>725</v>
      </c>
      <c r="C81" s="458">
        <v>25</v>
      </c>
      <c r="D81" s="458">
        <v>25</v>
      </c>
      <c r="E81" s="458">
        <v>0</v>
      </c>
      <c r="F81" s="897">
        <f t="shared" ref="F81" si="33">IF(E81&lt;5,0,(IF(E81&gt;50,MROUND(E81,10),MROUND(E81,5))))</f>
        <v>0</v>
      </c>
      <c r="G81" s="458">
        <v>0</v>
      </c>
      <c r="H81" s="739">
        <f t="shared" ref="H81" si="34">IF(G81&lt;0.5,0,IF(G81&gt;5,MROUND(G81,1),MROUND(G81,0.5)))</f>
        <v>0</v>
      </c>
      <c r="I81" s="458">
        <v>0</v>
      </c>
      <c r="J81" s="739">
        <f t="shared" ref="J81" si="35">IF(I81&lt;0.5,0,IF(I81&gt;5,MROUND(I81,1),MROUND(I81,0.5)))</f>
        <v>0</v>
      </c>
      <c r="K81" s="458">
        <v>0</v>
      </c>
      <c r="L81" s="739">
        <v>0</v>
      </c>
      <c r="M81" s="458">
        <v>0</v>
      </c>
      <c r="N81" s="897">
        <f t="shared" ref="N81" si="36">IF(M81&lt;2,0,IF(M81&gt;5,MROUND(M81,5),"less than 5 mg"))</f>
        <v>0</v>
      </c>
      <c r="O81" s="458">
        <v>10</v>
      </c>
      <c r="P81" s="897">
        <f t="shared" ref="P81" si="37">IF(O81&lt;5,0,IF(O81&gt;140,MROUND(O81,10),MROUND(O81,5)))</f>
        <v>10</v>
      </c>
      <c r="Q81" s="458">
        <v>5</v>
      </c>
      <c r="R81" s="897">
        <f t="shared" ref="R81" si="38">IF(Q81&lt;0.5,0,IF(Q81&gt;1,MROUND(Q81,1),"less than 1 g"))</f>
        <v>5</v>
      </c>
      <c r="S81" s="458">
        <v>0</v>
      </c>
      <c r="T81" s="739">
        <f t="shared" ref="T81" si="39">IF(S81&lt;0.5,0,IF(S81&gt;1,MROUND(S81,1),"less than 1 g"))</f>
        <v>0</v>
      </c>
      <c r="U81" s="458">
        <v>0</v>
      </c>
      <c r="V81" s="897">
        <f t="shared" ref="V81" si="40">IF(U81&lt;0.5,0,IF(U81&gt;1,MROUND(U81,1),"less than 1 g"))</f>
        <v>0</v>
      </c>
      <c r="W81" s="458">
        <v>0</v>
      </c>
      <c r="X81" s="897">
        <f t="shared" ref="X81" si="41">IF(W81&lt;0.5,0,IF(W81&gt;1,MROUND(W81,1),"less than 1 g"))</f>
        <v>0</v>
      </c>
      <c r="Y81" s="458">
        <v>0</v>
      </c>
      <c r="Z81" s="897">
        <f t="shared" ref="Z81" si="42">IF(Y81&lt;0.5,0,IF(Y81&gt;1,MROUND(Y81,1),"less than 1 g"))</f>
        <v>0</v>
      </c>
      <c r="AA81" s="373">
        <v>0</v>
      </c>
      <c r="AB81" s="373">
        <v>0</v>
      </c>
      <c r="AC81" s="373">
        <v>0</v>
      </c>
      <c r="AD81" s="373">
        <v>0</v>
      </c>
      <c r="AE81" s="373">
        <v>0.36</v>
      </c>
      <c r="AF81" s="373">
        <v>2</v>
      </c>
      <c r="AG81" s="373">
        <v>0</v>
      </c>
      <c r="AH81" s="373">
        <v>0</v>
      </c>
    </row>
    <row r="82" spans="1:34" s="374" customFormat="1" ht="18.899999999999999" thickBot="1">
      <c r="A82" s="380"/>
      <c r="B82" s="1015"/>
      <c r="C82" s="455"/>
      <c r="D82" s="455"/>
      <c r="E82" s="455"/>
      <c r="F82" s="1016"/>
      <c r="G82" s="455"/>
      <c r="H82" s="904"/>
      <c r="I82" s="455"/>
      <c r="J82" s="904"/>
      <c r="K82" s="455"/>
      <c r="L82" s="904"/>
      <c r="M82" s="455"/>
      <c r="N82" s="1016"/>
      <c r="O82" s="455"/>
      <c r="P82" s="1016"/>
      <c r="Q82" s="455"/>
      <c r="R82" s="1016"/>
      <c r="S82" s="455"/>
      <c r="T82" s="904"/>
      <c r="U82" s="455"/>
      <c r="V82" s="1016"/>
      <c r="W82" s="455"/>
      <c r="X82" s="1016"/>
      <c r="Y82" s="455"/>
      <c r="Z82" s="1016"/>
      <c r="AA82" s="455"/>
      <c r="AB82" s="455"/>
      <c r="AC82" s="455"/>
      <c r="AD82" s="1017"/>
      <c r="AE82" s="1017"/>
      <c r="AF82" s="1017"/>
      <c r="AG82" s="1017"/>
      <c r="AH82" s="1017"/>
    </row>
    <row r="83" spans="1:34" s="374" customFormat="1" ht="18.75" customHeight="1">
      <c r="A83" s="380"/>
      <c r="B83" s="1281" t="s">
        <v>168</v>
      </c>
      <c r="C83" s="1404"/>
      <c r="D83" s="1405"/>
      <c r="E83" s="1404"/>
      <c r="F83" s="1282"/>
      <c r="G83" s="1404"/>
      <c r="H83" s="1282"/>
      <c r="I83" s="1404"/>
      <c r="J83" s="1282"/>
      <c r="K83" s="1404"/>
      <c r="L83" s="1282"/>
      <c r="M83" s="1404"/>
      <c r="N83" s="1282"/>
      <c r="O83" s="1404"/>
      <c r="P83" s="1282"/>
      <c r="Q83" s="1404"/>
      <c r="R83" s="1405"/>
      <c r="S83" s="1404"/>
      <c r="T83" s="1282"/>
      <c r="U83" s="1404"/>
      <c r="V83" s="1282"/>
      <c r="W83" s="1404"/>
      <c r="X83" s="1405"/>
      <c r="Y83" s="1404"/>
      <c r="Z83" s="1282"/>
      <c r="AA83" s="1282"/>
      <c r="AB83" s="1282"/>
      <c r="AC83" s="1282"/>
      <c r="AD83" s="1282"/>
      <c r="AE83" s="1282"/>
      <c r="AF83" s="1282"/>
      <c r="AG83" s="1282"/>
      <c r="AH83" s="1283"/>
    </row>
    <row r="84" spans="1:34" s="374" customFormat="1" ht="18.45">
      <c r="A84" s="380"/>
      <c r="B84" s="1284"/>
      <c r="C84" s="1406"/>
      <c r="D84" s="1407"/>
      <c r="E84" s="1406"/>
      <c r="F84" s="1285"/>
      <c r="G84" s="1406"/>
      <c r="H84" s="1285"/>
      <c r="I84" s="1406"/>
      <c r="J84" s="1285"/>
      <c r="K84" s="1406"/>
      <c r="L84" s="1285"/>
      <c r="M84" s="1406"/>
      <c r="N84" s="1285"/>
      <c r="O84" s="1406"/>
      <c r="P84" s="1285"/>
      <c r="Q84" s="1406"/>
      <c r="R84" s="1407"/>
      <c r="S84" s="1406"/>
      <c r="T84" s="1285"/>
      <c r="U84" s="1406"/>
      <c r="V84" s="1285"/>
      <c r="W84" s="1406"/>
      <c r="X84" s="1407"/>
      <c r="Y84" s="1406"/>
      <c r="Z84" s="1285"/>
      <c r="AA84" s="1285"/>
      <c r="AB84" s="1285"/>
      <c r="AC84" s="1285"/>
      <c r="AD84" s="1285"/>
      <c r="AE84" s="1285"/>
      <c r="AF84" s="1285"/>
      <c r="AG84" s="1285"/>
      <c r="AH84" s="1286"/>
    </row>
    <row r="85" spans="1:34" s="374" customFormat="1" ht="18.899999999999999" thickBot="1">
      <c r="A85" s="380"/>
      <c r="B85" s="1287"/>
      <c r="C85" s="1408"/>
      <c r="D85" s="1409"/>
      <c r="E85" s="1408"/>
      <c r="F85" s="1288"/>
      <c r="G85" s="1408"/>
      <c r="H85" s="1288"/>
      <c r="I85" s="1408"/>
      <c r="J85" s="1288"/>
      <c r="K85" s="1408"/>
      <c r="L85" s="1288"/>
      <c r="M85" s="1408"/>
      <c r="N85" s="1288"/>
      <c r="O85" s="1408"/>
      <c r="P85" s="1288"/>
      <c r="Q85" s="1408"/>
      <c r="R85" s="1409"/>
      <c r="S85" s="1408"/>
      <c r="T85" s="1288"/>
      <c r="U85" s="1408"/>
      <c r="V85" s="1288"/>
      <c r="W85" s="1408"/>
      <c r="X85" s="1409"/>
      <c r="Y85" s="1408"/>
      <c r="Z85" s="1288"/>
      <c r="AA85" s="1288"/>
      <c r="AB85" s="1288"/>
      <c r="AC85" s="1288"/>
      <c r="AD85" s="1288"/>
      <c r="AE85" s="1288"/>
      <c r="AF85" s="1288"/>
      <c r="AG85" s="1288"/>
      <c r="AH85" s="1289"/>
    </row>
    <row r="86" spans="1:34" s="374" customFormat="1" ht="18.45">
      <c r="A86" s="380"/>
      <c r="B86" s="383"/>
      <c r="C86" s="900"/>
      <c r="D86" s="382"/>
      <c r="E86" s="900"/>
      <c r="F86" s="381"/>
      <c r="G86" s="900"/>
      <c r="H86" s="381"/>
      <c r="I86" s="900"/>
      <c r="J86" s="381"/>
      <c r="K86" s="900"/>
      <c r="L86" s="381"/>
      <c r="M86" s="900"/>
      <c r="N86" s="381"/>
      <c r="O86" s="900"/>
      <c r="P86" s="381"/>
      <c r="Q86" s="900"/>
      <c r="R86" s="382"/>
      <c r="S86" s="900"/>
      <c r="T86" s="381"/>
      <c r="U86" s="900"/>
      <c r="V86" s="381"/>
      <c r="W86" s="900"/>
      <c r="X86" s="382"/>
      <c r="Y86" s="900"/>
      <c r="Z86" s="381"/>
      <c r="AA86" s="382"/>
      <c r="AB86" s="382"/>
      <c r="AC86" s="381"/>
      <c r="AD86" s="381"/>
      <c r="AE86" s="381"/>
      <c r="AF86" s="381"/>
      <c r="AG86" s="381"/>
      <c r="AH86" s="381"/>
    </row>
    <row r="87" spans="1:34" s="374" customFormat="1" ht="18.899999999999999" thickBot="1">
      <c r="A87" s="380"/>
      <c r="B87" s="383"/>
      <c r="C87" s="900"/>
      <c r="D87" s="382"/>
      <c r="E87" s="900"/>
      <c r="F87" s="381"/>
      <c r="G87" s="900"/>
      <c r="H87" s="381"/>
      <c r="I87" s="900"/>
      <c r="J87" s="381"/>
      <c r="K87" s="900"/>
      <c r="L87" s="381"/>
      <c r="M87" s="900"/>
      <c r="N87" s="381"/>
      <c r="O87" s="900"/>
      <c r="P87" s="381"/>
      <c r="Q87" s="900"/>
      <c r="R87" s="382"/>
      <c r="S87" s="900"/>
      <c r="T87" s="381"/>
      <c r="U87" s="900"/>
      <c r="V87" s="381"/>
      <c r="W87" s="900"/>
      <c r="X87" s="382"/>
      <c r="Y87" s="900"/>
      <c r="Z87" s="381"/>
      <c r="AA87" s="382"/>
      <c r="AB87" s="382"/>
      <c r="AC87" s="381"/>
      <c r="AD87" s="381"/>
      <c r="AE87" s="381"/>
      <c r="AF87" s="381"/>
      <c r="AG87" s="381"/>
      <c r="AH87" s="381"/>
    </row>
    <row r="88" spans="1:34" s="374" customFormat="1" ht="18.45" hidden="1">
      <c r="A88" s="380"/>
      <c r="B88" s="383"/>
      <c r="C88" s="381"/>
      <c r="D88" s="382"/>
      <c r="E88" s="381"/>
      <c r="F88" s="381"/>
      <c r="G88" s="381"/>
      <c r="H88" s="381"/>
      <c r="I88" s="381"/>
      <c r="J88" s="381"/>
      <c r="K88" s="381"/>
      <c r="L88" s="381"/>
      <c r="M88" s="381"/>
      <c r="N88" s="381"/>
      <c r="O88" s="381"/>
      <c r="P88" s="381"/>
      <c r="Q88" s="381"/>
      <c r="R88" s="381"/>
      <c r="S88" s="381"/>
      <c r="T88" s="381"/>
      <c r="U88" s="381"/>
      <c r="V88" s="381"/>
      <c r="W88" s="381"/>
      <c r="X88" s="381"/>
      <c r="Y88" s="381"/>
      <c r="Z88" s="381"/>
      <c r="AA88" s="382"/>
      <c r="AB88" s="382"/>
      <c r="AC88" s="381"/>
      <c r="AD88" s="381"/>
      <c r="AE88" s="381"/>
      <c r="AF88" s="381"/>
      <c r="AG88" s="381"/>
      <c r="AH88" s="381"/>
    </row>
    <row r="89" spans="1:34" s="374" customFormat="1" ht="18.75" hidden="1" customHeight="1">
      <c r="A89" s="380"/>
      <c r="B89" s="383"/>
      <c r="C89" s="381"/>
      <c r="D89" s="382"/>
      <c r="E89" s="381"/>
      <c r="F89" s="381"/>
      <c r="G89" s="381"/>
      <c r="H89" s="381"/>
      <c r="I89" s="381"/>
      <c r="J89" s="381"/>
      <c r="K89" s="381"/>
      <c r="L89" s="381"/>
      <c r="M89" s="381"/>
      <c r="N89" s="381"/>
      <c r="O89" s="381"/>
      <c r="P89" s="381"/>
      <c r="Q89" s="381"/>
      <c r="R89" s="381"/>
      <c r="S89" s="381"/>
      <c r="T89" s="381"/>
      <c r="U89" s="381"/>
      <c r="V89" s="381"/>
      <c r="W89" s="381"/>
      <c r="X89" s="381"/>
      <c r="Y89" s="381"/>
      <c r="Z89" s="381"/>
      <c r="AA89" s="382"/>
      <c r="AB89" s="382"/>
      <c r="AC89" s="381"/>
      <c r="AD89" s="381"/>
      <c r="AE89" s="381"/>
      <c r="AF89" s="381"/>
      <c r="AG89" s="381"/>
      <c r="AH89" s="381"/>
    </row>
    <row r="90" spans="1:34" s="374" customFormat="1" ht="18.75" hidden="1" customHeight="1">
      <c r="A90" s="380"/>
      <c r="B90" s="378" t="s">
        <v>726</v>
      </c>
      <c r="C90" s="377" t="e">
        <f>AVERAGE(#REF!)</f>
        <v>#REF!</v>
      </c>
      <c r="D90" s="377"/>
      <c r="E90" s="377" t="e">
        <f>AVERAGE(#REF!)</f>
        <v>#REF!</v>
      </c>
      <c r="F90" s="377"/>
      <c r="G90" s="377" t="e">
        <f>AVERAGE(#REF!)</f>
        <v>#REF!</v>
      </c>
      <c r="H90" s="377"/>
      <c r="I90" s="377" t="e">
        <f>AVERAGE(#REF!)</f>
        <v>#REF!</v>
      </c>
      <c r="J90" s="377"/>
      <c r="K90" s="377" t="e">
        <f>AVERAGE(#REF!)</f>
        <v>#REF!</v>
      </c>
      <c r="L90" s="377"/>
      <c r="M90" s="377" t="e">
        <f>AVERAGE(#REF!)</f>
        <v>#REF!</v>
      </c>
      <c r="N90" s="377"/>
      <c r="O90" s="377" t="e">
        <f>AVERAGE(#REF!)</f>
        <v>#REF!</v>
      </c>
      <c r="P90" s="377"/>
      <c r="Q90" s="377" t="e">
        <f>AVERAGE(#REF!)</f>
        <v>#REF!</v>
      </c>
      <c r="R90" s="377"/>
      <c r="S90" s="377" t="e">
        <f>AVERAGE(#REF!)</f>
        <v>#REF!</v>
      </c>
      <c r="T90" s="377"/>
      <c r="U90" s="377" t="e">
        <f>AVERAGE(#REF!)</f>
        <v>#REF!</v>
      </c>
      <c r="V90" s="377"/>
      <c r="W90" s="377" t="e">
        <f>AVERAGE(#REF!)</f>
        <v>#REF!</v>
      </c>
      <c r="X90" s="377"/>
      <c r="Y90" s="377" t="e">
        <f>AVERAGE(#REF!)</f>
        <v>#REF!</v>
      </c>
      <c r="Z90" s="377"/>
      <c r="AA90" s="377" t="e">
        <f>AVERAGE(#REF!)</f>
        <v>#REF!</v>
      </c>
      <c r="AB90" s="377" t="e">
        <f>AVERAGE(#REF!)</f>
        <v>#REF!</v>
      </c>
      <c r="AC90" s="377" t="e">
        <f>AVERAGE(#REF!)</f>
        <v>#REF!</v>
      </c>
      <c r="AD90" s="377" t="e">
        <f>AVERAGE(#REF!)</f>
        <v>#REF!</v>
      </c>
      <c r="AE90" s="377" t="e">
        <f>AVERAGE(#REF!)</f>
        <v>#REF!</v>
      </c>
      <c r="AF90" s="377" t="e">
        <f>AVERAGE(#REF!)</f>
        <v>#REF!</v>
      </c>
      <c r="AG90" s="377" t="e">
        <f>AVERAGE(#REF!)</f>
        <v>#REF!</v>
      </c>
      <c r="AH90" s="377" t="e">
        <f>AVERAGE(#REF!)</f>
        <v>#REF!</v>
      </c>
    </row>
    <row r="91" spans="1:34" s="374" customFormat="1" ht="37.5" hidden="1" customHeight="1">
      <c r="A91" s="379"/>
      <c r="B91" s="378" t="s">
        <v>727</v>
      </c>
      <c r="C91" s="375" t="e">
        <f xml:space="preserve"> MIN(#REF!) &amp; " - " &amp; MAX(#REF!)</f>
        <v>#REF!</v>
      </c>
      <c r="D91" s="377"/>
      <c r="E91" s="375" t="e">
        <f xml:space="preserve"> MIN(#REF!) &amp; " - " &amp; MAX(#REF!)</f>
        <v>#REF!</v>
      </c>
      <c r="F91" s="375"/>
      <c r="G91" s="375" t="e">
        <f xml:space="preserve"> MIN(#REF!) &amp; " - " &amp; MAX(#REF!)</f>
        <v>#REF!</v>
      </c>
      <c r="H91" s="375"/>
      <c r="I91" s="375" t="e">
        <f xml:space="preserve"> MIN(#REF!) &amp; " - " &amp; MAX(#REF!)</f>
        <v>#REF!</v>
      </c>
      <c r="J91" s="375"/>
      <c r="K91" s="375" t="e">
        <f xml:space="preserve"> MIN(#REF!) &amp; " - " &amp; MAX(#REF!)</f>
        <v>#REF!</v>
      </c>
      <c r="L91" s="375"/>
      <c r="M91" s="375" t="e">
        <f xml:space="preserve"> MIN(#REF!) &amp; " - " &amp; MAX(#REF!)</f>
        <v>#REF!</v>
      </c>
      <c r="N91" s="375"/>
      <c r="O91" s="375" t="e">
        <f xml:space="preserve"> MIN(#REF!) &amp; " - " &amp; MAX(#REF!)</f>
        <v>#REF!</v>
      </c>
      <c r="P91" s="375"/>
      <c r="Q91" s="375" t="e">
        <f xml:space="preserve"> MIN(#REF!) &amp; " - " &amp; MAX(#REF!)</f>
        <v>#REF!</v>
      </c>
      <c r="R91" s="375"/>
      <c r="S91" s="375" t="e">
        <f xml:space="preserve"> MIN(#REF!) &amp; " - " &amp; MAX(#REF!)</f>
        <v>#REF!</v>
      </c>
      <c r="T91" s="375"/>
      <c r="U91" s="375" t="e">
        <f xml:space="preserve"> MIN(#REF!) &amp; " - " &amp; MAX(#REF!)</f>
        <v>#REF!</v>
      </c>
      <c r="V91" s="375"/>
      <c r="W91" s="375" t="e">
        <f xml:space="preserve"> MIN(#REF!) &amp; " - " &amp; MAX(#REF!)</f>
        <v>#REF!</v>
      </c>
      <c r="X91" s="375"/>
      <c r="Y91" s="375" t="e">
        <f xml:space="preserve"> MIN(#REF!) &amp; " - " &amp; MAX(#REF!)</f>
        <v>#REF!</v>
      </c>
      <c r="Z91" s="375"/>
      <c r="AA91" s="375" t="e">
        <f xml:space="preserve"> MIN(#REF!) &amp; " - " &amp; MAX(#REF!)</f>
        <v>#REF!</v>
      </c>
      <c r="AB91" s="375" t="e">
        <f xml:space="preserve"> MIN(#REF!) &amp; " - " &amp; MAX(#REF!)</f>
        <v>#REF!</v>
      </c>
      <c r="AC91" s="375" t="e">
        <f xml:space="preserve"> MIN(#REF!) &amp; " - " &amp; MAX(#REF!)</f>
        <v>#REF!</v>
      </c>
      <c r="AD91" s="375" t="e">
        <f xml:space="preserve"> MIN(#REF!) &amp; " - " &amp; MAX(#REF!)</f>
        <v>#REF!</v>
      </c>
      <c r="AE91" s="375" t="e">
        <f xml:space="preserve"> MIN(#REF!) &amp; " - " &amp; MAX(#REF!)</f>
        <v>#REF!</v>
      </c>
      <c r="AF91" s="375" t="e">
        <f xml:space="preserve"> MIN(#REF!) &amp; " - " &amp; MAX(#REF!)</f>
        <v>#REF!</v>
      </c>
      <c r="AG91" s="375" t="e">
        <f xml:space="preserve"> MIN(#REF!) &amp; " - " &amp; MAX(#REF!)</f>
        <v>#REF!</v>
      </c>
      <c r="AH91" s="375" t="e">
        <f xml:space="preserve"> MIN(#REF!) &amp; " - " &amp; MAX(#REF!)</f>
        <v>#REF!</v>
      </c>
    </row>
    <row r="92" spans="1:34" s="374" customFormat="1" ht="18.45" hidden="1">
      <c r="A92" s="379"/>
      <c r="B92" s="378" t="s">
        <v>728</v>
      </c>
      <c r="C92" s="377" t="e">
        <f>AVERAGE(#REF!)</f>
        <v>#REF!</v>
      </c>
      <c r="D92" s="377"/>
      <c r="E92" s="377" t="e">
        <f>AVERAGE(#REF!)</f>
        <v>#REF!</v>
      </c>
      <c r="F92" s="377"/>
      <c r="G92" s="377" t="e">
        <f>AVERAGE(#REF!)</f>
        <v>#REF!</v>
      </c>
      <c r="H92" s="377"/>
      <c r="I92" s="377" t="e">
        <f>AVERAGE(#REF!)</f>
        <v>#REF!</v>
      </c>
      <c r="J92" s="377"/>
      <c r="K92" s="377" t="e">
        <f>AVERAGE(#REF!)</f>
        <v>#REF!</v>
      </c>
      <c r="L92" s="377"/>
      <c r="M92" s="377" t="e">
        <f>AVERAGE(#REF!)</f>
        <v>#REF!</v>
      </c>
      <c r="N92" s="377"/>
      <c r="O92" s="377" t="e">
        <f>AVERAGE(#REF!)</f>
        <v>#REF!</v>
      </c>
      <c r="P92" s="377"/>
      <c r="Q92" s="377" t="e">
        <f>AVERAGE(#REF!)</f>
        <v>#REF!</v>
      </c>
      <c r="R92" s="377"/>
      <c r="S92" s="377" t="e">
        <f>AVERAGE(#REF!)</f>
        <v>#REF!</v>
      </c>
      <c r="T92" s="377"/>
      <c r="U92" s="377" t="e">
        <f>AVERAGE(#REF!)</f>
        <v>#REF!</v>
      </c>
      <c r="V92" s="377"/>
      <c r="W92" s="377" t="e">
        <f>AVERAGE(#REF!)</f>
        <v>#REF!</v>
      </c>
      <c r="X92" s="377"/>
      <c r="Y92" s="377" t="e">
        <f>AVERAGE(#REF!)</f>
        <v>#REF!</v>
      </c>
      <c r="Z92" s="377"/>
      <c r="AA92" s="377" t="e">
        <f>AVERAGE(#REF!)</f>
        <v>#REF!</v>
      </c>
      <c r="AB92" s="377" t="e">
        <f>AVERAGE(#REF!)</f>
        <v>#REF!</v>
      </c>
      <c r="AC92" s="377" t="e">
        <f>AVERAGE(#REF!)</f>
        <v>#REF!</v>
      </c>
      <c r="AD92" s="377" t="e">
        <f>AVERAGE(#REF!)</f>
        <v>#REF!</v>
      </c>
      <c r="AE92" s="377" t="e">
        <f>AVERAGE(#REF!)</f>
        <v>#REF!</v>
      </c>
      <c r="AF92" s="377" t="e">
        <f>AVERAGE(#REF!)</f>
        <v>#REF!</v>
      </c>
      <c r="AG92" s="377" t="e">
        <f>AVERAGE(#REF!)</f>
        <v>#REF!</v>
      </c>
      <c r="AH92" s="377" t="e">
        <f>AVERAGE(#REF!)</f>
        <v>#REF!</v>
      </c>
    </row>
    <row r="93" spans="1:34" s="374" customFormat="1" ht="18.45" hidden="1">
      <c r="A93" s="379"/>
      <c r="B93" s="378" t="s">
        <v>729</v>
      </c>
      <c r="C93" s="375" t="e">
        <f xml:space="preserve"> MIN(#REF!) &amp; " - " &amp; MAX(#REF!)</f>
        <v>#REF!</v>
      </c>
      <c r="D93" s="377"/>
      <c r="E93" s="375" t="e">
        <f xml:space="preserve"> MIN(#REF!) &amp; " - " &amp; MAX(#REF!)</f>
        <v>#REF!</v>
      </c>
      <c r="F93" s="375"/>
      <c r="G93" s="375" t="e">
        <f xml:space="preserve"> MIN(#REF!) &amp; " - " &amp; MAX(#REF!)</f>
        <v>#REF!</v>
      </c>
      <c r="H93" s="375"/>
      <c r="I93" s="375" t="e">
        <f xml:space="preserve"> MIN(#REF!) &amp; " - " &amp; MAX(#REF!)</f>
        <v>#REF!</v>
      </c>
      <c r="J93" s="375"/>
      <c r="K93" s="375" t="e">
        <f xml:space="preserve"> MIN(#REF!) &amp; " - " &amp; MAX(#REF!)</f>
        <v>#REF!</v>
      </c>
      <c r="L93" s="375"/>
      <c r="M93" s="375" t="e">
        <f xml:space="preserve"> MIN(#REF!) &amp; " - " &amp; MAX(#REF!)</f>
        <v>#REF!</v>
      </c>
      <c r="N93" s="375"/>
      <c r="O93" s="375" t="e">
        <f xml:space="preserve"> MIN(#REF!) &amp; " - " &amp; MAX(#REF!)</f>
        <v>#REF!</v>
      </c>
      <c r="P93" s="375"/>
      <c r="Q93" s="375" t="e">
        <f xml:space="preserve"> MIN(#REF!) &amp; " - " &amp; MAX(#REF!)</f>
        <v>#REF!</v>
      </c>
      <c r="R93" s="375"/>
      <c r="S93" s="375" t="e">
        <f xml:space="preserve"> MIN(#REF!) &amp; " - " &amp; MAX(#REF!)</f>
        <v>#REF!</v>
      </c>
      <c r="T93" s="375"/>
      <c r="U93" s="375" t="e">
        <f xml:space="preserve"> MIN(#REF!) &amp; " - " &amp; MAX(#REF!)</f>
        <v>#REF!</v>
      </c>
      <c r="V93" s="375"/>
      <c r="W93" s="375" t="e">
        <f xml:space="preserve"> MIN(#REF!) &amp; " - " &amp; MAX(#REF!)</f>
        <v>#REF!</v>
      </c>
      <c r="X93" s="375"/>
      <c r="Y93" s="375" t="e">
        <f xml:space="preserve"> MIN(#REF!) &amp; " - " &amp; MAX(#REF!)</f>
        <v>#REF!</v>
      </c>
      <c r="Z93" s="375"/>
      <c r="AA93" s="375" t="e">
        <f xml:space="preserve"> MIN(#REF!) &amp; " - " &amp; MAX(#REF!)</f>
        <v>#REF!</v>
      </c>
      <c r="AB93" s="375" t="e">
        <f xml:space="preserve"> MIN(#REF!) &amp; " - " &amp; MAX(#REF!)</f>
        <v>#REF!</v>
      </c>
      <c r="AC93" s="375" t="e">
        <f xml:space="preserve"> MIN(#REF!) &amp; " - " &amp; MAX(#REF!)</f>
        <v>#REF!</v>
      </c>
      <c r="AD93" s="375" t="e">
        <f xml:space="preserve"> MIN(#REF!) &amp; " - " &amp; MAX(#REF!)</f>
        <v>#REF!</v>
      </c>
      <c r="AE93" s="375" t="e">
        <f xml:space="preserve"> MIN(#REF!) &amp; " - " &amp; MAX(#REF!)</f>
        <v>#REF!</v>
      </c>
      <c r="AF93" s="375" t="e">
        <f xml:space="preserve"> MIN(#REF!) &amp; " - " &amp; MAX(#REF!)</f>
        <v>#REF!</v>
      </c>
      <c r="AG93" s="375" t="e">
        <f xml:space="preserve"> MIN(#REF!) &amp; " - " &amp; MAX(#REF!)</f>
        <v>#REF!</v>
      </c>
      <c r="AH93" s="375" t="e">
        <f xml:space="preserve"> MIN(#REF!) &amp; " - " &amp; MAX(#REF!)</f>
        <v>#REF!</v>
      </c>
    </row>
    <row r="94" spans="1:34" s="374" customFormat="1" ht="18.45" hidden="1">
      <c r="A94" s="379"/>
      <c r="B94" s="378" t="s">
        <v>730</v>
      </c>
      <c r="C94" s="377" t="e">
        <f>AVERAGE(#REF!)</f>
        <v>#REF!</v>
      </c>
      <c r="D94" s="377"/>
      <c r="E94" s="377" t="e">
        <f>AVERAGE(#REF!)</f>
        <v>#REF!</v>
      </c>
      <c r="F94" s="377"/>
      <c r="G94" s="377" t="e">
        <f>AVERAGE(#REF!)</f>
        <v>#REF!</v>
      </c>
      <c r="H94" s="377"/>
      <c r="I94" s="377" t="e">
        <f>AVERAGE(#REF!)</f>
        <v>#REF!</v>
      </c>
      <c r="J94" s="377"/>
      <c r="K94" s="377" t="e">
        <f>AVERAGE(#REF!)</f>
        <v>#REF!</v>
      </c>
      <c r="L94" s="377"/>
      <c r="M94" s="377" t="e">
        <f>AVERAGE(#REF!)</f>
        <v>#REF!</v>
      </c>
      <c r="N94" s="377"/>
      <c r="O94" s="377" t="e">
        <f>AVERAGE(#REF!)</f>
        <v>#REF!</v>
      </c>
      <c r="P94" s="377"/>
      <c r="Q94" s="377" t="e">
        <f>AVERAGE(#REF!)</f>
        <v>#REF!</v>
      </c>
      <c r="R94" s="377"/>
      <c r="S94" s="377" t="e">
        <f>AVERAGE(#REF!)</f>
        <v>#REF!</v>
      </c>
      <c r="T94" s="377"/>
      <c r="U94" s="377" t="e">
        <f>AVERAGE(#REF!)</f>
        <v>#REF!</v>
      </c>
      <c r="V94" s="377"/>
      <c r="W94" s="377" t="e">
        <f>AVERAGE(#REF!)</f>
        <v>#REF!</v>
      </c>
      <c r="X94" s="377"/>
      <c r="Y94" s="377" t="e">
        <f>AVERAGE(#REF!)</f>
        <v>#REF!</v>
      </c>
      <c r="Z94" s="377"/>
      <c r="AA94" s="377" t="e">
        <f>AVERAGE(#REF!)</f>
        <v>#REF!</v>
      </c>
      <c r="AB94" s="377" t="e">
        <f>AVERAGE(#REF!)</f>
        <v>#REF!</v>
      </c>
      <c r="AC94" s="377" t="e">
        <f>AVERAGE(#REF!)</f>
        <v>#REF!</v>
      </c>
      <c r="AD94" s="377" t="e">
        <f>AVERAGE(#REF!)</f>
        <v>#REF!</v>
      </c>
      <c r="AE94" s="377" t="e">
        <f>AVERAGE(#REF!)</f>
        <v>#REF!</v>
      </c>
      <c r="AF94" s="377" t="e">
        <f>AVERAGE(#REF!)</f>
        <v>#REF!</v>
      </c>
      <c r="AG94" s="377" t="e">
        <f>AVERAGE(#REF!)</f>
        <v>#REF!</v>
      </c>
      <c r="AH94" s="377" t="e">
        <f>AVERAGE(#REF!)</f>
        <v>#REF!</v>
      </c>
    </row>
    <row r="95" spans="1:34" s="374" customFormat="1" ht="18.45" hidden="1">
      <c r="A95" s="379"/>
      <c r="B95" s="376" t="s">
        <v>731</v>
      </c>
      <c r="C95" s="375" t="e">
        <f xml:space="preserve"> MIN(#REF!) &amp; " - " &amp; MAX(#REF!)</f>
        <v>#REF!</v>
      </c>
      <c r="D95" s="377"/>
      <c r="E95" s="375" t="e">
        <f xml:space="preserve"> MIN(#REF!) &amp; " - " &amp; MAX(#REF!)</f>
        <v>#REF!</v>
      </c>
      <c r="F95" s="375"/>
      <c r="G95" s="375" t="e">
        <f xml:space="preserve"> MIN(#REF!) &amp; " - " &amp; MAX(#REF!)</f>
        <v>#REF!</v>
      </c>
      <c r="H95" s="375"/>
      <c r="I95" s="375" t="e">
        <f xml:space="preserve"> MIN(#REF!) &amp; " - " &amp; MAX(#REF!)</f>
        <v>#REF!</v>
      </c>
      <c r="J95" s="375"/>
      <c r="K95" s="375" t="e">
        <f xml:space="preserve"> MIN(#REF!) &amp; " - " &amp; MAX(#REF!)</f>
        <v>#REF!</v>
      </c>
      <c r="L95" s="375"/>
      <c r="M95" s="375" t="e">
        <f xml:space="preserve"> MIN(#REF!) &amp; " - " &amp; MAX(#REF!)</f>
        <v>#REF!</v>
      </c>
      <c r="N95" s="375"/>
      <c r="O95" s="375" t="e">
        <f xml:space="preserve"> MIN(#REF!) &amp; " - " &amp; MAX(#REF!)</f>
        <v>#REF!</v>
      </c>
      <c r="P95" s="375"/>
      <c r="Q95" s="375" t="e">
        <f xml:space="preserve"> MIN(#REF!) &amp; " - " &amp; MAX(#REF!)</f>
        <v>#REF!</v>
      </c>
      <c r="R95" s="375"/>
      <c r="S95" s="375" t="e">
        <f xml:space="preserve"> MIN(#REF!) &amp; " - " &amp; MAX(#REF!)</f>
        <v>#REF!</v>
      </c>
      <c r="T95" s="375"/>
      <c r="U95" s="375" t="e">
        <f xml:space="preserve"> MIN(#REF!) &amp; " - " &amp; MAX(#REF!)</f>
        <v>#REF!</v>
      </c>
      <c r="V95" s="375"/>
      <c r="W95" s="375" t="e">
        <f xml:space="preserve"> MIN(#REF!) &amp; " - " &amp; MAX(#REF!)</f>
        <v>#REF!</v>
      </c>
      <c r="X95" s="375"/>
      <c r="Y95" s="375" t="e">
        <f xml:space="preserve"> MIN(#REF!) &amp; " - " &amp; MAX(#REF!)</f>
        <v>#REF!</v>
      </c>
      <c r="Z95" s="375"/>
      <c r="AA95" s="375" t="e">
        <f xml:space="preserve"> MIN(#REF!) &amp; " - " &amp; MAX(#REF!)</f>
        <v>#REF!</v>
      </c>
      <c r="AB95" s="375" t="e">
        <f xml:space="preserve"> MIN(#REF!) &amp; " - " &amp; MAX(#REF!)</f>
        <v>#REF!</v>
      </c>
      <c r="AC95" s="375" t="e">
        <f xml:space="preserve"> MIN(#REF!) &amp; " - " &amp; MAX(#REF!)</f>
        <v>#REF!</v>
      </c>
      <c r="AD95" s="375" t="e">
        <f xml:space="preserve"> MIN(#REF!) &amp; " - " &amp; MAX(#REF!)</f>
        <v>#REF!</v>
      </c>
      <c r="AE95" s="375" t="e">
        <f xml:space="preserve"> MIN(#REF!) &amp; " - " &amp; MAX(#REF!)</f>
        <v>#REF!</v>
      </c>
      <c r="AF95" s="375" t="e">
        <f xml:space="preserve"> MIN(#REF!) &amp; " - " &amp; MAX(#REF!)</f>
        <v>#REF!</v>
      </c>
      <c r="AG95" s="375" t="e">
        <f xml:space="preserve"> MIN(#REF!) &amp; " - " &amp; MAX(#REF!)</f>
        <v>#REF!</v>
      </c>
      <c r="AH95" s="375" t="e">
        <f xml:space="preserve"> MIN(#REF!) &amp; " - " &amp; MAX(#REF!)</f>
        <v>#REF!</v>
      </c>
    </row>
    <row r="96" spans="1:34" s="374" customFormat="1" ht="18.45" hidden="1">
      <c r="D96" s="737"/>
    </row>
    <row r="97" spans="2:34" s="374" customFormat="1" ht="18.45" hidden="1">
      <c r="B97" s="378" t="s">
        <v>732</v>
      </c>
      <c r="C97" s="377" t="e">
        <f>SUM(AVERAGE(#REF!),AVERAGE(C$53:C$70),AVERAGE(C$53:C$70),SUM(#REF!))</f>
        <v>#REF!</v>
      </c>
      <c r="D97" s="377"/>
      <c r="E97" s="377" t="e">
        <f>SUM(AVERAGE(#REF!),AVERAGE(E$53:E$70),AVERAGE(E$53:E$70),SUM(#REF!))</f>
        <v>#REF!</v>
      </c>
      <c r="F97" s="377"/>
      <c r="G97" s="377" t="e">
        <f>SUM(AVERAGE(#REF!),AVERAGE(G$53:G$70),AVERAGE(G$53:G$70),SUM(#REF!))</f>
        <v>#REF!</v>
      </c>
      <c r="H97" s="377"/>
      <c r="I97" s="377" t="e">
        <f>SUM(AVERAGE(#REF!),AVERAGE(I$53:I$70),AVERAGE(I$53:I$70),SUM(#REF!))</f>
        <v>#REF!</v>
      </c>
      <c r="J97" s="377"/>
      <c r="K97" s="377" t="e">
        <f>SUM(AVERAGE(#REF!),AVERAGE(K$53:K$70),AVERAGE(K$53:K$70),SUM(#REF!))</f>
        <v>#REF!</v>
      </c>
      <c r="L97" s="377"/>
      <c r="M97" s="377" t="e">
        <f>SUM(AVERAGE(#REF!),AVERAGE(M$53:M$70),AVERAGE(M$53:M$70),SUM(#REF!))</f>
        <v>#REF!</v>
      </c>
      <c r="N97" s="377"/>
      <c r="O97" s="377" t="e">
        <f>SUM(AVERAGE(#REF!),AVERAGE(O$53:O$70),AVERAGE(O$53:O$70),SUM(#REF!))</f>
        <v>#REF!</v>
      </c>
      <c r="P97" s="377"/>
      <c r="Q97" s="377" t="e">
        <f>SUM(AVERAGE(#REF!),AVERAGE(Q$53:Q$70),AVERAGE(Q$53:Q$70),SUM(#REF!))</f>
        <v>#REF!</v>
      </c>
      <c r="R97" s="377"/>
      <c r="S97" s="377" t="e">
        <f>SUM(AVERAGE(#REF!),AVERAGE(S$53:S$70),AVERAGE(S$53:S$70),SUM(#REF!))</f>
        <v>#REF!</v>
      </c>
      <c r="T97" s="377"/>
      <c r="U97" s="377" t="e">
        <f>SUM(AVERAGE(#REF!),AVERAGE(U$53:U$70),AVERAGE(U$53:U$70),SUM(#REF!))</f>
        <v>#REF!</v>
      </c>
      <c r="V97" s="377"/>
      <c r="W97" s="377" t="e">
        <f>SUM(AVERAGE(#REF!),AVERAGE(W$53:W$70),AVERAGE(W$53:W$70),SUM(#REF!))</f>
        <v>#REF!</v>
      </c>
      <c r="X97" s="377"/>
      <c r="Y97" s="377" t="e">
        <f>SUM(AVERAGE(#REF!),AVERAGE(Y$53:Y$70),AVERAGE(Y$53:Y$70),SUM(#REF!))</f>
        <v>#REF!</v>
      </c>
      <c r="Z97" s="377"/>
      <c r="AA97" s="377" t="e">
        <f>SUM(AVERAGE(#REF!),AVERAGE(AA$53:AA$70),AVERAGE(AA$53:AA$70),SUM(#REF!))</f>
        <v>#REF!</v>
      </c>
      <c r="AB97" s="377" t="e">
        <f>SUM(AVERAGE(#REF!),AVERAGE(AB$53:AB$70),AVERAGE(AB$53:AB$70),SUM(#REF!))</f>
        <v>#REF!</v>
      </c>
      <c r="AC97" s="377" t="e">
        <f>SUM(AVERAGE(#REF!),AVERAGE(AC$53:AC$70),AVERAGE(AC$53:AC$70),SUM(#REF!))</f>
        <v>#REF!</v>
      </c>
      <c r="AD97" s="377" t="e">
        <f>SUM(AVERAGE(#REF!),AVERAGE(AD$53:AD$70),AVERAGE(AD$53:AD$70),SUM(#REF!))</f>
        <v>#REF!</v>
      </c>
      <c r="AE97" s="377" t="e">
        <f>SUM(AVERAGE(#REF!),AVERAGE(AE$53:AE$70),AVERAGE(AE$53:AE$70),SUM(#REF!))</f>
        <v>#REF!</v>
      </c>
      <c r="AF97" s="377" t="e">
        <f>SUM(AVERAGE(#REF!),AVERAGE(AF$53:AF$70),AVERAGE(AF$53:AF$70),SUM(#REF!))</f>
        <v>#REF!</v>
      </c>
      <c r="AG97" s="377" t="e">
        <f>SUM(AVERAGE(#REF!),AVERAGE(AG$53:AG$70),AVERAGE(AG$53:AG$70),SUM(#REF!))</f>
        <v>#REF!</v>
      </c>
      <c r="AH97" s="377" t="e">
        <f>SUM(AVERAGE(#REF!),AVERAGE(#REF!),AVERAGE(#REF!),SUM(#REF!))</f>
        <v>#REF!</v>
      </c>
    </row>
    <row r="98" spans="2:34" s="374" customFormat="1" ht="18.45" hidden="1">
      <c r="B98" s="378" t="s">
        <v>733</v>
      </c>
      <c r="C98" s="375" t="e">
        <f xml:space="preserve"> (MIN(#REF!)+MIN(C$53:C$70)+MIN(C$53:C$70)) &amp; " - " &amp; (MAX(#REF!)+MAX(C$53:C$70)+MAX(C$53:C$70)+SUM(#REF!))</f>
        <v>#REF!</v>
      </c>
      <c r="D98" s="377"/>
      <c r="E98" s="375" t="e">
        <f xml:space="preserve"> (MIN(#REF!)+MIN(E$53:E$70)+MIN(E$53:E$70)) &amp; " - " &amp; (MAX(#REF!)+MAX(E$53:E$70)+MAX(E$53:E$70)+SUM(#REF!))</f>
        <v>#REF!</v>
      </c>
      <c r="F98" s="375"/>
      <c r="G98" s="375" t="e">
        <f xml:space="preserve"> (MIN(#REF!)+MIN(G$53:G$70)+MIN(G$53:G$70)) &amp; " - " &amp; (MAX(#REF!)+MAX(G$53:G$70)+MAX(G$53:G$70)+SUM(#REF!))</f>
        <v>#REF!</v>
      </c>
      <c r="H98" s="375"/>
      <c r="I98" s="375" t="e">
        <f xml:space="preserve"> (MIN(#REF!)+MIN(I$53:I$70)+MIN(I$53:I$70)) &amp; " - " &amp; (MAX(#REF!)+MAX(I$53:I$70)+MAX(I$53:I$70)+SUM(#REF!))</f>
        <v>#REF!</v>
      </c>
      <c r="J98" s="375"/>
      <c r="K98" s="375" t="e">
        <f xml:space="preserve"> (MIN(#REF!)+MIN(K$53:K$70)+MIN(K$53:K$70)) &amp; " - " &amp; (MAX(#REF!)+MAX(K$53:K$70)+MAX(K$53:K$70)+SUM(#REF!))</f>
        <v>#REF!</v>
      </c>
      <c r="L98" s="375"/>
      <c r="M98" s="375" t="e">
        <f xml:space="preserve"> (MIN(#REF!)+MIN(M$53:M$70)+MIN(M$53:M$70)) &amp; " - " &amp; (MAX(#REF!)+MAX(M$53:M$70)+MAX(M$53:M$70)+SUM(#REF!))</f>
        <v>#REF!</v>
      </c>
      <c r="N98" s="375"/>
      <c r="O98" s="375" t="e">
        <f xml:space="preserve"> (MIN(#REF!)+MIN(O$53:O$70)+MIN(O$53:O$70)) &amp; " - " &amp; (MAX(#REF!)+MAX(O$53:O$70)+MAX(O$53:O$70)+SUM(#REF!))</f>
        <v>#REF!</v>
      </c>
      <c r="P98" s="375"/>
      <c r="Q98" s="375" t="e">
        <f xml:space="preserve"> (MIN(#REF!)+MIN(Q$53:Q$70)+MIN(Q$53:Q$70)) &amp; " - " &amp; (MAX(#REF!)+MAX(Q$53:Q$70)+MAX(Q$53:Q$70)+SUM(#REF!))</f>
        <v>#REF!</v>
      </c>
      <c r="R98" s="375"/>
      <c r="S98" s="375" t="e">
        <f xml:space="preserve"> (MIN(#REF!)+MIN(S$53:S$70)+MIN(S$53:S$70)) &amp; " - " &amp; (MAX(#REF!)+MAX(S$53:S$70)+MAX(S$53:S$70)+SUM(#REF!))</f>
        <v>#REF!</v>
      </c>
      <c r="T98" s="375"/>
      <c r="U98" s="375" t="e">
        <f xml:space="preserve"> (MIN(#REF!)+MIN(U$53:U$70)+MIN(U$53:U$70)) &amp; " - " &amp; (MAX(#REF!)+MAX(U$53:U$70)+MAX(U$53:U$70)+SUM(#REF!))</f>
        <v>#REF!</v>
      </c>
      <c r="V98" s="375"/>
      <c r="W98" s="375" t="e">
        <f xml:space="preserve"> (MIN(#REF!)+MIN(W$53:W$70)+MIN(W$53:W$70)) &amp; " - " &amp; (MAX(#REF!)+MAX(W$53:W$70)+MAX(W$53:W$70)+SUM(#REF!))</f>
        <v>#REF!</v>
      </c>
      <c r="X98" s="375"/>
      <c r="Y98" s="375" t="e">
        <f xml:space="preserve"> (MIN(#REF!)+MIN(Y$53:Y$70)+MIN(Y$53:Y$70)) &amp; " - " &amp; (MAX(#REF!)+MAX(Y$53:Y$70)+MAX(Y$53:Y$70)+SUM(#REF!))</f>
        <v>#REF!</v>
      </c>
      <c r="Z98" s="375"/>
      <c r="AA98" s="375" t="e">
        <f xml:space="preserve"> (MIN(#REF!)+MIN(AA$53:AA$70)+MIN(AA$53:AA$70)) &amp; " - " &amp; (MAX(#REF!)+MAX(AA$53:AA$70)+MAX(AA$53:AA$70)+SUM(#REF!))</f>
        <v>#REF!</v>
      </c>
      <c r="AB98" s="375" t="e">
        <f xml:space="preserve"> (MIN(#REF!)+MIN(AB$53:AB$70)+MIN(AB$53:AB$70)) &amp; " - " &amp; (MAX(#REF!)+MAX(AB$53:AB$70)+MAX(AB$53:AB$70)+SUM(#REF!))</f>
        <v>#REF!</v>
      </c>
      <c r="AC98" s="375" t="e">
        <f xml:space="preserve"> (MIN(#REF!)+MIN(AC$53:AC$70)+MIN(AC$53:AC$70)) &amp; " - " &amp; (MAX(#REF!)+MAX(AC$53:AC$70)+MAX(AC$53:AC$70)+SUM(#REF!))</f>
        <v>#REF!</v>
      </c>
      <c r="AD98" s="375" t="e">
        <f xml:space="preserve"> (MIN(#REF!)+MIN(AD$53:AD$70)+MIN(AD$53:AD$70)) &amp; " - " &amp; (MAX(#REF!)+MAX(AD$53:AD$70)+MAX(AD$53:AD$70)+SUM(#REF!))</f>
        <v>#REF!</v>
      </c>
      <c r="AE98" s="375" t="e">
        <f xml:space="preserve"> (MIN(#REF!)+MIN(AE$53:AE$70)+MIN(AE$53:AE$70)) &amp; " - " &amp; (MAX(#REF!)+MAX(AE$53:AE$70)+MAX(AE$53:AE$70)+SUM(#REF!))</f>
        <v>#REF!</v>
      </c>
      <c r="AF98" s="375" t="e">
        <f xml:space="preserve"> (MIN(#REF!)+MIN(AF$53:AF$70)+MIN(AF$53:AF$70)) &amp; " - " &amp; (MAX(#REF!)+MAX(AF$53:AF$70)+MAX(AF$53:AF$70)+SUM(#REF!))</f>
        <v>#REF!</v>
      </c>
      <c r="AG98" s="375" t="e">
        <f xml:space="preserve"> (MIN(#REF!)+MIN(AG$53:AG$70)+MIN(AG$53:AG$70)) &amp; " - " &amp; (MAX(#REF!)+MAX(AG$53:AG$70)+MAX(AG$53:AG$70)+SUM(#REF!))</f>
        <v>#REF!</v>
      </c>
      <c r="AH98" s="375" t="e">
        <f xml:space="preserve"> (MIN(#REF!)+MIN(#REF!)+MIN(#REF!)) &amp; " - " &amp; (MAX(#REF!)+MAX(#REF!)+MAX(#REF!)+SUM(#REF!))</f>
        <v>#REF!</v>
      </c>
    </row>
    <row r="99" spans="2:34" s="374" customFormat="1" ht="18.45" hidden="1">
      <c r="B99" s="378" t="s">
        <v>734</v>
      </c>
      <c r="C99" s="377" t="e">
        <f>SUM(AVERAGE(#REF!),AVERAGE(C$53:C$70),AVERAGE(C$53:C$70),SUM(#REF!))</f>
        <v>#REF!</v>
      </c>
      <c r="D99" s="377"/>
      <c r="E99" s="377" t="e">
        <f>SUM(AVERAGE(#REF!),AVERAGE(E$53:E$70),AVERAGE(E$53:E$70),SUM(#REF!))</f>
        <v>#REF!</v>
      </c>
      <c r="F99" s="377"/>
      <c r="G99" s="377" t="e">
        <f>SUM(AVERAGE(#REF!),AVERAGE(G$53:G$70),AVERAGE(G$53:G$70),SUM(#REF!))</f>
        <v>#REF!</v>
      </c>
      <c r="H99" s="377"/>
      <c r="I99" s="377" t="e">
        <f>SUM(AVERAGE(#REF!),AVERAGE(I$53:I$70),AVERAGE(I$53:I$70),SUM(#REF!))</f>
        <v>#REF!</v>
      </c>
      <c r="J99" s="377"/>
      <c r="K99" s="377" t="e">
        <f>SUM(AVERAGE(#REF!),AVERAGE(K$53:K$70),AVERAGE(K$53:K$70),SUM(#REF!))</f>
        <v>#REF!</v>
      </c>
      <c r="L99" s="377"/>
      <c r="M99" s="377" t="e">
        <f>SUM(AVERAGE(#REF!),AVERAGE(M$53:M$70),AVERAGE(M$53:M$70),SUM(#REF!))</f>
        <v>#REF!</v>
      </c>
      <c r="N99" s="377"/>
      <c r="O99" s="377" t="e">
        <f>SUM(AVERAGE(#REF!),AVERAGE(O$53:O$70),AVERAGE(O$53:O$70),SUM(#REF!))</f>
        <v>#REF!</v>
      </c>
      <c r="P99" s="377"/>
      <c r="Q99" s="377" t="e">
        <f>SUM(AVERAGE(#REF!),AVERAGE(Q$53:Q$70),AVERAGE(Q$53:Q$70),SUM(#REF!))</f>
        <v>#REF!</v>
      </c>
      <c r="R99" s="377"/>
      <c r="S99" s="377" t="e">
        <f>SUM(AVERAGE(#REF!),AVERAGE(S$53:S$70),AVERAGE(S$53:S$70),SUM(#REF!))</f>
        <v>#REF!</v>
      </c>
      <c r="T99" s="377"/>
      <c r="U99" s="377" t="e">
        <f>SUM(AVERAGE(#REF!),AVERAGE(U$53:U$70),AVERAGE(U$53:U$70),SUM(#REF!))</f>
        <v>#REF!</v>
      </c>
      <c r="V99" s="377"/>
      <c r="W99" s="377" t="e">
        <f>SUM(AVERAGE(#REF!),AVERAGE(W$53:W$70),AVERAGE(W$53:W$70),SUM(#REF!))</f>
        <v>#REF!</v>
      </c>
      <c r="X99" s="377"/>
      <c r="Y99" s="377" t="e">
        <f>SUM(AVERAGE(#REF!),AVERAGE(Y$53:Y$70),AVERAGE(Y$53:Y$70),SUM(#REF!))</f>
        <v>#REF!</v>
      </c>
      <c r="Z99" s="377"/>
      <c r="AA99" s="377" t="e">
        <f>SUM(AVERAGE(#REF!),AVERAGE(AA$53:AA$70),AVERAGE(AA$53:AA$70),SUM(#REF!))</f>
        <v>#REF!</v>
      </c>
      <c r="AB99" s="377" t="e">
        <f>SUM(AVERAGE(#REF!),AVERAGE(AB$53:AB$70),AVERAGE(AB$53:AB$70),SUM(#REF!))</f>
        <v>#REF!</v>
      </c>
      <c r="AC99" s="377" t="e">
        <f>SUM(AVERAGE(#REF!),AVERAGE(AC$53:AC$70),AVERAGE(AC$53:AC$70),SUM(#REF!))</f>
        <v>#REF!</v>
      </c>
      <c r="AD99" s="377" t="e">
        <f>SUM(AVERAGE(#REF!),AVERAGE(AD$53:AD$70),AVERAGE(AD$53:AD$70),SUM(#REF!))</f>
        <v>#REF!</v>
      </c>
      <c r="AE99" s="377" t="e">
        <f>SUM(AVERAGE(#REF!),AVERAGE(AE$53:AE$70),AVERAGE(AE$53:AE$70),SUM(#REF!))</f>
        <v>#REF!</v>
      </c>
      <c r="AF99" s="377" t="e">
        <f>SUM(AVERAGE(#REF!),AVERAGE(AF$53:AF$70),AVERAGE(AF$53:AF$70),SUM(#REF!))</f>
        <v>#REF!</v>
      </c>
      <c r="AG99" s="377" t="e">
        <f>SUM(AVERAGE(#REF!),AVERAGE(AG$53:AG$70),AVERAGE(AG$53:AG$70),SUM(#REF!))</f>
        <v>#REF!</v>
      </c>
      <c r="AH99" s="377" t="e">
        <f>SUM(AVERAGE(#REF!),AVERAGE(#REF!),AVERAGE(#REF!),SUM(#REF!))</f>
        <v>#REF!</v>
      </c>
    </row>
    <row r="100" spans="2:34" s="374" customFormat="1" ht="18.45" hidden="1">
      <c r="B100" s="378" t="s">
        <v>735</v>
      </c>
      <c r="C100" s="375" t="e">
        <f xml:space="preserve"> (MIN(#REF!)+MIN(C$53:C$70)+MIN(C$53:C$70)) &amp; " - " &amp; (MAX(#REF!)+MAX(C$53:C$70)+MAX(C$53:C$70)+SUM(#REF!))</f>
        <v>#REF!</v>
      </c>
      <c r="D100" s="377"/>
      <c r="E100" s="375" t="e">
        <f xml:space="preserve"> (MIN(#REF!)+MIN(E$53:E$70)+MIN(E$53:E$70)) &amp; " - " &amp; (MAX(#REF!)+MAX(E$53:E$70)+MAX(E$53:E$70)+SUM(#REF!))</f>
        <v>#REF!</v>
      </c>
      <c r="F100" s="375"/>
      <c r="G100" s="375" t="e">
        <f xml:space="preserve"> (MIN(#REF!)+MIN(G$53:G$70)+MIN(G$53:G$70)) &amp; " - " &amp; (MAX(#REF!)+MAX(G$53:G$70)+MAX(G$53:G$70)+SUM(#REF!))</f>
        <v>#REF!</v>
      </c>
      <c r="H100" s="375"/>
      <c r="I100" s="375" t="e">
        <f xml:space="preserve"> (MIN(#REF!)+MIN(I$53:I$70)+MIN(I$53:I$70)) &amp; " - " &amp; (MAX(#REF!)+MAX(I$53:I$70)+MAX(I$53:I$70)+SUM(#REF!))</f>
        <v>#REF!</v>
      </c>
      <c r="J100" s="375"/>
      <c r="K100" s="375" t="e">
        <f xml:space="preserve"> (MIN(#REF!)+MIN(K$53:K$70)+MIN(K$53:K$70)) &amp; " - " &amp; (MAX(#REF!)+MAX(K$53:K$70)+MAX(K$53:K$70)+SUM(#REF!))</f>
        <v>#REF!</v>
      </c>
      <c r="L100" s="375"/>
      <c r="M100" s="375" t="e">
        <f xml:space="preserve"> (MIN(#REF!)+MIN(M$53:M$70)+MIN(M$53:M$70)) &amp; " - " &amp; (MAX(#REF!)+MAX(M$53:M$70)+MAX(M$53:M$70)+SUM(#REF!))</f>
        <v>#REF!</v>
      </c>
      <c r="N100" s="375"/>
      <c r="O100" s="375" t="e">
        <f xml:space="preserve"> (MIN(#REF!)+MIN(O$53:O$70)+MIN(O$53:O$70)) &amp; " - " &amp; (MAX(#REF!)+MAX(O$53:O$70)+MAX(O$53:O$70)+SUM(#REF!))</f>
        <v>#REF!</v>
      </c>
      <c r="P100" s="375"/>
      <c r="Q100" s="375" t="e">
        <f xml:space="preserve"> (MIN(#REF!)+MIN(Q$53:Q$70)+MIN(Q$53:Q$70)) &amp; " - " &amp; (MAX(#REF!)+MAX(Q$53:Q$70)+MAX(Q$53:Q$70)+SUM(#REF!))</f>
        <v>#REF!</v>
      </c>
      <c r="R100" s="375"/>
      <c r="S100" s="375" t="e">
        <f xml:space="preserve"> (MIN(#REF!)+MIN(S$53:S$70)+MIN(S$53:S$70)) &amp; " - " &amp; (MAX(#REF!)+MAX(S$53:S$70)+MAX(S$53:S$70)+SUM(#REF!))</f>
        <v>#REF!</v>
      </c>
      <c r="T100" s="375"/>
      <c r="U100" s="375" t="e">
        <f xml:space="preserve"> (MIN(#REF!)+MIN(U$53:U$70)+MIN(U$53:U$70)) &amp; " - " &amp; (MAX(#REF!)+MAX(U$53:U$70)+MAX(U$53:U$70)+SUM(#REF!))</f>
        <v>#REF!</v>
      </c>
      <c r="V100" s="375"/>
      <c r="W100" s="375" t="e">
        <f xml:space="preserve"> (MIN(#REF!)+MIN(W$53:W$70)+MIN(W$53:W$70)) &amp; " - " &amp; (MAX(#REF!)+MAX(W$53:W$70)+MAX(W$53:W$70)+SUM(#REF!))</f>
        <v>#REF!</v>
      </c>
      <c r="X100" s="375"/>
      <c r="Y100" s="375" t="e">
        <f xml:space="preserve"> (MIN(#REF!)+MIN(Y$53:Y$70)+MIN(Y$53:Y$70)) &amp; " - " &amp; (MAX(#REF!)+MAX(Y$53:Y$70)+MAX(Y$53:Y$70)+SUM(#REF!))</f>
        <v>#REF!</v>
      </c>
      <c r="Z100" s="375"/>
      <c r="AA100" s="375" t="e">
        <f xml:space="preserve"> (MIN(#REF!)+MIN(AA$53:AA$70)+MIN(AA$53:AA$70)) &amp; " - " &amp; (MAX(#REF!)+MAX(AA$53:AA$70)+MAX(AA$53:AA$70)+SUM(#REF!))</f>
        <v>#REF!</v>
      </c>
      <c r="AB100" s="375" t="e">
        <f xml:space="preserve"> (MIN(#REF!)+MIN(AB$53:AB$70)+MIN(AB$53:AB$70)) &amp; " - " &amp; (MAX(#REF!)+MAX(AB$53:AB$70)+MAX(AB$53:AB$70)+SUM(#REF!))</f>
        <v>#REF!</v>
      </c>
      <c r="AC100" s="375" t="e">
        <f xml:space="preserve"> (MIN(#REF!)+MIN(AC$53:AC$70)+MIN(AC$53:AC$70)) &amp; " - " &amp; (MAX(#REF!)+MAX(AC$53:AC$70)+MAX(AC$53:AC$70)+SUM(#REF!))</f>
        <v>#REF!</v>
      </c>
      <c r="AD100" s="375" t="e">
        <f xml:space="preserve"> (MIN(#REF!)+MIN(AD$53:AD$70)+MIN(AD$53:AD$70)) &amp; " - " &amp; (MAX(#REF!)+MAX(AD$53:AD$70)+MAX(AD$53:AD$70)+SUM(#REF!))</f>
        <v>#REF!</v>
      </c>
      <c r="AE100" s="375" t="e">
        <f xml:space="preserve"> (MIN(#REF!)+MIN(AE$53:AE$70)+MIN(AE$53:AE$70)) &amp; " - " &amp; (MAX(#REF!)+MAX(AE$53:AE$70)+MAX(AE$53:AE$70)+SUM(#REF!))</f>
        <v>#REF!</v>
      </c>
      <c r="AF100" s="375" t="e">
        <f xml:space="preserve"> (MIN(#REF!)+MIN(AF$53:AF$70)+MIN(AF$53:AF$70)) &amp; " - " &amp; (MAX(#REF!)+MAX(AF$53:AF$70)+MAX(AF$53:AF$70)+SUM(#REF!))</f>
        <v>#REF!</v>
      </c>
      <c r="AG100" s="375" t="e">
        <f xml:space="preserve"> (MIN(#REF!)+MIN(AG$53:AG$70)+MIN(AG$53:AG$70)) &amp; " - " &amp; (MAX(#REF!)+MAX(AG$53:AG$70)+MAX(AG$53:AG$70)+SUM(#REF!))</f>
        <v>#REF!</v>
      </c>
      <c r="AH100" s="375" t="e">
        <f xml:space="preserve"> (MIN(#REF!)+MIN(#REF!)+MIN(#REF!)) &amp; " - " &amp; (MAX(#REF!)+MAX(#REF!)+MAX(#REF!)+SUM(#REF!))</f>
        <v>#REF!</v>
      </c>
    </row>
    <row r="101" spans="2:34" s="374" customFormat="1" ht="18.45" hidden="1">
      <c r="B101" s="378" t="s">
        <v>736</v>
      </c>
      <c r="C101" s="377" t="e">
        <f>SUM(AVERAGE(#REF!),AVERAGE(C$53:C$70),AVERAGE(C$53:C$70),SUM(#REF!))</f>
        <v>#REF!</v>
      </c>
      <c r="D101" s="377"/>
      <c r="E101" s="377" t="e">
        <f>SUM(AVERAGE(#REF!),AVERAGE(E$53:E$70),AVERAGE(E$53:E$70),SUM(#REF!))</f>
        <v>#REF!</v>
      </c>
      <c r="F101" s="377"/>
      <c r="G101" s="377" t="e">
        <f>SUM(AVERAGE(#REF!),AVERAGE(G$53:G$70),AVERAGE(G$53:G$70),SUM(#REF!))</f>
        <v>#REF!</v>
      </c>
      <c r="H101" s="377"/>
      <c r="I101" s="377" t="e">
        <f>SUM(AVERAGE(#REF!),AVERAGE(I$53:I$70),AVERAGE(I$53:I$70),SUM(#REF!))</f>
        <v>#REF!</v>
      </c>
      <c r="J101" s="377"/>
      <c r="K101" s="377" t="e">
        <f>SUM(AVERAGE(#REF!),AVERAGE(K$53:K$70),AVERAGE(K$53:K$70),SUM(#REF!))</f>
        <v>#REF!</v>
      </c>
      <c r="L101" s="377"/>
      <c r="M101" s="377" t="e">
        <f>SUM(AVERAGE(#REF!),AVERAGE(M$53:M$70),AVERAGE(M$53:M$70),SUM(#REF!))</f>
        <v>#REF!</v>
      </c>
      <c r="N101" s="377"/>
      <c r="O101" s="377" t="e">
        <f>SUM(AVERAGE(#REF!),AVERAGE(O$53:O$70),AVERAGE(O$53:O$70),SUM(#REF!))</f>
        <v>#REF!</v>
      </c>
      <c r="P101" s="377"/>
      <c r="Q101" s="377" t="e">
        <f>SUM(AVERAGE(#REF!),AVERAGE(Q$53:Q$70),AVERAGE(Q$53:Q$70),SUM(#REF!))</f>
        <v>#REF!</v>
      </c>
      <c r="R101" s="377"/>
      <c r="S101" s="377" t="e">
        <f>SUM(AVERAGE(#REF!),AVERAGE(S$53:S$70),AVERAGE(S$53:S$70),SUM(#REF!))</f>
        <v>#REF!</v>
      </c>
      <c r="T101" s="377"/>
      <c r="U101" s="377" t="e">
        <f>SUM(AVERAGE(#REF!),AVERAGE(U$53:U$70),AVERAGE(U$53:U$70),SUM(#REF!))</f>
        <v>#REF!</v>
      </c>
      <c r="V101" s="377"/>
      <c r="W101" s="377" t="e">
        <f>SUM(AVERAGE(#REF!),AVERAGE(W$53:W$70),AVERAGE(W$53:W$70),SUM(#REF!))</f>
        <v>#REF!</v>
      </c>
      <c r="X101" s="377"/>
      <c r="Y101" s="377" t="e">
        <f>SUM(AVERAGE(#REF!),AVERAGE(Y$53:Y$70),AVERAGE(Y$53:Y$70),SUM(#REF!))</f>
        <v>#REF!</v>
      </c>
      <c r="Z101" s="377"/>
      <c r="AA101" s="377" t="e">
        <f>SUM(AVERAGE(#REF!),AVERAGE(AA$53:AA$70),AVERAGE(AA$53:AA$70),SUM(#REF!))</f>
        <v>#REF!</v>
      </c>
      <c r="AB101" s="377" t="e">
        <f>SUM(AVERAGE(#REF!),AVERAGE(AB$53:AB$70),AVERAGE(AB$53:AB$70),SUM(#REF!))</f>
        <v>#REF!</v>
      </c>
      <c r="AC101" s="377" t="e">
        <f>SUM(AVERAGE(#REF!),AVERAGE(AC$53:AC$70),AVERAGE(AC$53:AC$70),SUM(#REF!))</f>
        <v>#REF!</v>
      </c>
      <c r="AD101" s="377" t="e">
        <f>SUM(AVERAGE(#REF!),AVERAGE(AD$53:AD$70),AVERAGE(AD$53:AD$70),SUM(#REF!))</f>
        <v>#REF!</v>
      </c>
      <c r="AE101" s="377" t="e">
        <f>SUM(AVERAGE(#REF!),AVERAGE(AE$53:AE$70),AVERAGE(AE$53:AE$70),SUM(#REF!))</f>
        <v>#REF!</v>
      </c>
      <c r="AF101" s="377" t="e">
        <f>SUM(AVERAGE(#REF!),AVERAGE(AF$53:AF$70),AVERAGE(AF$53:AF$70),SUM(#REF!))</f>
        <v>#REF!</v>
      </c>
      <c r="AG101" s="377" t="e">
        <f>SUM(AVERAGE(#REF!),AVERAGE(AG$53:AG$70),AVERAGE(AG$53:AG$70),SUM(#REF!))</f>
        <v>#REF!</v>
      </c>
      <c r="AH101" s="377" t="e">
        <f>SUM(AVERAGE(#REF!),AVERAGE(#REF!),AVERAGE(#REF!),SUM(#REF!))</f>
        <v>#REF!</v>
      </c>
    </row>
    <row r="102" spans="2:34" s="374" customFormat="1" ht="18.45" hidden="1">
      <c r="B102" s="980" t="s">
        <v>737</v>
      </c>
      <c r="C102" s="981" t="e">
        <f xml:space="preserve"> (MIN(#REF!)+MIN(C$53:C$70)+MIN(C$53:C$70)) &amp; " - " &amp; (MAX(#REF!)+MAX(C$53:C$70)+MAX(C$53:C$70)+SUM(#REF!))</f>
        <v>#REF!</v>
      </c>
      <c r="D102" s="989"/>
      <c r="E102" s="981" t="e">
        <f xml:space="preserve"> (MIN(#REF!)+MIN(E$53:E$70)+MIN(E$53:E$70)) &amp; " - " &amp; (MAX(#REF!)+MAX(E$53:E$70)+MAX(E$53:E$70)+SUM(#REF!))</f>
        <v>#REF!</v>
      </c>
      <c r="F102" s="981"/>
      <c r="G102" s="981" t="e">
        <f xml:space="preserve"> (MIN(#REF!)+MIN(G$53:G$70)+MIN(G$53:G$70)) &amp; " - " &amp; (MAX(#REF!)+MAX(G$53:G$70)+MAX(G$53:G$70)+SUM(#REF!))</f>
        <v>#REF!</v>
      </c>
      <c r="H102" s="981"/>
      <c r="I102" s="981" t="e">
        <f xml:space="preserve"> (MIN(#REF!)+MIN(I$53:I$70)+MIN(I$53:I$70)) &amp; " - " &amp; (MAX(#REF!)+MAX(I$53:I$70)+MAX(I$53:I$70)+SUM(#REF!))</f>
        <v>#REF!</v>
      </c>
      <c r="J102" s="981"/>
      <c r="K102" s="981" t="e">
        <f xml:space="preserve"> (MIN(#REF!)+MIN(K$53:K$70)+MIN(K$53:K$70)) &amp; " - " &amp; (MAX(#REF!)+MAX(K$53:K$70)+MAX(K$53:K$70)+SUM(#REF!))</f>
        <v>#REF!</v>
      </c>
      <c r="L102" s="981"/>
      <c r="M102" s="981" t="e">
        <f xml:space="preserve"> (MIN(#REF!)+MIN(M$53:M$70)+MIN(M$53:M$70)) &amp; " - " &amp; (MAX(#REF!)+MAX(M$53:M$70)+MAX(M$53:M$70)+SUM(#REF!))</f>
        <v>#REF!</v>
      </c>
      <c r="N102" s="981"/>
      <c r="O102" s="981" t="e">
        <f xml:space="preserve"> (MIN(#REF!)+MIN(O$53:O$70)+MIN(O$53:O$70)) &amp; " - " &amp; (MAX(#REF!)+MAX(O$53:O$70)+MAX(O$53:O$70)+SUM(#REF!))</f>
        <v>#REF!</v>
      </c>
      <c r="P102" s="981"/>
      <c r="Q102" s="981" t="e">
        <f xml:space="preserve"> (MIN(#REF!)+MIN(Q$53:Q$70)+MIN(Q$53:Q$70)) &amp; " - " &amp; (MAX(#REF!)+MAX(Q$53:Q$70)+MAX(Q$53:Q$70)+SUM(#REF!))</f>
        <v>#REF!</v>
      </c>
      <c r="R102" s="981"/>
      <c r="S102" s="981" t="e">
        <f xml:space="preserve"> (MIN(#REF!)+MIN(S$53:S$70)+MIN(S$53:S$70)) &amp; " - " &amp; (MAX(#REF!)+MAX(S$53:S$70)+MAX(S$53:S$70)+SUM(#REF!))</f>
        <v>#REF!</v>
      </c>
      <c r="T102" s="981"/>
      <c r="U102" s="981" t="e">
        <f xml:space="preserve"> (MIN(#REF!)+MIN(U$53:U$70)+MIN(U$53:U$70)) &amp; " - " &amp; (MAX(#REF!)+MAX(U$53:U$70)+MAX(U$53:U$70)+SUM(#REF!))</f>
        <v>#REF!</v>
      </c>
      <c r="V102" s="981"/>
      <c r="W102" s="981" t="e">
        <f xml:space="preserve"> (MIN(#REF!)+MIN(W$53:W$70)+MIN(W$53:W$70)) &amp; " - " &amp; (MAX(#REF!)+MAX(W$53:W$70)+MAX(W$53:W$70)+SUM(#REF!))</f>
        <v>#REF!</v>
      </c>
      <c r="X102" s="981"/>
      <c r="Y102" s="981" t="e">
        <f xml:space="preserve"> (MIN(#REF!)+MIN(Y$53:Y$70)+MIN(Y$53:Y$70)) &amp; " - " &amp; (MAX(#REF!)+MAX(Y$53:Y$70)+MAX(Y$53:Y$70)+SUM(#REF!))</f>
        <v>#REF!</v>
      </c>
      <c r="Z102" s="981"/>
      <c r="AA102" s="375" t="e">
        <f xml:space="preserve"> (MIN(#REF!)+MIN(AA$53:AA$70)+MIN(AA$53:AA$70)) &amp; " - " &amp; (MAX(#REF!)+MAX(AA$53:AA$70)+MAX(AA$53:AA$70)+SUM(#REF!))</f>
        <v>#REF!</v>
      </c>
      <c r="AB102" s="375" t="e">
        <f xml:space="preserve"> (MIN(#REF!)+MIN(AB$53:AB$70)+MIN(AB$53:AB$70)) &amp; " - " &amp; (MAX(#REF!)+MAX(AB$53:AB$70)+MAX(AB$53:AB$70)+SUM(#REF!))</f>
        <v>#REF!</v>
      </c>
      <c r="AC102" s="375" t="e">
        <f xml:space="preserve"> (MIN(#REF!)+MIN(AC$53:AC$70)+MIN(AC$53:AC$70)) &amp; " - " &amp; (MAX(#REF!)+MAX(AC$53:AC$70)+MAX(AC$53:AC$70)+SUM(#REF!))</f>
        <v>#REF!</v>
      </c>
      <c r="AD102" s="375" t="e">
        <f xml:space="preserve"> (MIN(#REF!)+MIN(AD$53:AD$70)+MIN(AD$53:AD$70)) &amp; " - " &amp; (MAX(#REF!)+MAX(AD$53:AD$70)+MAX(AD$53:AD$70)+SUM(#REF!))</f>
        <v>#REF!</v>
      </c>
      <c r="AE102" s="375" t="e">
        <f xml:space="preserve"> (MIN(#REF!)+MIN(AE$53:AE$70)+MIN(AE$53:AE$70)) &amp; " - " &amp; (MAX(#REF!)+MAX(AE$53:AE$70)+MAX(AE$53:AE$70)+SUM(#REF!))</f>
        <v>#REF!</v>
      </c>
      <c r="AF102" s="375" t="e">
        <f xml:space="preserve"> (MIN(#REF!)+MIN(AF$53:AF$70)+MIN(AF$53:AF$70)) &amp; " - " &amp; (MAX(#REF!)+MAX(AF$53:AF$70)+MAX(AF$53:AF$70)+SUM(#REF!))</f>
        <v>#REF!</v>
      </c>
      <c r="AG102" s="375" t="e">
        <f xml:space="preserve"> (MIN(#REF!)+MIN(AG$53:AG$70)+MIN(AG$53:AG$70)) &amp; " - " &amp; (MAX(#REF!)+MAX(AG$53:AG$70)+MAX(AG$53:AG$70)+SUM(#REF!))</f>
        <v>#REF!</v>
      </c>
      <c r="AH102" s="375" t="e">
        <f xml:space="preserve"> (MIN(#REF!)+MIN(#REF!)+MIN(#REF!)) &amp; " - " &amp; (MAX(#REF!)+MAX(#REF!)+MAX(#REF!)+SUM(#REF!))</f>
        <v>#REF!</v>
      </c>
    </row>
    <row r="103" spans="2:34" s="374" customFormat="1" ht="55.3">
      <c r="B103" s="982" t="s">
        <v>738</v>
      </c>
      <c r="C103" s="460" t="s">
        <v>4</v>
      </c>
      <c r="D103" s="460" t="s">
        <v>4</v>
      </c>
      <c r="E103" s="460" t="s">
        <v>5</v>
      </c>
      <c r="F103" s="460" t="s">
        <v>5</v>
      </c>
      <c r="G103" s="460" t="s">
        <v>6</v>
      </c>
      <c r="H103" s="460" t="s">
        <v>6</v>
      </c>
      <c r="I103" s="460" t="s">
        <v>7</v>
      </c>
      <c r="J103" s="460" t="s">
        <v>7</v>
      </c>
      <c r="K103" s="460" t="s">
        <v>8</v>
      </c>
      <c r="L103" s="460" t="s">
        <v>8</v>
      </c>
      <c r="M103" s="460" t="s">
        <v>9</v>
      </c>
      <c r="N103" s="460" t="s">
        <v>9</v>
      </c>
      <c r="O103" s="460" t="s">
        <v>10</v>
      </c>
      <c r="P103" s="460" t="s">
        <v>10</v>
      </c>
      <c r="Q103" s="460" t="s">
        <v>11</v>
      </c>
      <c r="R103" s="460" t="s">
        <v>11</v>
      </c>
      <c r="S103" s="460" t="s">
        <v>12</v>
      </c>
      <c r="T103" s="460" t="s">
        <v>12</v>
      </c>
      <c r="U103" s="460" t="s">
        <v>13</v>
      </c>
      <c r="V103" s="460" t="s">
        <v>13</v>
      </c>
      <c r="W103" s="460" t="s">
        <v>14</v>
      </c>
      <c r="X103" s="460" t="s">
        <v>14</v>
      </c>
      <c r="Y103" s="460" t="s">
        <v>15</v>
      </c>
      <c r="Z103" s="460" t="s">
        <v>15</v>
      </c>
      <c r="AA103" s="441"/>
      <c r="AB103" s="441"/>
      <c r="AC103" s="441"/>
      <c r="AD103" s="441"/>
      <c r="AE103" s="441"/>
      <c r="AF103" s="441"/>
      <c r="AG103" s="441"/>
      <c r="AH103" s="441"/>
    </row>
    <row r="104" spans="2:34" ht="18.45">
      <c r="B104" s="983" t="s">
        <v>396</v>
      </c>
      <c r="C104" s="984">
        <f>MIN(D4:D26)</f>
        <v>230</v>
      </c>
      <c r="D104" s="990">
        <f>MAX(D4:D26)</f>
        <v>270</v>
      </c>
      <c r="E104" s="984">
        <f>MIN(F4:F26)</f>
        <v>90</v>
      </c>
      <c r="F104" s="990">
        <f>MAX(F4:F26)</f>
        <v>130</v>
      </c>
      <c r="G104" s="984">
        <f>MIN(H4:H26)</f>
        <v>10</v>
      </c>
      <c r="H104" s="990">
        <f>MAX(H4:H26)</f>
        <v>14</v>
      </c>
      <c r="I104" s="984">
        <f>MIN(J4:J26)</f>
        <v>6</v>
      </c>
      <c r="J104" s="990">
        <f>MAX(J4:J26)</f>
        <v>9</v>
      </c>
      <c r="K104" s="984">
        <f>MIN(L4:L26)</f>
        <v>0</v>
      </c>
      <c r="L104" s="990">
        <f>MAX(L4:L26)</f>
        <v>0</v>
      </c>
      <c r="M104" s="984">
        <f>MIN(N4:N26)</f>
        <v>60</v>
      </c>
      <c r="N104" s="990">
        <f>MAX(N4:N26)</f>
        <v>85</v>
      </c>
      <c r="O104" s="984">
        <f>MIN(P4:P26)</f>
        <v>140</v>
      </c>
      <c r="P104" s="990">
        <f>MAX(P4:P26)</f>
        <v>210</v>
      </c>
      <c r="Q104" s="984">
        <f>MIN(R4:R26)</f>
        <v>26</v>
      </c>
      <c r="R104" s="990">
        <f>MAX(R4:R26)</f>
        <v>35</v>
      </c>
      <c r="S104" s="984">
        <f>MIN(T4:T26)</f>
        <v>0</v>
      </c>
      <c r="T104" s="990">
        <f>MAX(T4:T26)</f>
        <v>0</v>
      </c>
      <c r="U104" s="984">
        <f>MIN(V4:V26)</f>
        <v>21</v>
      </c>
      <c r="V104" s="990">
        <f>MAX(V4:V26)</f>
        <v>27</v>
      </c>
      <c r="W104" s="984">
        <f>MIN(X4:X26)</f>
        <v>0</v>
      </c>
      <c r="X104" s="990">
        <f>MAX(X4:X26)</f>
        <v>10</v>
      </c>
      <c r="Y104" s="984">
        <f>MIN(Z4:Z26)</f>
        <v>4</v>
      </c>
      <c r="Z104" s="990">
        <f>MAX(Z4:Z26)</f>
        <v>5</v>
      </c>
      <c r="AA104" s="458"/>
      <c r="AB104" s="458"/>
      <c r="AC104" s="458"/>
      <c r="AD104" s="798"/>
      <c r="AE104" s="798"/>
      <c r="AF104" s="798"/>
      <c r="AG104" s="798"/>
      <c r="AH104" s="798"/>
    </row>
    <row r="105" spans="2:34" ht="18.45">
      <c r="B105" s="982" t="s">
        <v>739</v>
      </c>
      <c r="C105" s="984">
        <f>MIN(D51:D70)*2</f>
        <v>100</v>
      </c>
      <c r="D105" s="990">
        <f>MAX(D51:D70)*2</f>
        <v>420</v>
      </c>
      <c r="E105" s="984">
        <f>MIN(F51:F70)*2</f>
        <v>0</v>
      </c>
      <c r="F105" s="990">
        <f>MAX(F51:F70)*2</f>
        <v>340</v>
      </c>
      <c r="G105" s="984">
        <f>MIN(H51:H70)*2</f>
        <v>0</v>
      </c>
      <c r="H105" s="990">
        <f>MAX(H51:H70)*2</f>
        <v>38</v>
      </c>
      <c r="I105" s="984">
        <f>MIN(J51:J70)*2</f>
        <v>0</v>
      </c>
      <c r="J105" s="990">
        <f>MAX(J51:J70)*2</f>
        <v>18</v>
      </c>
      <c r="K105" s="984">
        <f>MIN(L51:L70)*2</f>
        <v>0</v>
      </c>
      <c r="L105" s="990">
        <f>MAX(L51:L70)*2</f>
        <v>0</v>
      </c>
      <c r="M105" s="984">
        <f>MIN(N51:N70)*2</f>
        <v>0</v>
      </c>
      <c r="N105" s="990">
        <f>MAX(N51:N70)*2</f>
        <v>10</v>
      </c>
      <c r="O105" s="984">
        <f>MIN(P51:P70)*2</f>
        <v>0</v>
      </c>
      <c r="P105" s="990">
        <f>MAX(P51:P70)*2</f>
        <v>280</v>
      </c>
      <c r="Q105" s="984">
        <f>MIN(R51:R70)*2</f>
        <v>10</v>
      </c>
      <c r="R105" s="990">
        <f>MAX(R51:R70)*2</f>
        <v>54</v>
      </c>
      <c r="S105" s="984">
        <f>MIN(T51:T70)*2</f>
        <v>0</v>
      </c>
      <c r="T105" s="990">
        <f>MAX(T51:T70)*2</f>
        <v>18</v>
      </c>
      <c r="U105" s="984">
        <f>MIN(V51:V70)*2</f>
        <v>4</v>
      </c>
      <c r="V105" s="990">
        <f>MAX(V51:V70)*2</f>
        <v>50</v>
      </c>
      <c r="W105" s="984">
        <f>MIN(X51:X70)*2</f>
        <v>0</v>
      </c>
      <c r="X105" s="990">
        <f>MAX(X51:X70)*2</f>
        <v>50</v>
      </c>
      <c r="Y105" s="984">
        <f>MIN(Z51:Z70)*2</f>
        <v>0</v>
      </c>
      <c r="Z105" s="990">
        <f>MAX(Z51:Z70)*2</f>
        <v>12</v>
      </c>
    </row>
    <row r="106" spans="2:34" ht="18.45">
      <c r="B106" s="857" t="s">
        <v>498</v>
      </c>
      <c r="C106" s="985">
        <v>0</v>
      </c>
      <c r="D106" s="984">
        <f>SUM(D75:D76)</f>
        <v>45</v>
      </c>
      <c r="E106" s="985">
        <v>0</v>
      </c>
      <c r="F106" s="984">
        <f>SUM(F75:F76)</f>
        <v>25</v>
      </c>
      <c r="G106" s="985">
        <v>0</v>
      </c>
      <c r="H106" s="984">
        <f>SUM(H75:H76)</f>
        <v>3</v>
      </c>
      <c r="I106" s="985">
        <v>0</v>
      </c>
      <c r="J106" s="984">
        <f>SUM(J75:J76)</f>
        <v>2</v>
      </c>
      <c r="K106" s="985">
        <v>0</v>
      </c>
      <c r="L106" s="984">
        <f>SUM(L75:L76)</f>
        <v>0</v>
      </c>
      <c r="M106" s="985">
        <v>0</v>
      </c>
      <c r="N106" s="984">
        <f>SUM(N75:N76)</f>
        <v>10</v>
      </c>
      <c r="O106" s="985">
        <v>0</v>
      </c>
      <c r="P106" s="984">
        <f>SUM(P75:P76)</f>
        <v>0</v>
      </c>
      <c r="Q106" s="985">
        <v>0</v>
      </c>
      <c r="R106" s="984">
        <f>SUM(R75:R76)</f>
        <v>3</v>
      </c>
      <c r="S106" s="985">
        <v>0</v>
      </c>
      <c r="T106" s="984">
        <f>SUM(T75:T76)</f>
        <v>0</v>
      </c>
      <c r="U106" s="985">
        <v>0</v>
      </c>
      <c r="V106" s="984">
        <f>SUM(V75:V76)</f>
        <v>1</v>
      </c>
      <c r="W106" s="985">
        <v>0</v>
      </c>
      <c r="X106" s="984">
        <f>SUM(X75:X76)</f>
        <v>1</v>
      </c>
      <c r="Y106" s="985">
        <v>0</v>
      </c>
      <c r="Z106" s="984">
        <f>SUM(Z75:Z76)</f>
        <v>0</v>
      </c>
    </row>
    <row r="107" spans="2:34">
      <c r="B107" s="373" t="s">
        <v>740</v>
      </c>
    </row>
    <row r="108" spans="2:34" ht="13.3" thickBot="1">
      <c r="C108" s="991">
        <f>SUM(C104:C106)</f>
        <v>330</v>
      </c>
      <c r="D108" s="991">
        <f>SUM(D104:D106)</f>
        <v>735</v>
      </c>
      <c r="E108" s="991">
        <f t="shared" ref="E108:Z108" si="43">SUM(E104:E106)</f>
        <v>90</v>
      </c>
      <c r="F108" s="991">
        <f t="shared" si="43"/>
        <v>495</v>
      </c>
      <c r="G108" s="991">
        <f t="shared" si="43"/>
        <v>10</v>
      </c>
      <c r="H108" s="991">
        <f t="shared" si="43"/>
        <v>55</v>
      </c>
      <c r="I108" s="991">
        <f t="shared" si="43"/>
        <v>6</v>
      </c>
      <c r="J108" s="991">
        <f t="shared" si="43"/>
        <v>29</v>
      </c>
      <c r="K108" s="991">
        <f t="shared" si="43"/>
        <v>0</v>
      </c>
      <c r="L108" s="991">
        <f t="shared" si="43"/>
        <v>0</v>
      </c>
      <c r="M108" s="991">
        <f t="shared" si="43"/>
        <v>60</v>
      </c>
      <c r="N108" s="991">
        <f t="shared" si="43"/>
        <v>105</v>
      </c>
      <c r="O108" s="991">
        <f t="shared" si="43"/>
        <v>140</v>
      </c>
      <c r="P108" s="991">
        <f t="shared" si="43"/>
        <v>490</v>
      </c>
      <c r="Q108" s="991">
        <f t="shared" si="43"/>
        <v>36</v>
      </c>
      <c r="R108" s="991">
        <f t="shared" si="43"/>
        <v>92</v>
      </c>
      <c r="S108" s="991">
        <f t="shared" si="43"/>
        <v>0</v>
      </c>
      <c r="T108" s="991">
        <f t="shared" si="43"/>
        <v>18</v>
      </c>
      <c r="U108" s="991">
        <f t="shared" si="43"/>
        <v>25</v>
      </c>
      <c r="V108" s="991">
        <f t="shared" si="43"/>
        <v>78</v>
      </c>
      <c r="W108" s="991">
        <f t="shared" si="43"/>
        <v>0</v>
      </c>
      <c r="X108" s="991">
        <f t="shared" si="43"/>
        <v>61</v>
      </c>
      <c r="Y108" s="991">
        <f t="shared" si="43"/>
        <v>4</v>
      </c>
      <c r="Z108" s="991">
        <f t="shared" si="43"/>
        <v>17</v>
      </c>
    </row>
    <row r="109" spans="2:34" ht="55.3">
      <c r="B109" s="982" t="s">
        <v>741</v>
      </c>
      <c r="C109" s="460" t="s">
        <v>4</v>
      </c>
      <c r="D109" s="460" t="s">
        <v>4</v>
      </c>
      <c r="E109" s="460" t="s">
        <v>5</v>
      </c>
      <c r="F109" s="460" t="s">
        <v>5</v>
      </c>
      <c r="G109" s="460" t="s">
        <v>6</v>
      </c>
      <c r="H109" s="460" t="s">
        <v>6</v>
      </c>
      <c r="I109" s="460" t="s">
        <v>7</v>
      </c>
      <c r="J109" s="460" t="s">
        <v>7</v>
      </c>
      <c r="K109" s="460" t="s">
        <v>8</v>
      </c>
      <c r="L109" s="460" t="s">
        <v>8</v>
      </c>
      <c r="M109" s="460" t="s">
        <v>9</v>
      </c>
      <c r="N109" s="460" t="s">
        <v>9</v>
      </c>
      <c r="O109" s="460" t="s">
        <v>10</v>
      </c>
      <c r="P109" s="460" t="s">
        <v>10</v>
      </c>
      <c r="Q109" s="460" t="s">
        <v>11</v>
      </c>
      <c r="R109" s="460" t="s">
        <v>11</v>
      </c>
      <c r="S109" s="460" t="s">
        <v>12</v>
      </c>
      <c r="T109" s="460" t="s">
        <v>12</v>
      </c>
      <c r="U109" s="460" t="s">
        <v>13</v>
      </c>
      <c r="V109" s="460" t="s">
        <v>13</v>
      </c>
      <c r="W109" s="460" t="s">
        <v>14</v>
      </c>
      <c r="X109" s="460" t="s">
        <v>14</v>
      </c>
      <c r="Y109" s="460" t="s">
        <v>15</v>
      </c>
      <c r="Z109" s="460" t="s">
        <v>15</v>
      </c>
    </row>
    <row r="110" spans="2:34" ht="18.45">
      <c r="B110" s="983" t="s">
        <v>396</v>
      </c>
      <c r="C110" s="984">
        <f>MIN(D27:D50)</f>
        <v>310</v>
      </c>
      <c r="D110" s="990">
        <f>MAX(D27:D50)</f>
        <v>340</v>
      </c>
      <c r="E110" s="984">
        <f>MIN(F27:F50)</f>
        <v>110</v>
      </c>
      <c r="F110" s="990">
        <f>MAX(F27:F50)</f>
        <v>160</v>
      </c>
      <c r="G110" s="984">
        <f>MIN(H27:H50)</f>
        <v>13</v>
      </c>
      <c r="H110" s="990">
        <f>MAX(H27:H50)</f>
        <v>20</v>
      </c>
      <c r="I110" s="984">
        <f>MIN(J27:J50)</f>
        <v>8</v>
      </c>
      <c r="J110" s="990">
        <f>MAX(J27:J50)</f>
        <v>11</v>
      </c>
      <c r="K110" s="984">
        <f>MIN(L27:L50)</f>
        <v>0</v>
      </c>
      <c r="L110" s="990">
        <f>MAX(L27:L50)</f>
        <v>0</v>
      </c>
      <c r="M110" s="984">
        <f>MIN(N27:N50)</f>
        <v>75</v>
      </c>
      <c r="N110" s="990">
        <f>MAX(N27:N50)</f>
        <v>105</v>
      </c>
      <c r="O110" s="984">
        <f>MIN(P27:P50)</f>
        <v>180</v>
      </c>
      <c r="P110" s="990">
        <f>MAX(P27:P50)</f>
        <v>270</v>
      </c>
      <c r="Q110" s="984">
        <f>MIN(R27:R50)</f>
        <v>36</v>
      </c>
      <c r="R110" s="990">
        <f>MAX(R27:R50)</f>
        <v>45</v>
      </c>
      <c r="S110" s="984">
        <f>MIN(T27:T50)</f>
        <v>0</v>
      </c>
      <c r="T110" s="990">
        <f>MAX(T27:T50)</f>
        <v>0</v>
      </c>
      <c r="U110" s="984">
        <f>MIN(V27:V50)</f>
        <v>29</v>
      </c>
      <c r="V110" s="990">
        <f>MAX(V27:V50)</f>
        <v>35</v>
      </c>
      <c r="W110" s="984">
        <f>MIN(X27:X50)</f>
        <v>0</v>
      </c>
      <c r="X110" s="990">
        <f>MAX(X27:X50)</f>
        <v>13</v>
      </c>
      <c r="Y110" s="984">
        <f>MIN(Z27:Z50)</f>
        <v>5</v>
      </c>
      <c r="Z110" s="990">
        <f>MAX(Z27:Z50)</f>
        <v>7</v>
      </c>
    </row>
    <row r="112" spans="2:34" ht="18.45">
      <c r="B112" s="982"/>
      <c r="C112" s="984"/>
      <c r="D112" s="990"/>
      <c r="E112" s="984"/>
    </row>
    <row r="113" spans="2:26" ht="18.45">
      <c r="B113" s="857"/>
      <c r="C113" s="990">
        <f>C110+C105+C106</f>
        <v>410</v>
      </c>
      <c r="D113" s="990">
        <f t="shared" ref="D113:Z113" si="44">D110+D105+D106</f>
        <v>805</v>
      </c>
      <c r="E113" s="990">
        <f t="shared" si="44"/>
        <v>110</v>
      </c>
      <c r="F113" s="990">
        <f t="shared" si="44"/>
        <v>525</v>
      </c>
      <c r="G113" s="990">
        <f t="shared" si="44"/>
        <v>13</v>
      </c>
      <c r="H113" s="990">
        <f t="shared" si="44"/>
        <v>61</v>
      </c>
      <c r="I113" s="990">
        <f t="shared" si="44"/>
        <v>8</v>
      </c>
      <c r="J113" s="990">
        <f t="shared" si="44"/>
        <v>31</v>
      </c>
      <c r="K113" s="990">
        <f t="shared" si="44"/>
        <v>0</v>
      </c>
      <c r="L113" s="990">
        <f t="shared" si="44"/>
        <v>0</v>
      </c>
      <c r="M113" s="990">
        <f t="shared" si="44"/>
        <v>75</v>
      </c>
      <c r="N113" s="990">
        <f t="shared" si="44"/>
        <v>125</v>
      </c>
      <c r="O113" s="990">
        <f t="shared" si="44"/>
        <v>180</v>
      </c>
      <c r="P113" s="990">
        <f t="shared" si="44"/>
        <v>550</v>
      </c>
      <c r="Q113" s="990">
        <f t="shared" si="44"/>
        <v>46</v>
      </c>
      <c r="R113" s="990">
        <f t="shared" si="44"/>
        <v>102</v>
      </c>
      <c r="S113" s="990">
        <f t="shared" si="44"/>
        <v>0</v>
      </c>
      <c r="T113" s="990">
        <f t="shared" si="44"/>
        <v>18</v>
      </c>
      <c r="U113" s="990">
        <f t="shared" si="44"/>
        <v>33</v>
      </c>
      <c r="V113" s="990">
        <f t="shared" si="44"/>
        <v>86</v>
      </c>
      <c r="W113" s="990">
        <f t="shared" si="44"/>
        <v>0</v>
      </c>
      <c r="X113" s="990">
        <f t="shared" si="44"/>
        <v>64</v>
      </c>
      <c r="Y113" s="990">
        <f t="shared" si="44"/>
        <v>5</v>
      </c>
      <c r="Z113" s="990">
        <f t="shared" si="44"/>
        <v>19</v>
      </c>
    </row>
  </sheetData>
  <autoFilter ref="A3:AS70" xr:uid="{92833C85-9967-4259-A1A9-BBBBC6F982DC}">
    <filterColumn colId="0">
      <filters>
        <filter val="Small"/>
      </filters>
    </filterColumn>
    <sortState xmlns:xlrd2="http://schemas.microsoft.com/office/spreadsheetml/2017/richdata2" ref="A4:AS26">
      <sortCondition ref="Y3:Y70"/>
    </sortState>
  </autoFilter>
  <mergeCells count="6">
    <mergeCell ref="B83:AH85"/>
    <mergeCell ref="A1:AH2"/>
    <mergeCell ref="B72:V72"/>
    <mergeCell ref="B73:V73"/>
    <mergeCell ref="B78:V78"/>
    <mergeCell ref="B79:V79"/>
  </mergeCells>
  <pageMargins left="0.7" right="0.7" top="0.75" bottom="0.75" header="0.3" footer="0.3"/>
  <pageSetup scale="40" fitToHeight="0" orientation="landscape" r:id="rId1"/>
  <headerFooter>
    <oddHeader xml:space="preserve">&amp;R&amp;14 2024 Nutrition Information </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7F963-81D4-42D0-A80D-C4F226B47CEB}">
  <sheetPr>
    <tabColor rgb="FFFFC000"/>
  </sheetPr>
  <dimension ref="A1:V81"/>
  <sheetViews>
    <sheetView view="pageLayout" topLeftCell="A5" zoomScale="86" zoomScaleNormal="100" zoomScalePageLayoutView="86" workbookViewId="0">
      <selection activeCell="H23" sqref="H23"/>
    </sheetView>
    <sheetView workbookViewId="1">
      <selection sqref="A1:V1"/>
    </sheetView>
    <sheetView workbookViewId="2">
      <selection sqref="A1:V1"/>
    </sheetView>
  </sheetViews>
  <sheetFormatPr defaultColWidth="9.15234375" defaultRowHeight="15.9"/>
  <cols>
    <col min="1" max="1" width="6.53515625" style="212" customWidth="1"/>
    <col min="2" max="2" width="42.84375" style="212" customWidth="1"/>
    <col min="3" max="3" width="11.53515625" style="212" customWidth="1"/>
    <col min="4" max="4" width="12.3828125" style="212" customWidth="1"/>
    <col min="5" max="5" width="8.53515625" style="212" customWidth="1"/>
    <col min="6" max="6" width="12.84375" style="212" customWidth="1"/>
    <col min="7" max="7" width="8.53515625" style="212" customWidth="1"/>
    <col min="8" max="8" width="13" style="212" customWidth="1"/>
    <col min="9" max="9" width="9" style="212" customWidth="1"/>
    <col min="10" max="10" width="16.84375" style="212" customWidth="1"/>
    <col min="11" max="11" width="10.3828125" style="212" customWidth="1"/>
    <col min="12" max="12" width="8.84375" style="212" customWidth="1"/>
    <col min="13" max="13" width="9" style="212" customWidth="1"/>
    <col min="14" max="16" width="11.53515625" style="212" customWidth="1"/>
    <col min="17" max="17" width="9" style="212" customWidth="1"/>
    <col min="18" max="16384" width="9.15234375" style="212"/>
  </cols>
  <sheetData>
    <row r="1" spans="1:22" ht="15" customHeight="1">
      <c r="A1" s="1214" t="s">
        <v>742</v>
      </c>
      <c r="B1" s="1215"/>
      <c r="C1" s="1215"/>
      <c r="D1" s="1215"/>
      <c r="E1" s="1215"/>
      <c r="F1" s="1215"/>
      <c r="G1" s="1215"/>
      <c r="H1" s="1215"/>
      <c r="I1" s="1215"/>
      <c r="J1" s="1215"/>
      <c r="K1" s="1215"/>
      <c r="L1" s="1215"/>
      <c r="M1" s="1215"/>
      <c r="N1" s="1215"/>
      <c r="O1" s="1215"/>
      <c r="P1" s="1215"/>
      <c r="Q1" s="1215"/>
      <c r="R1" s="1215"/>
      <c r="S1" s="1215"/>
      <c r="T1" s="1215"/>
      <c r="U1" s="1215"/>
      <c r="V1" s="1215"/>
    </row>
    <row r="2" spans="1:22" ht="15" customHeight="1">
      <c r="A2" s="1214" t="s">
        <v>576</v>
      </c>
      <c r="B2" s="1215"/>
      <c r="C2" s="1215"/>
      <c r="D2" s="1215"/>
      <c r="E2" s="1215"/>
      <c r="F2" s="1215"/>
      <c r="G2" s="1215"/>
      <c r="H2" s="1215"/>
      <c r="I2" s="1215"/>
      <c r="J2" s="1215"/>
      <c r="K2" s="1215"/>
      <c r="L2" s="1215"/>
      <c r="M2" s="1215"/>
      <c r="N2" s="1215"/>
      <c r="O2" s="1215"/>
      <c r="P2" s="1215"/>
      <c r="Q2" s="1215"/>
      <c r="R2" s="1215"/>
      <c r="S2" s="1215"/>
      <c r="T2" s="1215"/>
      <c r="U2" s="1215"/>
      <c r="V2" s="1215"/>
    </row>
    <row r="3" spans="1:22" ht="18" customHeight="1" thickBot="1">
      <c r="A3" s="1209" t="s">
        <v>452</v>
      </c>
      <c r="B3" s="1210"/>
      <c r="C3" s="1210"/>
      <c r="D3" s="1210"/>
      <c r="E3" s="1210"/>
      <c r="F3" s="1210"/>
      <c r="G3" s="1210"/>
      <c r="H3" s="1210"/>
      <c r="I3" s="1210"/>
      <c r="J3" s="1210"/>
      <c r="K3" s="1210"/>
      <c r="L3" s="1210"/>
      <c r="M3" s="1210"/>
      <c r="N3" s="1210"/>
      <c r="O3" s="1210"/>
      <c r="P3" s="1210"/>
      <c r="Q3" s="1210"/>
      <c r="R3" s="1210"/>
      <c r="S3" s="1210"/>
      <c r="T3" s="1210"/>
      <c r="U3" s="1210"/>
      <c r="V3" s="1210"/>
    </row>
    <row r="4" spans="1:22" ht="37.5" customHeight="1" thickBot="1">
      <c r="A4" s="250" t="s">
        <v>179</v>
      </c>
      <c r="B4" s="214" t="s">
        <v>3</v>
      </c>
      <c r="C4" s="214" t="s">
        <v>4</v>
      </c>
      <c r="D4" s="214" t="s">
        <v>5</v>
      </c>
      <c r="E4" s="214" t="s">
        <v>6</v>
      </c>
      <c r="F4" s="214" t="s">
        <v>7</v>
      </c>
      <c r="G4" s="214" t="s">
        <v>8</v>
      </c>
      <c r="H4" s="214" t="s">
        <v>9</v>
      </c>
      <c r="I4" s="214" t="s">
        <v>10</v>
      </c>
      <c r="J4" s="214" t="s">
        <v>11</v>
      </c>
      <c r="K4" s="214" t="s">
        <v>12</v>
      </c>
      <c r="L4" s="214" t="s">
        <v>13</v>
      </c>
      <c r="M4" s="214" t="s">
        <v>14</v>
      </c>
      <c r="N4" s="214" t="s">
        <v>15</v>
      </c>
      <c r="O4" s="215" t="s">
        <v>16</v>
      </c>
      <c r="P4" s="215" t="s">
        <v>17</v>
      </c>
      <c r="Q4" s="215" t="s">
        <v>18</v>
      </c>
      <c r="R4" s="215" t="s">
        <v>19</v>
      </c>
      <c r="S4" s="267" t="s">
        <v>20</v>
      </c>
      <c r="T4" s="267" t="s">
        <v>21</v>
      </c>
      <c r="U4" s="215" t="s">
        <v>22</v>
      </c>
      <c r="V4" s="215" t="s">
        <v>23</v>
      </c>
    </row>
    <row r="5" spans="1:22" ht="15" customHeight="1">
      <c r="A5" s="1337" t="s">
        <v>128</v>
      </c>
      <c r="B5" s="268" t="s">
        <v>129</v>
      </c>
      <c r="C5" s="195">
        <v>550</v>
      </c>
      <c r="D5" s="195">
        <v>260</v>
      </c>
      <c r="E5" s="195">
        <v>29</v>
      </c>
      <c r="F5" s="195">
        <v>18</v>
      </c>
      <c r="G5" s="195">
        <v>0</v>
      </c>
      <c r="H5" s="195">
        <v>175</v>
      </c>
      <c r="I5" s="195">
        <v>290</v>
      </c>
      <c r="J5" s="195">
        <v>64</v>
      </c>
      <c r="K5" s="195">
        <v>0</v>
      </c>
      <c r="L5" s="195">
        <v>58</v>
      </c>
      <c r="M5" s="195">
        <v>44</v>
      </c>
      <c r="N5" s="195">
        <v>12</v>
      </c>
      <c r="O5" s="195">
        <v>0</v>
      </c>
      <c r="P5" s="195">
        <v>0</v>
      </c>
      <c r="Q5" s="195">
        <v>380</v>
      </c>
      <c r="R5" s="195">
        <v>30</v>
      </c>
      <c r="S5" s="195">
        <v>3</v>
      </c>
      <c r="T5" s="195">
        <v>15</v>
      </c>
      <c r="U5" s="195">
        <v>759</v>
      </c>
      <c r="V5" s="195">
        <v>15</v>
      </c>
    </row>
    <row r="6" spans="1:22" ht="15" customHeight="1">
      <c r="A6" s="1338"/>
      <c r="B6" s="246" t="s">
        <v>130</v>
      </c>
      <c r="C6" s="195">
        <v>580</v>
      </c>
      <c r="D6" s="195">
        <v>290</v>
      </c>
      <c r="E6" s="195">
        <v>32</v>
      </c>
      <c r="F6" s="195">
        <v>20</v>
      </c>
      <c r="G6" s="195">
        <v>0</v>
      </c>
      <c r="H6" s="195">
        <v>220</v>
      </c>
      <c r="I6" s="195">
        <v>370</v>
      </c>
      <c r="J6" s="195">
        <v>64</v>
      </c>
      <c r="K6" s="195">
        <v>0</v>
      </c>
      <c r="L6" s="195">
        <v>55</v>
      </c>
      <c r="M6" s="195">
        <v>41</v>
      </c>
      <c r="N6" s="195">
        <v>12</v>
      </c>
      <c r="O6" s="195">
        <v>0</v>
      </c>
      <c r="P6" s="195">
        <v>0</v>
      </c>
      <c r="Q6" s="195">
        <v>409</v>
      </c>
      <c r="R6" s="195">
        <v>30</v>
      </c>
      <c r="S6" s="195">
        <v>0</v>
      </c>
      <c r="T6" s="195">
        <v>0</v>
      </c>
      <c r="U6" s="195">
        <v>555</v>
      </c>
      <c r="V6" s="195">
        <v>10</v>
      </c>
    </row>
    <row r="7" spans="1:22" ht="15" customHeight="1">
      <c r="A7" s="1338"/>
      <c r="B7" s="246" t="s">
        <v>26</v>
      </c>
      <c r="C7" s="195">
        <v>560</v>
      </c>
      <c r="D7" s="195">
        <v>280</v>
      </c>
      <c r="E7" s="195">
        <v>31</v>
      </c>
      <c r="F7" s="195">
        <v>20</v>
      </c>
      <c r="G7" s="195">
        <v>0</v>
      </c>
      <c r="H7" s="195">
        <v>210</v>
      </c>
      <c r="I7" s="195">
        <v>350</v>
      </c>
      <c r="J7" s="195">
        <v>67</v>
      </c>
      <c r="K7" s="195">
        <v>0</v>
      </c>
      <c r="L7" s="195">
        <v>56</v>
      </c>
      <c r="M7" s="195">
        <v>39</v>
      </c>
      <c r="N7" s="195">
        <v>11</v>
      </c>
      <c r="O7" s="195">
        <v>0</v>
      </c>
      <c r="P7" s="195">
        <v>0</v>
      </c>
      <c r="Q7" s="195">
        <v>394</v>
      </c>
      <c r="R7" s="195">
        <v>30</v>
      </c>
      <c r="S7" s="195">
        <v>0</v>
      </c>
      <c r="T7" s="195">
        <v>0</v>
      </c>
      <c r="U7" s="195">
        <v>537</v>
      </c>
      <c r="V7" s="195">
        <v>10</v>
      </c>
    </row>
    <row r="8" spans="1:22" ht="15" customHeight="1">
      <c r="A8" s="1338"/>
      <c r="B8" s="246" t="s">
        <v>356</v>
      </c>
      <c r="C8" s="195">
        <v>570</v>
      </c>
      <c r="D8" s="195">
        <v>280</v>
      </c>
      <c r="E8" s="195">
        <v>31</v>
      </c>
      <c r="F8" s="195">
        <v>20</v>
      </c>
      <c r="G8" s="195">
        <v>0</v>
      </c>
      <c r="H8" s="195">
        <v>215</v>
      </c>
      <c r="I8" s="195">
        <v>360</v>
      </c>
      <c r="J8" s="195">
        <v>65</v>
      </c>
      <c r="K8" s="195">
        <v>0</v>
      </c>
      <c r="L8" s="195">
        <v>56</v>
      </c>
      <c r="M8" s="195">
        <v>40</v>
      </c>
      <c r="N8" s="195">
        <v>11</v>
      </c>
      <c r="O8" s="195">
        <v>0</v>
      </c>
      <c r="P8" s="195">
        <v>0</v>
      </c>
      <c r="Q8" s="195">
        <v>400</v>
      </c>
      <c r="R8" s="195">
        <v>30</v>
      </c>
      <c r="S8" s="195">
        <v>0</v>
      </c>
      <c r="T8" s="195">
        <v>0</v>
      </c>
      <c r="U8" s="195">
        <v>544</v>
      </c>
      <c r="V8" s="195">
        <v>10</v>
      </c>
    </row>
    <row r="9" spans="1:22" ht="15" customHeight="1">
      <c r="A9" s="1338"/>
      <c r="B9" s="246" t="s">
        <v>404</v>
      </c>
      <c r="C9" s="195">
        <v>570</v>
      </c>
      <c r="D9" s="195">
        <v>280</v>
      </c>
      <c r="E9" s="195">
        <v>31</v>
      </c>
      <c r="F9" s="195">
        <v>20</v>
      </c>
      <c r="G9" s="195">
        <v>0</v>
      </c>
      <c r="H9" s="195">
        <v>215</v>
      </c>
      <c r="I9" s="195">
        <v>360</v>
      </c>
      <c r="J9" s="195">
        <v>66</v>
      </c>
      <c r="K9" s="195">
        <v>0</v>
      </c>
      <c r="L9" s="195">
        <v>56</v>
      </c>
      <c r="M9" s="195">
        <v>40</v>
      </c>
      <c r="N9" s="195">
        <v>11</v>
      </c>
      <c r="O9" s="195">
        <v>0</v>
      </c>
      <c r="P9" s="195">
        <v>0</v>
      </c>
      <c r="Q9" s="195">
        <v>400</v>
      </c>
      <c r="R9" s="195">
        <v>30</v>
      </c>
      <c r="S9" s="195">
        <v>0</v>
      </c>
      <c r="T9" s="195">
        <v>0</v>
      </c>
      <c r="U9" s="195">
        <v>545</v>
      </c>
      <c r="V9" s="195">
        <v>10</v>
      </c>
    </row>
    <row r="10" spans="1:22" ht="15" customHeight="1">
      <c r="A10" s="1338"/>
      <c r="B10" s="246" t="s">
        <v>134</v>
      </c>
      <c r="C10" s="195">
        <v>530</v>
      </c>
      <c r="D10" s="195">
        <v>260</v>
      </c>
      <c r="E10" s="195">
        <v>29</v>
      </c>
      <c r="F10" s="195">
        <v>18</v>
      </c>
      <c r="G10" s="195">
        <v>0</v>
      </c>
      <c r="H10" s="195">
        <v>200</v>
      </c>
      <c r="I10" s="195">
        <v>350</v>
      </c>
      <c r="J10" s="195">
        <v>69</v>
      </c>
      <c r="K10" s="195">
        <v>0</v>
      </c>
      <c r="L10" s="195">
        <v>58</v>
      </c>
      <c r="M10" s="195">
        <v>37</v>
      </c>
      <c r="N10" s="195">
        <v>11</v>
      </c>
      <c r="O10" s="195">
        <v>0</v>
      </c>
      <c r="P10" s="195">
        <v>0</v>
      </c>
      <c r="Q10" s="195">
        <v>371</v>
      </c>
      <c r="R10" s="195">
        <v>30</v>
      </c>
      <c r="S10" s="195">
        <v>0</v>
      </c>
      <c r="T10" s="195">
        <v>0</v>
      </c>
      <c r="U10" s="195">
        <v>510</v>
      </c>
      <c r="V10" s="195">
        <v>10</v>
      </c>
    </row>
    <row r="11" spans="1:22" ht="15" customHeight="1">
      <c r="A11" s="1338"/>
      <c r="B11" s="246" t="s">
        <v>373</v>
      </c>
      <c r="C11" s="195">
        <v>580</v>
      </c>
      <c r="D11" s="195">
        <v>280</v>
      </c>
      <c r="E11" s="195">
        <v>31</v>
      </c>
      <c r="F11" s="195">
        <v>20</v>
      </c>
      <c r="G11" s="195">
        <v>0</v>
      </c>
      <c r="H11" s="195">
        <v>215</v>
      </c>
      <c r="I11" s="195">
        <v>360</v>
      </c>
      <c r="J11" s="195">
        <v>67</v>
      </c>
      <c r="K11" s="195">
        <v>0</v>
      </c>
      <c r="L11" s="195">
        <v>56</v>
      </c>
      <c r="M11" s="195">
        <v>40</v>
      </c>
      <c r="N11" s="195">
        <v>11</v>
      </c>
      <c r="O11" s="195">
        <v>0</v>
      </c>
      <c r="P11" s="195">
        <v>0</v>
      </c>
      <c r="Q11" s="195">
        <v>401</v>
      </c>
      <c r="R11" s="195">
        <v>30</v>
      </c>
      <c r="S11" s="195">
        <v>0</v>
      </c>
      <c r="T11" s="195">
        <v>0</v>
      </c>
      <c r="U11" s="195">
        <v>544</v>
      </c>
      <c r="V11" s="195">
        <v>10</v>
      </c>
    </row>
    <row r="12" spans="1:22" ht="15" customHeight="1">
      <c r="A12" s="1338"/>
      <c r="B12" s="246" t="s">
        <v>98</v>
      </c>
      <c r="C12" s="195">
        <v>600</v>
      </c>
      <c r="D12" s="195">
        <v>270</v>
      </c>
      <c r="E12" s="195">
        <v>30</v>
      </c>
      <c r="F12" s="195">
        <v>19</v>
      </c>
      <c r="G12" s="195">
        <v>0</v>
      </c>
      <c r="H12" s="195">
        <v>205</v>
      </c>
      <c r="I12" s="195">
        <v>340</v>
      </c>
      <c r="J12" s="195">
        <v>73</v>
      </c>
      <c r="K12" s="195">
        <v>0</v>
      </c>
      <c r="L12" s="195">
        <v>64</v>
      </c>
      <c r="M12" s="195">
        <v>51</v>
      </c>
      <c r="N12" s="195">
        <v>11</v>
      </c>
      <c r="O12" s="195">
        <v>0</v>
      </c>
      <c r="P12" s="195">
        <v>0</v>
      </c>
      <c r="Q12" s="195">
        <v>380</v>
      </c>
      <c r="R12" s="195">
        <v>30</v>
      </c>
      <c r="S12" s="195">
        <v>0</v>
      </c>
      <c r="T12" s="195">
        <v>0</v>
      </c>
      <c r="U12" s="195">
        <v>523</v>
      </c>
      <c r="V12" s="195">
        <v>10</v>
      </c>
    </row>
    <row r="13" spans="1:22" ht="15" customHeight="1">
      <c r="A13" s="1338"/>
      <c r="B13" s="246" t="s">
        <v>400</v>
      </c>
      <c r="C13" s="195">
        <v>550</v>
      </c>
      <c r="D13" s="195">
        <v>250</v>
      </c>
      <c r="E13" s="195">
        <v>28</v>
      </c>
      <c r="F13" s="195">
        <v>17</v>
      </c>
      <c r="G13" s="195">
        <v>0</v>
      </c>
      <c r="H13" s="195">
        <v>170</v>
      </c>
      <c r="I13" s="195">
        <v>290</v>
      </c>
      <c r="J13" s="195">
        <v>66</v>
      </c>
      <c r="K13" s="195">
        <v>0</v>
      </c>
      <c r="L13" s="195">
        <v>59</v>
      </c>
      <c r="M13" s="195">
        <v>42</v>
      </c>
      <c r="N13" s="195">
        <v>11</v>
      </c>
      <c r="O13" s="195">
        <v>0</v>
      </c>
      <c r="P13" s="195">
        <v>0</v>
      </c>
      <c r="Q13" s="195">
        <v>365</v>
      </c>
      <c r="R13" s="195">
        <v>30</v>
      </c>
      <c r="S13" s="195">
        <v>3</v>
      </c>
      <c r="T13" s="195">
        <v>15</v>
      </c>
      <c r="U13" s="195">
        <v>733</v>
      </c>
      <c r="V13" s="195">
        <v>15</v>
      </c>
    </row>
    <row r="14" spans="1:22" ht="15" customHeight="1">
      <c r="A14" s="1338"/>
      <c r="B14" s="246" t="s">
        <v>399</v>
      </c>
      <c r="C14" s="195">
        <v>530</v>
      </c>
      <c r="D14" s="195">
        <v>250</v>
      </c>
      <c r="E14" s="195">
        <v>28</v>
      </c>
      <c r="F14" s="195">
        <v>17</v>
      </c>
      <c r="G14" s="195">
        <v>0</v>
      </c>
      <c r="H14" s="195">
        <v>170</v>
      </c>
      <c r="I14" s="195">
        <v>280</v>
      </c>
      <c r="J14" s="195">
        <v>67</v>
      </c>
      <c r="K14" s="195"/>
      <c r="L14" s="195">
        <v>59</v>
      </c>
      <c r="M14" s="195">
        <v>42</v>
      </c>
      <c r="N14" s="195">
        <v>11</v>
      </c>
      <c r="O14" s="195">
        <v>0</v>
      </c>
      <c r="P14" s="195">
        <v>0</v>
      </c>
      <c r="Q14" s="195">
        <v>365</v>
      </c>
      <c r="R14" s="195">
        <v>30</v>
      </c>
      <c r="S14" s="195">
        <v>3</v>
      </c>
      <c r="T14" s="195">
        <v>15</v>
      </c>
      <c r="U14" s="195">
        <v>733</v>
      </c>
      <c r="V14" s="195">
        <v>15</v>
      </c>
    </row>
    <row r="15" spans="1:22" ht="15" customHeight="1">
      <c r="A15" s="1338"/>
      <c r="B15" s="246" t="s">
        <v>397</v>
      </c>
      <c r="C15" s="195">
        <v>530</v>
      </c>
      <c r="D15" s="195">
        <v>250</v>
      </c>
      <c r="E15" s="195">
        <v>28</v>
      </c>
      <c r="F15" s="195">
        <v>17</v>
      </c>
      <c r="G15" s="195">
        <v>0</v>
      </c>
      <c r="H15" s="195">
        <v>170</v>
      </c>
      <c r="I15" s="195">
        <v>280</v>
      </c>
      <c r="J15" s="195">
        <v>66</v>
      </c>
      <c r="K15" s="195">
        <v>0</v>
      </c>
      <c r="L15" s="195">
        <v>59</v>
      </c>
      <c r="M15" s="195">
        <v>42</v>
      </c>
      <c r="N15" s="195">
        <v>11</v>
      </c>
      <c r="O15" s="195">
        <v>0</v>
      </c>
      <c r="P15" s="195">
        <v>0</v>
      </c>
      <c r="Q15" s="195">
        <v>365</v>
      </c>
      <c r="R15" s="195">
        <v>30</v>
      </c>
      <c r="S15" s="195">
        <v>3</v>
      </c>
      <c r="T15" s="195">
        <v>15</v>
      </c>
      <c r="U15" s="195">
        <v>733</v>
      </c>
      <c r="V15" s="195">
        <v>15</v>
      </c>
    </row>
    <row r="16" spans="1:22">
      <c r="A16" s="1338"/>
      <c r="B16" s="246" t="s">
        <v>136</v>
      </c>
      <c r="C16" s="195">
        <v>580</v>
      </c>
      <c r="D16" s="195">
        <v>290</v>
      </c>
      <c r="E16" s="195">
        <v>32</v>
      </c>
      <c r="F16" s="195">
        <v>20</v>
      </c>
      <c r="G16" s="195">
        <v>0</v>
      </c>
      <c r="H16" s="195">
        <v>215</v>
      </c>
      <c r="I16" s="195">
        <v>380</v>
      </c>
      <c r="J16" s="195">
        <v>64</v>
      </c>
      <c r="K16" s="195">
        <v>0</v>
      </c>
      <c r="L16" s="195">
        <v>55</v>
      </c>
      <c r="M16" s="195">
        <v>40</v>
      </c>
      <c r="N16" s="195">
        <v>12</v>
      </c>
      <c r="O16" s="195">
        <v>0</v>
      </c>
      <c r="P16" s="195">
        <v>0</v>
      </c>
      <c r="Q16" s="195">
        <v>405</v>
      </c>
      <c r="R16" s="195">
        <v>30</v>
      </c>
      <c r="S16" s="195">
        <v>0</v>
      </c>
      <c r="T16" s="195">
        <v>0</v>
      </c>
      <c r="U16" s="195">
        <v>548</v>
      </c>
      <c r="V16" s="195">
        <v>10</v>
      </c>
    </row>
    <row r="17" spans="1:22" s="269" customFormat="1">
      <c r="A17" s="1338"/>
      <c r="B17" s="246" t="s">
        <v>36</v>
      </c>
      <c r="C17" s="195">
        <v>560</v>
      </c>
      <c r="D17" s="195">
        <v>280</v>
      </c>
      <c r="E17" s="195">
        <v>31</v>
      </c>
      <c r="F17" s="195">
        <v>20</v>
      </c>
      <c r="G17" s="195">
        <v>0</v>
      </c>
      <c r="H17" s="195">
        <v>210</v>
      </c>
      <c r="I17" s="195">
        <v>350</v>
      </c>
      <c r="J17" s="195">
        <v>68</v>
      </c>
      <c r="K17" s="195">
        <v>0</v>
      </c>
      <c r="L17" s="195">
        <v>58</v>
      </c>
      <c r="M17" s="195">
        <v>40</v>
      </c>
      <c r="N17" s="195">
        <v>11</v>
      </c>
      <c r="O17" s="195">
        <v>0</v>
      </c>
      <c r="P17" s="195">
        <v>0</v>
      </c>
      <c r="Q17" s="195">
        <v>396</v>
      </c>
      <c r="R17" s="195">
        <v>30</v>
      </c>
      <c r="S17" s="195">
        <v>0</v>
      </c>
      <c r="T17" s="195">
        <v>0</v>
      </c>
      <c r="U17" s="195">
        <v>540</v>
      </c>
      <c r="V17" s="195">
        <v>10</v>
      </c>
    </row>
    <row r="18" spans="1:22" s="269" customFormat="1" hidden="1">
      <c r="A18" s="1338"/>
      <c r="B18" s="246" t="s">
        <v>48</v>
      </c>
      <c r="C18" s="195"/>
      <c r="D18" s="195"/>
      <c r="E18" s="195"/>
      <c r="F18" s="195"/>
      <c r="G18" s="195"/>
      <c r="H18" s="195"/>
      <c r="I18" s="195"/>
      <c r="J18" s="195"/>
      <c r="K18" s="195"/>
      <c r="L18" s="195"/>
      <c r="M18" s="195"/>
      <c r="N18" s="195"/>
      <c r="O18" s="195"/>
      <c r="P18" s="195"/>
      <c r="Q18" s="195"/>
      <c r="R18" s="195"/>
      <c r="S18" s="195"/>
      <c r="T18" s="195"/>
      <c r="U18" s="195"/>
      <c r="V18" s="195"/>
    </row>
    <row r="19" spans="1:22" s="269" customFormat="1">
      <c r="A19" s="1338"/>
      <c r="B19" s="246" t="s">
        <v>137</v>
      </c>
      <c r="C19" s="195">
        <v>580</v>
      </c>
      <c r="D19" s="195">
        <v>290</v>
      </c>
      <c r="E19" s="195">
        <v>32</v>
      </c>
      <c r="F19" s="195">
        <v>20</v>
      </c>
      <c r="G19" s="195">
        <v>0</v>
      </c>
      <c r="H19" s="195">
        <v>215</v>
      </c>
      <c r="I19" s="195">
        <v>360</v>
      </c>
      <c r="J19" s="195">
        <v>65</v>
      </c>
      <c r="K19" s="195">
        <v>0</v>
      </c>
      <c r="L19" s="195">
        <v>56</v>
      </c>
      <c r="M19" s="195">
        <v>40</v>
      </c>
      <c r="N19" s="195">
        <v>12</v>
      </c>
      <c r="O19" s="195">
        <v>0</v>
      </c>
      <c r="P19" s="195">
        <v>0</v>
      </c>
      <c r="Q19" s="195">
        <v>404</v>
      </c>
      <c r="R19" s="195">
        <v>30</v>
      </c>
      <c r="S19" s="195">
        <v>0</v>
      </c>
      <c r="T19" s="195">
        <v>0</v>
      </c>
      <c r="U19" s="195">
        <v>549</v>
      </c>
      <c r="V19" s="195">
        <v>10</v>
      </c>
    </row>
    <row r="20" spans="1:22">
      <c r="A20" s="1338"/>
      <c r="B20" s="246" t="s">
        <v>138</v>
      </c>
      <c r="C20" s="195">
        <v>590</v>
      </c>
      <c r="D20" s="195">
        <v>280</v>
      </c>
      <c r="E20" s="195">
        <v>31</v>
      </c>
      <c r="F20" s="195">
        <v>20</v>
      </c>
      <c r="G20" s="195">
        <v>0</v>
      </c>
      <c r="H20" s="195">
        <v>215</v>
      </c>
      <c r="I20" s="195">
        <v>360</v>
      </c>
      <c r="J20" s="195">
        <v>66</v>
      </c>
      <c r="K20" s="195">
        <v>0</v>
      </c>
      <c r="L20" s="195">
        <v>57</v>
      </c>
      <c r="M20" s="195">
        <v>43</v>
      </c>
      <c r="N20" s="195">
        <v>11</v>
      </c>
      <c r="O20" s="195">
        <v>0</v>
      </c>
      <c r="P20" s="195">
        <v>0</v>
      </c>
      <c r="Q20" s="195">
        <v>400</v>
      </c>
      <c r="R20" s="195">
        <v>30</v>
      </c>
      <c r="S20" s="195">
        <v>0</v>
      </c>
      <c r="T20" s="195">
        <v>0</v>
      </c>
      <c r="U20" s="195">
        <v>546</v>
      </c>
      <c r="V20" s="195">
        <v>10</v>
      </c>
    </row>
    <row r="21" spans="1:22" hidden="1">
      <c r="A21" s="1338"/>
      <c r="B21" s="246" t="s">
        <v>139</v>
      </c>
      <c r="C21" s="195"/>
      <c r="D21" s="195"/>
      <c r="E21" s="195"/>
      <c r="F21" s="195"/>
      <c r="G21" s="195"/>
      <c r="H21" s="195"/>
      <c r="I21" s="195"/>
      <c r="J21" s="195"/>
      <c r="K21" s="195"/>
      <c r="L21" s="195"/>
      <c r="M21" s="195"/>
      <c r="N21" s="195"/>
      <c r="O21" s="195"/>
      <c r="P21" s="195"/>
      <c r="Q21" s="195"/>
      <c r="R21" s="195"/>
      <c r="S21" s="195"/>
      <c r="T21" s="195"/>
      <c r="U21" s="195"/>
      <c r="V21" s="195"/>
    </row>
    <row r="22" spans="1:22">
      <c r="A22" s="1338"/>
      <c r="B22" s="246" t="s">
        <v>403</v>
      </c>
      <c r="C22" s="195">
        <v>570</v>
      </c>
      <c r="D22" s="195">
        <v>280</v>
      </c>
      <c r="E22" s="195">
        <v>31</v>
      </c>
      <c r="F22" s="195">
        <v>20</v>
      </c>
      <c r="G22" s="195">
        <v>0</v>
      </c>
      <c r="H22" s="195">
        <v>215</v>
      </c>
      <c r="I22" s="195">
        <v>360</v>
      </c>
      <c r="J22" s="195">
        <v>65</v>
      </c>
      <c r="K22" s="195">
        <v>0</v>
      </c>
      <c r="L22" s="195">
        <v>56</v>
      </c>
      <c r="M22" s="195">
        <v>40</v>
      </c>
      <c r="N22" s="195">
        <v>11</v>
      </c>
      <c r="O22" s="195">
        <v>0</v>
      </c>
      <c r="P22" s="195">
        <v>0</v>
      </c>
      <c r="Q22" s="195">
        <v>401</v>
      </c>
      <c r="R22" s="195">
        <v>30</v>
      </c>
      <c r="S22" s="195">
        <v>0</v>
      </c>
      <c r="T22" s="195">
        <v>0</v>
      </c>
      <c r="U22" s="195">
        <v>547</v>
      </c>
      <c r="V22" s="195">
        <v>10</v>
      </c>
    </row>
    <row r="23" spans="1:22">
      <c r="A23" s="1338"/>
      <c r="B23" s="246" t="s">
        <v>139</v>
      </c>
      <c r="C23" s="195">
        <v>580</v>
      </c>
      <c r="D23" s="195">
        <v>290</v>
      </c>
      <c r="E23" s="195">
        <v>32</v>
      </c>
      <c r="F23" s="195">
        <v>20</v>
      </c>
      <c r="G23" s="195">
        <v>0</v>
      </c>
      <c r="H23" s="195">
        <v>215</v>
      </c>
      <c r="I23" s="195">
        <v>360</v>
      </c>
      <c r="J23" s="195">
        <v>65</v>
      </c>
      <c r="K23" s="195">
        <v>0</v>
      </c>
      <c r="L23" s="195">
        <v>56</v>
      </c>
      <c r="M23" s="195">
        <v>40</v>
      </c>
      <c r="N23" s="195">
        <v>12</v>
      </c>
      <c r="O23" s="195">
        <v>0</v>
      </c>
      <c r="P23" s="195">
        <v>0</v>
      </c>
      <c r="Q23" s="195">
        <v>405</v>
      </c>
      <c r="R23" s="195">
        <v>30</v>
      </c>
      <c r="S23" s="195">
        <v>0</v>
      </c>
      <c r="T23" s="195">
        <v>0</v>
      </c>
      <c r="U23" s="195">
        <v>550</v>
      </c>
      <c r="V23" s="195">
        <v>10</v>
      </c>
    </row>
    <row r="24" spans="1:22">
      <c r="A24" s="1338"/>
      <c r="B24" s="246" t="s">
        <v>140</v>
      </c>
      <c r="C24" s="195">
        <v>550</v>
      </c>
      <c r="D24" s="195">
        <v>190</v>
      </c>
      <c r="E24" s="195">
        <v>21</v>
      </c>
      <c r="F24" s="195">
        <v>14</v>
      </c>
      <c r="G24" s="195">
        <v>0</v>
      </c>
      <c r="H24" s="195">
        <v>145</v>
      </c>
      <c r="I24" s="195">
        <v>350</v>
      </c>
      <c r="J24" s="195">
        <v>43</v>
      </c>
      <c r="K24" s="195">
        <v>0</v>
      </c>
      <c r="L24" s="195">
        <v>62</v>
      </c>
      <c r="M24" s="195">
        <v>27</v>
      </c>
      <c r="N24" s="195">
        <v>8</v>
      </c>
      <c r="O24" s="195">
        <v>0</v>
      </c>
      <c r="P24" s="195">
        <v>0</v>
      </c>
      <c r="Q24" s="195">
        <v>277</v>
      </c>
      <c r="R24" s="195">
        <v>20</v>
      </c>
      <c r="S24" s="195">
        <v>0</v>
      </c>
      <c r="T24" s="195">
        <v>0</v>
      </c>
      <c r="U24" s="195">
        <v>399</v>
      </c>
      <c r="V24" s="195">
        <v>8</v>
      </c>
    </row>
    <row r="25" spans="1:22">
      <c r="A25" s="1338"/>
      <c r="B25" s="246" t="s">
        <v>398</v>
      </c>
      <c r="C25" s="195">
        <v>580</v>
      </c>
      <c r="D25" s="195">
        <v>280</v>
      </c>
      <c r="E25" s="195">
        <v>31</v>
      </c>
      <c r="F25" s="195">
        <v>20</v>
      </c>
      <c r="G25" s="195">
        <v>0</v>
      </c>
      <c r="H25" s="195">
        <v>210</v>
      </c>
      <c r="I25" s="195">
        <v>390</v>
      </c>
      <c r="J25" s="195">
        <v>63</v>
      </c>
      <c r="K25" s="195">
        <v>0</v>
      </c>
      <c r="L25" s="195">
        <v>55</v>
      </c>
      <c r="M25" s="195">
        <v>39</v>
      </c>
      <c r="N25" s="195">
        <v>11</v>
      </c>
      <c r="O25" s="195">
        <v>0</v>
      </c>
      <c r="P25" s="195">
        <v>0</v>
      </c>
      <c r="Q25" s="195">
        <v>365</v>
      </c>
      <c r="R25" s="195">
        <v>30</v>
      </c>
      <c r="S25" s="195">
        <v>3</v>
      </c>
      <c r="T25" s="195">
        <v>15</v>
      </c>
      <c r="U25" s="195">
        <v>733</v>
      </c>
      <c r="V25" s="195">
        <v>15</v>
      </c>
    </row>
    <row r="26" spans="1:22">
      <c r="A26" s="1338"/>
      <c r="B26" s="246" t="s">
        <v>141</v>
      </c>
      <c r="C26" s="195">
        <v>570</v>
      </c>
      <c r="D26" s="195">
        <v>280</v>
      </c>
      <c r="E26" s="195">
        <v>32</v>
      </c>
      <c r="F26" s="195">
        <v>20</v>
      </c>
      <c r="G26" s="195">
        <v>0</v>
      </c>
      <c r="H26" s="195">
        <v>215</v>
      </c>
      <c r="I26" s="195">
        <v>360</v>
      </c>
      <c r="J26" s="195">
        <v>65</v>
      </c>
      <c r="K26" s="195">
        <v>0</v>
      </c>
      <c r="L26" s="195">
        <v>56</v>
      </c>
      <c r="M26" s="195">
        <v>40</v>
      </c>
      <c r="N26" s="195">
        <v>11</v>
      </c>
      <c r="O26" s="195">
        <v>0</v>
      </c>
      <c r="P26" s="195">
        <v>0</v>
      </c>
      <c r="Q26" s="195">
        <v>402</v>
      </c>
      <c r="R26" s="195">
        <v>30</v>
      </c>
      <c r="S26" s="195">
        <v>0</v>
      </c>
      <c r="T26" s="195">
        <v>0</v>
      </c>
      <c r="U26" s="195">
        <v>547</v>
      </c>
      <c r="V26" s="195">
        <v>10</v>
      </c>
    </row>
    <row r="27" spans="1:22">
      <c r="A27" s="1338"/>
      <c r="B27" s="246" t="s">
        <v>142</v>
      </c>
      <c r="C27" s="195">
        <v>550</v>
      </c>
      <c r="D27" s="195">
        <v>260</v>
      </c>
      <c r="E27" s="195">
        <v>29</v>
      </c>
      <c r="F27" s="195">
        <v>17</v>
      </c>
      <c r="G27" s="195">
        <v>0</v>
      </c>
      <c r="H27" s="195">
        <v>170</v>
      </c>
      <c r="I27" s="195">
        <v>290</v>
      </c>
      <c r="J27" s="195">
        <v>65</v>
      </c>
      <c r="K27" s="195"/>
      <c r="L27" s="195">
        <v>58</v>
      </c>
      <c r="M27" s="195">
        <v>43</v>
      </c>
      <c r="N27" s="195">
        <v>11</v>
      </c>
      <c r="O27" s="195">
        <v>0</v>
      </c>
      <c r="P27" s="195">
        <v>0</v>
      </c>
      <c r="Q27" s="195">
        <v>374</v>
      </c>
      <c r="R27" s="195">
        <v>30</v>
      </c>
      <c r="S27" s="195">
        <v>3</v>
      </c>
      <c r="T27" s="195">
        <v>15</v>
      </c>
      <c r="U27" s="195">
        <v>749</v>
      </c>
      <c r="V27" s="195">
        <v>15</v>
      </c>
    </row>
    <row r="28" spans="1:22">
      <c r="A28" s="1338"/>
      <c r="B28" s="246" t="s">
        <v>66</v>
      </c>
      <c r="C28" s="195">
        <v>570</v>
      </c>
      <c r="D28" s="195">
        <v>280</v>
      </c>
      <c r="E28" s="195">
        <v>31</v>
      </c>
      <c r="F28" s="195">
        <v>20</v>
      </c>
      <c r="G28" s="195">
        <v>0</v>
      </c>
      <c r="H28" s="195">
        <v>215</v>
      </c>
      <c r="I28" s="195">
        <v>360</v>
      </c>
      <c r="J28" s="195">
        <v>66</v>
      </c>
      <c r="K28" s="195">
        <v>0</v>
      </c>
      <c r="L28" s="195">
        <v>56</v>
      </c>
      <c r="M28" s="195">
        <v>40</v>
      </c>
      <c r="N28" s="195">
        <v>11</v>
      </c>
      <c r="O28" s="195">
        <v>0</v>
      </c>
      <c r="P28" s="195">
        <v>0</v>
      </c>
      <c r="Q28" s="195">
        <v>400</v>
      </c>
      <c r="R28" s="195">
        <v>30</v>
      </c>
      <c r="S28" s="195">
        <v>0</v>
      </c>
      <c r="T28" s="195">
        <v>0</v>
      </c>
      <c r="U28" s="195">
        <v>544</v>
      </c>
      <c r="V28" s="195">
        <v>10</v>
      </c>
    </row>
    <row r="29" spans="1:22">
      <c r="A29" s="1338"/>
      <c r="B29" s="246" t="s">
        <v>117</v>
      </c>
      <c r="C29" s="195">
        <v>580</v>
      </c>
      <c r="D29" s="195">
        <v>280</v>
      </c>
      <c r="E29" s="195">
        <v>31</v>
      </c>
      <c r="F29" s="195">
        <v>20</v>
      </c>
      <c r="G29" s="195">
        <v>0</v>
      </c>
      <c r="H29" s="195">
        <v>210</v>
      </c>
      <c r="I29" s="195">
        <v>350</v>
      </c>
      <c r="J29" s="195">
        <v>68</v>
      </c>
      <c r="K29" s="195">
        <v>0</v>
      </c>
      <c r="L29" s="195">
        <v>58</v>
      </c>
      <c r="M29" s="195">
        <v>39</v>
      </c>
      <c r="N29" s="195">
        <v>11</v>
      </c>
      <c r="O29" s="195">
        <v>0</v>
      </c>
      <c r="P29" s="195">
        <v>0</v>
      </c>
      <c r="Q29" s="195">
        <v>395</v>
      </c>
      <c r="R29" s="195">
        <v>30</v>
      </c>
      <c r="S29" s="195">
        <v>0</v>
      </c>
      <c r="T29" s="195">
        <v>0</v>
      </c>
      <c r="U29" s="195">
        <v>536</v>
      </c>
      <c r="V29" s="195">
        <v>10</v>
      </c>
    </row>
    <row r="30" spans="1:22" ht="16.3" thickBot="1">
      <c r="A30" s="179"/>
      <c r="B30" s="220"/>
      <c r="C30" s="220"/>
      <c r="D30" s="220"/>
      <c r="E30" s="220"/>
      <c r="F30" s="220"/>
      <c r="G30" s="220"/>
      <c r="H30" s="220"/>
      <c r="I30" s="220"/>
      <c r="J30" s="220"/>
      <c r="K30" s="220"/>
      <c r="L30" s="220"/>
      <c r="M30" s="220"/>
      <c r="N30" s="220"/>
      <c r="O30" s="220"/>
      <c r="P30" s="220"/>
      <c r="Q30" s="220"/>
      <c r="R30" s="221"/>
      <c r="S30" s="221"/>
      <c r="T30" s="221"/>
      <c r="U30" s="221"/>
      <c r="V30" s="221"/>
    </row>
    <row r="31" spans="1:22" ht="48.75" customHeight="1">
      <c r="A31" s="250" t="s">
        <v>179</v>
      </c>
      <c r="B31" s="214" t="s">
        <v>3</v>
      </c>
      <c r="C31" s="214" t="s">
        <v>4</v>
      </c>
      <c r="D31" s="214" t="s">
        <v>5</v>
      </c>
      <c r="E31" s="214" t="s">
        <v>6</v>
      </c>
      <c r="F31" s="214" t="s">
        <v>7</v>
      </c>
      <c r="G31" s="214" t="s">
        <v>8</v>
      </c>
      <c r="H31" s="214" t="s">
        <v>9</v>
      </c>
      <c r="I31" s="214" t="s">
        <v>10</v>
      </c>
      <c r="J31" s="214" t="s">
        <v>11</v>
      </c>
      <c r="K31" s="214" t="s">
        <v>12</v>
      </c>
      <c r="L31" s="214" t="s">
        <v>13</v>
      </c>
      <c r="M31" s="214" t="s">
        <v>14</v>
      </c>
      <c r="N31" s="214" t="s">
        <v>15</v>
      </c>
      <c r="O31" s="215" t="s">
        <v>16</v>
      </c>
      <c r="P31" s="215" t="s">
        <v>17</v>
      </c>
      <c r="Q31" s="215" t="s">
        <v>18</v>
      </c>
      <c r="R31" s="215" t="s">
        <v>19</v>
      </c>
      <c r="S31" s="267" t="s">
        <v>20</v>
      </c>
      <c r="T31" s="267" t="s">
        <v>21</v>
      </c>
      <c r="U31" s="215" t="s">
        <v>22</v>
      </c>
      <c r="V31" s="215" t="s">
        <v>23</v>
      </c>
    </row>
    <row r="32" spans="1:22" hidden="1">
      <c r="A32" s="1219" t="s">
        <v>143</v>
      </c>
      <c r="B32" s="329" t="s">
        <v>455</v>
      </c>
      <c r="C32" s="203">
        <v>80</v>
      </c>
      <c r="D32" s="203">
        <v>0</v>
      </c>
      <c r="E32" s="203">
        <v>0</v>
      </c>
      <c r="F32" s="203">
        <v>0</v>
      </c>
      <c r="G32" s="203">
        <v>0</v>
      </c>
      <c r="H32" s="203">
        <v>0</v>
      </c>
      <c r="I32" s="203">
        <v>15</v>
      </c>
      <c r="J32" s="203">
        <v>19</v>
      </c>
      <c r="K32" s="203">
        <v>0</v>
      </c>
      <c r="L32" s="203">
        <v>15</v>
      </c>
      <c r="M32" s="203">
        <v>15</v>
      </c>
      <c r="N32" s="203">
        <v>0</v>
      </c>
      <c r="O32" s="330">
        <v>0</v>
      </c>
      <c r="P32" s="330">
        <v>0</v>
      </c>
      <c r="Q32" s="330">
        <v>4</v>
      </c>
      <c r="R32" s="330">
        <v>0</v>
      </c>
      <c r="S32" s="330">
        <v>0</v>
      </c>
      <c r="T32" s="330">
        <v>0</v>
      </c>
      <c r="U32" s="330">
        <v>36</v>
      </c>
      <c r="V32" s="331">
        <v>0</v>
      </c>
    </row>
    <row r="33" spans="1:22">
      <c r="A33" s="1220"/>
      <c r="B33" s="501" t="s">
        <v>455</v>
      </c>
      <c r="C33" s="220">
        <v>100</v>
      </c>
      <c r="D33" s="220">
        <v>0</v>
      </c>
      <c r="E33" s="220">
        <v>0</v>
      </c>
      <c r="F33" s="220">
        <v>0</v>
      </c>
      <c r="G33" s="220">
        <v>0</v>
      </c>
      <c r="H33" s="220">
        <v>0</v>
      </c>
      <c r="I33" s="220">
        <v>20</v>
      </c>
      <c r="J33" s="220">
        <v>25</v>
      </c>
      <c r="K33" s="220">
        <v>0</v>
      </c>
      <c r="L33" s="220">
        <v>20</v>
      </c>
      <c r="M33" s="220">
        <v>20</v>
      </c>
      <c r="N33" s="220">
        <v>0</v>
      </c>
      <c r="O33" s="502">
        <v>0</v>
      </c>
      <c r="P33" s="502">
        <v>0</v>
      </c>
      <c r="Q33" s="502">
        <v>5</v>
      </c>
      <c r="R33" s="502">
        <v>0</v>
      </c>
      <c r="S33" s="502">
        <v>0</v>
      </c>
      <c r="T33" s="502">
        <v>0</v>
      </c>
      <c r="U33" s="502">
        <v>47</v>
      </c>
      <c r="V33" s="503">
        <v>2</v>
      </c>
    </row>
    <row r="34" spans="1:22">
      <c r="A34" s="1220"/>
      <c r="B34" s="327" t="s">
        <v>144</v>
      </c>
      <c r="C34" s="188">
        <v>130</v>
      </c>
      <c r="D34" s="188">
        <v>70</v>
      </c>
      <c r="E34" s="188">
        <v>7</v>
      </c>
      <c r="F34" s="188">
        <v>4.5</v>
      </c>
      <c r="G34" s="188">
        <v>0</v>
      </c>
      <c r="H34" s="188">
        <v>0</v>
      </c>
      <c r="I34" s="188">
        <v>0</v>
      </c>
      <c r="J34" s="188">
        <v>19</v>
      </c>
      <c r="K34" s="188">
        <v>0</v>
      </c>
      <c r="L34" s="188">
        <v>15</v>
      </c>
      <c r="M34" s="188">
        <v>15</v>
      </c>
      <c r="N34" s="188">
        <v>1</v>
      </c>
      <c r="O34" s="309">
        <v>0</v>
      </c>
      <c r="P34" s="309">
        <v>0</v>
      </c>
      <c r="Q34" s="309">
        <v>11</v>
      </c>
      <c r="R34" s="309">
        <v>0</v>
      </c>
      <c r="S34" s="309">
        <v>2</v>
      </c>
      <c r="T34" s="309">
        <v>10</v>
      </c>
      <c r="U34" s="309">
        <v>124</v>
      </c>
      <c r="V34" s="332">
        <v>2</v>
      </c>
    </row>
    <row r="35" spans="1:22">
      <c r="A35" s="1220"/>
      <c r="B35" s="327" t="s">
        <v>145</v>
      </c>
      <c r="C35" s="188">
        <v>90</v>
      </c>
      <c r="D35" s="188">
        <v>25</v>
      </c>
      <c r="E35" s="188">
        <v>3</v>
      </c>
      <c r="F35" s="188">
        <v>1</v>
      </c>
      <c r="G35" s="188">
        <v>0</v>
      </c>
      <c r="H35" s="188">
        <v>5</v>
      </c>
      <c r="I35" s="188">
        <v>40</v>
      </c>
      <c r="J35" s="188">
        <v>15</v>
      </c>
      <c r="K35" s="188">
        <v>1</v>
      </c>
      <c r="L35" s="188">
        <v>8</v>
      </c>
      <c r="M35" s="188">
        <v>8</v>
      </c>
      <c r="N35" s="188">
        <v>1</v>
      </c>
      <c r="O35" s="309">
        <v>0</v>
      </c>
      <c r="P35" s="309">
        <v>0</v>
      </c>
      <c r="Q35" s="309">
        <v>4</v>
      </c>
      <c r="R35" s="309">
        <v>0</v>
      </c>
      <c r="S35" s="309">
        <v>1</v>
      </c>
      <c r="T35" s="309">
        <v>6</v>
      </c>
      <c r="U35" s="309">
        <v>64</v>
      </c>
      <c r="V35" s="332">
        <v>2</v>
      </c>
    </row>
    <row r="36" spans="1:22">
      <c r="A36" s="1220"/>
      <c r="B36" s="327" t="s">
        <v>146</v>
      </c>
      <c r="C36" s="188">
        <v>90</v>
      </c>
      <c r="D36" s="188">
        <v>25</v>
      </c>
      <c r="E36" s="188">
        <v>3</v>
      </c>
      <c r="F36" s="188">
        <v>1</v>
      </c>
      <c r="G36" s="188">
        <v>0</v>
      </c>
      <c r="H36" s="188">
        <v>5</v>
      </c>
      <c r="I36" s="188">
        <v>55</v>
      </c>
      <c r="J36" s="188">
        <v>15</v>
      </c>
      <c r="K36" s="188">
        <v>0</v>
      </c>
      <c r="L36" s="188">
        <v>9</v>
      </c>
      <c r="M36" s="188">
        <v>9</v>
      </c>
      <c r="N36" s="188">
        <v>1</v>
      </c>
      <c r="O36" s="309">
        <v>0</v>
      </c>
      <c r="P36" s="309">
        <v>0</v>
      </c>
      <c r="Q36" s="309">
        <v>3</v>
      </c>
      <c r="R36" s="309">
        <v>0</v>
      </c>
      <c r="S36" s="309">
        <v>0</v>
      </c>
      <c r="T36" s="309">
        <v>0</v>
      </c>
      <c r="U36" s="309">
        <v>20</v>
      </c>
      <c r="V36" s="332">
        <v>0</v>
      </c>
    </row>
    <row r="37" spans="1:22" ht="15" customHeight="1">
      <c r="A37" s="1220"/>
      <c r="B37" s="328" t="s">
        <v>147</v>
      </c>
      <c r="C37" s="195">
        <v>170</v>
      </c>
      <c r="D37" s="195">
        <v>130</v>
      </c>
      <c r="E37" s="195">
        <v>14</v>
      </c>
      <c r="F37" s="195">
        <v>2</v>
      </c>
      <c r="G37" s="195">
        <v>0</v>
      </c>
      <c r="H37" s="195">
        <v>0</v>
      </c>
      <c r="I37" s="195">
        <v>0</v>
      </c>
      <c r="J37" s="195">
        <v>6</v>
      </c>
      <c r="K37" s="195">
        <v>0</v>
      </c>
      <c r="L37" s="195">
        <v>1</v>
      </c>
      <c r="M37" s="195">
        <v>0</v>
      </c>
      <c r="N37" s="195">
        <v>7</v>
      </c>
      <c r="O37" s="195">
        <v>0</v>
      </c>
      <c r="P37" s="195">
        <v>0</v>
      </c>
      <c r="Q37" s="195">
        <v>16</v>
      </c>
      <c r="R37" s="195">
        <v>2</v>
      </c>
      <c r="S37" s="195">
        <v>0</v>
      </c>
      <c r="T37" s="195">
        <v>0</v>
      </c>
      <c r="U37" s="195">
        <v>180</v>
      </c>
      <c r="V37" s="239">
        <v>4</v>
      </c>
    </row>
    <row r="38" spans="1:22" hidden="1">
      <c r="A38" s="1220"/>
      <c r="B38" s="328" t="s">
        <v>149</v>
      </c>
      <c r="C38" s="195">
        <v>150</v>
      </c>
      <c r="D38" s="195">
        <v>80</v>
      </c>
      <c r="E38" s="195">
        <v>9</v>
      </c>
      <c r="F38" s="195">
        <v>5</v>
      </c>
      <c r="G38" s="195">
        <v>0</v>
      </c>
      <c r="H38" s="195">
        <v>5</v>
      </c>
      <c r="I38" s="195">
        <v>100</v>
      </c>
      <c r="J38" s="195">
        <v>18</v>
      </c>
      <c r="K38" s="195">
        <v>0</v>
      </c>
      <c r="L38" s="195">
        <v>17</v>
      </c>
      <c r="M38" s="195">
        <v>17</v>
      </c>
      <c r="N38" s="195">
        <v>1</v>
      </c>
      <c r="O38" s="195">
        <v>0</v>
      </c>
      <c r="P38" s="195">
        <v>0</v>
      </c>
      <c r="Q38" s="195">
        <v>17</v>
      </c>
      <c r="R38" s="195">
        <v>2</v>
      </c>
      <c r="S38" s="195">
        <v>0</v>
      </c>
      <c r="T38" s="195">
        <v>0</v>
      </c>
      <c r="U38" s="195">
        <v>39</v>
      </c>
      <c r="V38" s="239">
        <v>0</v>
      </c>
    </row>
    <row r="39" spans="1:22">
      <c r="A39" s="1220"/>
      <c r="B39" s="328" t="s">
        <v>150</v>
      </c>
      <c r="C39" s="195">
        <v>90</v>
      </c>
      <c r="D39" s="195">
        <v>15</v>
      </c>
      <c r="E39" s="195">
        <v>1.5</v>
      </c>
      <c r="F39" s="195">
        <v>1</v>
      </c>
      <c r="G39" s="195">
        <v>0</v>
      </c>
      <c r="H39" s="195">
        <v>5</v>
      </c>
      <c r="I39" s="195">
        <v>70</v>
      </c>
      <c r="J39" s="195">
        <v>19</v>
      </c>
      <c r="K39" s="195">
        <v>0</v>
      </c>
      <c r="L39" s="195">
        <v>14</v>
      </c>
      <c r="M39" s="195">
        <v>14</v>
      </c>
      <c r="N39" s="195">
        <v>1</v>
      </c>
      <c r="O39" s="195">
        <v>0</v>
      </c>
      <c r="P39" s="195">
        <v>0</v>
      </c>
      <c r="Q39" s="195">
        <v>20</v>
      </c>
      <c r="R39" s="195">
        <v>2</v>
      </c>
      <c r="S39" s="195">
        <v>0</v>
      </c>
      <c r="T39" s="195">
        <v>0</v>
      </c>
      <c r="U39" s="195">
        <v>29</v>
      </c>
      <c r="V39" s="239">
        <v>0</v>
      </c>
    </row>
    <row r="40" spans="1:22">
      <c r="A40" s="1220"/>
      <c r="B40" s="328" t="s">
        <v>151</v>
      </c>
      <c r="C40" s="195">
        <v>90</v>
      </c>
      <c r="D40" s="195">
        <v>30</v>
      </c>
      <c r="E40" s="195">
        <v>3</v>
      </c>
      <c r="F40" s="195">
        <v>3</v>
      </c>
      <c r="G40" s="195">
        <v>0</v>
      </c>
      <c r="H40" s="195">
        <v>0</v>
      </c>
      <c r="I40" s="195">
        <v>80</v>
      </c>
      <c r="J40" s="195">
        <v>15</v>
      </c>
      <c r="K40" s="195">
        <v>1</v>
      </c>
      <c r="L40" s="195">
        <v>13</v>
      </c>
      <c r="M40" s="195">
        <v>12</v>
      </c>
      <c r="N40" s="195">
        <v>1</v>
      </c>
      <c r="O40" s="195">
        <v>0</v>
      </c>
      <c r="P40" s="195">
        <v>0</v>
      </c>
      <c r="Q40" s="195">
        <v>18</v>
      </c>
      <c r="R40" s="195">
        <v>2</v>
      </c>
      <c r="S40" s="195">
        <v>1</v>
      </c>
      <c r="T40" s="195">
        <v>6</v>
      </c>
      <c r="U40" s="195">
        <v>104</v>
      </c>
      <c r="V40" s="239">
        <v>2</v>
      </c>
    </row>
    <row r="41" spans="1:22">
      <c r="A41" s="1220"/>
      <c r="B41" s="328" t="s">
        <v>152</v>
      </c>
      <c r="C41" s="195">
        <v>140</v>
      </c>
      <c r="D41" s="195">
        <v>50</v>
      </c>
      <c r="E41" s="195">
        <v>6</v>
      </c>
      <c r="F41" s="195">
        <v>3.5</v>
      </c>
      <c r="G41" s="195">
        <v>0</v>
      </c>
      <c r="H41" s="195">
        <v>0</v>
      </c>
      <c r="I41" s="195">
        <v>20</v>
      </c>
      <c r="J41" s="195">
        <v>20</v>
      </c>
      <c r="K41" s="195">
        <v>1</v>
      </c>
      <c r="L41" s="195">
        <v>18</v>
      </c>
      <c r="M41" s="195">
        <v>17</v>
      </c>
      <c r="N41" s="195">
        <v>1</v>
      </c>
      <c r="O41" s="195">
        <v>0</v>
      </c>
      <c r="P41" s="195">
        <v>0</v>
      </c>
      <c r="Q41" s="195">
        <v>37</v>
      </c>
      <c r="R41" s="195">
        <v>2</v>
      </c>
      <c r="S41" s="195">
        <v>0</v>
      </c>
      <c r="T41" s="195">
        <v>0</v>
      </c>
      <c r="U41" s="195">
        <v>91</v>
      </c>
      <c r="V41" s="239">
        <v>2</v>
      </c>
    </row>
    <row r="42" spans="1:22">
      <c r="A42" s="1220"/>
      <c r="B42" s="328" t="s">
        <v>153</v>
      </c>
      <c r="C42" s="195">
        <v>130</v>
      </c>
      <c r="D42" s="195">
        <v>0</v>
      </c>
      <c r="E42" s="195">
        <v>0</v>
      </c>
      <c r="F42" s="195">
        <v>0</v>
      </c>
      <c r="G42" s="195">
        <v>0</v>
      </c>
      <c r="H42" s="195">
        <v>0</v>
      </c>
      <c r="I42" s="195">
        <v>15</v>
      </c>
      <c r="J42" s="195">
        <v>29</v>
      </c>
      <c r="K42" s="195">
        <v>0</v>
      </c>
      <c r="L42" s="195">
        <v>18</v>
      </c>
      <c r="M42" s="195">
        <v>18</v>
      </c>
      <c r="N42" s="195">
        <v>2</v>
      </c>
      <c r="O42" s="195">
        <v>0</v>
      </c>
      <c r="P42" s="195">
        <v>0</v>
      </c>
      <c r="Q42" s="195">
        <v>0</v>
      </c>
      <c r="R42" s="195">
        <v>0</v>
      </c>
      <c r="S42" s="195">
        <v>0</v>
      </c>
      <c r="T42" s="195">
        <v>0</v>
      </c>
      <c r="U42" s="195">
        <v>0</v>
      </c>
      <c r="V42" s="239">
        <v>0</v>
      </c>
    </row>
    <row r="43" spans="1:22" hidden="1">
      <c r="A43" s="1220"/>
      <c r="B43" s="328" t="s">
        <v>154</v>
      </c>
      <c r="C43" s="195">
        <v>110</v>
      </c>
      <c r="D43" s="195">
        <v>0</v>
      </c>
      <c r="E43" s="195">
        <v>0</v>
      </c>
      <c r="F43" s="195">
        <v>0</v>
      </c>
      <c r="G43" s="195">
        <v>0</v>
      </c>
      <c r="H43" s="195">
        <v>0</v>
      </c>
      <c r="I43" s="195">
        <v>0</v>
      </c>
      <c r="J43" s="195">
        <v>27</v>
      </c>
      <c r="K43" s="195">
        <v>0</v>
      </c>
      <c r="L43" s="195">
        <v>26</v>
      </c>
      <c r="M43" s="195">
        <v>26</v>
      </c>
      <c r="N43" s="195">
        <v>0</v>
      </c>
      <c r="O43" s="195">
        <v>0</v>
      </c>
      <c r="P43" s="195">
        <v>0</v>
      </c>
      <c r="Q43" s="195">
        <v>0</v>
      </c>
      <c r="R43" s="195">
        <v>0</v>
      </c>
      <c r="S43" s="195">
        <v>0</v>
      </c>
      <c r="T43" s="195">
        <v>0</v>
      </c>
      <c r="U43" s="195">
        <v>0</v>
      </c>
      <c r="V43" s="239">
        <v>0</v>
      </c>
    </row>
    <row r="44" spans="1:22">
      <c r="A44" s="1220"/>
      <c r="B44" s="328" t="s">
        <v>743</v>
      </c>
      <c r="C44" s="195">
        <v>130</v>
      </c>
      <c r="D44" s="195">
        <v>45</v>
      </c>
      <c r="E44" s="195">
        <v>5</v>
      </c>
      <c r="F44" s="195">
        <v>1</v>
      </c>
      <c r="G44" s="195">
        <v>0</v>
      </c>
      <c r="H44" s="195">
        <v>5</v>
      </c>
      <c r="I44" s="195">
        <v>110</v>
      </c>
      <c r="J44" s="195">
        <v>20</v>
      </c>
      <c r="K44" s="195">
        <v>0</v>
      </c>
      <c r="L44" s="195">
        <v>10</v>
      </c>
      <c r="M44" s="212">
        <v>0</v>
      </c>
      <c r="N44" s="195">
        <v>1</v>
      </c>
      <c r="O44" s="195">
        <v>0</v>
      </c>
      <c r="P44" s="195">
        <v>0</v>
      </c>
      <c r="Q44" s="195">
        <v>16</v>
      </c>
      <c r="R44" s="195">
        <v>2</v>
      </c>
      <c r="S44" s="195">
        <v>1</v>
      </c>
      <c r="T44" s="195">
        <v>6</v>
      </c>
      <c r="U44" s="195">
        <v>29</v>
      </c>
      <c r="V44" s="239">
        <v>0</v>
      </c>
    </row>
    <row r="45" spans="1:22" hidden="1">
      <c r="A45" s="1220"/>
      <c r="B45" s="328" t="s">
        <v>687</v>
      </c>
      <c r="C45" s="195">
        <v>150</v>
      </c>
      <c r="D45" s="195">
        <v>80</v>
      </c>
      <c r="E45" s="195">
        <v>9</v>
      </c>
      <c r="F45" s="195">
        <v>3</v>
      </c>
      <c r="G45" s="195">
        <v>0</v>
      </c>
      <c r="H45" s="195">
        <v>0</v>
      </c>
      <c r="I45" s="195">
        <v>10</v>
      </c>
      <c r="J45" s="195">
        <v>17</v>
      </c>
      <c r="K45" s="195">
        <v>1</v>
      </c>
      <c r="L45" s="195">
        <v>16</v>
      </c>
      <c r="N45" s="195">
        <v>2</v>
      </c>
      <c r="O45" s="195">
        <v>0</v>
      </c>
      <c r="P45" s="195">
        <v>0</v>
      </c>
      <c r="Q45" s="195">
        <v>34</v>
      </c>
      <c r="R45" s="195">
        <v>2</v>
      </c>
      <c r="S45" s="195">
        <v>1</v>
      </c>
      <c r="T45" s="195">
        <v>6</v>
      </c>
      <c r="U45" s="195">
        <v>128</v>
      </c>
      <c r="V45" s="239">
        <v>2</v>
      </c>
    </row>
    <row r="46" spans="1:22">
      <c r="A46" s="1220"/>
      <c r="B46" s="328" t="s">
        <v>460</v>
      </c>
      <c r="C46" s="195">
        <v>120</v>
      </c>
      <c r="D46" s="195">
        <v>45</v>
      </c>
      <c r="E46" s="195">
        <v>4.5</v>
      </c>
      <c r="F46" s="195">
        <v>1.5</v>
      </c>
      <c r="G46" s="195">
        <v>0</v>
      </c>
      <c r="H46" s="195">
        <v>0</v>
      </c>
      <c r="I46" s="195">
        <v>140</v>
      </c>
      <c r="J46" s="195">
        <v>18</v>
      </c>
      <c r="K46" s="195">
        <v>0</v>
      </c>
      <c r="L46" s="195">
        <v>10</v>
      </c>
      <c r="M46" s="195">
        <v>0</v>
      </c>
      <c r="N46" s="195">
        <v>1</v>
      </c>
      <c r="O46" s="195">
        <v>0</v>
      </c>
      <c r="P46" s="195">
        <v>0</v>
      </c>
      <c r="Q46" s="195">
        <v>0</v>
      </c>
      <c r="R46" s="195">
        <v>0</v>
      </c>
      <c r="S46" s="195">
        <v>1</v>
      </c>
      <c r="T46" s="195">
        <v>6</v>
      </c>
      <c r="U46" s="195">
        <v>0</v>
      </c>
      <c r="V46" s="239">
        <v>0</v>
      </c>
    </row>
    <row r="47" spans="1:22" hidden="1">
      <c r="A47" s="1220"/>
      <c r="B47" s="328" t="s">
        <v>688</v>
      </c>
      <c r="C47" s="195">
        <v>50</v>
      </c>
      <c r="D47" s="195">
        <v>20</v>
      </c>
      <c r="E47" s="195">
        <v>2.5</v>
      </c>
      <c r="F47" s="195">
        <v>1</v>
      </c>
      <c r="G47" s="195">
        <v>0</v>
      </c>
      <c r="H47" s="195">
        <v>5</v>
      </c>
      <c r="I47" s="195">
        <v>15</v>
      </c>
      <c r="J47" s="195">
        <v>7</v>
      </c>
      <c r="K47" s="195">
        <v>0</v>
      </c>
      <c r="L47" s="195">
        <v>2</v>
      </c>
      <c r="M47" s="195">
        <v>0</v>
      </c>
      <c r="N47" s="195">
        <v>1</v>
      </c>
      <c r="O47" s="195">
        <v>0</v>
      </c>
      <c r="P47" s="195">
        <v>0</v>
      </c>
      <c r="Q47" s="195">
        <v>1</v>
      </c>
      <c r="R47" s="195">
        <v>0</v>
      </c>
      <c r="S47" s="195">
        <v>0</v>
      </c>
      <c r="T47" s="195">
        <v>0</v>
      </c>
      <c r="U47" s="195">
        <v>7</v>
      </c>
      <c r="V47" s="239">
        <v>0</v>
      </c>
    </row>
    <row r="48" spans="1:22">
      <c r="A48" s="1220"/>
      <c r="B48" s="328" t="s">
        <v>688</v>
      </c>
      <c r="C48" s="195">
        <v>50</v>
      </c>
      <c r="D48" s="195">
        <v>20</v>
      </c>
      <c r="E48" s="195">
        <v>2.5</v>
      </c>
      <c r="F48" s="195">
        <v>1</v>
      </c>
      <c r="G48" s="195">
        <v>0</v>
      </c>
      <c r="H48" s="195">
        <v>5</v>
      </c>
      <c r="I48" s="195">
        <v>15</v>
      </c>
      <c r="J48" s="195">
        <v>7</v>
      </c>
      <c r="K48" s="195">
        <v>0</v>
      </c>
      <c r="L48" s="195">
        <v>2</v>
      </c>
      <c r="M48" s="195">
        <v>2</v>
      </c>
      <c r="N48" s="195">
        <v>1</v>
      </c>
      <c r="O48" s="195">
        <v>0</v>
      </c>
      <c r="P48" s="195">
        <v>0</v>
      </c>
      <c r="Q48" s="195">
        <v>1</v>
      </c>
      <c r="R48" s="195">
        <v>0</v>
      </c>
      <c r="S48" s="195">
        <v>0</v>
      </c>
      <c r="T48" s="195">
        <v>0</v>
      </c>
      <c r="U48" s="195">
        <v>7</v>
      </c>
      <c r="V48" s="239">
        <v>0</v>
      </c>
    </row>
    <row r="49" spans="1:22">
      <c r="A49" s="1220"/>
      <c r="B49" s="328" t="s">
        <v>157</v>
      </c>
      <c r="C49" s="195">
        <v>140</v>
      </c>
      <c r="D49" s="195">
        <v>70</v>
      </c>
      <c r="E49" s="195">
        <v>8</v>
      </c>
      <c r="F49" s="195">
        <v>3</v>
      </c>
      <c r="G49" s="195">
        <v>0</v>
      </c>
      <c r="H49" s="195">
        <v>0</v>
      </c>
      <c r="I49" s="195">
        <v>100</v>
      </c>
      <c r="J49" s="195">
        <v>16</v>
      </c>
      <c r="K49" s="195">
        <v>1</v>
      </c>
      <c r="L49" s="195">
        <v>14</v>
      </c>
      <c r="M49" s="195">
        <v>13</v>
      </c>
      <c r="N49" s="195">
        <v>3</v>
      </c>
      <c r="O49" s="195">
        <v>0</v>
      </c>
      <c r="P49" s="195">
        <v>0</v>
      </c>
      <c r="Q49" s="195">
        <v>26</v>
      </c>
      <c r="R49" s="195">
        <v>2</v>
      </c>
      <c r="S49" s="195">
        <v>1</v>
      </c>
      <c r="T49" s="195">
        <v>6</v>
      </c>
      <c r="U49" s="195">
        <v>102</v>
      </c>
      <c r="V49" s="239">
        <v>2</v>
      </c>
    </row>
    <row r="50" spans="1:22">
      <c r="A50" s="1220"/>
      <c r="B50" s="328" t="s">
        <v>158</v>
      </c>
      <c r="C50" s="195">
        <v>190</v>
      </c>
      <c r="D50" s="195">
        <v>160</v>
      </c>
      <c r="E50" s="195">
        <v>18</v>
      </c>
      <c r="F50" s="195">
        <v>3</v>
      </c>
      <c r="G50" s="195">
        <v>0</v>
      </c>
      <c r="H50" s="195">
        <v>0</v>
      </c>
      <c r="I50" s="195">
        <v>130</v>
      </c>
      <c r="J50" s="195">
        <v>6</v>
      </c>
      <c r="K50" s="195">
        <v>2</v>
      </c>
      <c r="L50" s="195">
        <v>3</v>
      </c>
      <c r="M50" s="195">
        <v>2</v>
      </c>
      <c r="N50" s="195">
        <v>6</v>
      </c>
      <c r="O50" s="195">
        <v>0</v>
      </c>
      <c r="P50" s="195">
        <v>0</v>
      </c>
      <c r="Q50" s="195">
        <v>21</v>
      </c>
      <c r="R50" s="195">
        <v>2</v>
      </c>
      <c r="S50" s="195">
        <v>1</v>
      </c>
      <c r="T50" s="195">
        <v>6</v>
      </c>
      <c r="U50" s="195">
        <v>159</v>
      </c>
      <c r="V50" s="239">
        <v>4</v>
      </c>
    </row>
    <row r="51" spans="1:22" hidden="1">
      <c r="A51" s="1220"/>
      <c r="B51" s="328" t="s">
        <v>159</v>
      </c>
      <c r="C51" s="195">
        <v>130</v>
      </c>
      <c r="D51" s="195">
        <v>60</v>
      </c>
      <c r="E51" s="195">
        <v>6</v>
      </c>
      <c r="F51" s="195">
        <v>2.5</v>
      </c>
      <c r="G51" s="195">
        <v>0</v>
      </c>
      <c r="H51" s="195">
        <v>0</v>
      </c>
      <c r="I51" s="195">
        <v>65</v>
      </c>
      <c r="J51" s="195">
        <v>18</v>
      </c>
      <c r="K51" s="195">
        <v>1</v>
      </c>
      <c r="L51" s="195">
        <v>15</v>
      </c>
      <c r="M51" s="195">
        <v>13</v>
      </c>
      <c r="N51" s="195">
        <v>2</v>
      </c>
      <c r="O51" s="195">
        <v>0</v>
      </c>
      <c r="P51" s="195">
        <v>0</v>
      </c>
      <c r="Q51" s="195">
        <v>27</v>
      </c>
      <c r="R51" s="195">
        <v>2</v>
      </c>
      <c r="S51" s="195">
        <v>0</v>
      </c>
      <c r="T51" s="195">
        <v>0</v>
      </c>
      <c r="U51" s="195">
        <v>83</v>
      </c>
      <c r="V51" s="239">
        <v>2</v>
      </c>
    </row>
    <row r="52" spans="1:22">
      <c r="A52" s="1220"/>
      <c r="B52" s="328" t="s">
        <v>160</v>
      </c>
      <c r="C52" s="195">
        <v>130</v>
      </c>
      <c r="D52" s="195">
        <v>45</v>
      </c>
      <c r="E52" s="195">
        <v>5</v>
      </c>
      <c r="F52" s="195">
        <v>4</v>
      </c>
      <c r="G52" s="195">
        <v>0</v>
      </c>
      <c r="H52" s="195">
        <v>0</v>
      </c>
      <c r="I52" s="195">
        <v>0</v>
      </c>
      <c r="J52" s="195">
        <v>20</v>
      </c>
      <c r="K52" s="195">
        <v>0</v>
      </c>
      <c r="L52" s="195">
        <v>12</v>
      </c>
      <c r="M52" s="195">
        <v>12</v>
      </c>
      <c r="N52" s="195">
        <v>0</v>
      </c>
      <c r="O52" s="195">
        <v>0</v>
      </c>
      <c r="P52" s="195">
        <v>0</v>
      </c>
      <c r="Q52" s="195">
        <v>1</v>
      </c>
      <c r="R52" s="195">
        <v>0</v>
      </c>
      <c r="S52" s="195">
        <v>0</v>
      </c>
      <c r="T52" s="195">
        <v>0</v>
      </c>
      <c r="U52" s="195">
        <v>0</v>
      </c>
      <c r="V52" s="239">
        <v>0</v>
      </c>
    </row>
    <row r="53" spans="1:22">
      <c r="A53" s="1220"/>
      <c r="B53" s="328" t="s">
        <v>161</v>
      </c>
      <c r="C53" s="195">
        <v>120</v>
      </c>
      <c r="D53" s="195">
        <v>45</v>
      </c>
      <c r="E53" s="195">
        <v>5</v>
      </c>
      <c r="F53" s="195">
        <v>4</v>
      </c>
      <c r="G53" s="195">
        <v>0</v>
      </c>
      <c r="H53" s="195">
        <v>0</v>
      </c>
      <c r="I53" s="195">
        <v>0</v>
      </c>
      <c r="J53" s="195">
        <v>20</v>
      </c>
      <c r="K53" s="195">
        <v>0</v>
      </c>
      <c r="L53" s="195">
        <v>12</v>
      </c>
      <c r="M53" s="195">
        <v>12</v>
      </c>
      <c r="N53" s="195">
        <v>0</v>
      </c>
      <c r="O53" s="195">
        <v>0</v>
      </c>
      <c r="P53" s="195">
        <v>0</v>
      </c>
      <c r="Q53" s="195">
        <v>1</v>
      </c>
      <c r="R53" s="195">
        <v>0</v>
      </c>
      <c r="S53" s="195">
        <v>0</v>
      </c>
      <c r="T53" s="195">
        <v>0</v>
      </c>
      <c r="U53" s="195">
        <v>0</v>
      </c>
      <c r="V53" s="239">
        <v>0</v>
      </c>
    </row>
    <row r="54" spans="1:22">
      <c r="A54" s="1220"/>
      <c r="B54" s="351" t="s">
        <v>744</v>
      </c>
      <c r="C54" s="345">
        <v>140</v>
      </c>
      <c r="D54" s="345">
        <v>60</v>
      </c>
      <c r="E54" s="345">
        <v>7</v>
      </c>
      <c r="F54" s="345">
        <v>3.5</v>
      </c>
      <c r="G54" s="345">
        <v>0</v>
      </c>
      <c r="H54" s="345">
        <v>0</v>
      </c>
      <c r="I54" s="345">
        <v>140</v>
      </c>
      <c r="J54" s="345">
        <v>17</v>
      </c>
      <c r="K54" s="345">
        <v>1</v>
      </c>
      <c r="L54" s="345">
        <v>12</v>
      </c>
      <c r="M54" s="345">
        <v>12</v>
      </c>
      <c r="N54" s="345">
        <v>2</v>
      </c>
      <c r="O54" s="345">
        <v>0</v>
      </c>
      <c r="P54" s="345">
        <v>0</v>
      </c>
      <c r="Q54" s="345">
        <v>0</v>
      </c>
      <c r="R54" s="345">
        <v>2</v>
      </c>
      <c r="S54" s="345">
        <v>0</v>
      </c>
      <c r="T54" s="345">
        <v>4</v>
      </c>
      <c r="U54" s="195">
        <v>0</v>
      </c>
      <c r="V54" s="239">
        <v>0</v>
      </c>
    </row>
    <row r="55" spans="1:22">
      <c r="A55" s="1220"/>
      <c r="B55" s="328" t="s">
        <v>162</v>
      </c>
      <c r="C55" s="195">
        <v>80</v>
      </c>
      <c r="D55" s="195">
        <v>0</v>
      </c>
      <c r="E55" s="195">
        <v>0</v>
      </c>
      <c r="F55" s="195">
        <v>0</v>
      </c>
      <c r="G55" s="195">
        <v>0</v>
      </c>
      <c r="H55" s="195">
        <v>0</v>
      </c>
      <c r="I55" s="195">
        <v>10</v>
      </c>
      <c r="J55" s="195">
        <v>21</v>
      </c>
      <c r="K55" s="195">
        <v>1</v>
      </c>
      <c r="L55" s="195">
        <v>18</v>
      </c>
      <c r="M55" s="195">
        <v>11</v>
      </c>
      <c r="N55" s="195">
        <v>0</v>
      </c>
      <c r="O55" s="195">
        <v>0</v>
      </c>
      <c r="P55" s="195">
        <v>0</v>
      </c>
      <c r="Q55" s="195">
        <v>6</v>
      </c>
      <c r="R55" s="195">
        <v>0</v>
      </c>
      <c r="S55" s="195">
        <v>0</v>
      </c>
      <c r="T55" s="195">
        <v>0</v>
      </c>
      <c r="U55" s="195">
        <v>53</v>
      </c>
      <c r="V55" s="239">
        <v>2</v>
      </c>
    </row>
    <row r="56" spans="1:22" ht="16.3" thickBot="1">
      <c r="A56" s="1220"/>
      <c r="B56" s="328" t="s">
        <v>163</v>
      </c>
      <c r="C56" s="195">
        <v>280</v>
      </c>
      <c r="D56" s="195">
        <v>160</v>
      </c>
      <c r="E56" s="195">
        <v>18</v>
      </c>
      <c r="F56" s="195">
        <v>1.5</v>
      </c>
      <c r="G56" s="195">
        <v>0</v>
      </c>
      <c r="H56" s="195">
        <v>0</v>
      </c>
      <c r="I56" s="195">
        <v>0</v>
      </c>
      <c r="J56" s="195">
        <v>25</v>
      </c>
      <c r="K56" s="195">
        <v>3</v>
      </c>
      <c r="L56" s="195">
        <v>20</v>
      </c>
      <c r="M56" s="195">
        <v>0</v>
      </c>
      <c r="N56" s="195">
        <v>4</v>
      </c>
      <c r="O56" s="195">
        <v>0</v>
      </c>
      <c r="P56" s="195">
        <v>0</v>
      </c>
      <c r="Q56" s="195">
        <v>24</v>
      </c>
      <c r="R56" s="195">
        <v>2</v>
      </c>
      <c r="S56" s="195">
        <v>1</v>
      </c>
      <c r="T56" s="195">
        <v>6</v>
      </c>
      <c r="U56" s="195">
        <v>124</v>
      </c>
      <c r="V56" s="239">
        <v>2</v>
      </c>
    </row>
    <row r="57" spans="1:22">
      <c r="A57" s="1414" t="s">
        <v>745</v>
      </c>
      <c r="B57" s="224" t="s">
        <v>165</v>
      </c>
      <c r="C57" s="270">
        <f>C40*2</f>
        <v>180</v>
      </c>
      <c r="D57" s="237">
        <f t="shared" ref="D57:V57" si="0">D43*2</f>
        <v>0</v>
      </c>
      <c r="E57" s="237">
        <f t="shared" si="0"/>
        <v>0</v>
      </c>
      <c r="F57" s="237">
        <f t="shared" si="0"/>
        <v>0</v>
      </c>
      <c r="G57" s="237">
        <f t="shared" si="0"/>
        <v>0</v>
      </c>
      <c r="H57" s="237">
        <f t="shared" si="0"/>
        <v>0</v>
      </c>
      <c r="I57" s="237">
        <f t="shared" si="0"/>
        <v>0</v>
      </c>
      <c r="J57" s="237">
        <f t="shared" si="0"/>
        <v>54</v>
      </c>
      <c r="K57" s="237">
        <f t="shared" si="0"/>
        <v>0</v>
      </c>
      <c r="L57" s="237">
        <f t="shared" si="0"/>
        <v>52</v>
      </c>
      <c r="M57" s="237">
        <f t="shared" si="0"/>
        <v>52</v>
      </c>
      <c r="N57" s="237">
        <f t="shared" si="0"/>
        <v>0</v>
      </c>
      <c r="O57" s="237">
        <f t="shared" si="0"/>
        <v>0</v>
      </c>
      <c r="P57" s="237">
        <f t="shared" si="0"/>
        <v>0</v>
      </c>
      <c r="Q57" s="237">
        <f t="shared" si="0"/>
        <v>0</v>
      </c>
      <c r="R57" s="237">
        <f t="shared" si="0"/>
        <v>0</v>
      </c>
      <c r="S57" s="237">
        <f t="shared" si="0"/>
        <v>0</v>
      </c>
      <c r="T57" s="237">
        <f t="shared" si="0"/>
        <v>0</v>
      </c>
      <c r="U57" s="237">
        <f t="shared" si="0"/>
        <v>0</v>
      </c>
      <c r="V57" s="238">
        <f t="shared" si="0"/>
        <v>0</v>
      </c>
    </row>
    <row r="58" spans="1:22">
      <c r="A58" s="1415"/>
      <c r="B58" s="264" t="s">
        <v>166</v>
      </c>
      <c r="C58" s="271">
        <f>C39*2</f>
        <v>180</v>
      </c>
      <c r="D58" s="195">
        <f t="shared" ref="D58:V58" si="1">D42*2</f>
        <v>0</v>
      </c>
      <c r="E58" s="195">
        <f t="shared" si="1"/>
        <v>0</v>
      </c>
      <c r="F58" s="195">
        <f t="shared" si="1"/>
        <v>0</v>
      </c>
      <c r="G58" s="195">
        <f t="shared" si="1"/>
        <v>0</v>
      </c>
      <c r="H58" s="195">
        <f t="shared" si="1"/>
        <v>0</v>
      </c>
      <c r="I58" s="195">
        <f t="shared" si="1"/>
        <v>30</v>
      </c>
      <c r="J58" s="195">
        <f t="shared" si="1"/>
        <v>58</v>
      </c>
      <c r="K58" s="195">
        <f t="shared" si="1"/>
        <v>0</v>
      </c>
      <c r="L58" s="195">
        <f t="shared" si="1"/>
        <v>36</v>
      </c>
      <c r="M58" s="195">
        <f t="shared" si="1"/>
        <v>36</v>
      </c>
      <c r="N58" s="195">
        <f t="shared" si="1"/>
        <v>4</v>
      </c>
      <c r="O58" s="195">
        <f t="shared" si="1"/>
        <v>0</v>
      </c>
      <c r="P58" s="195">
        <f t="shared" si="1"/>
        <v>0</v>
      </c>
      <c r="Q58" s="195">
        <f t="shared" si="1"/>
        <v>0</v>
      </c>
      <c r="R58" s="195">
        <f t="shared" si="1"/>
        <v>0</v>
      </c>
      <c r="S58" s="195">
        <f t="shared" si="1"/>
        <v>0</v>
      </c>
      <c r="T58" s="195">
        <f t="shared" si="1"/>
        <v>0</v>
      </c>
      <c r="U58" s="195">
        <f t="shared" si="1"/>
        <v>0</v>
      </c>
      <c r="V58" s="239">
        <f t="shared" si="1"/>
        <v>0</v>
      </c>
    </row>
    <row r="59" spans="1:22">
      <c r="A59" s="1415"/>
      <c r="B59" s="264" t="s">
        <v>162</v>
      </c>
      <c r="C59" s="271">
        <v>80</v>
      </c>
      <c r="D59" s="195">
        <v>0</v>
      </c>
      <c r="E59" s="195">
        <v>0</v>
      </c>
      <c r="F59" s="195">
        <v>0</v>
      </c>
      <c r="G59" s="195">
        <v>0</v>
      </c>
      <c r="H59" s="195">
        <v>0</v>
      </c>
      <c r="I59" s="195">
        <v>10</v>
      </c>
      <c r="J59" s="195">
        <v>21</v>
      </c>
      <c r="K59" s="195">
        <v>1</v>
      </c>
      <c r="L59" s="195">
        <v>18</v>
      </c>
      <c r="M59" s="195">
        <v>11</v>
      </c>
      <c r="N59" s="195">
        <v>0</v>
      </c>
      <c r="O59" s="195">
        <f>O43*2</f>
        <v>0</v>
      </c>
      <c r="P59" s="195">
        <f>P43*2</f>
        <v>0</v>
      </c>
      <c r="Q59" s="195">
        <v>6</v>
      </c>
      <c r="R59" s="195">
        <v>0</v>
      </c>
      <c r="S59" s="195">
        <v>0</v>
      </c>
      <c r="T59" s="195">
        <v>0</v>
      </c>
      <c r="U59" s="195">
        <v>53</v>
      </c>
      <c r="V59" s="239">
        <v>2</v>
      </c>
    </row>
    <row r="60" spans="1:22">
      <c r="A60" s="1416"/>
      <c r="B60" s="340" t="s">
        <v>167</v>
      </c>
      <c r="C60" s="341">
        <f>C50*2</f>
        <v>380</v>
      </c>
      <c r="D60" s="219">
        <f t="shared" ref="D60:N60" si="2">D52*2</f>
        <v>90</v>
      </c>
      <c r="E60" s="219">
        <f t="shared" si="2"/>
        <v>10</v>
      </c>
      <c r="F60" s="219">
        <f t="shared" si="2"/>
        <v>8</v>
      </c>
      <c r="G60" s="219">
        <f t="shared" si="2"/>
        <v>0</v>
      </c>
      <c r="H60" s="219">
        <f t="shared" si="2"/>
        <v>0</v>
      </c>
      <c r="I60" s="219">
        <f t="shared" si="2"/>
        <v>0</v>
      </c>
      <c r="J60" s="219">
        <f t="shared" si="2"/>
        <v>40</v>
      </c>
      <c r="K60" s="219">
        <f t="shared" si="2"/>
        <v>0</v>
      </c>
      <c r="L60" s="219">
        <f t="shared" si="2"/>
        <v>24</v>
      </c>
      <c r="M60" s="219">
        <f t="shared" si="2"/>
        <v>24</v>
      </c>
      <c r="N60" s="219">
        <f t="shared" si="2"/>
        <v>0</v>
      </c>
      <c r="O60" s="219">
        <f>O44*2</f>
        <v>0</v>
      </c>
      <c r="P60" s="219">
        <f>P44*2</f>
        <v>0</v>
      </c>
      <c r="Q60" s="219">
        <f t="shared" ref="Q60:V60" si="3">Q52*2</f>
        <v>2</v>
      </c>
      <c r="R60" s="219">
        <f t="shared" si="3"/>
        <v>0</v>
      </c>
      <c r="S60" s="219">
        <f t="shared" si="3"/>
        <v>0</v>
      </c>
      <c r="T60" s="219">
        <f t="shared" si="3"/>
        <v>0</v>
      </c>
      <c r="U60" s="219">
        <f t="shared" si="3"/>
        <v>0</v>
      </c>
      <c r="V60" s="310">
        <f t="shared" si="3"/>
        <v>0</v>
      </c>
    </row>
    <row r="61" spans="1:22">
      <c r="A61" s="227"/>
      <c r="B61" s="266"/>
    </row>
    <row r="62" spans="1:22" ht="61.5" customHeight="1">
      <c r="A62" s="1193" t="s">
        <v>168</v>
      </c>
      <c r="B62" s="1194"/>
      <c r="C62" s="1194"/>
      <c r="D62" s="1194"/>
      <c r="E62" s="1194"/>
      <c r="F62" s="1194"/>
      <c r="G62" s="1194"/>
      <c r="H62" s="1194"/>
      <c r="I62" s="1194"/>
      <c r="J62" s="1194"/>
      <c r="K62" s="1194"/>
      <c r="L62" s="1194"/>
      <c r="M62" s="1194"/>
      <c r="N62" s="1194"/>
      <c r="O62" s="1194"/>
      <c r="P62" s="1194"/>
      <c r="Q62" s="1194"/>
      <c r="R62" s="1194"/>
      <c r="S62" s="1194"/>
      <c r="T62" s="1194"/>
      <c r="U62" s="1194"/>
      <c r="V62" s="1195"/>
    </row>
    <row r="63" spans="1:22" ht="15" hidden="1" customHeight="1">
      <c r="A63" s="179"/>
      <c r="B63" s="220"/>
      <c r="C63" s="220"/>
      <c r="D63" s="220"/>
      <c r="E63" s="220"/>
      <c r="F63" s="220"/>
      <c r="G63" s="220"/>
      <c r="H63" s="220"/>
      <c r="I63" s="220"/>
      <c r="J63" s="220"/>
      <c r="K63" s="220"/>
      <c r="L63" s="220"/>
      <c r="M63" s="220"/>
      <c r="N63" s="220"/>
      <c r="O63" s="220"/>
      <c r="P63" s="220"/>
      <c r="Q63" s="220"/>
      <c r="R63" s="221"/>
      <c r="S63" s="221"/>
      <c r="T63" s="221"/>
      <c r="U63" s="221"/>
      <c r="V63" s="221"/>
    </row>
    <row r="64" spans="1:22" ht="28.5" hidden="1" customHeight="1">
      <c r="A64" s="179"/>
      <c r="B64" s="191" t="s">
        <v>466</v>
      </c>
      <c r="C64" s="191">
        <f t="shared" ref="C64:V64" si="4">SUM(AVERAGE(C5:C29),(AVERAGE(C37:C60)*2))</f>
        <v>849.81884057971024</v>
      </c>
      <c r="D64" s="191">
        <f t="shared" si="4"/>
        <v>371.286231884058</v>
      </c>
      <c r="E64" s="191">
        <f t="shared" si="4"/>
        <v>41.253623188405797</v>
      </c>
      <c r="F64" s="191">
        <f t="shared" si="4"/>
        <v>23.291666666666668</v>
      </c>
      <c r="G64" s="191">
        <f t="shared" si="4"/>
        <v>0</v>
      </c>
      <c r="H64" s="191">
        <f t="shared" si="4"/>
        <v>202.73550724637681</v>
      </c>
      <c r="I64" s="191">
        <f t="shared" si="4"/>
        <v>431.8115942028985</v>
      </c>
      <c r="J64" s="191">
        <f t="shared" si="4"/>
        <v>108.33695652173913</v>
      </c>
      <c r="K64" s="191">
        <f t="shared" si="4"/>
        <v>1.0833333333333333</v>
      </c>
      <c r="L64" s="191">
        <f t="shared" si="4"/>
        <v>89.264492753623188</v>
      </c>
      <c r="M64" s="191">
        <f t="shared" si="4"/>
        <v>66.826086956521735</v>
      </c>
      <c r="N64" s="191">
        <f t="shared" si="4"/>
        <v>14.420289855072465</v>
      </c>
      <c r="O64" s="191">
        <f t="shared" si="4"/>
        <v>0</v>
      </c>
      <c r="P64" s="191">
        <f t="shared" si="4"/>
        <v>0</v>
      </c>
      <c r="Q64" s="191">
        <f t="shared" si="4"/>
        <v>407.78985507246375</v>
      </c>
      <c r="R64" s="191">
        <f t="shared" si="4"/>
        <v>31.565217391304348</v>
      </c>
      <c r="S64" s="191">
        <f t="shared" si="4"/>
        <v>1.3659420289855073</v>
      </c>
      <c r="T64" s="191">
        <f t="shared" si="4"/>
        <v>7.7463768115942031</v>
      </c>
      <c r="U64" s="191">
        <f t="shared" si="4"/>
        <v>686.13043478260875</v>
      </c>
      <c r="V64" s="191">
        <f t="shared" si="4"/>
        <v>13.217391304347826</v>
      </c>
    </row>
    <row r="65" spans="1:22" ht="28.5" hidden="1" customHeight="1">
      <c r="A65" s="179"/>
      <c r="B65" s="191" t="s">
        <v>467</v>
      </c>
      <c r="C65" s="191" t="str">
        <f>ROUND( MIN(C5:C29)+(MIN(C32:C56)*2),0) &amp; " - " &amp; ROUND(MAX(C5:C29)+(MAX(C32:C56)*2),0)</f>
        <v>630 - 1160</v>
      </c>
      <c r="D65" s="191" t="str">
        <f t="shared" ref="D65:V65" si="5">ROUND( MIN(D5:D29)+(MIN(D37:D60)*2),0) &amp; " - " &amp; ROUND(MAX(D5:D29)+(MAX(D37:D60)*2),0)</f>
        <v>190 - 610</v>
      </c>
      <c r="E65" s="191" t="str">
        <f t="shared" si="5"/>
        <v>21 - 68</v>
      </c>
      <c r="F65" s="191" t="str">
        <f t="shared" si="5"/>
        <v>14 - 36</v>
      </c>
      <c r="G65" s="191" t="str">
        <f t="shared" si="5"/>
        <v>0 - 0</v>
      </c>
      <c r="H65" s="191" t="str">
        <f t="shared" si="5"/>
        <v>145 - 230</v>
      </c>
      <c r="I65" s="191" t="str">
        <f t="shared" si="5"/>
        <v>280 - 670</v>
      </c>
      <c r="J65" s="191" t="str">
        <f t="shared" si="5"/>
        <v>55 - 189</v>
      </c>
      <c r="K65" s="191" t="str">
        <f t="shared" si="5"/>
        <v>0 - 6</v>
      </c>
      <c r="L65" s="191" t="str">
        <f t="shared" si="5"/>
        <v>57 - 168</v>
      </c>
      <c r="M65" s="191" t="str">
        <f t="shared" si="5"/>
        <v>27 - 155</v>
      </c>
      <c r="N65" s="191" t="str">
        <f t="shared" si="5"/>
        <v>8 - 26</v>
      </c>
      <c r="O65" s="191" t="str">
        <f t="shared" si="5"/>
        <v>0 - 0</v>
      </c>
      <c r="P65" s="191" t="str">
        <f t="shared" si="5"/>
        <v>0 - 0</v>
      </c>
      <c r="Q65" s="191" t="str">
        <f t="shared" si="5"/>
        <v>277 - 483</v>
      </c>
      <c r="R65" s="191" t="str">
        <f t="shared" si="5"/>
        <v>20 - 34</v>
      </c>
      <c r="S65" s="191" t="str">
        <f t="shared" si="5"/>
        <v>0 - 5</v>
      </c>
      <c r="T65" s="191" t="str">
        <f t="shared" si="5"/>
        <v>0 - 27</v>
      </c>
      <c r="U65" s="191" t="str">
        <f t="shared" si="5"/>
        <v>399 - 1119</v>
      </c>
      <c r="V65" s="191" t="str">
        <f t="shared" si="5"/>
        <v>8 - 23</v>
      </c>
    </row>
    <row r="66" spans="1:22" ht="28.5" hidden="1" customHeight="1">
      <c r="A66" s="179"/>
      <c r="B66" s="191" t="s">
        <v>468</v>
      </c>
      <c r="C66" s="191">
        <f t="shared" ref="C66:V66" si="6">SUM(AVERAGE(C5:C29),AVERAGE(C37:C56),AVERAGE(C57:C60))</f>
        <v>900.1521739130435</v>
      </c>
      <c r="D66" s="191">
        <f t="shared" si="6"/>
        <v>349.11956521739131</v>
      </c>
      <c r="E66" s="191">
        <f t="shared" si="6"/>
        <v>38.786956521739128</v>
      </c>
      <c r="F66" s="191">
        <f t="shared" si="6"/>
        <v>23.175000000000001</v>
      </c>
      <c r="G66" s="191">
        <f t="shared" si="6"/>
        <v>0</v>
      </c>
      <c r="H66" s="191">
        <f t="shared" si="6"/>
        <v>201.90217391304347</v>
      </c>
      <c r="I66" s="191">
        <f t="shared" si="6"/>
        <v>404.47826086956519</v>
      </c>
      <c r="J66" s="191">
        <f t="shared" si="6"/>
        <v>125.63695652173912</v>
      </c>
      <c r="K66" s="191">
        <f t="shared" si="6"/>
        <v>0.85</v>
      </c>
      <c r="L66" s="191">
        <f t="shared" si="6"/>
        <v>102.49782608695652</v>
      </c>
      <c r="M66" s="191">
        <f t="shared" si="6"/>
        <v>80.667620137299764</v>
      </c>
      <c r="N66" s="191">
        <f t="shared" si="6"/>
        <v>13.886956521739132</v>
      </c>
      <c r="O66" s="191">
        <f t="shared" si="6"/>
        <v>0</v>
      </c>
      <c r="P66" s="191">
        <f t="shared" si="6"/>
        <v>0</v>
      </c>
      <c r="Q66" s="191">
        <f t="shared" si="6"/>
        <v>400.25652173913045</v>
      </c>
      <c r="R66" s="191">
        <f t="shared" si="6"/>
        <v>30.765217391304347</v>
      </c>
      <c r="S66" s="191">
        <f t="shared" si="6"/>
        <v>1.1326086956521739</v>
      </c>
      <c r="T66" s="191">
        <f t="shared" si="6"/>
        <v>6.2130434782608699</v>
      </c>
      <c r="U66" s="191">
        <f t="shared" si="6"/>
        <v>657.13043478260875</v>
      </c>
      <c r="V66" s="191">
        <f t="shared" si="6"/>
        <v>12.817391304347826</v>
      </c>
    </row>
    <row r="67" spans="1:22" ht="28.5" hidden="1" customHeight="1">
      <c r="A67" s="272"/>
      <c r="B67" s="191" t="s">
        <v>469</v>
      </c>
      <c r="C67" s="191" t="str">
        <f t="shared" ref="C67:V67" si="7" xml:space="preserve"> ROUND(MIN(C5:C29)+MIN(C37:C56)+ MIN(C57:C60),0) &amp; " - " &amp; ROUND(MAX(C5:C29)+MAX(C37:C56)+ MAX(C57:C60),0)</f>
        <v>660 - 1260</v>
      </c>
      <c r="D67" s="191" t="str">
        <f t="shared" si="7"/>
        <v>190 - 540</v>
      </c>
      <c r="E67" s="191" t="str">
        <f t="shared" si="7"/>
        <v>21 - 60</v>
      </c>
      <c r="F67" s="191" t="str">
        <f t="shared" si="7"/>
        <v>14 - 33</v>
      </c>
      <c r="G67" s="191" t="str">
        <f t="shared" si="7"/>
        <v>0 - 0</v>
      </c>
      <c r="H67" s="191" t="str">
        <f t="shared" si="7"/>
        <v>145 - 225</v>
      </c>
      <c r="I67" s="191" t="str">
        <f t="shared" si="7"/>
        <v>280 - 560</v>
      </c>
      <c r="J67" s="191" t="str">
        <f t="shared" si="7"/>
        <v>70 - 160</v>
      </c>
      <c r="K67" s="191" t="str">
        <f t="shared" si="7"/>
        <v>0 - 4</v>
      </c>
      <c r="L67" s="191" t="str">
        <f t="shared" si="7"/>
        <v>74 - 142</v>
      </c>
      <c r="M67" s="191" t="str">
        <f t="shared" si="7"/>
        <v>38 - 129</v>
      </c>
      <c r="N67" s="191" t="str">
        <f t="shared" si="7"/>
        <v>8 - 23</v>
      </c>
      <c r="O67" s="191" t="str">
        <f t="shared" si="7"/>
        <v>0 - 0</v>
      </c>
      <c r="P67" s="191" t="str">
        <f t="shared" si="7"/>
        <v>0 - 0</v>
      </c>
      <c r="Q67" s="191" t="str">
        <f t="shared" si="7"/>
        <v>277 - 452</v>
      </c>
      <c r="R67" s="191" t="str">
        <f t="shared" si="7"/>
        <v>20 - 32</v>
      </c>
      <c r="S67" s="191" t="str">
        <f t="shared" si="7"/>
        <v>0 - 4</v>
      </c>
      <c r="T67" s="191" t="str">
        <f t="shared" si="7"/>
        <v>0 - 21</v>
      </c>
      <c r="U67" s="191" t="str">
        <f t="shared" si="7"/>
        <v>399 - 992</v>
      </c>
      <c r="V67" s="191" t="str">
        <f t="shared" si="7"/>
        <v>8 - 21</v>
      </c>
    </row>
    <row r="68" spans="1:22" hidden="1">
      <c r="B68" s="195"/>
      <c r="C68" s="195"/>
      <c r="D68" s="195"/>
      <c r="E68" s="195"/>
      <c r="F68" s="195"/>
      <c r="G68" s="195"/>
      <c r="H68" s="195"/>
      <c r="I68" s="195"/>
      <c r="J68" s="195"/>
      <c r="K68" s="195"/>
      <c r="L68" s="195"/>
      <c r="M68" s="195"/>
      <c r="N68" s="195"/>
      <c r="O68" s="195"/>
      <c r="P68" s="195"/>
      <c r="Q68" s="195"/>
      <c r="R68" s="195"/>
      <c r="S68" s="195"/>
      <c r="T68" s="195"/>
      <c r="U68" s="195"/>
      <c r="V68" s="195"/>
    </row>
    <row r="69" spans="1:22" hidden="1">
      <c r="A69" s="223"/>
      <c r="B69" s="222" t="s">
        <v>392</v>
      </c>
      <c r="C69" s="222">
        <f>AVERAGE(C57:C60)</f>
        <v>205</v>
      </c>
      <c r="D69" s="222">
        <f t="shared" ref="D69:V69" si="8">AVERAGE(D57:D60)</f>
        <v>22.5</v>
      </c>
      <c r="E69" s="222">
        <f t="shared" si="8"/>
        <v>2.5</v>
      </c>
      <c r="F69" s="222">
        <f t="shared" si="8"/>
        <v>2</v>
      </c>
      <c r="G69" s="222">
        <f t="shared" si="8"/>
        <v>0</v>
      </c>
      <c r="H69" s="222">
        <f t="shared" si="8"/>
        <v>0</v>
      </c>
      <c r="I69" s="222">
        <f t="shared" si="8"/>
        <v>10</v>
      </c>
      <c r="J69" s="222">
        <f t="shared" si="8"/>
        <v>43.25</v>
      </c>
      <c r="K69" s="222">
        <f t="shared" si="8"/>
        <v>0.25</v>
      </c>
      <c r="L69" s="222">
        <f t="shared" si="8"/>
        <v>32.5</v>
      </c>
      <c r="M69" s="222">
        <f t="shared" si="8"/>
        <v>30.75</v>
      </c>
      <c r="N69" s="222">
        <f t="shared" si="8"/>
        <v>1</v>
      </c>
      <c r="O69" s="222">
        <f t="shared" si="8"/>
        <v>0</v>
      </c>
      <c r="P69" s="222">
        <f t="shared" si="8"/>
        <v>0</v>
      </c>
      <c r="Q69" s="222">
        <f t="shared" si="8"/>
        <v>2</v>
      </c>
      <c r="R69" s="222">
        <f t="shared" si="8"/>
        <v>0</v>
      </c>
      <c r="S69" s="222">
        <f t="shared" si="8"/>
        <v>0</v>
      </c>
      <c r="T69" s="222">
        <f t="shared" si="8"/>
        <v>0</v>
      </c>
      <c r="U69" s="222">
        <f t="shared" si="8"/>
        <v>13.25</v>
      </c>
      <c r="V69" s="222">
        <f t="shared" si="8"/>
        <v>0.5</v>
      </c>
    </row>
    <row r="70" spans="1:22" hidden="1">
      <c r="A70" s="179"/>
      <c r="B70" s="222" t="s">
        <v>393</v>
      </c>
      <c r="C70" s="222" t="str">
        <f>MIN(C57:C60) &amp; " - " &amp;  MAX(C57:C60)</f>
        <v>80 - 380</v>
      </c>
      <c r="D70" s="222" t="str">
        <f t="shared" ref="D70:V70" si="9">MIN(D57:D60) &amp; " - " &amp;  MAX(D57:D60)</f>
        <v>0 - 90</v>
      </c>
      <c r="E70" s="222" t="str">
        <f t="shared" si="9"/>
        <v>0 - 10</v>
      </c>
      <c r="F70" s="222" t="str">
        <f t="shared" si="9"/>
        <v>0 - 8</v>
      </c>
      <c r="G70" s="222" t="str">
        <f t="shared" si="9"/>
        <v>0 - 0</v>
      </c>
      <c r="H70" s="222" t="str">
        <f t="shared" si="9"/>
        <v>0 - 0</v>
      </c>
      <c r="I70" s="222" t="str">
        <f t="shared" si="9"/>
        <v>0 - 30</v>
      </c>
      <c r="J70" s="222" t="str">
        <f t="shared" si="9"/>
        <v>21 - 58</v>
      </c>
      <c r="K70" s="222" t="str">
        <f t="shared" si="9"/>
        <v>0 - 1</v>
      </c>
      <c r="L70" s="222" t="str">
        <f t="shared" si="9"/>
        <v>18 - 52</v>
      </c>
      <c r="M70" s="222" t="str">
        <f t="shared" si="9"/>
        <v>11 - 52</v>
      </c>
      <c r="N70" s="222" t="str">
        <f t="shared" si="9"/>
        <v>0 - 4</v>
      </c>
      <c r="O70" s="222" t="str">
        <f t="shared" si="9"/>
        <v>0 - 0</v>
      </c>
      <c r="P70" s="222" t="str">
        <f t="shared" si="9"/>
        <v>0 - 0</v>
      </c>
      <c r="Q70" s="222" t="str">
        <f t="shared" si="9"/>
        <v>0 - 6</v>
      </c>
      <c r="R70" s="222" t="str">
        <f t="shared" si="9"/>
        <v>0 - 0</v>
      </c>
      <c r="S70" s="222" t="str">
        <f t="shared" si="9"/>
        <v>0 - 0</v>
      </c>
      <c r="T70" s="222" t="str">
        <f t="shared" si="9"/>
        <v>0 - 0</v>
      </c>
      <c r="U70" s="222" t="str">
        <f t="shared" si="9"/>
        <v>0 - 53</v>
      </c>
      <c r="V70" s="222" t="str">
        <f t="shared" si="9"/>
        <v>0 - 2</v>
      </c>
    </row>
    <row r="79" spans="1:22">
      <c r="B79" s="212" t="s">
        <v>746</v>
      </c>
      <c r="C79" s="195">
        <v>550</v>
      </c>
      <c r="D79" s="195">
        <v>250</v>
      </c>
      <c r="E79" s="195">
        <v>28</v>
      </c>
      <c r="F79" s="195">
        <v>17</v>
      </c>
      <c r="G79" s="195">
        <v>0</v>
      </c>
      <c r="H79" s="195">
        <v>170</v>
      </c>
      <c r="I79" s="195">
        <v>290</v>
      </c>
      <c r="J79" s="195">
        <v>66</v>
      </c>
      <c r="K79" s="195">
        <v>0</v>
      </c>
      <c r="L79" s="195">
        <v>59</v>
      </c>
      <c r="M79" s="195">
        <v>42</v>
      </c>
      <c r="N79" s="195">
        <v>11</v>
      </c>
      <c r="O79" s="195">
        <v>0</v>
      </c>
      <c r="P79" s="195">
        <v>0</v>
      </c>
      <c r="Q79" s="195">
        <v>365</v>
      </c>
      <c r="R79" s="195">
        <v>30</v>
      </c>
      <c r="S79" s="195">
        <v>3</v>
      </c>
      <c r="T79" s="195">
        <v>15</v>
      </c>
      <c r="U79" s="195">
        <v>733</v>
      </c>
      <c r="V79" s="195">
        <v>15</v>
      </c>
    </row>
    <row r="80" spans="1:22">
      <c r="B80" s="212" t="s">
        <v>747</v>
      </c>
      <c r="C80" s="195">
        <v>580</v>
      </c>
      <c r="D80" s="195">
        <v>280</v>
      </c>
      <c r="E80" s="195">
        <v>31</v>
      </c>
      <c r="F80" s="195">
        <v>20</v>
      </c>
      <c r="G80" s="195">
        <v>0</v>
      </c>
      <c r="H80" s="195">
        <v>210</v>
      </c>
      <c r="I80" s="195">
        <v>390</v>
      </c>
      <c r="J80" s="195">
        <v>63</v>
      </c>
      <c r="K80" s="195">
        <v>0</v>
      </c>
      <c r="L80" s="195">
        <v>55</v>
      </c>
      <c r="M80" s="195">
        <v>39</v>
      </c>
      <c r="N80" s="195">
        <v>11</v>
      </c>
      <c r="O80" s="195">
        <v>0</v>
      </c>
      <c r="P80" s="195">
        <v>0</v>
      </c>
      <c r="Q80" s="195">
        <v>365</v>
      </c>
      <c r="R80" s="195">
        <v>30</v>
      </c>
      <c r="S80" s="195">
        <v>3</v>
      </c>
      <c r="T80" s="195">
        <v>15</v>
      </c>
      <c r="U80" s="195">
        <v>733</v>
      </c>
      <c r="V80" s="195">
        <v>15</v>
      </c>
    </row>
    <row r="81" spans="19:19">
      <c r="S81" s="195">
        <v>3</v>
      </c>
    </row>
  </sheetData>
  <mergeCells count="7">
    <mergeCell ref="A62:V62"/>
    <mergeCell ref="A1:V1"/>
    <mergeCell ref="A2:V2"/>
    <mergeCell ref="A3:V3"/>
    <mergeCell ref="A5:A29"/>
    <mergeCell ref="A32:A56"/>
    <mergeCell ref="A57:A60"/>
  </mergeCells>
  <pageMargins left="0.7" right="0.7" top="0.75" bottom="0.75" header="0.3" footer="0.3"/>
  <pageSetup scale="43" fitToHeight="0" orientation="landscape" r:id="rId1"/>
  <headerFooter>
    <oddHeader xml:space="preserve">&amp;R&amp;14 2023 Nutrition Information </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V127"/>
  <sheetViews>
    <sheetView showWhiteSpace="0" view="pageLayout" topLeftCell="A28" zoomScale="70" zoomScaleNormal="60" zoomScalePageLayoutView="70" workbookViewId="0">
      <selection activeCell="C37" sqref="C37"/>
    </sheetView>
    <sheetView workbookViewId="1">
      <selection sqref="A1:V1"/>
    </sheetView>
    <sheetView workbookViewId="2">
      <selection sqref="A1:V1"/>
    </sheetView>
  </sheetViews>
  <sheetFormatPr defaultColWidth="8.84375" defaultRowHeight="15.9"/>
  <cols>
    <col min="1" max="1" width="6.53515625" style="179" customWidth="1"/>
    <col min="2" max="2" width="42.84375" style="179" customWidth="1"/>
    <col min="3" max="3" width="14.15234375" style="179" customWidth="1"/>
    <col min="4" max="4" width="12.53515625" style="179" customWidth="1"/>
    <col min="5" max="5" width="8.53515625" style="179" customWidth="1"/>
    <col min="6" max="6" width="15.84375" style="179" customWidth="1"/>
    <col min="7" max="7" width="11.3828125" style="179" customWidth="1"/>
    <col min="8" max="8" width="13" style="179" customWidth="1"/>
    <col min="9" max="9" width="12.84375" style="179" customWidth="1"/>
    <col min="10" max="10" width="16.84375" style="179" customWidth="1"/>
    <col min="11" max="11" width="9" style="179" customWidth="1"/>
    <col min="12" max="12" width="7.84375" style="179" customWidth="1"/>
    <col min="13" max="13" width="10.53515625" style="179" bestFit="1" customWidth="1"/>
    <col min="14" max="16" width="11.53515625" style="179" customWidth="1"/>
    <col min="17" max="17" width="9" style="179" customWidth="1"/>
    <col min="18" max="18" width="13.53515625" style="179" customWidth="1"/>
    <col min="19" max="19" width="8.84375" style="179" customWidth="1"/>
    <col min="20" max="20" width="10.84375" style="179" customWidth="1"/>
    <col min="21" max="21" width="10.53515625" style="179" bestFit="1" customWidth="1"/>
    <col min="22" max="22" width="15.53515625" style="179" customWidth="1"/>
    <col min="23" max="23" width="8.84375" style="179" customWidth="1"/>
    <col min="24" max="16384" width="8.84375" style="179"/>
  </cols>
  <sheetData>
    <row r="1" spans="1:22" ht="15" customHeight="1">
      <c r="A1" s="1214" t="s">
        <v>748</v>
      </c>
      <c r="B1" s="1215"/>
      <c r="C1" s="1215"/>
      <c r="D1" s="1215"/>
      <c r="E1" s="1215"/>
      <c r="F1" s="1215"/>
      <c r="G1" s="1215"/>
      <c r="H1" s="1215"/>
      <c r="I1" s="1215"/>
      <c r="J1" s="1215"/>
      <c r="K1" s="1215"/>
      <c r="L1" s="1215"/>
      <c r="M1" s="1215"/>
      <c r="N1" s="1215"/>
      <c r="O1" s="1215"/>
      <c r="P1" s="1215"/>
      <c r="Q1" s="1215"/>
      <c r="R1" s="1215"/>
      <c r="S1" s="1215"/>
      <c r="T1" s="1215"/>
      <c r="U1" s="1215"/>
      <c r="V1" s="1215"/>
    </row>
    <row r="2" spans="1:22" ht="18" customHeight="1" thickBot="1">
      <c r="A2" s="1209" t="s">
        <v>749</v>
      </c>
      <c r="B2" s="1210"/>
      <c r="C2" s="1210"/>
      <c r="D2" s="1210"/>
      <c r="E2" s="1210"/>
      <c r="F2" s="1210"/>
      <c r="G2" s="1210"/>
      <c r="H2" s="1210"/>
      <c r="I2" s="1210"/>
      <c r="J2" s="1210"/>
      <c r="K2" s="1210"/>
      <c r="L2" s="1210"/>
      <c r="M2" s="1210"/>
      <c r="N2" s="1210"/>
      <c r="O2" s="1210"/>
      <c r="P2" s="1210"/>
      <c r="Q2" s="1210"/>
      <c r="R2" s="1210"/>
      <c r="S2" s="1210"/>
      <c r="T2" s="1210"/>
      <c r="U2" s="1210"/>
      <c r="V2" s="1210"/>
    </row>
    <row r="3" spans="1:22" ht="57.75" customHeight="1" thickBot="1">
      <c r="A3" s="250"/>
      <c r="B3" s="251" t="s">
        <v>3</v>
      </c>
      <c r="C3" s="214" t="s">
        <v>4</v>
      </c>
      <c r="D3" s="214" t="s">
        <v>5</v>
      </c>
      <c r="E3" s="214" t="s">
        <v>6</v>
      </c>
      <c r="F3" s="214" t="s">
        <v>7</v>
      </c>
      <c r="G3" s="214" t="s">
        <v>8</v>
      </c>
      <c r="H3" s="214" t="s">
        <v>9</v>
      </c>
      <c r="I3" s="214" t="s">
        <v>10</v>
      </c>
      <c r="J3" s="214" t="s">
        <v>11</v>
      </c>
      <c r="K3" s="214" t="s">
        <v>12</v>
      </c>
      <c r="L3" s="214" t="s">
        <v>13</v>
      </c>
      <c r="M3" s="214" t="s">
        <v>14</v>
      </c>
      <c r="N3" s="214" t="s">
        <v>15</v>
      </c>
      <c r="O3" s="215" t="s">
        <v>16</v>
      </c>
      <c r="P3" s="215" t="s">
        <v>17</v>
      </c>
      <c r="Q3" s="215" t="s">
        <v>18</v>
      </c>
      <c r="R3" s="215" t="s">
        <v>19</v>
      </c>
      <c r="S3" s="215" t="s">
        <v>20</v>
      </c>
      <c r="T3" s="215" t="s">
        <v>21</v>
      </c>
      <c r="U3" s="215" t="s">
        <v>22</v>
      </c>
      <c r="V3" s="215" t="s">
        <v>23</v>
      </c>
    </row>
    <row r="4" spans="1:22" ht="15.75" customHeight="1">
      <c r="A4" s="1211" t="s">
        <v>572</v>
      </c>
      <c r="B4" s="236" t="s">
        <v>573</v>
      </c>
      <c r="C4" s="370">
        <v>130</v>
      </c>
      <c r="D4" s="370">
        <v>60</v>
      </c>
      <c r="E4" s="370">
        <v>7</v>
      </c>
      <c r="F4" s="370">
        <v>4.5</v>
      </c>
      <c r="G4" s="370">
        <v>0</v>
      </c>
      <c r="H4" s="370">
        <v>45</v>
      </c>
      <c r="I4" s="370">
        <v>70</v>
      </c>
      <c r="J4" s="370">
        <v>16</v>
      </c>
      <c r="K4" s="370">
        <v>0</v>
      </c>
      <c r="L4" s="370">
        <v>14</v>
      </c>
      <c r="M4" s="370">
        <v>11</v>
      </c>
      <c r="N4" s="370">
        <v>3</v>
      </c>
      <c r="O4" s="370">
        <v>0</v>
      </c>
      <c r="P4" s="370">
        <v>0</v>
      </c>
      <c r="Q4" s="370">
        <v>92.135999999999996</v>
      </c>
      <c r="R4" s="370">
        <v>10</v>
      </c>
      <c r="S4" s="370">
        <v>0.76543700000000003</v>
      </c>
      <c r="T4" s="370">
        <v>4</v>
      </c>
      <c r="U4" s="370">
        <v>180</v>
      </c>
      <c r="V4" s="370">
        <v>5</v>
      </c>
    </row>
    <row r="5" spans="1:22" ht="18.45">
      <c r="A5" s="1199"/>
      <c r="B5" s="186" t="s">
        <v>574</v>
      </c>
      <c r="C5" s="370">
        <v>140</v>
      </c>
      <c r="D5" s="370">
        <v>70</v>
      </c>
      <c r="E5" s="370">
        <v>8</v>
      </c>
      <c r="F5" s="370">
        <v>5</v>
      </c>
      <c r="G5" s="370">
        <v>0</v>
      </c>
      <c r="H5" s="370">
        <v>55</v>
      </c>
      <c r="I5" s="370">
        <v>90</v>
      </c>
      <c r="J5" s="370">
        <v>16</v>
      </c>
      <c r="K5" s="370">
        <v>0</v>
      </c>
      <c r="L5" s="370">
        <v>13</v>
      </c>
      <c r="M5" s="370">
        <v>10</v>
      </c>
      <c r="N5" s="370">
        <v>3</v>
      </c>
      <c r="O5" s="370">
        <v>0</v>
      </c>
      <c r="P5" s="370">
        <v>0</v>
      </c>
      <c r="Q5" s="370">
        <v>99.223299999999995</v>
      </c>
      <c r="R5" s="370">
        <v>10</v>
      </c>
      <c r="S5" s="370">
        <v>0</v>
      </c>
      <c r="T5" s="370">
        <v>0</v>
      </c>
      <c r="U5" s="370">
        <v>135</v>
      </c>
      <c r="V5" s="370">
        <v>4</v>
      </c>
    </row>
    <row r="6" spans="1:22" ht="18.45">
      <c r="A6" s="1199"/>
      <c r="B6" s="186" t="s">
        <v>26</v>
      </c>
      <c r="C6" s="370">
        <v>140</v>
      </c>
      <c r="D6" s="370">
        <v>70</v>
      </c>
      <c r="E6" s="370">
        <v>7</v>
      </c>
      <c r="F6" s="370">
        <v>5</v>
      </c>
      <c r="G6" s="370">
        <v>0</v>
      </c>
      <c r="H6" s="370">
        <v>50</v>
      </c>
      <c r="I6" s="370">
        <v>85</v>
      </c>
      <c r="J6" s="370">
        <v>16</v>
      </c>
      <c r="K6" s="370">
        <v>0</v>
      </c>
      <c r="L6" s="370">
        <v>14</v>
      </c>
      <c r="M6" s="370">
        <v>11</v>
      </c>
      <c r="N6" s="370">
        <v>3</v>
      </c>
      <c r="O6" s="370">
        <v>0</v>
      </c>
      <c r="P6" s="370">
        <v>0</v>
      </c>
      <c r="Q6" s="370">
        <v>95</v>
      </c>
      <c r="R6" s="370">
        <v>10</v>
      </c>
      <c r="S6" s="370">
        <v>0</v>
      </c>
      <c r="T6" s="370">
        <v>0</v>
      </c>
      <c r="U6" s="370">
        <v>130</v>
      </c>
      <c r="V6" s="370">
        <v>4</v>
      </c>
    </row>
    <row r="7" spans="1:22" ht="18.45">
      <c r="A7" s="1199"/>
      <c r="B7" s="186" t="s">
        <v>356</v>
      </c>
      <c r="C7" s="370">
        <v>140</v>
      </c>
      <c r="D7" s="370">
        <v>70</v>
      </c>
      <c r="E7" s="370">
        <v>8</v>
      </c>
      <c r="F7" s="370">
        <v>5</v>
      </c>
      <c r="G7" s="370">
        <v>0</v>
      </c>
      <c r="H7" s="370">
        <v>50</v>
      </c>
      <c r="I7" s="370">
        <v>85</v>
      </c>
      <c r="J7" s="370">
        <v>16</v>
      </c>
      <c r="K7" s="370">
        <v>0</v>
      </c>
      <c r="L7" s="370">
        <v>13</v>
      </c>
      <c r="M7" s="370">
        <v>10</v>
      </c>
      <c r="N7" s="370">
        <v>3</v>
      </c>
      <c r="O7" s="370">
        <v>0</v>
      </c>
      <c r="P7" s="370">
        <v>0</v>
      </c>
      <c r="Q7" s="370">
        <v>97.131900000000002</v>
      </c>
      <c r="R7" s="370">
        <v>10</v>
      </c>
      <c r="S7" s="370">
        <v>1.459E-3</v>
      </c>
      <c r="T7" s="370">
        <v>0</v>
      </c>
      <c r="U7" s="370">
        <v>130</v>
      </c>
      <c r="V7" s="370">
        <v>4</v>
      </c>
    </row>
    <row r="8" spans="1:22" ht="18.45">
      <c r="A8" s="1199"/>
      <c r="B8" s="186" t="s">
        <v>134</v>
      </c>
      <c r="C8" s="370">
        <v>150</v>
      </c>
      <c r="D8" s="370">
        <v>60</v>
      </c>
      <c r="E8" s="370">
        <v>7</v>
      </c>
      <c r="F8" s="370">
        <v>4.5</v>
      </c>
      <c r="G8" s="370">
        <v>0</v>
      </c>
      <c r="H8" s="370">
        <v>50</v>
      </c>
      <c r="I8" s="370">
        <v>80</v>
      </c>
      <c r="J8" s="370">
        <v>18</v>
      </c>
      <c r="K8" s="370">
        <v>0</v>
      </c>
      <c r="L8" s="370">
        <v>16</v>
      </c>
      <c r="M8" s="370">
        <v>13</v>
      </c>
      <c r="N8" s="370">
        <v>3</v>
      </c>
      <c r="O8" s="370">
        <v>0</v>
      </c>
      <c r="P8" s="370">
        <v>0</v>
      </c>
      <c r="Q8" s="370">
        <v>90</v>
      </c>
      <c r="R8" s="370">
        <v>6</v>
      </c>
      <c r="S8" s="370">
        <v>0</v>
      </c>
      <c r="T8" s="370">
        <v>0</v>
      </c>
      <c r="U8" s="370">
        <v>122</v>
      </c>
      <c r="V8" s="370">
        <v>2</v>
      </c>
    </row>
    <row r="9" spans="1:22" ht="18.45">
      <c r="A9" s="1199"/>
      <c r="B9" s="186" t="s">
        <v>373</v>
      </c>
      <c r="C9" s="370">
        <v>140</v>
      </c>
      <c r="D9" s="370">
        <v>70</v>
      </c>
      <c r="E9" s="370">
        <v>8</v>
      </c>
      <c r="F9" s="370">
        <v>5</v>
      </c>
      <c r="G9" s="370">
        <v>0</v>
      </c>
      <c r="H9" s="370">
        <v>50</v>
      </c>
      <c r="I9" s="370">
        <v>85</v>
      </c>
      <c r="J9" s="370">
        <v>16</v>
      </c>
      <c r="K9" s="370">
        <v>0</v>
      </c>
      <c r="L9" s="370">
        <v>14</v>
      </c>
      <c r="M9" s="370">
        <v>10</v>
      </c>
      <c r="N9" s="370">
        <v>3</v>
      </c>
      <c r="O9" s="370">
        <v>0</v>
      </c>
      <c r="P9" s="370">
        <v>0</v>
      </c>
      <c r="Q9" s="370">
        <v>97</v>
      </c>
      <c r="R9" s="370">
        <v>8</v>
      </c>
      <c r="S9" s="370">
        <v>0</v>
      </c>
      <c r="T9" s="370">
        <v>0</v>
      </c>
      <c r="U9" s="370">
        <v>132</v>
      </c>
      <c r="V9" s="370">
        <v>2</v>
      </c>
    </row>
    <row r="10" spans="1:22" ht="18.45">
      <c r="A10" s="1199"/>
      <c r="B10" s="186" t="s">
        <v>98</v>
      </c>
      <c r="C10" s="370">
        <v>140</v>
      </c>
      <c r="D10" s="370">
        <v>70</v>
      </c>
      <c r="E10" s="370">
        <v>7</v>
      </c>
      <c r="F10" s="370">
        <v>4.5</v>
      </c>
      <c r="G10" s="370">
        <v>0</v>
      </c>
      <c r="H10" s="370">
        <v>50</v>
      </c>
      <c r="I10" s="370">
        <v>85</v>
      </c>
      <c r="J10" s="370">
        <v>18</v>
      </c>
      <c r="K10" s="370">
        <v>0</v>
      </c>
      <c r="L10" s="370">
        <v>16</v>
      </c>
      <c r="M10" s="370">
        <v>12</v>
      </c>
      <c r="N10" s="370">
        <v>3</v>
      </c>
      <c r="O10" s="370">
        <v>0</v>
      </c>
      <c r="P10" s="370">
        <v>0</v>
      </c>
      <c r="Q10" s="370">
        <v>92.594499999999996</v>
      </c>
      <c r="R10" s="370">
        <v>10</v>
      </c>
      <c r="S10" s="370">
        <v>9.6000000000000002E-5</v>
      </c>
      <c r="T10" s="370">
        <v>0</v>
      </c>
      <c r="U10" s="370">
        <v>125</v>
      </c>
      <c r="V10" s="370">
        <v>4</v>
      </c>
    </row>
    <row r="11" spans="1:22" ht="18.45">
      <c r="A11" s="1199"/>
      <c r="B11" s="186" t="s">
        <v>399</v>
      </c>
      <c r="C11" s="370"/>
      <c r="D11" s="370"/>
      <c r="E11" s="370"/>
      <c r="F11" s="370"/>
      <c r="G11" s="370"/>
      <c r="H11" s="370"/>
      <c r="I11" s="370"/>
      <c r="J11" s="370"/>
      <c r="K11" s="370"/>
      <c r="L11" s="370"/>
      <c r="M11" s="370"/>
      <c r="N11" s="370"/>
      <c r="O11" s="370"/>
      <c r="P11" s="370"/>
      <c r="Q11" s="370"/>
      <c r="R11" s="370"/>
      <c r="S11" s="370"/>
      <c r="T11" s="370"/>
      <c r="U11" s="370"/>
      <c r="V11" s="370"/>
    </row>
    <row r="12" spans="1:22" ht="18.45">
      <c r="A12" s="1199"/>
      <c r="B12" s="186" t="s">
        <v>750</v>
      </c>
      <c r="C12" s="370"/>
      <c r="D12" s="370"/>
      <c r="E12" s="370"/>
      <c r="F12" s="370"/>
      <c r="G12" s="370"/>
      <c r="H12" s="370"/>
      <c r="I12" s="370"/>
      <c r="J12" s="370"/>
      <c r="K12" s="370"/>
      <c r="L12" s="370"/>
      <c r="M12" s="370"/>
      <c r="N12" s="370"/>
      <c r="O12" s="370"/>
      <c r="P12" s="370"/>
      <c r="Q12" s="370"/>
      <c r="R12" s="370"/>
      <c r="S12" s="370"/>
      <c r="T12" s="370"/>
      <c r="U12" s="370"/>
      <c r="V12" s="370"/>
    </row>
    <row r="13" spans="1:22" ht="18.45">
      <c r="A13" s="1199"/>
      <c r="B13" s="186" t="s">
        <v>136</v>
      </c>
      <c r="C13" s="370">
        <v>140</v>
      </c>
      <c r="D13" s="370">
        <v>70</v>
      </c>
      <c r="E13" s="370">
        <v>8</v>
      </c>
      <c r="F13" s="370">
        <v>5</v>
      </c>
      <c r="G13" s="370">
        <v>0</v>
      </c>
      <c r="H13" s="370">
        <v>55</v>
      </c>
      <c r="I13" s="370">
        <v>90</v>
      </c>
      <c r="J13" s="370">
        <v>16</v>
      </c>
      <c r="K13" s="370">
        <v>0</v>
      </c>
      <c r="L13" s="370">
        <v>13</v>
      </c>
      <c r="M13" s="370">
        <v>10</v>
      </c>
      <c r="N13" s="370">
        <v>3</v>
      </c>
      <c r="O13" s="370">
        <v>0</v>
      </c>
      <c r="P13" s="370">
        <v>0</v>
      </c>
      <c r="Q13" s="370">
        <v>98.4131</v>
      </c>
      <c r="R13" s="370">
        <v>10</v>
      </c>
      <c r="S13" s="370">
        <v>1.3755E-2</v>
      </c>
      <c r="T13" s="370">
        <v>0</v>
      </c>
      <c r="U13" s="370">
        <v>135</v>
      </c>
      <c r="V13" s="370">
        <v>4</v>
      </c>
    </row>
    <row r="14" spans="1:22" ht="18.45">
      <c r="A14" s="1199"/>
      <c r="B14" s="186" t="s">
        <v>36</v>
      </c>
      <c r="C14" s="370">
        <v>140</v>
      </c>
      <c r="D14" s="370">
        <v>70</v>
      </c>
      <c r="E14" s="370">
        <v>8</v>
      </c>
      <c r="F14" s="370">
        <v>5</v>
      </c>
      <c r="G14" s="370">
        <v>0</v>
      </c>
      <c r="H14" s="370">
        <v>50</v>
      </c>
      <c r="I14" s="370">
        <v>85</v>
      </c>
      <c r="J14" s="370">
        <v>17</v>
      </c>
      <c r="K14" s="370">
        <v>0</v>
      </c>
      <c r="L14" s="370">
        <v>14</v>
      </c>
      <c r="M14" s="370">
        <v>11</v>
      </c>
      <c r="N14" s="370">
        <v>3</v>
      </c>
      <c r="O14" s="370">
        <v>0</v>
      </c>
      <c r="P14" s="370">
        <v>0</v>
      </c>
      <c r="Q14" s="370">
        <v>95.676500000000004</v>
      </c>
      <c r="R14" s="370">
        <v>10</v>
      </c>
      <c r="S14" s="370">
        <v>1.9657999999999998E-2</v>
      </c>
      <c r="T14" s="370">
        <v>0</v>
      </c>
      <c r="U14" s="370">
        <v>130</v>
      </c>
      <c r="V14" s="370">
        <v>4</v>
      </c>
    </row>
    <row r="15" spans="1:22" ht="18.45">
      <c r="A15" s="1199"/>
      <c r="B15" s="186" t="s">
        <v>137</v>
      </c>
      <c r="C15" s="370">
        <v>140</v>
      </c>
      <c r="D15" s="370">
        <v>70</v>
      </c>
      <c r="E15" s="370">
        <v>8</v>
      </c>
      <c r="F15" s="370">
        <v>5</v>
      </c>
      <c r="G15" s="370">
        <v>0</v>
      </c>
      <c r="H15" s="370">
        <v>50</v>
      </c>
      <c r="I15" s="370">
        <v>85</v>
      </c>
      <c r="J15" s="370">
        <v>15</v>
      </c>
      <c r="K15" s="370">
        <v>0</v>
      </c>
      <c r="L15" s="370">
        <v>13</v>
      </c>
      <c r="M15" s="370">
        <v>10</v>
      </c>
      <c r="N15" s="370">
        <v>3</v>
      </c>
      <c r="O15" s="370">
        <v>0</v>
      </c>
      <c r="P15" s="370">
        <v>0</v>
      </c>
      <c r="Q15" s="370">
        <v>97.676299999999998</v>
      </c>
      <c r="R15" s="370">
        <v>10</v>
      </c>
      <c r="S15" s="370">
        <v>4.6099999999999998E-4</v>
      </c>
      <c r="T15" s="370">
        <v>0</v>
      </c>
      <c r="U15" s="370">
        <v>135</v>
      </c>
      <c r="V15" s="370">
        <v>4</v>
      </c>
    </row>
    <row r="16" spans="1:22" ht="18.45">
      <c r="A16" s="1199"/>
      <c r="B16" s="186" t="s">
        <v>416</v>
      </c>
      <c r="C16" s="370">
        <v>140</v>
      </c>
      <c r="D16" s="370">
        <v>70</v>
      </c>
      <c r="E16" s="370">
        <v>8</v>
      </c>
      <c r="F16" s="370">
        <v>5</v>
      </c>
      <c r="G16" s="370">
        <v>0</v>
      </c>
      <c r="H16" s="370">
        <v>50</v>
      </c>
      <c r="I16" s="370">
        <v>85</v>
      </c>
      <c r="J16" s="370">
        <v>16</v>
      </c>
      <c r="K16" s="370">
        <v>0</v>
      </c>
      <c r="L16" s="370">
        <v>14</v>
      </c>
      <c r="M16" s="370">
        <v>10</v>
      </c>
      <c r="N16" s="370">
        <v>3</v>
      </c>
      <c r="O16" s="370">
        <v>0</v>
      </c>
      <c r="P16" s="370">
        <v>0</v>
      </c>
      <c r="Q16" s="370">
        <v>97.137900000000002</v>
      </c>
      <c r="R16" s="370">
        <v>10</v>
      </c>
      <c r="S16" s="370">
        <v>8.6899999999999998E-4</v>
      </c>
      <c r="T16" s="370">
        <v>0</v>
      </c>
      <c r="U16" s="370">
        <v>130</v>
      </c>
      <c r="V16" s="370">
        <v>4</v>
      </c>
    </row>
    <row r="17" spans="1:22" ht="18.45">
      <c r="A17" s="1199"/>
      <c r="B17" s="186" t="s">
        <v>431</v>
      </c>
      <c r="C17" s="370"/>
      <c r="D17" s="370"/>
      <c r="E17" s="370"/>
      <c r="F17" s="370"/>
      <c r="G17" s="370"/>
      <c r="H17" s="370"/>
      <c r="I17" s="370"/>
      <c r="J17" s="370"/>
      <c r="K17" s="370"/>
      <c r="L17" s="370"/>
      <c r="M17" s="370"/>
      <c r="N17" s="370"/>
      <c r="O17" s="370"/>
      <c r="P17" s="370"/>
      <c r="Q17" s="370"/>
      <c r="R17" s="370"/>
      <c r="S17" s="370"/>
      <c r="T17" s="370"/>
      <c r="U17" s="370"/>
      <c r="V17" s="370"/>
    </row>
    <row r="18" spans="1:22" ht="18.45">
      <c r="A18" s="1199"/>
      <c r="B18" s="186" t="s">
        <v>417</v>
      </c>
      <c r="C18" s="370"/>
      <c r="D18" s="370"/>
      <c r="E18" s="370"/>
      <c r="F18" s="370"/>
      <c r="G18" s="370"/>
      <c r="H18" s="370"/>
      <c r="I18" s="370"/>
      <c r="J18" s="370"/>
      <c r="K18" s="370"/>
      <c r="L18" s="370"/>
      <c r="M18" s="370"/>
      <c r="N18" s="370"/>
      <c r="O18" s="370"/>
      <c r="P18" s="370"/>
      <c r="Q18" s="370"/>
      <c r="R18" s="370"/>
      <c r="S18" s="370"/>
      <c r="T18" s="370"/>
      <c r="U18" s="370"/>
      <c r="V18" s="370"/>
    </row>
    <row r="19" spans="1:22" ht="18.45">
      <c r="A19" s="1199"/>
      <c r="B19" s="186" t="s">
        <v>418</v>
      </c>
      <c r="C19" s="370">
        <v>140</v>
      </c>
      <c r="D19" s="370">
        <v>70</v>
      </c>
      <c r="E19" s="370">
        <v>8</v>
      </c>
      <c r="F19" s="370">
        <v>5</v>
      </c>
      <c r="G19" s="370">
        <v>0</v>
      </c>
      <c r="H19" s="370">
        <v>50</v>
      </c>
      <c r="I19" s="370">
        <v>85</v>
      </c>
      <c r="J19" s="370">
        <v>17</v>
      </c>
      <c r="K19" s="370">
        <v>0</v>
      </c>
      <c r="L19" s="370">
        <v>14</v>
      </c>
      <c r="M19" s="370">
        <v>11</v>
      </c>
      <c r="N19" s="370">
        <v>3</v>
      </c>
      <c r="O19" s="370">
        <v>0</v>
      </c>
      <c r="P19" s="370">
        <v>0</v>
      </c>
      <c r="Q19" s="370">
        <v>96</v>
      </c>
      <c r="R19" s="370">
        <v>8</v>
      </c>
      <c r="S19" s="370">
        <v>0</v>
      </c>
      <c r="T19" s="370">
        <v>0</v>
      </c>
      <c r="U19" s="370">
        <v>131</v>
      </c>
      <c r="V19" s="370">
        <v>2</v>
      </c>
    </row>
    <row r="20" spans="1:22" ht="18.45">
      <c r="A20" s="1199"/>
      <c r="B20" s="186" t="s">
        <v>360</v>
      </c>
      <c r="C20" s="370">
        <v>140</v>
      </c>
      <c r="D20" s="370">
        <v>70</v>
      </c>
      <c r="E20" s="370">
        <v>8</v>
      </c>
      <c r="F20" s="370">
        <v>5</v>
      </c>
      <c r="G20" s="370">
        <v>0</v>
      </c>
      <c r="H20" s="370">
        <v>50</v>
      </c>
      <c r="I20" s="370">
        <v>85</v>
      </c>
      <c r="J20" s="370">
        <v>16</v>
      </c>
      <c r="K20" s="370">
        <v>0</v>
      </c>
      <c r="L20" s="370">
        <v>14</v>
      </c>
      <c r="M20" s="370">
        <v>10</v>
      </c>
      <c r="N20" s="370">
        <v>3</v>
      </c>
      <c r="O20" s="370">
        <v>0</v>
      </c>
      <c r="P20" s="370">
        <v>0</v>
      </c>
      <c r="Q20" s="370">
        <v>97.718599999999995</v>
      </c>
      <c r="R20" s="370">
        <v>10</v>
      </c>
      <c r="S20" s="370">
        <v>2.5349999999999999E-3</v>
      </c>
      <c r="T20" s="370">
        <v>0</v>
      </c>
      <c r="U20" s="370">
        <v>135</v>
      </c>
      <c r="V20" s="370">
        <v>4</v>
      </c>
    </row>
    <row r="21" spans="1:22" ht="18.45">
      <c r="A21" s="1199"/>
      <c r="B21" s="186" t="s">
        <v>480</v>
      </c>
      <c r="C21" s="370">
        <v>130</v>
      </c>
      <c r="D21" s="370">
        <v>60</v>
      </c>
      <c r="E21" s="370">
        <v>7</v>
      </c>
      <c r="F21" s="370">
        <v>4</v>
      </c>
      <c r="G21" s="370">
        <v>0</v>
      </c>
      <c r="H21" s="370">
        <v>40</v>
      </c>
      <c r="I21" s="370">
        <v>70</v>
      </c>
      <c r="J21" s="370">
        <v>16</v>
      </c>
      <c r="K21" s="370">
        <v>0</v>
      </c>
      <c r="L21" s="370">
        <v>14</v>
      </c>
      <c r="M21" s="370">
        <v>10</v>
      </c>
      <c r="N21" s="370">
        <v>3</v>
      </c>
      <c r="O21" s="370">
        <v>0</v>
      </c>
      <c r="P21" s="370">
        <v>0</v>
      </c>
      <c r="Q21" s="370">
        <v>91</v>
      </c>
      <c r="R21" s="370">
        <v>8</v>
      </c>
      <c r="S21" s="370">
        <v>1</v>
      </c>
      <c r="T21" s="370">
        <v>6</v>
      </c>
      <c r="U21" s="370">
        <v>182</v>
      </c>
      <c r="V21" s="370">
        <v>4</v>
      </c>
    </row>
    <row r="22" spans="1:22" ht="18.45">
      <c r="A22" s="1199"/>
      <c r="B22" s="186" t="s">
        <v>117</v>
      </c>
      <c r="C22" s="371">
        <v>140</v>
      </c>
      <c r="D22" s="371">
        <v>70</v>
      </c>
      <c r="E22" s="371">
        <v>8</v>
      </c>
      <c r="F22" s="371">
        <v>5</v>
      </c>
      <c r="G22" s="371">
        <v>0</v>
      </c>
      <c r="H22" s="371">
        <v>50</v>
      </c>
      <c r="I22" s="371">
        <v>85</v>
      </c>
      <c r="J22" s="371">
        <v>17</v>
      </c>
      <c r="K22" s="371">
        <v>0</v>
      </c>
      <c r="L22" s="371">
        <v>14</v>
      </c>
      <c r="M22" s="371">
        <v>10</v>
      </c>
      <c r="N22" s="371">
        <v>3</v>
      </c>
      <c r="O22" s="371">
        <v>0</v>
      </c>
      <c r="P22" s="371">
        <v>0</v>
      </c>
      <c r="Q22" s="371">
        <v>96</v>
      </c>
      <c r="R22" s="371">
        <v>8</v>
      </c>
      <c r="S22" s="371">
        <v>0</v>
      </c>
      <c r="T22" s="371">
        <v>0</v>
      </c>
      <c r="U22" s="371">
        <v>130</v>
      </c>
      <c r="V22" s="371">
        <v>4</v>
      </c>
    </row>
    <row r="23" spans="1:22" ht="18.899999999999999" thickBot="1">
      <c r="A23" s="1199"/>
      <c r="B23" s="186" t="s">
        <v>66</v>
      </c>
      <c r="C23" s="371">
        <v>140</v>
      </c>
      <c r="D23" s="371">
        <v>70</v>
      </c>
      <c r="E23" s="371">
        <v>8</v>
      </c>
      <c r="F23" s="371">
        <v>5</v>
      </c>
      <c r="G23" s="371">
        <v>0</v>
      </c>
      <c r="H23" s="371">
        <v>50</v>
      </c>
      <c r="I23" s="371">
        <v>85</v>
      </c>
      <c r="J23" s="371">
        <v>16</v>
      </c>
      <c r="K23" s="371">
        <v>0</v>
      </c>
      <c r="L23" s="371">
        <v>14</v>
      </c>
      <c r="M23" s="371">
        <v>11</v>
      </c>
      <c r="N23" s="371">
        <v>3</v>
      </c>
      <c r="O23" s="371">
        <v>0</v>
      </c>
      <c r="P23" s="371">
        <v>0</v>
      </c>
      <c r="Q23" s="371">
        <v>96.909899999999993</v>
      </c>
      <c r="R23" s="371">
        <v>10</v>
      </c>
      <c r="S23" s="371">
        <v>5.0000000000000002E-5</v>
      </c>
      <c r="T23" s="371">
        <v>0</v>
      </c>
      <c r="U23" s="371">
        <v>130</v>
      </c>
      <c r="V23" s="371">
        <v>4</v>
      </c>
    </row>
    <row r="24" spans="1:22" ht="15.75" customHeight="1">
      <c r="A24" s="1245" t="s">
        <v>751</v>
      </c>
      <c r="B24" s="236" t="s">
        <v>573</v>
      </c>
      <c r="C24" s="370">
        <v>240</v>
      </c>
      <c r="D24" s="370">
        <v>110</v>
      </c>
      <c r="E24" s="370">
        <v>13</v>
      </c>
      <c r="F24" s="370">
        <v>8</v>
      </c>
      <c r="G24" s="370">
        <v>0</v>
      </c>
      <c r="H24" s="370">
        <v>75</v>
      </c>
      <c r="I24" s="370">
        <v>130</v>
      </c>
      <c r="J24" s="370">
        <v>28</v>
      </c>
      <c r="K24" s="370">
        <v>0</v>
      </c>
      <c r="L24" s="370">
        <v>26</v>
      </c>
      <c r="M24" s="370">
        <v>19</v>
      </c>
      <c r="N24" s="370">
        <v>5</v>
      </c>
      <c r="O24" s="370">
        <v>0</v>
      </c>
      <c r="P24" s="370">
        <v>0</v>
      </c>
      <c r="Q24" s="370">
        <v>165.845</v>
      </c>
      <c r="R24" s="370">
        <v>15</v>
      </c>
      <c r="S24" s="370">
        <v>1.3777900000000001</v>
      </c>
      <c r="T24" s="370">
        <v>8</v>
      </c>
      <c r="U24" s="370">
        <v>330</v>
      </c>
      <c r="V24" s="370">
        <v>9</v>
      </c>
    </row>
    <row r="25" spans="1:22" ht="18.45">
      <c r="A25" s="1246"/>
      <c r="B25" s="186" t="s">
        <v>574</v>
      </c>
      <c r="C25" s="370">
        <v>260</v>
      </c>
      <c r="D25" s="370">
        <v>130</v>
      </c>
      <c r="E25" s="370">
        <v>14</v>
      </c>
      <c r="F25" s="370">
        <v>9</v>
      </c>
      <c r="G25" s="370">
        <v>0</v>
      </c>
      <c r="H25" s="370">
        <v>95</v>
      </c>
      <c r="I25" s="370">
        <v>160</v>
      </c>
      <c r="J25" s="370">
        <v>28</v>
      </c>
      <c r="K25" s="370">
        <v>0</v>
      </c>
      <c r="L25" s="370">
        <v>24</v>
      </c>
      <c r="M25" s="370">
        <v>18</v>
      </c>
      <c r="N25" s="370">
        <v>5</v>
      </c>
      <c r="O25" s="370">
        <v>0</v>
      </c>
      <c r="P25" s="370">
        <v>0</v>
      </c>
      <c r="Q25" s="370">
        <v>178.602</v>
      </c>
      <c r="R25" s="370">
        <v>20</v>
      </c>
      <c r="S25" s="370">
        <v>0</v>
      </c>
      <c r="T25" s="370">
        <v>0</v>
      </c>
      <c r="U25" s="370">
        <v>240</v>
      </c>
      <c r="V25" s="370">
        <v>7</v>
      </c>
    </row>
    <row r="26" spans="1:22" ht="18.45">
      <c r="A26" s="1246"/>
      <c r="B26" s="186" t="s">
        <v>26</v>
      </c>
      <c r="C26" s="370">
        <v>260</v>
      </c>
      <c r="D26" s="370">
        <v>120</v>
      </c>
      <c r="E26" s="370">
        <v>13</v>
      </c>
      <c r="F26" s="370">
        <v>9</v>
      </c>
      <c r="G26" s="370">
        <v>0</v>
      </c>
      <c r="H26" s="370">
        <v>90</v>
      </c>
      <c r="I26" s="370">
        <v>160</v>
      </c>
      <c r="J26" s="370">
        <v>30</v>
      </c>
      <c r="K26" s="370">
        <v>0</v>
      </c>
      <c r="L26" s="370">
        <v>26</v>
      </c>
      <c r="M26" s="370">
        <v>20</v>
      </c>
      <c r="N26" s="370">
        <v>5</v>
      </c>
      <c r="O26" s="370">
        <v>0</v>
      </c>
      <c r="P26" s="370">
        <v>0</v>
      </c>
      <c r="Q26" s="370">
        <v>172</v>
      </c>
      <c r="R26" s="370">
        <v>15</v>
      </c>
      <c r="S26" s="370">
        <v>0</v>
      </c>
      <c r="T26" s="370">
        <v>0</v>
      </c>
      <c r="U26" s="370">
        <v>230</v>
      </c>
      <c r="V26" s="370">
        <v>7</v>
      </c>
    </row>
    <row r="27" spans="1:22" s="212" customFormat="1" ht="15" customHeight="1">
      <c r="A27" s="1246"/>
      <c r="B27" s="186" t="s">
        <v>356</v>
      </c>
      <c r="C27" s="370">
        <v>250</v>
      </c>
      <c r="D27" s="370">
        <v>120</v>
      </c>
      <c r="E27" s="370">
        <v>14</v>
      </c>
      <c r="F27" s="370">
        <v>9</v>
      </c>
      <c r="G27" s="370">
        <v>0</v>
      </c>
      <c r="H27" s="370">
        <v>95</v>
      </c>
      <c r="I27" s="370">
        <v>160</v>
      </c>
      <c r="J27" s="370">
        <v>28</v>
      </c>
      <c r="K27" s="370">
        <v>0</v>
      </c>
      <c r="L27" s="370">
        <v>24</v>
      </c>
      <c r="M27" s="370">
        <v>17</v>
      </c>
      <c r="N27" s="370">
        <v>5</v>
      </c>
      <c r="O27" s="370">
        <v>0</v>
      </c>
      <c r="P27" s="370">
        <v>0</v>
      </c>
      <c r="Q27" s="370">
        <v>174.83699999999999</v>
      </c>
      <c r="R27" s="370">
        <v>15</v>
      </c>
      <c r="S27" s="370">
        <v>2.627E-3</v>
      </c>
      <c r="T27" s="370">
        <v>0</v>
      </c>
      <c r="U27" s="370">
        <v>240</v>
      </c>
      <c r="V27" s="370">
        <v>7</v>
      </c>
    </row>
    <row r="28" spans="1:22" s="252" customFormat="1" ht="18.45">
      <c r="A28" s="1246"/>
      <c r="B28" s="186" t="s">
        <v>134</v>
      </c>
      <c r="C28" s="370">
        <v>260</v>
      </c>
      <c r="D28" s="370">
        <v>110</v>
      </c>
      <c r="E28" s="370">
        <v>13</v>
      </c>
      <c r="F28" s="370">
        <v>8</v>
      </c>
      <c r="G28" s="370">
        <v>0</v>
      </c>
      <c r="H28" s="370">
        <v>85</v>
      </c>
      <c r="I28" s="370">
        <v>150</v>
      </c>
      <c r="J28" s="370">
        <v>33</v>
      </c>
      <c r="K28" s="370">
        <v>0</v>
      </c>
      <c r="L28" s="370">
        <v>29</v>
      </c>
      <c r="M28" s="370">
        <v>23</v>
      </c>
      <c r="N28" s="370">
        <v>5</v>
      </c>
      <c r="O28" s="370">
        <v>0</v>
      </c>
      <c r="P28" s="370">
        <v>0</v>
      </c>
      <c r="Q28" s="370">
        <v>162</v>
      </c>
      <c r="R28" s="370">
        <v>10</v>
      </c>
      <c r="S28" s="370">
        <v>0</v>
      </c>
      <c r="T28" s="370">
        <v>0</v>
      </c>
      <c r="U28" s="370">
        <v>219</v>
      </c>
      <c r="V28" s="370">
        <v>4</v>
      </c>
    </row>
    <row r="29" spans="1:22" s="252" customFormat="1" ht="18.45">
      <c r="A29" s="1246"/>
      <c r="B29" s="186" t="s">
        <v>373</v>
      </c>
      <c r="C29" s="370">
        <v>250</v>
      </c>
      <c r="D29" s="370">
        <v>120</v>
      </c>
      <c r="E29" s="370">
        <v>14</v>
      </c>
      <c r="F29" s="370">
        <v>9</v>
      </c>
      <c r="G29" s="370">
        <v>0</v>
      </c>
      <c r="H29" s="370">
        <v>95</v>
      </c>
      <c r="I29" s="370">
        <v>160</v>
      </c>
      <c r="J29" s="370">
        <v>29</v>
      </c>
      <c r="K29" s="370">
        <v>0</v>
      </c>
      <c r="L29" s="370">
        <v>25</v>
      </c>
      <c r="M29" s="370">
        <v>18</v>
      </c>
      <c r="N29" s="370">
        <v>5</v>
      </c>
      <c r="O29" s="370">
        <v>0</v>
      </c>
      <c r="P29" s="370">
        <v>0</v>
      </c>
      <c r="Q29" s="370">
        <v>175</v>
      </c>
      <c r="R29" s="370">
        <v>15</v>
      </c>
      <c r="S29" s="370">
        <v>0</v>
      </c>
      <c r="T29" s="370">
        <v>0</v>
      </c>
      <c r="U29" s="370">
        <v>238</v>
      </c>
      <c r="V29" s="370">
        <v>6</v>
      </c>
    </row>
    <row r="30" spans="1:22" s="252" customFormat="1" ht="18.45">
      <c r="A30" s="1246"/>
      <c r="B30" s="186" t="s">
        <v>98</v>
      </c>
      <c r="C30" s="370">
        <v>250</v>
      </c>
      <c r="D30" s="370">
        <v>120</v>
      </c>
      <c r="E30" s="370">
        <v>14</v>
      </c>
      <c r="F30" s="370">
        <v>9</v>
      </c>
      <c r="G30" s="370">
        <v>0</v>
      </c>
      <c r="H30" s="370">
        <v>95</v>
      </c>
      <c r="I30" s="370">
        <v>160</v>
      </c>
      <c r="J30" s="370">
        <v>28</v>
      </c>
      <c r="K30" s="370">
        <v>0</v>
      </c>
      <c r="L30" s="370">
        <v>24</v>
      </c>
      <c r="M30" s="370">
        <v>17</v>
      </c>
      <c r="N30" s="370">
        <v>5</v>
      </c>
      <c r="O30" s="370">
        <v>0</v>
      </c>
      <c r="P30" s="370">
        <v>0</v>
      </c>
      <c r="Q30" s="370">
        <v>174.83699999999999</v>
      </c>
      <c r="R30" s="370">
        <v>15</v>
      </c>
      <c r="S30" s="370">
        <v>2.627E-3</v>
      </c>
      <c r="T30" s="370">
        <v>0</v>
      </c>
      <c r="U30" s="370">
        <v>240</v>
      </c>
      <c r="V30" s="370">
        <v>7</v>
      </c>
    </row>
    <row r="31" spans="1:22" s="252" customFormat="1" ht="18.45">
      <c r="A31" s="1246"/>
      <c r="B31" s="186" t="s">
        <v>399</v>
      </c>
      <c r="C31" s="370"/>
      <c r="D31" s="370"/>
      <c r="E31" s="370"/>
      <c r="F31" s="370"/>
      <c r="G31" s="370"/>
      <c r="H31" s="370"/>
      <c r="I31" s="370"/>
      <c r="J31" s="370"/>
      <c r="K31" s="370"/>
      <c r="L31" s="370"/>
      <c r="M31" s="370"/>
      <c r="N31" s="370"/>
      <c r="O31" s="370"/>
      <c r="P31" s="370"/>
      <c r="Q31" s="370"/>
      <c r="R31" s="370"/>
      <c r="S31" s="370"/>
      <c r="T31" s="370"/>
      <c r="U31" s="370"/>
      <c r="V31" s="370"/>
    </row>
    <row r="32" spans="1:22" s="252" customFormat="1" ht="18.45">
      <c r="A32" s="1246"/>
      <c r="B32" s="186" t="s">
        <v>397</v>
      </c>
      <c r="C32" s="370"/>
      <c r="D32" s="370"/>
      <c r="E32" s="370"/>
      <c r="F32" s="370"/>
      <c r="G32" s="370"/>
      <c r="H32" s="370"/>
      <c r="I32" s="370"/>
      <c r="J32" s="370"/>
      <c r="K32" s="370"/>
      <c r="L32" s="370"/>
      <c r="M32" s="370"/>
      <c r="N32" s="370"/>
      <c r="O32" s="370"/>
      <c r="P32" s="370"/>
      <c r="Q32" s="370"/>
      <c r="R32" s="370"/>
      <c r="S32" s="370"/>
      <c r="T32" s="370"/>
      <c r="U32" s="370"/>
      <c r="V32" s="370"/>
    </row>
    <row r="33" spans="1:22" s="252" customFormat="1" ht="18.45">
      <c r="A33" s="1246"/>
      <c r="B33" s="186" t="s">
        <v>136</v>
      </c>
      <c r="C33" s="370">
        <v>250</v>
      </c>
      <c r="D33" s="370">
        <v>120</v>
      </c>
      <c r="E33" s="370">
        <v>14</v>
      </c>
      <c r="F33" s="370">
        <v>9</v>
      </c>
      <c r="G33" s="370">
        <v>0</v>
      </c>
      <c r="H33" s="370">
        <v>95</v>
      </c>
      <c r="I33" s="370">
        <v>170</v>
      </c>
      <c r="J33" s="370">
        <v>28</v>
      </c>
      <c r="K33" s="370">
        <v>0</v>
      </c>
      <c r="L33" s="370">
        <v>24</v>
      </c>
      <c r="M33" s="370">
        <v>18</v>
      </c>
      <c r="N33" s="370">
        <v>5</v>
      </c>
      <c r="O33" s="370">
        <v>0</v>
      </c>
      <c r="P33" s="370">
        <v>0</v>
      </c>
      <c r="Q33" s="370">
        <v>177.14400000000001</v>
      </c>
      <c r="R33" s="370">
        <v>20</v>
      </c>
      <c r="S33" s="370">
        <v>2.4760000000000001E-2</v>
      </c>
      <c r="T33" s="370">
        <v>0</v>
      </c>
      <c r="U33" s="370">
        <v>240</v>
      </c>
      <c r="V33" s="370">
        <v>7</v>
      </c>
    </row>
    <row r="34" spans="1:22" s="252" customFormat="1" ht="18.45">
      <c r="A34" s="1246"/>
      <c r="B34" s="186" t="s">
        <v>36</v>
      </c>
      <c r="C34" s="370">
        <v>260</v>
      </c>
      <c r="D34" s="370">
        <v>120</v>
      </c>
      <c r="E34" s="370">
        <v>14</v>
      </c>
      <c r="F34" s="370">
        <v>9</v>
      </c>
      <c r="G34" s="370">
        <v>0</v>
      </c>
      <c r="H34" s="370">
        <v>90</v>
      </c>
      <c r="I34" s="370">
        <v>150</v>
      </c>
      <c r="J34" s="370">
        <v>30</v>
      </c>
      <c r="K34" s="370">
        <v>0</v>
      </c>
      <c r="L34" s="370">
        <v>26</v>
      </c>
      <c r="M34" s="370">
        <v>20</v>
      </c>
      <c r="N34" s="370">
        <v>5</v>
      </c>
      <c r="O34" s="370">
        <v>0</v>
      </c>
      <c r="P34" s="370">
        <v>0</v>
      </c>
      <c r="Q34" s="370">
        <v>172.21799999999999</v>
      </c>
      <c r="R34" s="370">
        <v>15</v>
      </c>
      <c r="S34" s="370">
        <v>3.5385E-2</v>
      </c>
      <c r="T34" s="370">
        <v>0</v>
      </c>
      <c r="U34" s="370">
        <v>230</v>
      </c>
      <c r="V34" s="370">
        <v>7</v>
      </c>
    </row>
    <row r="35" spans="1:22" s="252" customFormat="1" ht="18.45">
      <c r="A35" s="1246"/>
      <c r="B35" s="186" t="s">
        <v>137</v>
      </c>
      <c r="C35" s="370">
        <v>250</v>
      </c>
      <c r="D35" s="370">
        <v>120</v>
      </c>
      <c r="E35" s="370">
        <v>14</v>
      </c>
      <c r="F35" s="370">
        <v>9</v>
      </c>
      <c r="G35" s="370">
        <v>0</v>
      </c>
      <c r="H35" s="370">
        <v>95</v>
      </c>
      <c r="I35" s="370">
        <v>160</v>
      </c>
      <c r="J35" s="370">
        <v>28</v>
      </c>
      <c r="K35" s="370">
        <v>0</v>
      </c>
      <c r="L35" s="370">
        <v>24</v>
      </c>
      <c r="M35" s="370">
        <v>18</v>
      </c>
      <c r="N35" s="370">
        <v>5</v>
      </c>
      <c r="O35" s="370">
        <v>0</v>
      </c>
      <c r="P35" s="370">
        <v>0</v>
      </c>
      <c r="Q35" s="370">
        <v>175.81700000000001</v>
      </c>
      <c r="R35" s="370">
        <v>20</v>
      </c>
      <c r="S35" s="370">
        <v>8.3000000000000001E-4</v>
      </c>
      <c r="T35" s="370">
        <v>0</v>
      </c>
      <c r="U35" s="370">
        <v>240</v>
      </c>
      <c r="V35" s="370">
        <v>7</v>
      </c>
    </row>
    <row r="36" spans="1:22" s="252" customFormat="1" ht="18.45">
      <c r="A36" s="1246"/>
      <c r="B36" s="186" t="s">
        <v>416</v>
      </c>
      <c r="C36" s="370">
        <v>260</v>
      </c>
      <c r="D36" s="370">
        <v>120</v>
      </c>
      <c r="E36" s="370">
        <v>14</v>
      </c>
      <c r="F36" s="370">
        <v>9</v>
      </c>
      <c r="G36" s="370">
        <v>0</v>
      </c>
      <c r="H36" s="370">
        <v>95</v>
      </c>
      <c r="I36" s="370">
        <v>160</v>
      </c>
      <c r="J36" s="370">
        <v>29</v>
      </c>
      <c r="K36" s="370">
        <v>0</v>
      </c>
      <c r="L36" s="370">
        <v>25</v>
      </c>
      <c r="M36" s="370">
        <v>19</v>
      </c>
      <c r="N36" s="370">
        <v>5</v>
      </c>
      <c r="O36" s="370">
        <v>0</v>
      </c>
      <c r="P36" s="370">
        <v>0</v>
      </c>
      <c r="Q36" s="370">
        <v>174.84800000000001</v>
      </c>
      <c r="R36" s="370">
        <v>15</v>
      </c>
      <c r="S36" s="370">
        <v>1.5640000000000001E-3</v>
      </c>
      <c r="T36" s="370">
        <v>0</v>
      </c>
      <c r="U36" s="370">
        <v>240</v>
      </c>
      <c r="V36" s="370">
        <v>7</v>
      </c>
    </row>
    <row r="37" spans="1:22" s="252" customFormat="1" ht="18.45">
      <c r="A37" s="1246"/>
      <c r="B37" s="186" t="s">
        <v>431</v>
      </c>
      <c r="C37" s="370"/>
      <c r="D37" s="370"/>
      <c r="E37" s="370"/>
      <c r="F37" s="370"/>
      <c r="G37" s="370"/>
      <c r="H37" s="370"/>
      <c r="I37" s="370"/>
      <c r="J37" s="370"/>
      <c r="K37" s="370"/>
      <c r="L37" s="370"/>
      <c r="M37" s="370"/>
      <c r="N37" s="370"/>
      <c r="O37" s="370"/>
      <c r="P37" s="370"/>
      <c r="Q37" s="370"/>
      <c r="R37" s="370"/>
      <c r="S37" s="370"/>
      <c r="T37" s="370"/>
      <c r="U37" s="370"/>
      <c r="V37" s="370"/>
    </row>
    <row r="38" spans="1:22" s="252" customFormat="1" ht="18.45">
      <c r="A38" s="1246"/>
      <c r="B38" s="186" t="s">
        <v>417</v>
      </c>
      <c r="C38" s="370">
        <v>260</v>
      </c>
      <c r="D38" s="370">
        <v>120</v>
      </c>
      <c r="E38" s="370">
        <v>14</v>
      </c>
      <c r="F38" s="370">
        <v>9</v>
      </c>
      <c r="G38" s="370">
        <v>0</v>
      </c>
      <c r="H38" s="370">
        <v>95</v>
      </c>
      <c r="I38" s="370">
        <v>160</v>
      </c>
      <c r="J38" s="370">
        <v>29</v>
      </c>
      <c r="K38" s="370">
        <v>0</v>
      </c>
      <c r="L38" s="370">
        <v>25</v>
      </c>
      <c r="M38" s="370">
        <v>18</v>
      </c>
      <c r="N38" s="370">
        <v>5</v>
      </c>
      <c r="O38" s="370">
        <v>0</v>
      </c>
      <c r="P38" s="370">
        <v>0</v>
      </c>
      <c r="Q38" s="370">
        <v>176.17599999999999</v>
      </c>
      <c r="R38" s="370">
        <v>20</v>
      </c>
      <c r="S38" s="370">
        <v>3.4999999999999997E-5</v>
      </c>
      <c r="T38" s="370">
        <v>0</v>
      </c>
      <c r="U38" s="370">
        <v>240</v>
      </c>
      <c r="V38" s="370">
        <v>7</v>
      </c>
    </row>
    <row r="39" spans="1:22" s="252" customFormat="1" ht="18.45">
      <c r="A39" s="1246"/>
      <c r="B39" s="186" t="s">
        <v>418</v>
      </c>
      <c r="C39" s="370">
        <v>260</v>
      </c>
      <c r="D39" s="370">
        <v>120</v>
      </c>
      <c r="E39" s="370">
        <v>14</v>
      </c>
      <c r="F39" s="370">
        <v>9</v>
      </c>
      <c r="G39" s="370">
        <v>0</v>
      </c>
      <c r="H39" s="370">
        <v>95</v>
      </c>
      <c r="I39" s="370">
        <v>160</v>
      </c>
      <c r="J39" s="370">
        <v>30</v>
      </c>
      <c r="K39" s="370">
        <v>0</v>
      </c>
      <c r="L39" s="370">
        <v>26</v>
      </c>
      <c r="M39" s="370">
        <v>20</v>
      </c>
      <c r="N39" s="370">
        <v>5</v>
      </c>
      <c r="O39" s="370">
        <v>0</v>
      </c>
      <c r="P39" s="370">
        <v>0</v>
      </c>
      <c r="Q39" s="370">
        <v>172.84800000000001</v>
      </c>
      <c r="R39" s="370">
        <v>15</v>
      </c>
      <c r="S39" s="370">
        <v>4.7590000000000002E-3</v>
      </c>
      <c r="T39" s="370">
        <v>0</v>
      </c>
      <c r="U39" s="370">
        <v>240</v>
      </c>
      <c r="V39" s="370">
        <v>7</v>
      </c>
    </row>
    <row r="40" spans="1:22" s="252" customFormat="1" ht="18.45">
      <c r="A40" s="1246"/>
      <c r="B40" s="186" t="s">
        <v>360</v>
      </c>
      <c r="C40" s="370">
        <v>260</v>
      </c>
      <c r="D40" s="370">
        <v>120</v>
      </c>
      <c r="E40" s="370">
        <v>14</v>
      </c>
      <c r="F40" s="370">
        <v>9</v>
      </c>
      <c r="G40" s="370">
        <v>0</v>
      </c>
      <c r="H40" s="370">
        <v>95</v>
      </c>
      <c r="I40" s="370">
        <v>160</v>
      </c>
      <c r="J40" s="370">
        <v>29</v>
      </c>
      <c r="K40" s="370">
        <v>0</v>
      </c>
      <c r="L40" s="370">
        <v>25</v>
      </c>
      <c r="M40" s="370">
        <v>18</v>
      </c>
      <c r="N40" s="370">
        <v>5</v>
      </c>
      <c r="O40" s="370">
        <v>0</v>
      </c>
      <c r="P40" s="370">
        <v>0</v>
      </c>
      <c r="Q40" s="370">
        <v>175.89400000000001</v>
      </c>
      <c r="R40" s="370">
        <v>20</v>
      </c>
      <c r="S40" s="370">
        <v>4.5620000000000001E-3</v>
      </c>
      <c r="T40" s="370">
        <v>0</v>
      </c>
      <c r="U40" s="370">
        <v>240</v>
      </c>
      <c r="V40" s="370">
        <v>7</v>
      </c>
    </row>
    <row r="41" spans="1:22" s="252" customFormat="1" ht="18.45">
      <c r="A41" s="1246"/>
      <c r="B41" s="186" t="s">
        <v>480</v>
      </c>
      <c r="C41" s="370">
        <v>240</v>
      </c>
      <c r="D41" s="370">
        <v>110</v>
      </c>
      <c r="E41" s="370">
        <v>13</v>
      </c>
      <c r="F41" s="370">
        <v>8</v>
      </c>
      <c r="G41" s="370">
        <v>0</v>
      </c>
      <c r="H41" s="370">
        <v>75</v>
      </c>
      <c r="I41" s="370">
        <v>125</v>
      </c>
      <c r="J41" s="370">
        <v>29</v>
      </c>
      <c r="K41" s="370">
        <v>0</v>
      </c>
      <c r="L41" s="370">
        <v>26</v>
      </c>
      <c r="M41" s="370">
        <v>19</v>
      </c>
      <c r="N41" s="370">
        <v>5</v>
      </c>
      <c r="O41" s="370">
        <v>0</v>
      </c>
      <c r="P41" s="370">
        <v>0</v>
      </c>
      <c r="Q41" s="370">
        <v>164</v>
      </c>
      <c r="R41" s="370">
        <v>15</v>
      </c>
      <c r="S41" s="370">
        <v>1.3777900000000001</v>
      </c>
      <c r="T41" s="370">
        <v>6</v>
      </c>
      <c r="U41" s="370">
        <v>327</v>
      </c>
      <c r="V41" s="370">
        <v>6</v>
      </c>
    </row>
    <row r="42" spans="1:22" s="252" customFormat="1" ht="18.45">
      <c r="A42" s="1246"/>
      <c r="B42" s="186" t="s">
        <v>117</v>
      </c>
      <c r="C42" s="370">
        <v>260</v>
      </c>
      <c r="D42" s="370">
        <v>120</v>
      </c>
      <c r="E42" s="370">
        <v>14</v>
      </c>
      <c r="F42" s="370">
        <v>9</v>
      </c>
      <c r="G42" s="370">
        <v>0</v>
      </c>
      <c r="H42" s="370">
        <v>95</v>
      </c>
      <c r="I42" s="370">
        <v>160</v>
      </c>
      <c r="J42" s="370">
        <v>29</v>
      </c>
      <c r="K42" s="370">
        <v>0</v>
      </c>
      <c r="L42" s="370">
        <v>25</v>
      </c>
      <c r="M42" s="370">
        <v>18</v>
      </c>
      <c r="N42" s="370">
        <v>5</v>
      </c>
      <c r="O42" s="370">
        <v>0</v>
      </c>
      <c r="P42" s="370">
        <v>0</v>
      </c>
      <c r="Q42" s="370">
        <v>172</v>
      </c>
      <c r="R42" s="370">
        <v>15</v>
      </c>
      <c r="S42" s="370">
        <v>0</v>
      </c>
      <c r="T42" s="370">
        <v>0</v>
      </c>
      <c r="U42" s="370">
        <v>234</v>
      </c>
      <c r="V42" s="370">
        <v>4</v>
      </c>
    </row>
    <row r="43" spans="1:22" s="212" customFormat="1" ht="18.45">
      <c r="A43" s="1246"/>
      <c r="B43" s="186" t="s">
        <v>66</v>
      </c>
      <c r="C43" s="370">
        <v>260</v>
      </c>
      <c r="D43" s="370">
        <v>120</v>
      </c>
      <c r="E43" s="370">
        <v>14</v>
      </c>
      <c r="F43" s="370">
        <v>9</v>
      </c>
      <c r="G43" s="370">
        <v>0</v>
      </c>
      <c r="H43" s="370">
        <v>95</v>
      </c>
      <c r="I43" s="370">
        <v>160</v>
      </c>
      <c r="J43" s="370">
        <v>29</v>
      </c>
      <c r="K43" s="370">
        <v>0</v>
      </c>
      <c r="L43" s="370">
        <v>25</v>
      </c>
      <c r="M43" s="370">
        <v>19</v>
      </c>
      <c r="N43" s="370">
        <v>5</v>
      </c>
      <c r="O43" s="370">
        <v>0</v>
      </c>
      <c r="P43" s="370">
        <v>0</v>
      </c>
      <c r="Q43" s="370">
        <v>174.43799999999999</v>
      </c>
      <c r="R43" s="370">
        <v>15</v>
      </c>
      <c r="S43" s="370">
        <v>9.0000000000000006E-5</v>
      </c>
      <c r="T43" s="370">
        <v>0</v>
      </c>
      <c r="U43" s="370">
        <v>240</v>
      </c>
      <c r="V43" s="370">
        <v>7</v>
      </c>
    </row>
    <row r="44" spans="1:22" ht="15" customHeight="1">
      <c r="A44" s="1417" t="s">
        <v>576</v>
      </c>
      <c r="B44" s="311" t="s">
        <v>573</v>
      </c>
      <c r="C44" s="372">
        <v>310</v>
      </c>
      <c r="D44" s="372">
        <v>150</v>
      </c>
      <c r="E44" s="372">
        <v>16</v>
      </c>
      <c r="F44" s="372">
        <v>10</v>
      </c>
      <c r="G44" s="372">
        <v>0</v>
      </c>
      <c r="H44" s="372">
        <v>100</v>
      </c>
      <c r="I44" s="372">
        <v>160</v>
      </c>
      <c r="J44" s="372">
        <v>36</v>
      </c>
      <c r="K44" s="372">
        <v>0</v>
      </c>
      <c r="L44" s="372">
        <v>33</v>
      </c>
      <c r="M44" s="372">
        <v>24</v>
      </c>
      <c r="N44" s="372">
        <v>7</v>
      </c>
      <c r="O44" s="372">
        <v>0</v>
      </c>
      <c r="P44" s="372">
        <v>0</v>
      </c>
      <c r="Q44" s="372">
        <v>211.91300000000001</v>
      </c>
      <c r="R44" s="372">
        <v>20</v>
      </c>
      <c r="S44" s="372">
        <v>1.76051</v>
      </c>
      <c r="T44" s="372">
        <v>10</v>
      </c>
      <c r="U44" s="372">
        <v>420</v>
      </c>
      <c r="V44" s="372">
        <v>12</v>
      </c>
    </row>
    <row r="45" spans="1:22" ht="18.45">
      <c r="A45" s="1339"/>
      <c r="B45" s="186" t="s">
        <v>574</v>
      </c>
      <c r="C45" s="372">
        <v>330</v>
      </c>
      <c r="D45" s="372">
        <v>160</v>
      </c>
      <c r="E45" s="372">
        <v>18</v>
      </c>
      <c r="F45" s="372">
        <v>11</v>
      </c>
      <c r="G45" s="372">
        <v>0</v>
      </c>
      <c r="H45" s="372">
        <v>120</v>
      </c>
      <c r="I45" s="372">
        <v>200</v>
      </c>
      <c r="J45" s="372">
        <v>36</v>
      </c>
      <c r="K45" s="372">
        <v>0</v>
      </c>
      <c r="L45" s="372">
        <v>31</v>
      </c>
      <c r="M45" s="372">
        <v>23</v>
      </c>
      <c r="N45" s="372">
        <v>7</v>
      </c>
      <c r="O45" s="372">
        <v>0</v>
      </c>
      <c r="P45" s="372">
        <v>0</v>
      </c>
      <c r="Q45" s="372">
        <v>228.214</v>
      </c>
      <c r="R45" s="372">
        <v>25</v>
      </c>
      <c r="S45" s="372">
        <v>0</v>
      </c>
      <c r="T45" s="372">
        <v>0</v>
      </c>
      <c r="U45" s="372">
        <v>310</v>
      </c>
      <c r="V45" s="372">
        <v>9</v>
      </c>
    </row>
    <row r="46" spans="1:22" ht="18.45">
      <c r="A46" s="1339"/>
      <c r="B46" s="186" t="s">
        <v>26</v>
      </c>
      <c r="C46" s="372">
        <v>330</v>
      </c>
      <c r="D46" s="372">
        <v>160</v>
      </c>
      <c r="E46" s="372">
        <v>18</v>
      </c>
      <c r="F46" s="372">
        <v>11</v>
      </c>
      <c r="G46" s="372">
        <v>0</v>
      </c>
      <c r="H46" s="372">
        <v>120</v>
      </c>
      <c r="I46" s="372">
        <v>200</v>
      </c>
      <c r="J46" s="372">
        <v>36</v>
      </c>
      <c r="K46" s="372">
        <v>0</v>
      </c>
      <c r="L46" s="372">
        <v>31</v>
      </c>
      <c r="M46" s="372">
        <v>23</v>
      </c>
      <c r="N46" s="372">
        <v>7</v>
      </c>
      <c r="O46" s="372">
        <v>0</v>
      </c>
      <c r="P46" s="372">
        <v>0</v>
      </c>
      <c r="Q46" s="372">
        <v>228</v>
      </c>
      <c r="R46" s="372">
        <v>25</v>
      </c>
      <c r="S46" s="372">
        <v>0</v>
      </c>
      <c r="T46" s="372">
        <v>0</v>
      </c>
      <c r="U46" s="372">
        <v>310</v>
      </c>
      <c r="V46" s="372">
        <v>9</v>
      </c>
    </row>
    <row r="47" spans="1:22" ht="18.45">
      <c r="A47" s="1339"/>
      <c r="B47" s="186" t="s">
        <v>356</v>
      </c>
      <c r="C47" s="372">
        <v>320</v>
      </c>
      <c r="D47" s="372">
        <v>160</v>
      </c>
      <c r="E47" s="372">
        <v>18</v>
      </c>
      <c r="F47" s="372">
        <v>11</v>
      </c>
      <c r="G47" s="372">
        <v>0</v>
      </c>
      <c r="H47" s="372">
        <v>120</v>
      </c>
      <c r="I47" s="372">
        <v>200</v>
      </c>
      <c r="J47" s="372">
        <v>36</v>
      </c>
      <c r="K47" s="372">
        <v>0</v>
      </c>
      <c r="L47" s="372">
        <v>30</v>
      </c>
      <c r="M47" s="372">
        <v>22</v>
      </c>
      <c r="N47" s="372">
        <v>6</v>
      </c>
      <c r="O47" s="372">
        <v>0</v>
      </c>
      <c r="P47" s="372">
        <v>0</v>
      </c>
      <c r="Q47" s="372">
        <v>223.40299999999999</v>
      </c>
      <c r="R47" s="372">
        <v>20</v>
      </c>
      <c r="S47" s="372">
        <v>3.3570000000000002E-3</v>
      </c>
      <c r="T47" s="372">
        <v>0</v>
      </c>
      <c r="U47" s="372">
        <v>300</v>
      </c>
      <c r="V47" s="372">
        <v>9</v>
      </c>
    </row>
    <row r="48" spans="1:22" ht="18.45">
      <c r="A48" s="1339"/>
      <c r="B48" s="186" t="s">
        <v>134</v>
      </c>
      <c r="C48" s="372">
        <v>340</v>
      </c>
      <c r="D48" s="372">
        <v>150</v>
      </c>
      <c r="E48" s="372">
        <v>16</v>
      </c>
      <c r="F48" s="372">
        <v>10</v>
      </c>
      <c r="G48" s="372">
        <v>0</v>
      </c>
      <c r="H48" s="372">
        <v>110</v>
      </c>
      <c r="I48" s="372">
        <v>190</v>
      </c>
      <c r="J48" s="372">
        <v>42</v>
      </c>
      <c r="K48" s="372">
        <v>0</v>
      </c>
      <c r="L48" s="372">
        <v>37</v>
      </c>
      <c r="M48" s="372">
        <v>29</v>
      </c>
      <c r="N48" s="372">
        <v>6</v>
      </c>
      <c r="O48" s="372">
        <v>0</v>
      </c>
      <c r="P48" s="372">
        <v>0</v>
      </c>
      <c r="Q48" s="372">
        <v>206</v>
      </c>
      <c r="R48" s="372">
        <v>15</v>
      </c>
      <c r="S48" s="372">
        <v>0</v>
      </c>
      <c r="T48" s="372">
        <v>0</v>
      </c>
      <c r="U48" s="372">
        <v>280</v>
      </c>
      <c r="V48" s="372">
        <v>6</v>
      </c>
    </row>
    <row r="49" spans="1:22" ht="18.45">
      <c r="A49" s="1339"/>
      <c r="B49" s="186" t="s">
        <v>373</v>
      </c>
      <c r="C49" s="372">
        <v>330</v>
      </c>
      <c r="D49" s="372">
        <v>160</v>
      </c>
      <c r="E49" s="372">
        <v>18</v>
      </c>
      <c r="F49" s="372">
        <v>11</v>
      </c>
      <c r="G49" s="372">
        <v>0</v>
      </c>
      <c r="H49" s="372">
        <v>120</v>
      </c>
      <c r="I49" s="372">
        <v>200</v>
      </c>
      <c r="J49" s="372">
        <v>37</v>
      </c>
      <c r="K49" s="372">
        <v>0</v>
      </c>
      <c r="L49" s="372">
        <v>31</v>
      </c>
      <c r="M49" s="372">
        <v>22</v>
      </c>
      <c r="N49" s="372">
        <v>6</v>
      </c>
      <c r="O49" s="372">
        <v>0</v>
      </c>
      <c r="P49" s="372">
        <v>0</v>
      </c>
      <c r="Q49" s="372">
        <v>224</v>
      </c>
      <c r="R49" s="372">
        <v>15</v>
      </c>
      <c r="S49" s="372">
        <v>0</v>
      </c>
      <c r="T49" s="372">
        <v>0</v>
      </c>
      <c r="U49" s="372">
        <v>304</v>
      </c>
      <c r="V49" s="372">
        <v>6</v>
      </c>
    </row>
    <row r="50" spans="1:22" ht="18.45">
      <c r="A50" s="1339"/>
      <c r="B50" s="186" t="s">
        <v>98</v>
      </c>
      <c r="C50" s="372">
        <v>320</v>
      </c>
      <c r="D50" s="372">
        <v>160</v>
      </c>
      <c r="E50" s="372">
        <v>18</v>
      </c>
      <c r="F50" s="372">
        <v>11</v>
      </c>
      <c r="G50" s="372">
        <v>0</v>
      </c>
      <c r="H50" s="372">
        <v>120</v>
      </c>
      <c r="I50" s="372">
        <v>200</v>
      </c>
      <c r="J50" s="372">
        <v>36</v>
      </c>
      <c r="K50" s="372">
        <v>0</v>
      </c>
      <c r="L50" s="372">
        <v>30</v>
      </c>
      <c r="M50" s="372">
        <v>22</v>
      </c>
      <c r="N50" s="372">
        <v>6</v>
      </c>
      <c r="O50" s="372">
        <v>0</v>
      </c>
      <c r="P50" s="372">
        <v>0</v>
      </c>
      <c r="Q50" s="372">
        <v>223.40299999999999</v>
      </c>
      <c r="R50" s="372">
        <v>20</v>
      </c>
      <c r="S50" s="372">
        <v>3.3570000000000002E-3</v>
      </c>
      <c r="T50" s="372">
        <v>0</v>
      </c>
      <c r="U50" s="372">
        <v>300</v>
      </c>
      <c r="V50" s="372">
        <v>9</v>
      </c>
    </row>
    <row r="51" spans="1:22" ht="18.45">
      <c r="A51" s="1339"/>
      <c r="B51" s="186" t="s">
        <v>399</v>
      </c>
      <c r="C51" s="372"/>
      <c r="D51" s="372"/>
      <c r="E51" s="372"/>
      <c r="F51" s="372"/>
      <c r="G51" s="372"/>
      <c r="H51" s="372"/>
      <c r="I51" s="372"/>
      <c r="J51" s="372"/>
      <c r="K51" s="372"/>
      <c r="L51" s="372"/>
      <c r="M51" s="372"/>
      <c r="N51" s="372"/>
      <c r="O51" s="372"/>
      <c r="P51" s="372"/>
      <c r="Q51" s="372"/>
      <c r="R51" s="372"/>
      <c r="S51" s="372"/>
      <c r="T51" s="372"/>
      <c r="U51" s="372"/>
      <c r="V51" s="372"/>
    </row>
    <row r="52" spans="1:22" ht="18.45">
      <c r="A52" s="1339"/>
      <c r="B52" s="186" t="s">
        <v>750</v>
      </c>
      <c r="C52" s="372"/>
      <c r="D52" s="372"/>
      <c r="E52" s="372"/>
      <c r="F52" s="372"/>
      <c r="G52" s="372"/>
      <c r="H52" s="372"/>
      <c r="I52" s="372"/>
      <c r="J52" s="372"/>
      <c r="K52" s="372"/>
      <c r="L52" s="372"/>
      <c r="M52" s="372"/>
      <c r="N52" s="372"/>
      <c r="O52" s="372"/>
      <c r="P52" s="372"/>
      <c r="Q52" s="372"/>
      <c r="R52" s="372"/>
      <c r="S52" s="372"/>
      <c r="T52" s="372"/>
      <c r="U52" s="372"/>
      <c r="V52" s="372"/>
    </row>
    <row r="53" spans="1:22" ht="18.45">
      <c r="A53" s="1339"/>
      <c r="B53" s="186" t="s">
        <v>136</v>
      </c>
      <c r="C53" s="372">
        <v>320</v>
      </c>
      <c r="D53" s="372">
        <v>160</v>
      </c>
      <c r="E53" s="372">
        <v>18</v>
      </c>
      <c r="F53" s="372">
        <v>11</v>
      </c>
      <c r="G53" s="372">
        <v>0</v>
      </c>
      <c r="H53" s="372">
        <v>120</v>
      </c>
      <c r="I53" s="372">
        <v>210</v>
      </c>
      <c r="J53" s="372">
        <v>36</v>
      </c>
      <c r="K53" s="372">
        <v>0</v>
      </c>
      <c r="L53" s="372">
        <v>31</v>
      </c>
      <c r="M53" s="372">
        <v>23</v>
      </c>
      <c r="N53" s="372">
        <v>7</v>
      </c>
      <c r="O53" s="372">
        <v>0</v>
      </c>
      <c r="P53" s="372">
        <v>0</v>
      </c>
      <c r="Q53" s="372">
        <v>226.35</v>
      </c>
      <c r="R53" s="372">
        <v>25</v>
      </c>
      <c r="S53" s="372">
        <v>3.1636999999999998E-2</v>
      </c>
      <c r="T53" s="372">
        <v>0</v>
      </c>
      <c r="U53" s="372">
        <v>310</v>
      </c>
      <c r="V53" s="372">
        <v>9</v>
      </c>
    </row>
    <row r="54" spans="1:22" ht="18.45">
      <c r="A54" s="1339"/>
      <c r="B54" s="186" t="s">
        <v>36</v>
      </c>
      <c r="C54" s="372">
        <v>330</v>
      </c>
      <c r="D54" s="372">
        <v>160</v>
      </c>
      <c r="E54" s="372">
        <v>17</v>
      </c>
      <c r="F54" s="372">
        <v>11</v>
      </c>
      <c r="G54" s="372">
        <v>0</v>
      </c>
      <c r="H54" s="372">
        <v>120</v>
      </c>
      <c r="I54" s="372">
        <v>200</v>
      </c>
      <c r="J54" s="372">
        <v>38</v>
      </c>
      <c r="K54" s="372">
        <v>0</v>
      </c>
      <c r="L54" s="372">
        <v>33</v>
      </c>
      <c r="M54" s="372">
        <v>25</v>
      </c>
      <c r="N54" s="372">
        <v>6</v>
      </c>
      <c r="O54" s="372">
        <v>0</v>
      </c>
      <c r="P54" s="372">
        <v>0</v>
      </c>
      <c r="Q54" s="372">
        <v>220.05600000000001</v>
      </c>
      <c r="R54" s="372">
        <v>20</v>
      </c>
      <c r="S54" s="372">
        <v>4.5213999999999997E-2</v>
      </c>
      <c r="T54" s="372">
        <v>0</v>
      </c>
      <c r="U54" s="372">
        <v>300</v>
      </c>
      <c r="V54" s="372">
        <v>9</v>
      </c>
    </row>
    <row r="55" spans="1:22" ht="18.45" hidden="1">
      <c r="A55" s="1339"/>
      <c r="B55" s="186" t="s">
        <v>374</v>
      </c>
      <c r="C55" s="372">
        <v>330</v>
      </c>
      <c r="D55" s="372">
        <v>160</v>
      </c>
      <c r="E55" s="372">
        <v>18</v>
      </c>
      <c r="F55" s="372">
        <v>11</v>
      </c>
      <c r="G55" s="372">
        <v>0</v>
      </c>
      <c r="H55" s="372">
        <v>120</v>
      </c>
      <c r="I55" s="372">
        <v>200</v>
      </c>
      <c r="J55" s="372">
        <v>37</v>
      </c>
      <c r="K55" s="372">
        <v>0</v>
      </c>
      <c r="L55" s="372">
        <v>32</v>
      </c>
      <c r="M55" s="372">
        <v>24</v>
      </c>
      <c r="N55" s="372">
        <v>6</v>
      </c>
      <c r="O55" s="372">
        <v>0</v>
      </c>
      <c r="P55" s="372">
        <v>0</v>
      </c>
      <c r="Q55" s="372">
        <v>222.97200000000001</v>
      </c>
      <c r="R55" s="372">
        <v>20</v>
      </c>
      <c r="S55" s="372">
        <v>7.4999999999999993E-5</v>
      </c>
      <c r="T55" s="372">
        <v>0</v>
      </c>
      <c r="U55" s="372">
        <v>300</v>
      </c>
      <c r="V55" s="372">
        <v>9</v>
      </c>
    </row>
    <row r="56" spans="1:22" ht="18.45">
      <c r="A56" s="1339"/>
      <c r="B56" s="186" t="s">
        <v>137</v>
      </c>
      <c r="C56" s="372">
        <v>320</v>
      </c>
      <c r="D56" s="372">
        <v>160</v>
      </c>
      <c r="E56" s="372">
        <v>18</v>
      </c>
      <c r="F56" s="372">
        <v>11</v>
      </c>
      <c r="G56" s="372">
        <v>0</v>
      </c>
      <c r="H56" s="372">
        <v>120</v>
      </c>
      <c r="I56" s="372">
        <v>200</v>
      </c>
      <c r="J56" s="372">
        <v>35</v>
      </c>
      <c r="K56" s="372">
        <v>0</v>
      </c>
      <c r="L56" s="372">
        <v>30</v>
      </c>
      <c r="M56" s="372">
        <v>22</v>
      </c>
      <c r="N56" s="372">
        <v>6</v>
      </c>
      <c r="O56" s="372">
        <v>0</v>
      </c>
      <c r="P56" s="372">
        <v>0</v>
      </c>
      <c r="Q56" s="372">
        <v>224.65600000000001</v>
      </c>
      <c r="R56" s="372">
        <v>20</v>
      </c>
      <c r="S56" s="372">
        <v>1.06E-3</v>
      </c>
      <c r="T56" s="372">
        <v>0</v>
      </c>
      <c r="U56" s="372">
        <v>310</v>
      </c>
      <c r="V56" s="372">
        <v>9</v>
      </c>
    </row>
    <row r="57" spans="1:22" ht="18.45">
      <c r="A57" s="1339"/>
      <c r="B57" s="186" t="s">
        <v>416</v>
      </c>
      <c r="C57" s="372">
        <v>330</v>
      </c>
      <c r="D57" s="372">
        <v>160</v>
      </c>
      <c r="E57" s="372">
        <v>18</v>
      </c>
      <c r="F57" s="372">
        <v>11</v>
      </c>
      <c r="G57" s="372">
        <v>0</v>
      </c>
      <c r="H57" s="372">
        <v>120</v>
      </c>
      <c r="I57" s="372">
        <v>200</v>
      </c>
      <c r="J57" s="372">
        <v>37</v>
      </c>
      <c r="K57" s="372">
        <v>0</v>
      </c>
      <c r="L57" s="372">
        <v>32</v>
      </c>
      <c r="M57" s="372">
        <v>24</v>
      </c>
      <c r="N57" s="372">
        <v>6</v>
      </c>
      <c r="O57" s="372">
        <v>0</v>
      </c>
      <c r="P57" s="372">
        <v>0</v>
      </c>
      <c r="Q57" s="372">
        <v>223.417</v>
      </c>
      <c r="R57" s="372">
        <v>20</v>
      </c>
      <c r="S57" s="372">
        <v>1.9989999999999999E-3</v>
      </c>
      <c r="T57" s="372">
        <v>0</v>
      </c>
      <c r="U57" s="372">
        <v>300</v>
      </c>
      <c r="V57" s="372">
        <v>9</v>
      </c>
    </row>
    <row r="58" spans="1:22" ht="18.45" hidden="1">
      <c r="A58" s="1339"/>
      <c r="B58" s="186" t="s">
        <v>417</v>
      </c>
      <c r="C58" s="372">
        <v>330</v>
      </c>
      <c r="D58" s="372">
        <v>160</v>
      </c>
      <c r="E58" s="372">
        <v>18</v>
      </c>
      <c r="F58" s="372">
        <v>11</v>
      </c>
      <c r="G58" s="372">
        <v>0</v>
      </c>
      <c r="H58" s="372">
        <v>120</v>
      </c>
      <c r="I58" s="372">
        <v>200</v>
      </c>
      <c r="J58" s="372">
        <v>37</v>
      </c>
      <c r="K58" s="372">
        <v>0</v>
      </c>
      <c r="L58" s="372">
        <v>32</v>
      </c>
      <c r="M58" s="372">
        <v>23</v>
      </c>
      <c r="N58" s="372">
        <v>6</v>
      </c>
      <c r="O58" s="372">
        <v>0</v>
      </c>
      <c r="P58" s="372">
        <v>0</v>
      </c>
      <c r="Q58" s="372">
        <v>225.113</v>
      </c>
      <c r="R58" s="372">
        <v>25</v>
      </c>
      <c r="S58" s="372">
        <v>4.3999999999999999E-5</v>
      </c>
      <c r="T58" s="372">
        <v>0</v>
      </c>
      <c r="U58" s="372">
        <v>310</v>
      </c>
      <c r="V58" s="372">
        <v>9</v>
      </c>
    </row>
    <row r="59" spans="1:22" ht="18.45">
      <c r="A59" s="1339"/>
      <c r="B59" s="186" t="s">
        <v>431</v>
      </c>
      <c r="C59" s="372"/>
      <c r="D59" s="372"/>
      <c r="E59" s="372"/>
      <c r="F59" s="372"/>
      <c r="G59" s="372"/>
      <c r="H59" s="372"/>
      <c r="I59" s="372"/>
      <c r="J59" s="372"/>
      <c r="K59" s="372"/>
      <c r="L59" s="372"/>
      <c r="M59" s="372"/>
      <c r="N59" s="372"/>
      <c r="O59" s="372"/>
      <c r="P59" s="372"/>
      <c r="Q59" s="372"/>
      <c r="R59" s="372"/>
      <c r="S59" s="372"/>
      <c r="T59" s="372"/>
      <c r="U59" s="372"/>
      <c r="V59" s="372"/>
    </row>
    <row r="60" spans="1:22" ht="18.45">
      <c r="A60" s="1339"/>
      <c r="B60" s="186" t="s">
        <v>417</v>
      </c>
      <c r="C60" s="372"/>
      <c r="D60" s="372"/>
      <c r="E60" s="372"/>
      <c r="F60" s="372"/>
      <c r="G60" s="372"/>
      <c r="H60" s="372"/>
      <c r="I60" s="372"/>
      <c r="J60" s="372"/>
      <c r="K60" s="372"/>
      <c r="L60" s="372"/>
      <c r="M60" s="372"/>
      <c r="N60" s="372"/>
      <c r="O60" s="372"/>
      <c r="P60" s="372"/>
      <c r="Q60" s="372"/>
      <c r="R60" s="372"/>
      <c r="S60" s="372"/>
      <c r="T60" s="372"/>
      <c r="U60" s="372"/>
      <c r="V60" s="372"/>
    </row>
    <row r="61" spans="1:22" ht="18.45">
      <c r="A61" s="1339"/>
      <c r="B61" s="186" t="s">
        <v>418</v>
      </c>
      <c r="C61" s="372">
        <v>330</v>
      </c>
      <c r="D61" s="372">
        <v>160</v>
      </c>
      <c r="E61" s="372">
        <v>17</v>
      </c>
      <c r="F61" s="372">
        <v>11</v>
      </c>
      <c r="G61" s="372">
        <v>0</v>
      </c>
      <c r="H61" s="372">
        <v>120</v>
      </c>
      <c r="I61" s="372">
        <v>200</v>
      </c>
      <c r="J61" s="372">
        <v>38</v>
      </c>
      <c r="K61" s="372">
        <v>0</v>
      </c>
      <c r="L61" s="372">
        <v>33</v>
      </c>
      <c r="M61" s="372">
        <v>25</v>
      </c>
      <c r="N61" s="372">
        <v>6</v>
      </c>
      <c r="O61" s="372">
        <v>0</v>
      </c>
      <c r="P61" s="372">
        <v>0</v>
      </c>
      <c r="Q61" s="372">
        <v>220.86099999999999</v>
      </c>
      <c r="R61" s="372">
        <v>20</v>
      </c>
      <c r="S61" s="372">
        <v>6.0809999999999996E-3</v>
      </c>
      <c r="T61" s="372">
        <v>0</v>
      </c>
      <c r="U61" s="372">
        <v>300</v>
      </c>
      <c r="V61" s="372">
        <v>9</v>
      </c>
    </row>
    <row r="62" spans="1:22" ht="18.45">
      <c r="A62" s="1339"/>
      <c r="B62" s="186" t="s">
        <v>360</v>
      </c>
      <c r="C62" s="372">
        <v>330</v>
      </c>
      <c r="D62" s="372">
        <v>160</v>
      </c>
      <c r="E62" s="372">
        <v>18</v>
      </c>
      <c r="F62" s="372">
        <v>11</v>
      </c>
      <c r="G62" s="372">
        <v>0</v>
      </c>
      <c r="H62" s="372">
        <v>120</v>
      </c>
      <c r="I62" s="372">
        <v>200</v>
      </c>
      <c r="J62" s="372">
        <v>37</v>
      </c>
      <c r="K62" s="372">
        <v>0</v>
      </c>
      <c r="L62" s="372">
        <v>32</v>
      </c>
      <c r="M62" s="372">
        <v>22</v>
      </c>
      <c r="N62" s="372">
        <v>6</v>
      </c>
      <c r="O62" s="372">
        <v>0</v>
      </c>
      <c r="P62" s="372">
        <v>0</v>
      </c>
      <c r="Q62" s="372">
        <v>224.75299999999999</v>
      </c>
      <c r="R62" s="372">
        <v>20</v>
      </c>
      <c r="S62" s="372">
        <v>5.8300000000000001E-3</v>
      </c>
      <c r="T62" s="372">
        <v>0</v>
      </c>
      <c r="U62" s="372">
        <v>310</v>
      </c>
      <c r="V62" s="372">
        <v>9</v>
      </c>
    </row>
    <row r="63" spans="1:22" ht="18.45">
      <c r="A63" s="1418"/>
      <c r="B63" s="186" t="s">
        <v>480</v>
      </c>
      <c r="C63" s="372">
        <v>310</v>
      </c>
      <c r="D63" s="372">
        <v>140</v>
      </c>
      <c r="E63" s="372">
        <v>16</v>
      </c>
      <c r="F63" s="372">
        <v>10</v>
      </c>
      <c r="G63" s="372">
        <v>0</v>
      </c>
      <c r="H63" s="372">
        <v>95</v>
      </c>
      <c r="I63" s="372">
        <v>160</v>
      </c>
      <c r="J63" s="372">
        <v>37</v>
      </c>
      <c r="K63" s="372">
        <v>0</v>
      </c>
      <c r="L63" s="372">
        <v>33</v>
      </c>
      <c r="M63" s="372">
        <v>24</v>
      </c>
      <c r="N63" s="372">
        <v>6</v>
      </c>
      <c r="O63" s="372">
        <v>0</v>
      </c>
      <c r="P63" s="372">
        <v>0</v>
      </c>
      <c r="Q63" s="372">
        <v>209</v>
      </c>
      <c r="R63" s="372">
        <v>15</v>
      </c>
      <c r="S63" s="372">
        <v>2</v>
      </c>
      <c r="T63" s="372">
        <v>10</v>
      </c>
      <c r="U63" s="372">
        <v>418</v>
      </c>
      <c r="V63" s="372">
        <v>8</v>
      </c>
    </row>
    <row r="64" spans="1:22" ht="18.45">
      <c r="A64" s="1418"/>
      <c r="B64" s="186" t="s">
        <v>117</v>
      </c>
      <c r="C64" s="372">
        <v>330</v>
      </c>
      <c r="D64" s="372">
        <v>160</v>
      </c>
      <c r="E64" s="372">
        <v>17</v>
      </c>
      <c r="F64" s="372">
        <v>11</v>
      </c>
      <c r="G64" s="372">
        <v>0</v>
      </c>
      <c r="H64" s="372">
        <v>120</v>
      </c>
      <c r="I64" s="372">
        <v>200</v>
      </c>
      <c r="J64" s="372">
        <v>38</v>
      </c>
      <c r="K64" s="372">
        <v>0</v>
      </c>
      <c r="L64" s="372">
        <v>33</v>
      </c>
      <c r="M64" s="372">
        <v>23</v>
      </c>
      <c r="N64" s="372">
        <v>6</v>
      </c>
      <c r="O64" s="372">
        <v>0</v>
      </c>
      <c r="P64" s="372">
        <v>0</v>
      </c>
      <c r="Q64" s="372">
        <v>220</v>
      </c>
      <c r="R64" s="372">
        <v>15</v>
      </c>
      <c r="S64" s="372">
        <v>0</v>
      </c>
      <c r="T64" s="372">
        <v>0</v>
      </c>
      <c r="U64" s="372">
        <v>299</v>
      </c>
      <c r="V64" s="372">
        <v>6</v>
      </c>
    </row>
    <row r="65" spans="1:22" ht="18.45">
      <c r="A65" s="1418"/>
      <c r="B65" s="186" t="s">
        <v>66</v>
      </c>
      <c r="C65" s="372">
        <v>330</v>
      </c>
      <c r="D65" s="372">
        <v>160</v>
      </c>
      <c r="E65" s="372">
        <v>18</v>
      </c>
      <c r="F65" s="372">
        <v>11</v>
      </c>
      <c r="G65" s="372">
        <v>0</v>
      </c>
      <c r="H65" s="372">
        <v>120</v>
      </c>
      <c r="I65" s="372">
        <v>200</v>
      </c>
      <c r="J65" s="372">
        <v>37</v>
      </c>
      <c r="K65" s="372">
        <v>0</v>
      </c>
      <c r="L65" s="372">
        <v>33</v>
      </c>
      <c r="M65" s="372">
        <v>25</v>
      </c>
      <c r="N65" s="372">
        <v>6</v>
      </c>
      <c r="O65" s="372">
        <v>0</v>
      </c>
      <c r="P65" s="372">
        <v>0</v>
      </c>
      <c r="Q65" s="372">
        <v>222.893</v>
      </c>
      <c r="R65" s="372">
        <v>20</v>
      </c>
      <c r="S65" s="372">
        <v>1.15E-4</v>
      </c>
      <c r="T65" s="372">
        <v>0</v>
      </c>
      <c r="U65" s="372">
        <v>300</v>
      </c>
      <c r="V65" s="372">
        <v>9</v>
      </c>
    </row>
    <row r="66" spans="1:22" ht="14.25" hidden="1" customHeight="1">
      <c r="B66" s="220"/>
      <c r="C66" s="220"/>
      <c r="D66" s="220"/>
      <c r="E66" s="220"/>
      <c r="F66" s="220"/>
      <c r="G66" s="220"/>
      <c r="H66" s="220"/>
      <c r="I66" s="220"/>
      <c r="J66" s="220"/>
      <c r="K66" s="220"/>
      <c r="L66" s="220"/>
      <c r="M66" s="220"/>
      <c r="N66" s="220"/>
      <c r="O66" s="220"/>
      <c r="P66" s="220"/>
      <c r="Q66" s="220"/>
      <c r="R66" s="220"/>
      <c r="S66" s="220"/>
      <c r="T66" s="220"/>
      <c r="U66" s="220"/>
      <c r="V66" s="220"/>
    </row>
    <row r="67" spans="1:22" s="212" customFormat="1" ht="22.5" customHeight="1">
      <c r="A67" s="1214" t="s">
        <v>419</v>
      </c>
      <c r="B67" s="1215"/>
      <c r="C67" s="1215"/>
      <c r="D67" s="1215"/>
      <c r="E67" s="1215"/>
      <c r="F67" s="1215"/>
      <c r="G67" s="1215"/>
      <c r="H67" s="1215"/>
      <c r="I67" s="1215"/>
      <c r="J67" s="1215"/>
      <c r="K67" s="1215"/>
      <c r="L67" s="1215"/>
      <c r="M67" s="1215"/>
      <c r="N67" s="1215"/>
      <c r="O67" s="1215"/>
      <c r="P67" s="1215"/>
      <c r="Q67" s="1215"/>
      <c r="R67" s="1215"/>
      <c r="S67" s="1215"/>
      <c r="T67" s="1215"/>
      <c r="U67" s="1215"/>
      <c r="V67" s="1243"/>
    </row>
    <row r="68" spans="1:22" s="212" customFormat="1" ht="18" customHeight="1" thickBot="1">
      <c r="A68" s="1209" t="s">
        <v>420</v>
      </c>
      <c r="B68" s="1210"/>
      <c r="C68" s="1210"/>
      <c r="D68" s="1210"/>
      <c r="E68" s="1210"/>
      <c r="F68" s="1210"/>
      <c r="G68" s="1210"/>
      <c r="H68" s="1210"/>
      <c r="I68" s="1210"/>
      <c r="J68" s="1210"/>
      <c r="K68" s="1210"/>
      <c r="L68" s="1210"/>
      <c r="M68" s="1210"/>
      <c r="N68" s="1210"/>
      <c r="O68" s="1210"/>
      <c r="P68" s="1210"/>
      <c r="Q68" s="1210"/>
      <c r="R68" s="1210"/>
      <c r="S68" s="1210"/>
      <c r="T68" s="1210"/>
      <c r="U68" s="1210"/>
      <c r="V68" s="1244"/>
    </row>
    <row r="69" spans="1:22" ht="37.5" customHeight="1" thickBot="1">
      <c r="A69" s="253"/>
      <c r="B69" s="213" t="s">
        <v>3</v>
      </c>
      <c r="C69" s="214" t="s">
        <v>4</v>
      </c>
      <c r="D69" s="214" t="s">
        <v>5</v>
      </c>
      <c r="E69" s="214" t="s">
        <v>6</v>
      </c>
      <c r="F69" s="214" t="s">
        <v>7</v>
      </c>
      <c r="G69" s="214" t="s">
        <v>8</v>
      </c>
      <c r="H69" s="214" t="s">
        <v>9</v>
      </c>
      <c r="I69" s="214" t="s">
        <v>10</v>
      </c>
      <c r="J69" s="214" t="s">
        <v>11</v>
      </c>
      <c r="K69" s="214" t="s">
        <v>12</v>
      </c>
      <c r="L69" s="214" t="s">
        <v>13</v>
      </c>
      <c r="M69" s="214" t="s">
        <v>14</v>
      </c>
      <c r="N69" s="214" t="s">
        <v>15</v>
      </c>
      <c r="O69" s="215" t="s">
        <v>16</v>
      </c>
      <c r="P69" s="215" t="s">
        <v>17</v>
      </c>
      <c r="Q69" s="215" t="s">
        <v>18</v>
      </c>
      <c r="R69" s="215" t="s">
        <v>19</v>
      </c>
      <c r="S69" s="215" t="s">
        <v>20</v>
      </c>
      <c r="T69" s="215" t="s">
        <v>21</v>
      </c>
      <c r="U69" s="215" t="s">
        <v>22</v>
      </c>
      <c r="V69" s="215" t="s">
        <v>23</v>
      </c>
    </row>
    <row r="70" spans="1:22" s="212" customFormat="1" ht="15.75" customHeight="1">
      <c r="A70" s="1245"/>
      <c r="B70" s="246" t="s">
        <v>455</v>
      </c>
      <c r="C70" s="195">
        <v>100</v>
      </c>
      <c r="D70" s="195">
        <v>0</v>
      </c>
      <c r="E70" s="195">
        <v>0</v>
      </c>
      <c r="F70" s="195">
        <v>0</v>
      </c>
      <c r="G70" s="195">
        <v>0</v>
      </c>
      <c r="H70" s="195">
        <v>0</v>
      </c>
      <c r="I70" s="195">
        <v>20</v>
      </c>
      <c r="J70" s="195">
        <v>25</v>
      </c>
      <c r="K70" s="195"/>
      <c r="L70" s="195">
        <v>20</v>
      </c>
      <c r="M70" s="195">
        <v>20</v>
      </c>
      <c r="N70" s="195">
        <v>0</v>
      </c>
      <c r="O70" s="195">
        <v>0</v>
      </c>
      <c r="P70" s="195">
        <v>0</v>
      </c>
      <c r="Q70" s="195">
        <v>5</v>
      </c>
      <c r="R70" s="195">
        <v>0</v>
      </c>
      <c r="S70" s="195">
        <v>0</v>
      </c>
      <c r="T70" s="195">
        <v>0</v>
      </c>
      <c r="U70" s="195">
        <v>47</v>
      </c>
      <c r="V70" s="195">
        <v>2</v>
      </c>
    </row>
    <row r="71" spans="1:22" s="212" customFormat="1" ht="15.75" customHeight="1">
      <c r="A71" s="1246"/>
      <c r="B71" s="246" t="s">
        <v>144</v>
      </c>
      <c r="C71" s="195">
        <v>130</v>
      </c>
      <c r="D71" s="195">
        <v>70</v>
      </c>
      <c r="E71" s="195">
        <v>7</v>
      </c>
      <c r="F71" s="195">
        <v>4.5</v>
      </c>
      <c r="G71" s="195">
        <v>0</v>
      </c>
      <c r="H71" s="195">
        <v>0</v>
      </c>
      <c r="I71" s="195">
        <v>0</v>
      </c>
      <c r="J71" s="195">
        <v>19</v>
      </c>
      <c r="K71" s="195">
        <v>0</v>
      </c>
      <c r="L71" s="195">
        <v>15</v>
      </c>
      <c r="M71" s="195">
        <v>15</v>
      </c>
      <c r="N71" s="195">
        <v>1</v>
      </c>
      <c r="O71" s="195">
        <v>0</v>
      </c>
      <c r="P71" s="195">
        <v>0</v>
      </c>
      <c r="Q71" s="195">
        <v>11</v>
      </c>
      <c r="R71" s="195">
        <v>0</v>
      </c>
      <c r="S71" s="195">
        <v>2</v>
      </c>
      <c r="T71" s="195">
        <v>10</v>
      </c>
      <c r="U71" s="195">
        <v>124</v>
      </c>
      <c r="V71" s="195">
        <v>2</v>
      </c>
    </row>
    <row r="72" spans="1:22" s="212" customFormat="1" ht="15.75" customHeight="1">
      <c r="A72" s="1246"/>
      <c r="B72" s="246" t="s">
        <v>145</v>
      </c>
      <c r="C72" s="195">
        <v>90</v>
      </c>
      <c r="D72" s="195">
        <v>25</v>
      </c>
      <c r="E72" s="195">
        <v>3</v>
      </c>
      <c r="F72" s="195">
        <v>1</v>
      </c>
      <c r="G72" s="195">
        <v>0</v>
      </c>
      <c r="H72" s="195">
        <v>5</v>
      </c>
      <c r="I72" s="195">
        <v>40</v>
      </c>
      <c r="J72" s="195">
        <v>15</v>
      </c>
      <c r="K72" s="195">
        <v>1</v>
      </c>
      <c r="L72" s="195">
        <v>8</v>
      </c>
      <c r="M72" s="195">
        <v>8</v>
      </c>
      <c r="N72" s="195">
        <v>1</v>
      </c>
      <c r="O72" s="195">
        <v>0</v>
      </c>
      <c r="P72" s="195">
        <v>0</v>
      </c>
      <c r="Q72" s="195">
        <v>4</v>
      </c>
      <c r="R72" s="195">
        <v>0</v>
      </c>
      <c r="S72" s="195">
        <v>1</v>
      </c>
      <c r="T72" s="195">
        <v>6</v>
      </c>
      <c r="U72" s="195">
        <v>64</v>
      </c>
      <c r="V72" s="195">
        <v>2</v>
      </c>
    </row>
    <row r="73" spans="1:22" s="212" customFormat="1">
      <c r="A73" s="1246"/>
      <c r="B73" s="246" t="s">
        <v>146</v>
      </c>
      <c r="C73" s="195">
        <v>90</v>
      </c>
      <c r="D73" s="195">
        <v>25</v>
      </c>
      <c r="E73" s="195">
        <v>3</v>
      </c>
      <c r="F73" s="195">
        <v>1</v>
      </c>
      <c r="G73" s="195">
        <v>0</v>
      </c>
      <c r="H73" s="195">
        <v>5</v>
      </c>
      <c r="I73" s="195">
        <v>55</v>
      </c>
      <c r="J73" s="195">
        <v>15</v>
      </c>
      <c r="K73" s="195">
        <v>0</v>
      </c>
      <c r="L73" s="195">
        <v>9</v>
      </c>
      <c r="M73" s="195">
        <v>9</v>
      </c>
      <c r="N73" s="195">
        <v>1</v>
      </c>
      <c r="O73" s="195">
        <v>0</v>
      </c>
      <c r="P73" s="195">
        <v>0</v>
      </c>
      <c r="Q73" s="195">
        <v>3</v>
      </c>
      <c r="R73" s="195">
        <v>0</v>
      </c>
      <c r="S73" s="195">
        <v>0</v>
      </c>
      <c r="T73" s="195">
        <v>0</v>
      </c>
      <c r="U73" s="195">
        <v>20</v>
      </c>
      <c r="V73" s="195">
        <v>0</v>
      </c>
    </row>
    <row r="74" spans="1:22" s="212" customFormat="1">
      <c r="A74" s="1246"/>
      <c r="B74" s="246" t="s">
        <v>147</v>
      </c>
      <c r="C74" s="195">
        <v>170</v>
      </c>
      <c r="D74" s="195">
        <v>130</v>
      </c>
      <c r="E74" s="195">
        <v>14</v>
      </c>
      <c r="F74" s="195">
        <v>2</v>
      </c>
      <c r="G74" s="195">
        <v>0</v>
      </c>
      <c r="H74" s="195">
        <v>0</v>
      </c>
      <c r="I74" s="195">
        <v>0</v>
      </c>
      <c r="J74" s="195">
        <v>6</v>
      </c>
      <c r="K74" s="195">
        <v>0</v>
      </c>
      <c r="L74" s="195">
        <v>1</v>
      </c>
      <c r="M74" s="195">
        <v>0</v>
      </c>
      <c r="N74" s="195">
        <v>7</v>
      </c>
      <c r="O74" s="195">
        <v>0</v>
      </c>
      <c r="P74" s="195">
        <v>0</v>
      </c>
      <c r="Q74" s="195">
        <v>16</v>
      </c>
      <c r="R74" s="195">
        <v>2</v>
      </c>
      <c r="S74" s="195">
        <v>0</v>
      </c>
      <c r="T74" s="195">
        <v>0</v>
      </c>
      <c r="U74" s="195">
        <v>180</v>
      </c>
      <c r="V74" s="195">
        <v>4</v>
      </c>
    </row>
    <row r="75" spans="1:22" s="212" customFormat="1" hidden="1">
      <c r="A75" s="1246"/>
      <c r="B75" s="246" t="s">
        <v>149</v>
      </c>
      <c r="C75" s="195">
        <v>150</v>
      </c>
      <c r="D75" s="195">
        <v>80</v>
      </c>
      <c r="E75" s="195">
        <v>9</v>
      </c>
      <c r="F75" s="195">
        <v>5</v>
      </c>
      <c r="G75" s="195">
        <v>0</v>
      </c>
      <c r="H75" s="195">
        <v>5</v>
      </c>
      <c r="I75" s="195">
        <v>100</v>
      </c>
      <c r="J75" s="195">
        <v>18</v>
      </c>
      <c r="K75" s="195">
        <v>0</v>
      </c>
      <c r="L75" s="195">
        <v>17</v>
      </c>
      <c r="M75" s="195">
        <v>17</v>
      </c>
      <c r="N75" s="195">
        <v>1</v>
      </c>
      <c r="O75" s="195">
        <v>0</v>
      </c>
      <c r="P75" s="195">
        <v>0</v>
      </c>
      <c r="Q75" s="195">
        <v>17</v>
      </c>
      <c r="R75" s="195">
        <v>2</v>
      </c>
      <c r="S75" s="195">
        <v>0</v>
      </c>
      <c r="T75" s="195">
        <v>0</v>
      </c>
      <c r="U75" s="195">
        <v>39</v>
      </c>
      <c r="V75" s="195">
        <v>0</v>
      </c>
    </row>
    <row r="76" spans="1:22" s="212" customFormat="1">
      <c r="A76" s="1246"/>
      <c r="B76" s="246" t="s">
        <v>150</v>
      </c>
      <c r="C76" s="195">
        <v>90</v>
      </c>
      <c r="D76" s="195">
        <v>15</v>
      </c>
      <c r="E76" s="195">
        <v>1.5</v>
      </c>
      <c r="F76" s="195">
        <v>1</v>
      </c>
      <c r="G76" s="195">
        <v>0</v>
      </c>
      <c r="H76" s="195">
        <v>5</v>
      </c>
      <c r="I76" s="195">
        <v>70</v>
      </c>
      <c r="J76" s="195">
        <v>19</v>
      </c>
      <c r="K76" s="195">
        <v>0</v>
      </c>
      <c r="L76" s="195">
        <v>14</v>
      </c>
      <c r="M76" s="195">
        <v>14</v>
      </c>
      <c r="N76" s="195">
        <v>1</v>
      </c>
      <c r="O76" s="195">
        <v>0</v>
      </c>
      <c r="P76" s="195">
        <v>0</v>
      </c>
      <c r="Q76" s="195">
        <v>20</v>
      </c>
      <c r="R76" s="195">
        <v>2</v>
      </c>
      <c r="S76" s="195">
        <v>0</v>
      </c>
      <c r="T76" s="195">
        <v>0</v>
      </c>
      <c r="U76" s="195">
        <v>29</v>
      </c>
      <c r="V76" s="195">
        <v>0</v>
      </c>
    </row>
    <row r="77" spans="1:22" s="212" customFormat="1">
      <c r="A77" s="1246"/>
      <c r="B77" s="246" t="s">
        <v>151</v>
      </c>
      <c r="C77" s="195">
        <v>90</v>
      </c>
      <c r="D77" s="195">
        <v>30</v>
      </c>
      <c r="E77" s="195">
        <v>3</v>
      </c>
      <c r="F77" s="195">
        <v>3</v>
      </c>
      <c r="G77" s="195">
        <v>0</v>
      </c>
      <c r="H77" s="195">
        <v>0</v>
      </c>
      <c r="I77" s="195">
        <v>80</v>
      </c>
      <c r="J77" s="195">
        <v>15</v>
      </c>
      <c r="K77" s="195">
        <v>1</v>
      </c>
      <c r="L77" s="195">
        <v>13</v>
      </c>
      <c r="M77" s="195">
        <v>12</v>
      </c>
      <c r="N77" s="195">
        <v>1</v>
      </c>
      <c r="O77" s="195">
        <v>0</v>
      </c>
      <c r="P77" s="195">
        <v>0</v>
      </c>
      <c r="Q77" s="195">
        <v>18</v>
      </c>
      <c r="R77" s="195">
        <v>2</v>
      </c>
      <c r="S77" s="195">
        <v>1</v>
      </c>
      <c r="T77" s="195">
        <v>6</v>
      </c>
      <c r="U77" s="195">
        <v>104</v>
      </c>
      <c r="V77" s="195">
        <v>2</v>
      </c>
    </row>
    <row r="78" spans="1:22" s="212" customFormat="1">
      <c r="A78" s="1246"/>
      <c r="B78" s="246" t="s">
        <v>152</v>
      </c>
      <c r="C78" s="195">
        <v>140</v>
      </c>
      <c r="D78" s="195">
        <v>50</v>
      </c>
      <c r="E78" s="195">
        <v>6</v>
      </c>
      <c r="F78" s="195">
        <v>3.5</v>
      </c>
      <c r="G78" s="195">
        <v>0</v>
      </c>
      <c r="H78" s="195">
        <v>0</v>
      </c>
      <c r="I78" s="195">
        <v>20</v>
      </c>
      <c r="J78" s="195">
        <v>20</v>
      </c>
      <c r="K78" s="195">
        <v>1</v>
      </c>
      <c r="L78" s="195">
        <v>18</v>
      </c>
      <c r="M78" s="195">
        <v>17</v>
      </c>
      <c r="N78" s="195">
        <v>1</v>
      </c>
      <c r="O78" s="195">
        <v>0</v>
      </c>
      <c r="P78" s="195">
        <v>0</v>
      </c>
      <c r="Q78" s="195">
        <v>37</v>
      </c>
      <c r="R78" s="195">
        <v>2</v>
      </c>
      <c r="S78" s="195">
        <v>0</v>
      </c>
      <c r="T78" s="195">
        <v>0</v>
      </c>
      <c r="U78" s="195">
        <v>91</v>
      </c>
      <c r="V78" s="195">
        <v>2</v>
      </c>
    </row>
    <row r="79" spans="1:22" s="212" customFormat="1">
      <c r="A79" s="1246"/>
      <c r="B79" s="246" t="s">
        <v>153</v>
      </c>
      <c r="C79" s="195">
        <v>130</v>
      </c>
      <c r="D79" s="195">
        <v>0</v>
      </c>
      <c r="E79" s="195">
        <v>0</v>
      </c>
      <c r="F79" s="195">
        <v>0</v>
      </c>
      <c r="G79" s="195">
        <v>0</v>
      </c>
      <c r="H79" s="195">
        <v>0</v>
      </c>
      <c r="I79" s="195">
        <v>15</v>
      </c>
      <c r="J79" s="195">
        <v>29</v>
      </c>
      <c r="K79" s="195">
        <v>0</v>
      </c>
      <c r="L79" s="195">
        <v>18</v>
      </c>
      <c r="M79" s="195">
        <v>18</v>
      </c>
      <c r="N79" s="195">
        <v>2</v>
      </c>
      <c r="O79" s="195">
        <v>0</v>
      </c>
      <c r="P79" s="195">
        <v>0</v>
      </c>
      <c r="Q79" s="195">
        <v>0</v>
      </c>
      <c r="R79" s="195">
        <v>0</v>
      </c>
      <c r="S79" s="195">
        <v>0</v>
      </c>
      <c r="T79" s="195">
        <v>0</v>
      </c>
      <c r="U79" s="195">
        <v>0</v>
      </c>
      <c r="V79" s="195">
        <v>0</v>
      </c>
    </row>
    <row r="80" spans="1:22" s="212" customFormat="1" hidden="1">
      <c r="A80" s="1246"/>
      <c r="B80" s="246" t="s">
        <v>154</v>
      </c>
      <c r="C80" s="195">
        <v>110</v>
      </c>
      <c r="D80" s="195">
        <v>0</v>
      </c>
      <c r="E80" s="195">
        <v>0</v>
      </c>
      <c r="F80" s="195">
        <v>0</v>
      </c>
      <c r="G80" s="195">
        <v>0</v>
      </c>
      <c r="H80" s="195">
        <v>0</v>
      </c>
      <c r="I80" s="195">
        <v>0</v>
      </c>
      <c r="J80" s="195">
        <v>27</v>
      </c>
      <c r="K80" s="195">
        <v>0</v>
      </c>
      <c r="L80" s="195">
        <v>26</v>
      </c>
      <c r="M80" s="195">
        <v>26</v>
      </c>
      <c r="N80" s="195">
        <v>0</v>
      </c>
      <c r="O80" s="195">
        <v>0</v>
      </c>
      <c r="P80" s="195">
        <v>0</v>
      </c>
      <c r="Q80" s="195">
        <v>0</v>
      </c>
      <c r="R80" s="195">
        <v>0</v>
      </c>
      <c r="S80" s="195">
        <v>0</v>
      </c>
      <c r="T80" s="195">
        <v>0</v>
      </c>
      <c r="U80" s="195">
        <v>0</v>
      </c>
      <c r="V80" s="195">
        <v>0</v>
      </c>
    </row>
    <row r="81" spans="1:22" s="212" customFormat="1">
      <c r="A81" s="1246"/>
      <c r="B81" s="246" t="s">
        <v>743</v>
      </c>
      <c r="C81" s="195">
        <v>130</v>
      </c>
      <c r="D81" s="195">
        <v>45</v>
      </c>
      <c r="E81" s="195">
        <v>5</v>
      </c>
      <c r="F81" s="195">
        <v>1</v>
      </c>
      <c r="G81" s="195">
        <v>0</v>
      </c>
      <c r="H81" s="195">
        <v>5</v>
      </c>
      <c r="I81" s="195">
        <v>110</v>
      </c>
      <c r="J81" s="195">
        <v>20</v>
      </c>
      <c r="K81" s="195">
        <v>0</v>
      </c>
      <c r="L81" s="195">
        <v>10</v>
      </c>
      <c r="M81" s="212">
        <v>0</v>
      </c>
      <c r="N81" s="195">
        <v>1</v>
      </c>
      <c r="O81" s="195">
        <v>0</v>
      </c>
      <c r="P81" s="195">
        <v>0</v>
      </c>
      <c r="Q81" s="195">
        <v>16</v>
      </c>
      <c r="R81" s="195">
        <v>2</v>
      </c>
      <c r="S81" s="195">
        <v>1</v>
      </c>
      <c r="T81" s="195">
        <v>6</v>
      </c>
      <c r="U81" s="195">
        <v>29</v>
      </c>
      <c r="V81" s="195">
        <v>0</v>
      </c>
    </row>
    <row r="82" spans="1:22" s="212" customFormat="1" hidden="1">
      <c r="A82" s="1246"/>
      <c r="B82" s="246" t="s">
        <v>687</v>
      </c>
      <c r="C82" s="195">
        <v>150</v>
      </c>
      <c r="D82" s="195">
        <v>80</v>
      </c>
      <c r="E82" s="195">
        <v>9</v>
      </c>
      <c r="F82" s="195">
        <v>3</v>
      </c>
      <c r="G82" s="195">
        <v>0</v>
      </c>
      <c r="H82" s="195">
        <v>0</v>
      </c>
      <c r="I82" s="195">
        <v>10</v>
      </c>
      <c r="J82" s="195">
        <v>17</v>
      </c>
      <c r="K82" s="195">
        <v>1</v>
      </c>
      <c r="L82" s="195">
        <v>16</v>
      </c>
      <c r="M82" s="212">
        <v>15</v>
      </c>
      <c r="N82" s="195">
        <v>2</v>
      </c>
      <c r="O82" s="195">
        <v>0</v>
      </c>
      <c r="P82" s="195">
        <v>0</v>
      </c>
      <c r="Q82" s="195">
        <v>34</v>
      </c>
      <c r="R82" s="195">
        <v>2</v>
      </c>
      <c r="S82" s="195">
        <v>1</v>
      </c>
      <c r="T82" s="195">
        <v>6</v>
      </c>
      <c r="U82" s="195">
        <v>128</v>
      </c>
      <c r="V82" s="195">
        <v>2</v>
      </c>
    </row>
    <row r="83" spans="1:22" s="212" customFormat="1">
      <c r="A83" s="1246"/>
      <c r="B83" s="246" t="s">
        <v>156</v>
      </c>
      <c r="C83" s="195">
        <v>120</v>
      </c>
      <c r="D83" s="195">
        <v>45</v>
      </c>
      <c r="E83" s="195">
        <v>4.5</v>
      </c>
      <c r="F83" s="195">
        <v>1.5</v>
      </c>
      <c r="G83" s="195">
        <v>0</v>
      </c>
      <c r="H83" s="195">
        <v>0</v>
      </c>
      <c r="I83" s="195">
        <v>140</v>
      </c>
      <c r="J83" s="195">
        <v>18</v>
      </c>
      <c r="K83" s="195">
        <v>0</v>
      </c>
      <c r="L83" s="195">
        <v>10</v>
      </c>
      <c r="M83" s="195"/>
      <c r="N83" s="195">
        <v>1</v>
      </c>
      <c r="O83" s="195">
        <v>0</v>
      </c>
      <c r="P83" s="195">
        <v>0</v>
      </c>
      <c r="Q83" s="195">
        <v>0</v>
      </c>
      <c r="R83" s="195">
        <v>0</v>
      </c>
      <c r="S83" s="195">
        <v>1</v>
      </c>
      <c r="T83" s="195">
        <v>6</v>
      </c>
      <c r="U83" s="195">
        <v>0</v>
      </c>
      <c r="V83" s="195">
        <v>0</v>
      </c>
    </row>
    <row r="84" spans="1:22" s="212" customFormat="1">
      <c r="A84" s="1246"/>
      <c r="B84" s="246" t="s">
        <v>688</v>
      </c>
      <c r="C84" s="195">
        <v>50</v>
      </c>
      <c r="D84" s="195">
        <v>20</v>
      </c>
      <c r="E84" s="195">
        <v>2.5</v>
      </c>
      <c r="F84" s="195">
        <v>1</v>
      </c>
      <c r="G84" s="195">
        <v>0</v>
      </c>
      <c r="H84" s="195">
        <v>5</v>
      </c>
      <c r="I84" s="195">
        <v>15</v>
      </c>
      <c r="J84" s="195">
        <v>7</v>
      </c>
      <c r="K84" s="195">
        <v>0</v>
      </c>
      <c r="L84" s="195">
        <v>2</v>
      </c>
      <c r="M84" s="195">
        <v>2</v>
      </c>
      <c r="N84" s="195">
        <v>1</v>
      </c>
      <c r="O84" s="195">
        <v>0</v>
      </c>
      <c r="P84" s="195">
        <v>0</v>
      </c>
      <c r="Q84" s="195">
        <v>1</v>
      </c>
      <c r="R84" s="195">
        <v>0</v>
      </c>
      <c r="S84" s="195">
        <v>0</v>
      </c>
      <c r="T84" s="195">
        <v>0</v>
      </c>
      <c r="U84" s="195">
        <v>7</v>
      </c>
      <c r="V84" s="195">
        <v>0</v>
      </c>
    </row>
    <row r="85" spans="1:22" s="212" customFormat="1">
      <c r="A85" s="1246"/>
      <c r="B85" s="246" t="s">
        <v>157</v>
      </c>
      <c r="C85" s="195">
        <v>140</v>
      </c>
      <c r="D85" s="195">
        <v>70</v>
      </c>
      <c r="E85" s="195">
        <v>8</v>
      </c>
      <c r="F85" s="195">
        <v>3</v>
      </c>
      <c r="G85" s="195">
        <v>0</v>
      </c>
      <c r="H85" s="195">
        <v>0</v>
      </c>
      <c r="I85" s="195">
        <v>100</v>
      </c>
      <c r="J85" s="195">
        <v>16</v>
      </c>
      <c r="K85" s="195">
        <v>1</v>
      </c>
      <c r="L85" s="195">
        <v>14</v>
      </c>
      <c r="M85" s="195">
        <v>13</v>
      </c>
      <c r="N85" s="195">
        <v>3</v>
      </c>
      <c r="O85" s="195">
        <v>0</v>
      </c>
      <c r="P85" s="195">
        <v>0</v>
      </c>
      <c r="Q85" s="195">
        <v>26</v>
      </c>
      <c r="R85" s="195">
        <v>2</v>
      </c>
      <c r="S85" s="195">
        <v>1</v>
      </c>
      <c r="T85" s="195">
        <v>6</v>
      </c>
      <c r="U85" s="195">
        <v>102</v>
      </c>
      <c r="V85" s="195">
        <v>2</v>
      </c>
    </row>
    <row r="86" spans="1:22" s="212" customFormat="1">
      <c r="A86" s="1246"/>
      <c r="B86" s="246" t="s">
        <v>158</v>
      </c>
      <c r="C86" s="195">
        <v>190</v>
      </c>
      <c r="D86" s="195">
        <v>160</v>
      </c>
      <c r="E86" s="195">
        <v>18</v>
      </c>
      <c r="F86" s="195">
        <v>3</v>
      </c>
      <c r="G86" s="195">
        <v>0</v>
      </c>
      <c r="H86" s="195">
        <v>0</v>
      </c>
      <c r="I86" s="195">
        <v>130</v>
      </c>
      <c r="J86" s="195">
        <v>6</v>
      </c>
      <c r="K86" s="195">
        <v>2</v>
      </c>
      <c r="L86" s="195">
        <v>3</v>
      </c>
      <c r="M86" s="195">
        <v>2</v>
      </c>
      <c r="N86" s="195">
        <v>6</v>
      </c>
      <c r="O86" s="195">
        <v>0</v>
      </c>
      <c r="P86" s="195">
        <v>0</v>
      </c>
      <c r="Q86" s="195">
        <v>21</v>
      </c>
      <c r="R86" s="195">
        <v>2</v>
      </c>
      <c r="S86" s="195">
        <v>1</v>
      </c>
      <c r="T86" s="195">
        <v>6</v>
      </c>
      <c r="U86" s="195">
        <v>159</v>
      </c>
      <c r="V86" s="195">
        <v>4</v>
      </c>
    </row>
    <row r="87" spans="1:22" s="212" customFormat="1" hidden="1">
      <c r="A87" s="1246"/>
      <c r="B87" s="246" t="s">
        <v>159</v>
      </c>
      <c r="C87" s="195">
        <v>130</v>
      </c>
      <c r="D87" s="195">
        <v>60</v>
      </c>
      <c r="E87" s="195">
        <v>6</v>
      </c>
      <c r="F87" s="195">
        <v>2.5</v>
      </c>
      <c r="G87" s="195">
        <v>0</v>
      </c>
      <c r="H87" s="195">
        <v>0</v>
      </c>
      <c r="I87" s="195">
        <v>65</v>
      </c>
      <c r="J87" s="195">
        <v>18</v>
      </c>
      <c r="K87" s="195">
        <v>1</v>
      </c>
      <c r="L87" s="195">
        <v>15</v>
      </c>
      <c r="M87" s="195">
        <v>13</v>
      </c>
      <c r="N87" s="195">
        <v>2</v>
      </c>
      <c r="O87" s="195">
        <v>0</v>
      </c>
      <c r="P87" s="195">
        <v>0</v>
      </c>
      <c r="Q87" s="195">
        <v>27</v>
      </c>
      <c r="R87" s="195">
        <v>2</v>
      </c>
      <c r="S87" s="195">
        <v>0</v>
      </c>
      <c r="T87" s="195">
        <v>0</v>
      </c>
      <c r="U87" s="195">
        <v>83</v>
      </c>
      <c r="V87" s="195">
        <v>2</v>
      </c>
    </row>
    <row r="88" spans="1:22" s="212" customFormat="1">
      <c r="A88" s="1246"/>
      <c r="B88" s="246" t="s">
        <v>160</v>
      </c>
      <c r="C88" s="195">
        <v>130</v>
      </c>
      <c r="D88" s="195">
        <v>45</v>
      </c>
      <c r="E88" s="195">
        <v>5</v>
      </c>
      <c r="F88" s="195">
        <v>4</v>
      </c>
      <c r="G88" s="195">
        <v>0</v>
      </c>
      <c r="H88" s="195">
        <v>0</v>
      </c>
      <c r="I88" s="195">
        <v>0</v>
      </c>
      <c r="J88" s="195">
        <v>20</v>
      </c>
      <c r="K88" s="195">
        <v>0</v>
      </c>
      <c r="L88" s="195">
        <v>12</v>
      </c>
      <c r="M88" s="195">
        <v>12</v>
      </c>
      <c r="N88" s="195">
        <v>0</v>
      </c>
      <c r="O88" s="195">
        <v>0</v>
      </c>
      <c r="P88" s="195">
        <v>0</v>
      </c>
      <c r="Q88" s="195">
        <v>1</v>
      </c>
      <c r="R88" s="195">
        <v>0</v>
      </c>
      <c r="S88" s="195">
        <v>0</v>
      </c>
      <c r="T88" s="195">
        <v>0</v>
      </c>
      <c r="U88" s="195">
        <v>0</v>
      </c>
      <c r="V88" s="195">
        <v>0</v>
      </c>
    </row>
    <row r="89" spans="1:22" s="212" customFormat="1">
      <c r="A89" s="1246"/>
      <c r="B89" s="246" t="s">
        <v>161</v>
      </c>
      <c r="C89" s="195">
        <v>120</v>
      </c>
      <c r="D89" s="195">
        <v>45</v>
      </c>
      <c r="E89" s="195">
        <v>5</v>
      </c>
      <c r="F89" s="195">
        <v>4</v>
      </c>
      <c r="G89" s="195">
        <v>0</v>
      </c>
      <c r="H89" s="195">
        <v>0</v>
      </c>
      <c r="I89" s="195">
        <v>0</v>
      </c>
      <c r="J89" s="195">
        <v>20</v>
      </c>
      <c r="K89" s="195">
        <v>0</v>
      </c>
      <c r="L89" s="195">
        <v>12</v>
      </c>
      <c r="M89" s="195">
        <v>12</v>
      </c>
      <c r="N89" s="195">
        <v>0</v>
      </c>
      <c r="O89" s="195">
        <v>0</v>
      </c>
      <c r="P89" s="195">
        <v>0</v>
      </c>
      <c r="Q89" s="195">
        <v>1</v>
      </c>
      <c r="R89" s="195">
        <v>0</v>
      </c>
      <c r="S89" s="195">
        <v>0</v>
      </c>
      <c r="T89" s="195">
        <v>0</v>
      </c>
      <c r="U89" s="195">
        <v>0</v>
      </c>
      <c r="V89" s="195">
        <v>0</v>
      </c>
    </row>
    <row r="90" spans="1:22" s="212" customFormat="1">
      <c r="A90" s="1246"/>
      <c r="B90" s="246" t="s">
        <v>162</v>
      </c>
      <c r="C90" s="195">
        <v>80</v>
      </c>
      <c r="D90" s="195">
        <v>0</v>
      </c>
      <c r="E90" s="195">
        <v>0</v>
      </c>
      <c r="F90" s="195">
        <v>0</v>
      </c>
      <c r="G90" s="195">
        <v>0</v>
      </c>
      <c r="H90" s="195">
        <v>0</v>
      </c>
      <c r="I90" s="195">
        <v>10</v>
      </c>
      <c r="J90" s="195">
        <v>21</v>
      </c>
      <c r="K90" s="195">
        <v>1</v>
      </c>
      <c r="L90" s="195">
        <v>18</v>
      </c>
      <c r="M90" s="195">
        <v>11</v>
      </c>
      <c r="N90" s="195">
        <v>0</v>
      </c>
      <c r="O90" s="195">
        <v>0</v>
      </c>
      <c r="P90" s="195">
        <v>0</v>
      </c>
      <c r="Q90" s="195">
        <v>6</v>
      </c>
      <c r="R90" s="195">
        <v>0</v>
      </c>
      <c r="S90" s="195">
        <v>0</v>
      </c>
      <c r="T90" s="195">
        <v>0</v>
      </c>
      <c r="U90" s="195">
        <v>53</v>
      </c>
      <c r="V90" s="195">
        <v>2</v>
      </c>
    </row>
    <row r="91" spans="1:22" s="212" customFormat="1">
      <c r="A91" s="1246"/>
      <c r="B91" s="351" t="s">
        <v>744</v>
      </c>
      <c r="C91" s="345">
        <v>140</v>
      </c>
      <c r="D91" s="345">
        <v>60</v>
      </c>
      <c r="E91" s="345">
        <v>7</v>
      </c>
      <c r="F91" s="345">
        <v>3.5</v>
      </c>
      <c r="G91" s="345">
        <v>0</v>
      </c>
      <c r="H91" s="345">
        <v>0</v>
      </c>
      <c r="I91" s="345">
        <v>140</v>
      </c>
      <c r="J91" s="345">
        <v>17</v>
      </c>
      <c r="K91" s="345">
        <v>1</v>
      </c>
      <c r="L91" s="345">
        <v>12</v>
      </c>
      <c r="M91" s="345">
        <v>12</v>
      </c>
      <c r="N91" s="345">
        <v>2</v>
      </c>
      <c r="O91" s="345">
        <v>0</v>
      </c>
      <c r="P91" s="345">
        <v>0</v>
      </c>
      <c r="Q91" s="345">
        <v>0</v>
      </c>
      <c r="R91" s="345">
        <v>2</v>
      </c>
      <c r="S91" s="345">
        <v>0</v>
      </c>
      <c r="T91" s="345">
        <v>4</v>
      </c>
      <c r="U91" s="345" t="s">
        <v>179</v>
      </c>
      <c r="V91" s="345"/>
    </row>
    <row r="92" spans="1:22" s="212" customFormat="1">
      <c r="A92" s="1246"/>
      <c r="B92" s="246" t="s">
        <v>163</v>
      </c>
      <c r="C92" s="195">
        <v>280</v>
      </c>
      <c r="D92" s="195">
        <v>160</v>
      </c>
      <c r="E92" s="195">
        <v>18</v>
      </c>
      <c r="F92" s="195">
        <v>1.5</v>
      </c>
      <c r="G92" s="195">
        <v>0</v>
      </c>
      <c r="H92" s="195">
        <v>0</v>
      </c>
      <c r="I92" s="195">
        <v>0</v>
      </c>
      <c r="J92" s="195">
        <v>25</v>
      </c>
      <c r="K92" s="195">
        <v>3</v>
      </c>
      <c r="L92" s="195">
        <v>20</v>
      </c>
      <c r="M92" s="195">
        <v>0</v>
      </c>
      <c r="N92" s="195">
        <v>4</v>
      </c>
      <c r="O92" s="195">
        <v>0</v>
      </c>
      <c r="P92" s="195">
        <v>0</v>
      </c>
      <c r="Q92" s="195">
        <v>24</v>
      </c>
      <c r="R92" s="195">
        <v>2</v>
      </c>
      <c r="S92" s="195">
        <v>1</v>
      </c>
      <c r="T92" s="195">
        <v>6</v>
      </c>
      <c r="U92" s="195">
        <v>124</v>
      </c>
      <c r="V92" s="195">
        <v>2</v>
      </c>
    </row>
    <row r="93" spans="1:22" s="212" customFormat="1" ht="14.25" customHeight="1">
      <c r="A93" s="1246"/>
      <c r="B93" s="246" t="s">
        <v>422</v>
      </c>
      <c r="C93" s="195">
        <v>10</v>
      </c>
      <c r="D93" s="195">
        <v>0</v>
      </c>
      <c r="E93" s="195">
        <v>0</v>
      </c>
      <c r="F93" s="195">
        <v>0</v>
      </c>
      <c r="G93" s="195">
        <v>0</v>
      </c>
      <c r="H93" s="195">
        <v>0</v>
      </c>
      <c r="I93" s="195">
        <v>0</v>
      </c>
      <c r="J93" s="195">
        <v>2</v>
      </c>
      <c r="K93" s="195">
        <v>0</v>
      </c>
      <c r="L93" s="195">
        <v>1</v>
      </c>
      <c r="M93" s="195">
        <v>0</v>
      </c>
      <c r="N93" s="195">
        <v>0</v>
      </c>
      <c r="O93" s="195">
        <v>0</v>
      </c>
      <c r="P93" s="195">
        <v>0</v>
      </c>
      <c r="Q93" s="195">
        <v>20</v>
      </c>
      <c r="R93" s="188">
        <v>2</v>
      </c>
      <c r="S93" s="188">
        <v>1</v>
      </c>
      <c r="T93" s="188">
        <v>6</v>
      </c>
      <c r="U93" s="188">
        <v>0</v>
      </c>
      <c r="V93" s="188">
        <v>0</v>
      </c>
    </row>
    <row r="94" spans="1:22" ht="18" customHeight="1" thickBot="1">
      <c r="A94" s="1247"/>
      <c r="B94" s="246" t="s">
        <v>423</v>
      </c>
      <c r="C94" s="254">
        <v>80</v>
      </c>
      <c r="D94" s="254">
        <v>50</v>
      </c>
      <c r="E94" s="254">
        <v>6</v>
      </c>
      <c r="F94" s="254">
        <v>3.5</v>
      </c>
      <c r="G94" s="254">
        <v>0</v>
      </c>
      <c r="H94" s="254">
        <v>20</v>
      </c>
      <c r="I94" s="254">
        <v>5</v>
      </c>
      <c r="J94" s="254">
        <v>6</v>
      </c>
      <c r="K94" s="254">
        <v>0</v>
      </c>
      <c r="L94" s="254">
        <v>3</v>
      </c>
      <c r="M94" s="254">
        <v>2</v>
      </c>
      <c r="N94" s="254">
        <v>1</v>
      </c>
      <c r="O94" s="195">
        <v>0</v>
      </c>
      <c r="P94" s="195">
        <v>0</v>
      </c>
      <c r="Q94" s="254">
        <v>20</v>
      </c>
      <c r="R94" s="254">
        <v>2</v>
      </c>
      <c r="S94" s="254">
        <v>0</v>
      </c>
      <c r="T94" s="254">
        <v>0</v>
      </c>
      <c r="U94" s="254">
        <v>26</v>
      </c>
      <c r="V94" s="254">
        <v>0</v>
      </c>
    </row>
    <row r="95" spans="1:22" ht="18" hidden="1" customHeight="1">
      <c r="A95" s="255"/>
      <c r="B95" s="249"/>
      <c r="C95" s="195"/>
      <c r="D95" s="195"/>
      <c r="E95" s="195"/>
      <c r="F95" s="195"/>
      <c r="G95" s="195"/>
      <c r="H95" s="195"/>
      <c r="I95" s="195"/>
      <c r="J95" s="195"/>
      <c r="K95" s="195"/>
      <c r="L95" s="195"/>
      <c r="M95" s="195"/>
      <c r="N95" s="195"/>
      <c r="O95" s="195"/>
      <c r="P95" s="195"/>
      <c r="Q95" s="195"/>
      <c r="R95" s="188"/>
      <c r="S95" s="188"/>
      <c r="T95" s="188"/>
      <c r="U95" s="188"/>
      <c r="V95" s="188"/>
    </row>
    <row r="96" spans="1:22" ht="14.25" hidden="1" customHeight="1">
      <c r="A96" s="255"/>
      <c r="B96" s="247" t="s">
        <v>695</v>
      </c>
      <c r="C96" s="195">
        <v>220</v>
      </c>
      <c r="D96" s="195">
        <v>100</v>
      </c>
      <c r="E96" s="195">
        <v>11</v>
      </c>
      <c r="F96" s="195">
        <v>4</v>
      </c>
      <c r="G96" s="195">
        <v>0</v>
      </c>
      <c r="H96" s="195">
        <v>17.5</v>
      </c>
      <c r="I96" s="195">
        <v>140</v>
      </c>
      <c r="J96" s="195">
        <v>34</v>
      </c>
      <c r="K96" s="195">
        <v>2</v>
      </c>
      <c r="L96" s="195">
        <v>24</v>
      </c>
      <c r="M96" s="195">
        <v>0</v>
      </c>
      <c r="N96" s="195">
        <v>3</v>
      </c>
      <c r="O96" s="195" t="s">
        <v>641</v>
      </c>
      <c r="P96" s="195" t="s">
        <v>641</v>
      </c>
      <c r="Q96" s="195">
        <v>10</v>
      </c>
      <c r="R96" s="188">
        <v>1</v>
      </c>
      <c r="S96" s="188">
        <v>2</v>
      </c>
      <c r="T96" s="188">
        <v>10</v>
      </c>
      <c r="U96" s="188" t="s">
        <v>641</v>
      </c>
      <c r="V96" s="188" t="s">
        <v>641</v>
      </c>
    </row>
    <row r="97" spans="1:22" ht="22.5" customHeight="1">
      <c r="A97" s="1215" t="s">
        <v>752</v>
      </c>
      <c r="B97" s="1215"/>
      <c r="C97" s="1215"/>
      <c r="D97" s="1215"/>
      <c r="E97" s="1215"/>
      <c r="F97" s="1215"/>
      <c r="G97" s="1215"/>
      <c r="H97" s="1215"/>
      <c r="I97" s="1215"/>
      <c r="J97" s="1215"/>
      <c r="K97" s="1215"/>
      <c r="L97" s="1215"/>
      <c r="M97" s="1215"/>
      <c r="N97" s="1215"/>
      <c r="O97" s="1215"/>
      <c r="P97" s="1215"/>
      <c r="Q97" s="1215"/>
      <c r="R97" s="1215"/>
      <c r="S97" s="1215"/>
      <c r="T97" s="1215"/>
      <c r="U97" s="1215"/>
      <c r="V97" s="1243"/>
    </row>
    <row r="98" spans="1:22" s="212" customFormat="1" ht="18" customHeight="1" thickBot="1">
      <c r="A98" s="1209" t="s">
        <v>420</v>
      </c>
      <c r="B98" s="1210"/>
      <c r="C98" s="1210"/>
      <c r="D98" s="1210"/>
      <c r="E98" s="1210"/>
      <c r="F98" s="1210"/>
      <c r="G98" s="1210"/>
      <c r="H98" s="1210"/>
      <c r="I98" s="1210"/>
      <c r="J98" s="1210"/>
      <c r="K98" s="1210"/>
      <c r="L98" s="1210"/>
      <c r="M98" s="1210"/>
      <c r="N98" s="1210"/>
      <c r="O98" s="1210"/>
      <c r="P98" s="1210"/>
      <c r="Q98" s="1210"/>
      <c r="R98" s="1210"/>
      <c r="S98" s="1210"/>
      <c r="T98" s="1210"/>
      <c r="U98" s="1210"/>
      <c r="V98" s="1244"/>
    </row>
    <row r="99" spans="1:22" s="212" customFormat="1" ht="40.5" customHeight="1" thickBot="1">
      <c r="A99" s="253"/>
      <c r="B99" s="213" t="s">
        <v>3</v>
      </c>
      <c r="C99" s="214" t="s">
        <v>4</v>
      </c>
      <c r="D99" s="214" t="s">
        <v>5</v>
      </c>
      <c r="E99" s="214" t="s">
        <v>6</v>
      </c>
      <c r="F99" s="214" t="s">
        <v>7</v>
      </c>
      <c r="G99" s="214" t="s">
        <v>8</v>
      </c>
      <c r="H99" s="214" t="s">
        <v>9</v>
      </c>
      <c r="I99" s="214" t="s">
        <v>10</v>
      </c>
      <c r="J99" s="214" t="s">
        <v>11</v>
      </c>
      <c r="K99" s="214" t="s">
        <v>12</v>
      </c>
      <c r="L99" s="214" t="s">
        <v>13</v>
      </c>
      <c r="M99" s="214" t="s">
        <v>14</v>
      </c>
      <c r="N99" s="214" t="s">
        <v>15</v>
      </c>
      <c r="O99" s="215" t="s">
        <v>16</v>
      </c>
      <c r="P99" s="215" t="s">
        <v>17</v>
      </c>
      <c r="Q99" s="215" t="s">
        <v>18</v>
      </c>
      <c r="R99" s="215" t="s">
        <v>19</v>
      </c>
      <c r="S99" s="215" t="s">
        <v>20</v>
      </c>
      <c r="T99" s="215" t="s">
        <v>21</v>
      </c>
      <c r="U99" s="215" t="s">
        <v>22</v>
      </c>
      <c r="V99" s="215" t="s">
        <v>23</v>
      </c>
    </row>
    <row r="100" spans="1:22" s="212" customFormat="1">
      <c r="A100" s="1245"/>
      <c r="B100" s="246" t="s">
        <v>753</v>
      </c>
      <c r="C100" s="195">
        <v>160</v>
      </c>
      <c r="D100" s="195">
        <v>35</v>
      </c>
      <c r="E100" s="195">
        <v>0.5</v>
      </c>
      <c r="F100" s="195">
        <v>0</v>
      </c>
      <c r="G100" s="195">
        <v>0</v>
      </c>
      <c r="H100" s="195">
        <v>0</v>
      </c>
      <c r="I100" s="195">
        <v>35</v>
      </c>
      <c r="J100" s="195">
        <v>19</v>
      </c>
      <c r="K100" s="195">
        <v>0</v>
      </c>
      <c r="L100" s="195">
        <v>5</v>
      </c>
      <c r="M100" s="195">
        <v>0</v>
      </c>
      <c r="N100" s="195">
        <v>1</v>
      </c>
      <c r="O100" s="195">
        <v>0</v>
      </c>
      <c r="P100" s="195">
        <v>0</v>
      </c>
      <c r="Q100" s="195">
        <v>20</v>
      </c>
      <c r="R100" s="195">
        <v>2</v>
      </c>
      <c r="S100" s="195">
        <v>1</v>
      </c>
      <c r="T100" s="195">
        <v>6</v>
      </c>
      <c r="U100" s="195">
        <v>0</v>
      </c>
      <c r="V100" s="195">
        <v>0</v>
      </c>
    </row>
    <row r="101" spans="1:22" s="212" customFormat="1">
      <c r="A101" s="1246"/>
      <c r="B101" s="246" t="s">
        <v>754</v>
      </c>
      <c r="C101" s="195">
        <v>160</v>
      </c>
      <c r="D101" s="195">
        <v>35</v>
      </c>
      <c r="E101" s="195">
        <v>0.5</v>
      </c>
      <c r="F101" s="195">
        <v>0</v>
      </c>
      <c r="G101" s="195">
        <v>0</v>
      </c>
      <c r="H101" s="195">
        <v>0</v>
      </c>
      <c r="I101" s="195">
        <v>35</v>
      </c>
      <c r="J101" s="195">
        <v>19</v>
      </c>
      <c r="K101" s="195">
        <v>0</v>
      </c>
      <c r="L101" s="195">
        <v>5</v>
      </c>
      <c r="M101" s="195">
        <v>0</v>
      </c>
      <c r="N101" s="195">
        <v>1</v>
      </c>
      <c r="O101" s="195">
        <v>0</v>
      </c>
      <c r="P101" s="195">
        <v>0</v>
      </c>
      <c r="Q101" s="195">
        <v>20</v>
      </c>
      <c r="R101" s="195">
        <v>2</v>
      </c>
      <c r="S101" s="195">
        <v>1</v>
      </c>
      <c r="T101" s="195">
        <v>6</v>
      </c>
      <c r="U101" s="195">
        <v>0</v>
      </c>
      <c r="V101" s="195">
        <v>0</v>
      </c>
    </row>
    <row r="102" spans="1:22" s="212" customFormat="1">
      <c r="A102" s="1246"/>
      <c r="B102" s="246" t="s">
        <v>725</v>
      </c>
      <c r="C102" s="195">
        <v>25</v>
      </c>
      <c r="D102" s="195">
        <v>0</v>
      </c>
      <c r="E102" s="195">
        <v>0</v>
      </c>
      <c r="F102" s="195">
        <v>0</v>
      </c>
      <c r="G102" s="195">
        <v>0</v>
      </c>
      <c r="H102" s="195">
        <v>0</v>
      </c>
      <c r="I102" s="195">
        <v>10</v>
      </c>
      <c r="J102" s="195">
        <v>5</v>
      </c>
      <c r="K102" s="195">
        <v>0</v>
      </c>
      <c r="L102" s="195">
        <v>0</v>
      </c>
      <c r="M102" s="195">
        <v>0</v>
      </c>
      <c r="N102" s="195">
        <v>0</v>
      </c>
      <c r="O102" s="195">
        <v>0</v>
      </c>
      <c r="P102" s="195">
        <v>0</v>
      </c>
      <c r="Q102" s="195">
        <v>2</v>
      </c>
      <c r="R102" s="195">
        <v>2</v>
      </c>
      <c r="S102" s="195">
        <v>1</v>
      </c>
      <c r="T102" s="195">
        <v>6</v>
      </c>
      <c r="U102" s="195">
        <v>0</v>
      </c>
      <c r="V102" s="195">
        <v>0</v>
      </c>
    </row>
    <row r="103" spans="1:22">
      <c r="A103" s="1246"/>
      <c r="B103" s="246" t="s">
        <v>755</v>
      </c>
      <c r="C103" s="195">
        <v>80</v>
      </c>
      <c r="D103" s="195">
        <v>0</v>
      </c>
      <c r="E103" s="195">
        <v>0</v>
      </c>
      <c r="F103" s="195">
        <v>0</v>
      </c>
      <c r="G103" s="195">
        <v>0</v>
      </c>
      <c r="H103" s="195">
        <v>0</v>
      </c>
      <c r="I103" s="195">
        <v>40</v>
      </c>
      <c r="J103" s="195">
        <v>18</v>
      </c>
      <c r="K103" s="195">
        <v>1</v>
      </c>
      <c r="L103" s="195">
        <v>6</v>
      </c>
      <c r="M103" s="195">
        <v>1</v>
      </c>
      <c r="N103" s="195">
        <v>0</v>
      </c>
      <c r="O103" s="195">
        <v>0</v>
      </c>
      <c r="P103" s="195">
        <v>2</v>
      </c>
      <c r="Q103" s="195">
        <v>4</v>
      </c>
      <c r="R103" s="195">
        <v>2</v>
      </c>
      <c r="S103" s="195">
        <v>1</v>
      </c>
      <c r="T103" s="195">
        <v>6</v>
      </c>
      <c r="U103" s="195">
        <v>0</v>
      </c>
      <c r="V103" s="195">
        <v>0</v>
      </c>
    </row>
    <row r="104" spans="1:22" ht="14.25" customHeight="1" thickBot="1">
      <c r="A104" s="1247"/>
      <c r="B104" s="246" t="s">
        <v>756</v>
      </c>
      <c r="C104" s="195">
        <v>90</v>
      </c>
      <c r="D104" s="195">
        <v>5</v>
      </c>
      <c r="E104" s="195">
        <v>0.5</v>
      </c>
      <c r="F104" s="195">
        <v>0</v>
      </c>
      <c r="G104" s="195">
        <v>0</v>
      </c>
      <c r="H104" s="195">
        <v>0</v>
      </c>
      <c r="I104" s="195">
        <v>35</v>
      </c>
      <c r="J104" s="195">
        <v>19</v>
      </c>
      <c r="K104" s="195">
        <v>0</v>
      </c>
      <c r="L104" s="195">
        <v>5</v>
      </c>
      <c r="M104" s="195">
        <v>0</v>
      </c>
      <c r="N104" s="195">
        <v>1</v>
      </c>
      <c r="O104" s="195">
        <v>0</v>
      </c>
      <c r="P104" s="195">
        <v>0</v>
      </c>
      <c r="Q104" s="195">
        <v>20</v>
      </c>
      <c r="R104" s="195">
        <v>2</v>
      </c>
      <c r="S104" s="195">
        <v>1</v>
      </c>
      <c r="T104" s="195">
        <v>6</v>
      </c>
      <c r="U104" s="195">
        <v>0</v>
      </c>
      <c r="V104" s="195">
        <v>0</v>
      </c>
    </row>
    <row r="105" spans="1:22" ht="14.25" customHeight="1">
      <c r="B105" s="188"/>
      <c r="C105" s="188"/>
      <c r="D105" s="188"/>
      <c r="E105" s="188"/>
      <c r="F105" s="188"/>
      <c r="G105" s="188"/>
      <c r="H105" s="188"/>
      <c r="I105" s="188"/>
      <c r="J105" s="188"/>
      <c r="K105" s="188"/>
      <c r="L105" s="188"/>
      <c r="M105" s="188"/>
      <c r="N105" s="188"/>
      <c r="O105" s="188"/>
      <c r="P105" s="188"/>
      <c r="Q105" s="188"/>
      <c r="R105" s="188"/>
      <c r="S105" s="188"/>
      <c r="T105" s="188"/>
      <c r="U105" s="188"/>
      <c r="V105" s="188"/>
    </row>
    <row r="106" spans="1:22" ht="15" customHeight="1">
      <c r="B106" s="1234" t="s">
        <v>168</v>
      </c>
      <c r="C106" s="1235"/>
      <c r="D106" s="1235"/>
      <c r="E106" s="1235"/>
      <c r="F106" s="1235"/>
      <c r="G106" s="1235"/>
      <c r="H106" s="1235"/>
      <c r="I106" s="1235"/>
      <c r="J106" s="1235"/>
      <c r="K106" s="1235"/>
      <c r="L106" s="1235"/>
      <c r="M106" s="1235"/>
      <c r="N106" s="1235"/>
      <c r="O106" s="1235"/>
      <c r="P106" s="1235"/>
      <c r="Q106" s="1235"/>
      <c r="R106" s="1235"/>
      <c r="S106" s="1235"/>
      <c r="T106" s="1235"/>
      <c r="U106" s="1235"/>
      <c r="V106" s="1236"/>
    </row>
    <row r="107" spans="1:22" ht="14.25" customHeight="1">
      <c r="B107" s="1237"/>
      <c r="C107" s="1238"/>
      <c r="D107" s="1238"/>
      <c r="E107" s="1238"/>
      <c r="F107" s="1238"/>
      <c r="G107" s="1238"/>
      <c r="H107" s="1238"/>
      <c r="I107" s="1238"/>
      <c r="J107" s="1238"/>
      <c r="K107" s="1238"/>
      <c r="L107" s="1238"/>
      <c r="M107" s="1238"/>
      <c r="N107" s="1238"/>
      <c r="O107" s="1238"/>
      <c r="P107" s="1238"/>
      <c r="Q107" s="1238"/>
      <c r="R107" s="1238"/>
      <c r="S107" s="1238"/>
      <c r="T107" s="1238"/>
      <c r="U107" s="1238"/>
      <c r="V107" s="1239"/>
    </row>
    <row r="108" spans="1:22" ht="14.25" customHeight="1">
      <c r="B108" s="1240"/>
      <c r="C108" s="1241"/>
      <c r="D108" s="1241"/>
      <c r="E108" s="1241"/>
      <c r="F108" s="1241"/>
      <c r="G108" s="1241"/>
      <c r="H108" s="1241"/>
      <c r="I108" s="1241"/>
      <c r="J108" s="1241"/>
      <c r="K108" s="1241"/>
      <c r="L108" s="1241"/>
      <c r="M108" s="1241"/>
      <c r="N108" s="1241"/>
      <c r="O108" s="1241"/>
      <c r="P108" s="1241"/>
      <c r="Q108" s="1241"/>
      <c r="R108" s="1241"/>
      <c r="S108" s="1241"/>
      <c r="T108" s="1241"/>
      <c r="U108" s="1241"/>
      <c r="V108" s="1242"/>
    </row>
    <row r="109" spans="1:22" hidden="1">
      <c r="B109" s="229"/>
      <c r="C109" s="229"/>
      <c r="D109" s="229"/>
      <c r="E109" s="229"/>
      <c r="F109" s="229"/>
      <c r="G109" s="229"/>
      <c r="H109" s="229"/>
      <c r="I109" s="229"/>
      <c r="J109" s="229"/>
      <c r="K109" s="229"/>
      <c r="L109" s="229"/>
      <c r="M109" s="229"/>
      <c r="N109" s="229"/>
      <c r="O109" s="229"/>
      <c r="P109" s="229"/>
      <c r="Q109" s="229"/>
      <c r="R109" s="229"/>
      <c r="S109" s="229"/>
      <c r="T109" s="229"/>
      <c r="U109" s="229"/>
      <c r="V109" s="229"/>
    </row>
    <row r="110" spans="1:22" hidden="1">
      <c r="B110" s="231" t="s">
        <v>726</v>
      </c>
      <c r="C110" s="232">
        <f t="shared" ref="C110:V110" si="0">AVERAGE(C4:C23)</f>
        <v>139.375</v>
      </c>
      <c r="D110" s="232">
        <f t="shared" si="0"/>
        <v>68.125</v>
      </c>
      <c r="E110" s="232">
        <f t="shared" si="0"/>
        <v>7.6875</v>
      </c>
      <c r="F110" s="232">
        <f t="shared" si="0"/>
        <v>4.84375</v>
      </c>
      <c r="G110" s="232">
        <f t="shared" si="0"/>
        <v>0</v>
      </c>
      <c r="H110" s="232">
        <f t="shared" si="0"/>
        <v>49.6875</v>
      </c>
      <c r="I110" s="232">
        <f t="shared" si="0"/>
        <v>83.4375</v>
      </c>
      <c r="J110" s="232">
        <f t="shared" si="0"/>
        <v>16.375</v>
      </c>
      <c r="K110" s="232">
        <f t="shared" si="0"/>
        <v>0</v>
      </c>
      <c r="L110" s="232">
        <f t="shared" si="0"/>
        <v>14</v>
      </c>
      <c r="M110" s="232">
        <f t="shared" si="0"/>
        <v>10.625</v>
      </c>
      <c r="N110" s="232">
        <f t="shared" si="0"/>
        <v>3</v>
      </c>
      <c r="O110" s="232">
        <f t="shared" si="0"/>
        <v>0</v>
      </c>
      <c r="P110" s="232">
        <f t="shared" si="0"/>
        <v>0</v>
      </c>
      <c r="Q110" s="232">
        <f t="shared" si="0"/>
        <v>95.601124999999996</v>
      </c>
      <c r="R110" s="232">
        <f t="shared" si="0"/>
        <v>9.25</v>
      </c>
      <c r="S110" s="232">
        <f t="shared" si="0"/>
        <v>0.11277</v>
      </c>
      <c r="T110" s="232">
        <f t="shared" si="0"/>
        <v>0.625</v>
      </c>
      <c r="U110" s="232">
        <f t="shared" si="0"/>
        <v>137</v>
      </c>
      <c r="V110" s="232">
        <f t="shared" si="0"/>
        <v>3.6875</v>
      </c>
    </row>
    <row r="111" spans="1:22" ht="31.75" hidden="1">
      <c r="B111" s="234" t="s">
        <v>727</v>
      </c>
      <c r="C111" s="191" t="str">
        <f t="shared" ref="C111:V111" si="1" xml:space="preserve"> MIN(C4:C23) &amp; " - " &amp; MAX(C4:C23)</f>
        <v>130 - 150</v>
      </c>
      <c r="D111" s="191" t="str">
        <f t="shared" si="1"/>
        <v>60 - 70</v>
      </c>
      <c r="E111" s="191" t="str">
        <f t="shared" si="1"/>
        <v>7 - 8</v>
      </c>
      <c r="F111" s="191" t="str">
        <f t="shared" si="1"/>
        <v>4 - 5</v>
      </c>
      <c r="G111" s="191" t="str">
        <f t="shared" si="1"/>
        <v>0 - 0</v>
      </c>
      <c r="H111" s="191" t="str">
        <f t="shared" si="1"/>
        <v>40 - 55</v>
      </c>
      <c r="I111" s="191" t="str">
        <f t="shared" si="1"/>
        <v>70 - 90</v>
      </c>
      <c r="J111" s="191" t="str">
        <f t="shared" si="1"/>
        <v>15 - 18</v>
      </c>
      <c r="K111" s="191" t="str">
        <f t="shared" si="1"/>
        <v>0 - 0</v>
      </c>
      <c r="L111" s="191" t="str">
        <f t="shared" si="1"/>
        <v>13 - 16</v>
      </c>
      <c r="M111" s="191" t="str">
        <f t="shared" si="1"/>
        <v>10 - 13</v>
      </c>
      <c r="N111" s="191" t="str">
        <f t="shared" si="1"/>
        <v>3 - 3</v>
      </c>
      <c r="O111" s="191" t="str">
        <f t="shared" si="1"/>
        <v>0 - 0</v>
      </c>
      <c r="P111" s="191" t="str">
        <f t="shared" si="1"/>
        <v>0 - 0</v>
      </c>
      <c r="Q111" s="191" t="str">
        <f t="shared" si="1"/>
        <v>90 - 99.2233</v>
      </c>
      <c r="R111" s="191" t="str">
        <f t="shared" si="1"/>
        <v>6 - 10</v>
      </c>
      <c r="S111" s="191" t="str">
        <f t="shared" si="1"/>
        <v>0 - 1</v>
      </c>
      <c r="T111" s="191" t="str">
        <f t="shared" si="1"/>
        <v>0 - 6</v>
      </c>
      <c r="U111" s="191" t="str">
        <f t="shared" si="1"/>
        <v>122 - 182</v>
      </c>
      <c r="V111" s="191" t="str">
        <f t="shared" si="1"/>
        <v>2 - 5</v>
      </c>
    </row>
    <row r="112" spans="1:22" hidden="1">
      <c r="B112" s="234" t="s">
        <v>757</v>
      </c>
      <c r="C112" s="191">
        <f t="shared" ref="C112:V112" si="2">AVERAGE(C24:C43)</f>
        <v>254.70588235294119</v>
      </c>
      <c r="D112" s="191">
        <f t="shared" si="2"/>
        <v>118.82352941176471</v>
      </c>
      <c r="E112" s="191">
        <f t="shared" si="2"/>
        <v>13.764705882352942</v>
      </c>
      <c r="F112" s="191">
        <f t="shared" si="2"/>
        <v>8.8235294117647065</v>
      </c>
      <c r="G112" s="191">
        <f t="shared" si="2"/>
        <v>0</v>
      </c>
      <c r="H112" s="191">
        <f t="shared" si="2"/>
        <v>91.470588235294116</v>
      </c>
      <c r="I112" s="191">
        <f t="shared" si="2"/>
        <v>155.58823529411765</v>
      </c>
      <c r="J112" s="191">
        <f t="shared" si="2"/>
        <v>29.058823529411764</v>
      </c>
      <c r="K112" s="191">
        <f t="shared" si="2"/>
        <v>0</v>
      </c>
      <c r="L112" s="191">
        <f t="shared" si="2"/>
        <v>25.235294117647058</v>
      </c>
      <c r="M112" s="191">
        <f t="shared" si="2"/>
        <v>18.764705882352942</v>
      </c>
      <c r="N112" s="191">
        <f t="shared" si="2"/>
        <v>5</v>
      </c>
      <c r="O112" s="191">
        <f t="shared" si="2"/>
        <v>0</v>
      </c>
      <c r="P112" s="191">
        <f t="shared" si="2"/>
        <v>0</v>
      </c>
      <c r="Q112" s="191">
        <f t="shared" si="2"/>
        <v>172.85317647058824</v>
      </c>
      <c r="R112" s="191">
        <f t="shared" si="2"/>
        <v>16.176470588235293</v>
      </c>
      <c r="S112" s="191">
        <f t="shared" si="2"/>
        <v>0.16663641176470587</v>
      </c>
      <c r="T112" s="191">
        <f t="shared" si="2"/>
        <v>0.82352941176470584</v>
      </c>
      <c r="U112" s="191">
        <f t="shared" si="2"/>
        <v>247.52941176470588</v>
      </c>
      <c r="V112" s="191">
        <f t="shared" si="2"/>
        <v>6.6470588235294121</v>
      </c>
    </row>
    <row r="113" spans="2:22" ht="31.75" hidden="1">
      <c r="B113" s="234" t="s">
        <v>758</v>
      </c>
      <c r="C113" s="191" t="str">
        <f t="shared" ref="C113:V113" si="3" xml:space="preserve"> MIN(C24:C43) &amp; " - " &amp; MAX(C24:C43)</f>
        <v>240 - 260</v>
      </c>
      <c r="D113" s="191" t="str">
        <f t="shared" si="3"/>
        <v>110 - 130</v>
      </c>
      <c r="E113" s="191" t="str">
        <f t="shared" si="3"/>
        <v>13 - 14</v>
      </c>
      <c r="F113" s="191" t="str">
        <f t="shared" si="3"/>
        <v>8 - 9</v>
      </c>
      <c r="G113" s="191" t="str">
        <f t="shared" si="3"/>
        <v>0 - 0</v>
      </c>
      <c r="H113" s="191" t="str">
        <f t="shared" si="3"/>
        <v>75 - 95</v>
      </c>
      <c r="I113" s="191" t="str">
        <f t="shared" si="3"/>
        <v>125 - 170</v>
      </c>
      <c r="J113" s="191" t="str">
        <f t="shared" si="3"/>
        <v>28 - 33</v>
      </c>
      <c r="K113" s="191" t="str">
        <f t="shared" si="3"/>
        <v>0 - 0</v>
      </c>
      <c r="L113" s="191" t="str">
        <f t="shared" si="3"/>
        <v>24 - 29</v>
      </c>
      <c r="M113" s="191" t="str">
        <f t="shared" si="3"/>
        <v>17 - 23</v>
      </c>
      <c r="N113" s="191" t="str">
        <f t="shared" si="3"/>
        <v>5 - 5</v>
      </c>
      <c r="O113" s="191" t="str">
        <f t="shared" si="3"/>
        <v>0 - 0</v>
      </c>
      <c r="P113" s="191" t="str">
        <f t="shared" si="3"/>
        <v>0 - 0</v>
      </c>
      <c r="Q113" s="191" t="str">
        <f t="shared" si="3"/>
        <v>162 - 178.602</v>
      </c>
      <c r="R113" s="191" t="str">
        <f t="shared" si="3"/>
        <v>10 - 20</v>
      </c>
      <c r="S113" s="191" t="str">
        <f t="shared" si="3"/>
        <v>0 - 1.37779</v>
      </c>
      <c r="T113" s="191" t="str">
        <f t="shared" si="3"/>
        <v>0 - 8</v>
      </c>
      <c r="U113" s="191" t="str">
        <f t="shared" si="3"/>
        <v>219 - 330</v>
      </c>
      <c r="V113" s="191" t="str">
        <f t="shared" si="3"/>
        <v>4 - 9</v>
      </c>
    </row>
    <row r="114" spans="2:22" hidden="1">
      <c r="B114" s="234" t="s">
        <v>730</v>
      </c>
      <c r="C114" s="191">
        <f t="shared" ref="C114:V114" si="4">AVERAGE(C44:C65)</f>
        <v>326.11111111111109</v>
      </c>
      <c r="D114" s="191">
        <f t="shared" si="4"/>
        <v>157.77777777777777</v>
      </c>
      <c r="E114" s="191">
        <f t="shared" si="4"/>
        <v>17.5</v>
      </c>
      <c r="F114" s="191">
        <f t="shared" si="4"/>
        <v>10.833333333333334</v>
      </c>
      <c r="G114" s="191">
        <f t="shared" si="4"/>
        <v>0</v>
      </c>
      <c r="H114" s="191">
        <f t="shared" si="4"/>
        <v>116.94444444444444</v>
      </c>
      <c r="I114" s="191">
        <f t="shared" si="4"/>
        <v>195.55555555555554</v>
      </c>
      <c r="J114" s="191">
        <f t="shared" si="4"/>
        <v>37</v>
      </c>
      <c r="K114" s="191">
        <f t="shared" si="4"/>
        <v>0</v>
      </c>
      <c r="L114" s="191">
        <f t="shared" si="4"/>
        <v>32.055555555555557</v>
      </c>
      <c r="M114" s="191">
        <f t="shared" si="4"/>
        <v>23.611111111111111</v>
      </c>
      <c r="N114" s="191">
        <f t="shared" si="4"/>
        <v>6.2222222222222223</v>
      </c>
      <c r="O114" s="191">
        <f t="shared" si="4"/>
        <v>0</v>
      </c>
      <c r="P114" s="191">
        <f t="shared" si="4"/>
        <v>0</v>
      </c>
      <c r="Q114" s="191">
        <f t="shared" si="4"/>
        <v>221.38911111111111</v>
      </c>
      <c r="R114" s="191">
        <f t="shared" si="4"/>
        <v>20</v>
      </c>
      <c r="S114" s="191">
        <f t="shared" si="4"/>
        <v>0.21440438888888891</v>
      </c>
      <c r="T114" s="191">
        <f t="shared" si="4"/>
        <v>1.1111111111111112</v>
      </c>
      <c r="U114" s="191">
        <f t="shared" si="4"/>
        <v>315.61111111111109</v>
      </c>
      <c r="V114" s="191">
        <f t="shared" si="4"/>
        <v>8.6111111111111107</v>
      </c>
    </row>
    <row r="115" spans="2:22" ht="32.15" hidden="1" thickBot="1">
      <c r="B115" s="235" t="s">
        <v>731</v>
      </c>
      <c r="C115" s="257" t="str">
        <f t="shared" ref="C115:V115" si="5" xml:space="preserve"> MIN(C44:C65) &amp; " - " &amp; MAX(C44:C65)</f>
        <v>310 - 340</v>
      </c>
      <c r="D115" s="257" t="str">
        <f t="shared" si="5"/>
        <v>140 - 160</v>
      </c>
      <c r="E115" s="257" t="str">
        <f t="shared" si="5"/>
        <v>16 - 18</v>
      </c>
      <c r="F115" s="257" t="str">
        <f t="shared" si="5"/>
        <v>10 - 11</v>
      </c>
      <c r="G115" s="257" t="str">
        <f t="shared" si="5"/>
        <v>0 - 0</v>
      </c>
      <c r="H115" s="257" t="str">
        <f t="shared" si="5"/>
        <v>95 - 120</v>
      </c>
      <c r="I115" s="257" t="str">
        <f t="shared" si="5"/>
        <v>160 - 210</v>
      </c>
      <c r="J115" s="257" t="str">
        <f t="shared" si="5"/>
        <v>35 - 42</v>
      </c>
      <c r="K115" s="257" t="str">
        <f t="shared" si="5"/>
        <v>0 - 0</v>
      </c>
      <c r="L115" s="257" t="str">
        <f t="shared" si="5"/>
        <v>30 - 37</v>
      </c>
      <c r="M115" s="257" t="str">
        <f t="shared" si="5"/>
        <v>22 - 29</v>
      </c>
      <c r="N115" s="257" t="str">
        <f t="shared" si="5"/>
        <v>6 - 7</v>
      </c>
      <c r="O115" s="257" t="str">
        <f t="shared" si="5"/>
        <v>0 - 0</v>
      </c>
      <c r="P115" s="257" t="str">
        <f t="shared" si="5"/>
        <v>0 - 0</v>
      </c>
      <c r="Q115" s="257" t="str">
        <f t="shared" si="5"/>
        <v>206 - 228.214</v>
      </c>
      <c r="R115" s="257" t="str">
        <f t="shared" si="5"/>
        <v>15 - 25</v>
      </c>
      <c r="S115" s="257" t="str">
        <f t="shared" si="5"/>
        <v>0 - 2</v>
      </c>
      <c r="T115" s="257" t="str">
        <f t="shared" si="5"/>
        <v>0 - 10</v>
      </c>
      <c r="U115" s="257" t="str">
        <f t="shared" si="5"/>
        <v>280 - 420</v>
      </c>
      <c r="V115" s="257" t="str">
        <f t="shared" si="5"/>
        <v>6 - 12</v>
      </c>
    </row>
    <row r="116" spans="2:22" ht="16.3" hidden="1" thickBot="1"/>
    <row r="117" spans="2:22" hidden="1">
      <c r="B117" s="231" t="s">
        <v>732</v>
      </c>
      <c r="C117" s="232">
        <f t="shared" ref="C117:V117" si="6">SUM(AVERAGE(C4:C23),AVERAGE(C71:C92),AVERAGE(C71:C92),SUM(C93:C94))</f>
        <v>488.46590909090901</v>
      </c>
      <c r="D117" s="232">
        <f t="shared" si="6"/>
        <v>228.57954545454544</v>
      </c>
      <c r="E117" s="232">
        <f t="shared" si="6"/>
        <v>25.914772727272727</v>
      </c>
      <c r="F117" s="232">
        <f t="shared" si="6"/>
        <v>12.798295454545453</v>
      </c>
      <c r="G117" s="232">
        <f t="shared" si="6"/>
        <v>0</v>
      </c>
      <c r="H117" s="232">
        <f t="shared" si="6"/>
        <v>72.414772727272734</v>
      </c>
      <c r="I117" s="232">
        <f t="shared" si="6"/>
        <v>188.4375</v>
      </c>
      <c r="J117" s="232">
        <f t="shared" si="6"/>
        <v>59.64772727272728</v>
      </c>
      <c r="K117" s="232">
        <f t="shared" si="6"/>
        <v>1.1818181818181819</v>
      </c>
      <c r="L117" s="232">
        <f t="shared" si="6"/>
        <v>43.727272727272727</v>
      </c>
      <c r="M117" s="232">
        <f t="shared" si="6"/>
        <v>34.339285714285715</v>
      </c>
      <c r="N117" s="232">
        <f t="shared" si="6"/>
        <v>7.454545454545455</v>
      </c>
      <c r="O117" s="232">
        <f t="shared" si="6"/>
        <v>0</v>
      </c>
      <c r="P117" s="232">
        <f t="shared" si="6"/>
        <v>0</v>
      </c>
      <c r="Q117" s="232">
        <f t="shared" si="6"/>
        <v>161.32839772727272</v>
      </c>
      <c r="R117" s="232">
        <f t="shared" si="6"/>
        <v>15.43181818181818</v>
      </c>
      <c r="S117" s="232">
        <f t="shared" si="6"/>
        <v>2.021860909090909</v>
      </c>
      <c r="T117" s="232">
        <f t="shared" si="6"/>
        <v>12.261363636363637</v>
      </c>
      <c r="U117" s="232">
        <f t="shared" si="6"/>
        <v>290.23809523809524</v>
      </c>
      <c r="V117" s="232">
        <f t="shared" si="6"/>
        <v>6.1636904761904763</v>
      </c>
    </row>
    <row r="118" spans="2:22" ht="47.6" hidden="1">
      <c r="B118" s="234" t="s">
        <v>733</v>
      </c>
      <c r="C118" s="191" t="str">
        <f t="shared" ref="C118:V118" si="7">(MIN(C4:C23)+MIN(C71:C92)+MIN(C71:C92)) &amp;" - "&amp; ((MAX(C4:C23)+MAX(C71:C92)+MAX(C71:C92))+SUM(C93:C94))</f>
        <v>230 - 800</v>
      </c>
      <c r="D118" s="191" t="str">
        <f t="shared" si="7"/>
        <v>60 - 440</v>
      </c>
      <c r="E118" s="191" t="str">
        <f t="shared" si="7"/>
        <v>7 - 50</v>
      </c>
      <c r="F118" s="191" t="str">
        <f t="shared" si="7"/>
        <v>4 - 18.5</v>
      </c>
      <c r="G118" s="191" t="str">
        <f t="shared" si="7"/>
        <v>0 - 0</v>
      </c>
      <c r="H118" s="191" t="str">
        <f t="shared" si="7"/>
        <v>40 - 85</v>
      </c>
      <c r="I118" s="191" t="str">
        <f t="shared" si="7"/>
        <v>70 - 375</v>
      </c>
      <c r="J118" s="191" t="str">
        <f t="shared" si="7"/>
        <v>27 - 84</v>
      </c>
      <c r="K118" s="191" t="str">
        <f t="shared" si="7"/>
        <v>0 - 6</v>
      </c>
      <c r="L118" s="191" t="str">
        <f t="shared" si="7"/>
        <v>15 - 72</v>
      </c>
      <c r="M118" s="191" t="str">
        <f t="shared" si="7"/>
        <v>10 - 67</v>
      </c>
      <c r="N118" s="191" t="str">
        <f t="shared" si="7"/>
        <v>3 - 18</v>
      </c>
      <c r="O118" s="191" t="str">
        <f t="shared" si="7"/>
        <v>0 - 0</v>
      </c>
      <c r="P118" s="191" t="str">
        <f t="shared" si="7"/>
        <v>0 - 0</v>
      </c>
      <c r="Q118" s="191" t="str">
        <f t="shared" si="7"/>
        <v>90 - 213.2233</v>
      </c>
      <c r="R118" s="191" t="str">
        <f t="shared" si="7"/>
        <v>6 - 18</v>
      </c>
      <c r="S118" s="191" t="str">
        <f t="shared" si="7"/>
        <v>0 - 6</v>
      </c>
      <c r="T118" s="191" t="str">
        <f t="shared" si="7"/>
        <v>0 - 32</v>
      </c>
      <c r="U118" s="191" t="str">
        <f t="shared" si="7"/>
        <v>122 - 568</v>
      </c>
      <c r="V118" s="191" t="str">
        <f t="shared" si="7"/>
        <v>2 - 13</v>
      </c>
    </row>
    <row r="119" spans="2:22" hidden="1">
      <c r="B119" s="234" t="s">
        <v>759</v>
      </c>
      <c r="C119" s="191">
        <f t="shared" ref="C119:V119" si="8">SUM(AVERAGE(C24:C43),(AVERAGE(C71:C92)*2),(C93:C94))</f>
        <v>603.79679144385022</v>
      </c>
      <c r="D119" s="191">
        <f t="shared" si="8"/>
        <v>279.27807486631013</v>
      </c>
      <c r="E119" s="191">
        <f t="shared" si="8"/>
        <v>31.991978609625669</v>
      </c>
      <c r="F119" s="191">
        <f t="shared" si="8"/>
        <v>16.77807486631016</v>
      </c>
      <c r="G119" s="191">
        <f t="shared" si="8"/>
        <v>0</v>
      </c>
      <c r="H119" s="191">
        <f t="shared" si="8"/>
        <v>114.19786096256685</v>
      </c>
      <c r="I119" s="191">
        <f t="shared" si="8"/>
        <v>260.58823529411768</v>
      </c>
      <c r="J119" s="191">
        <f t="shared" si="8"/>
        <v>72.331550802139034</v>
      </c>
      <c r="K119" s="191">
        <f t="shared" si="8"/>
        <v>1.1818181818181819</v>
      </c>
      <c r="L119" s="191">
        <f t="shared" si="8"/>
        <v>54.962566844919785</v>
      </c>
      <c r="M119" s="191">
        <f t="shared" si="8"/>
        <v>42.478991596638657</v>
      </c>
      <c r="N119" s="191">
        <f t="shared" si="8"/>
        <v>9.454545454545455</v>
      </c>
      <c r="O119" s="191">
        <f t="shared" si="8"/>
        <v>0</v>
      </c>
      <c r="P119" s="191">
        <f t="shared" si="8"/>
        <v>0</v>
      </c>
      <c r="Q119" s="191">
        <f t="shared" si="8"/>
        <v>238.58044919786096</v>
      </c>
      <c r="R119" s="191">
        <f t="shared" si="8"/>
        <v>22.358288770053477</v>
      </c>
      <c r="S119" s="191">
        <f t="shared" si="8"/>
        <v>2.0757273208556146</v>
      </c>
      <c r="T119" s="191">
        <f t="shared" si="8"/>
        <v>12.459893048128343</v>
      </c>
      <c r="U119" s="191">
        <f t="shared" si="8"/>
        <v>400.76750700280115</v>
      </c>
      <c r="V119" s="191">
        <f t="shared" si="8"/>
        <v>9.1232492997198875</v>
      </c>
    </row>
    <row r="120" spans="2:22" ht="31.75" hidden="1">
      <c r="B120" s="234" t="s">
        <v>760</v>
      </c>
      <c r="C120" s="191" t="str">
        <f t="shared" ref="C120:V120" si="9">(MIN(C24:C43)+MIN(C71:C92)+MIN(C71:C92)) &amp;" - "&amp; ((MAX(C24:C43)+MAX(C71:C92)+MAX(C71:C92))+SUM(C93:C94))</f>
        <v>340 - 910</v>
      </c>
      <c r="D120" s="191" t="str">
        <f t="shared" si="9"/>
        <v>110 - 500</v>
      </c>
      <c r="E120" s="191" t="str">
        <f t="shared" si="9"/>
        <v>13 - 56</v>
      </c>
      <c r="F120" s="191" t="str">
        <f t="shared" si="9"/>
        <v>8 - 22.5</v>
      </c>
      <c r="G120" s="191" t="str">
        <f t="shared" si="9"/>
        <v>0 - 0</v>
      </c>
      <c r="H120" s="191" t="str">
        <f t="shared" si="9"/>
        <v>75 - 125</v>
      </c>
      <c r="I120" s="191" t="str">
        <f t="shared" si="9"/>
        <v>125 - 455</v>
      </c>
      <c r="J120" s="191" t="str">
        <f t="shared" si="9"/>
        <v>40 - 99</v>
      </c>
      <c r="K120" s="191" t="str">
        <f t="shared" si="9"/>
        <v>0 - 6</v>
      </c>
      <c r="L120" s="191" t="str">
        <f t="shared" si="9"/>
        <v>26 - 85</v>
      </c>
      <c r="M120" s="191" t="str">
        <f t="shared" si="9"/>
        <v>17 - 77</v>
      </c>
      <c r="N120" s="191" t="str">
        <f t="shared" si="9"/>
        <v>5 - 20</v>
      </c>
      <c r="O120" s="191" t="str">
        <f t="shared" si="9"/>
        <v>0 - 0</v>
      </c>
      <c r="P120" s="191" t="str">
        <f t="shared" si="9"/>
        <v>0 - 0</v>
      </c>
      <c r="Q120" s="191" t="str">
        <f t="shared" si="9"/>
        <v>162 - 292.602</v>
      </c>
      <c r="R120" s="191" t="str">
        <f t="shared" si="9"/>
        <v>10 - 28</v>
      </c>
      <c r="S120" s="191" t="str">
        <f t="shared" si="9"/>
        <v>0 - 6.37779</v>
      </c>
      <c r="T120" s="191" t="str">
        <f t="shared" si="9"/>
        <v>0 - 34</v>
      </c>
      <c r="U120" s="191" t="str">
        <f t="shared" si="9"/>
        <v>219 - 716</v>
      </c>
      <c r="V120" s="191" t="str">
        <f t="shared" si="9"/>
        <v>4 - 17</v>
      </c>
    </row>
    <row r="121" spans="2:22" hidden="1">
      <c r="B121" s="234" t="s">
        <v>736</v>
      </c>
      <c r="C121" s="191">
        <f t="shared" ref="C121:V121" si="10">SUM(AVERAGE(C44:C65),(AVERAGE(C71:C92)*2),(C93:C94))</f>
        <v>675.20202020202009</v>
      </c>
      <c r="D121" s="191">
        <f t="shared" si="10"/>
        <v>318.23232323232321</v>
      </c>
      <c r="E121" s="191">
        <f t="shared" si="10"/>
        <v>35.727272727272727</v>
      </c>
      <c r="F121" s="191">
        <f t="shared" si="10"/>
        <v>18.787878787878789</v>
      </c>
      <c r="G121" s="191">
        <f t="shared" si="10"/>
        <v>0</v>
      </c>
      <c r="H121" s="191">
        <f t="shared" si="10"/>
        <v>139.67171717171718</v>
      </c>
      <c r="I121" s="191">
        <f t="shared" si="10"/>
        <v>300.55555555555554</v>
      </c>
      <c r="J121" s="191">
        <f t="shared" si="10"/>
        <v>80.27272727272728</v>
      </c>
      <c r="K121" s="191">
        <f t="shared" si="10"/>
        <v>1.1818181818181819</v>
      </c>
      <c r="L121" s="191">
        <f t="shared" si="10"/>
        <v>61.782828282828284</v>
      </c>
      <c r="M121" s="191">
        <f t="shared" si="10"/>
        <v>47.325396825396822</v>
      </c>
      <c r="N121" s="191">
        <f t="shared" si="10"/>
        <v>10.676767676767676</v>
      </c>
      <c r="O121" s="191">
        <f t="shared" si="10"/>
        <v>0</v>
      </c>
      <c r="P121" s="191">
        <f t="shared" si="10"/>
        <v>0</v>
      </c>
      <c r="Q121" s="191">
        <f t="shared" si="10"/>
        <v>287.11638383838385</v>
      </c>
      <c r="R121" s="191">
        <f t="shared" si="10"/>
        <v>26.18181818181818</v>
      </c>
      <c r="S121" s="191">
        <f t="shared" si="10"/>
        <v>2.1234952979797979</v>
      </c>
      <c r="T121" s="191">
        <f t="shared" si="10"/>
        <v>12.747474747474747</v>
      </c>
      <c r="U121" s="191">
        <f t="shared" si="10"/>
        <v>468.84920634920633</v>
      </c>
      <c r="V121" s="191">
        <f t="shared" si="10"/>
        <v>11.087301587301587</v>
      </c>
    </row>
    <row r="122" spans="2:22" ht="32.15" hidden="1" thickBot="1">
      <c r="B122" s="235" t="s">
        <v>737</v>
      </c>
      <c r="C122" s="257" t="str">
        <f t="shared" ref="C122:V122" si="11">(MIN(C44:C65)+MIN(C71:C92)+MIN(C71:C92)) &amp;" - "&amp; ((MAX(C44:C65)+MAX(C71:C92)+MAX(C71:C92))+SUM(C93:C94))</f>
        <v>410 - 990</v>
      </c>
      <c r="D122" s="257" t="str">
        <f t="shared" si="11"/>
        <v>140 - 530</v>
      </c>
      <c r="E122" s="257" t="str">
        <f t="shared" si="11"/>
        <v>16 - 60</v>
      </c>
      <c r="F122" s="257" t="str">
        <f t="shared" si="11"/>
        <v>10 - 24.5</v>
      </c>
      <c r="G122" s="257" t="str">
        <f t="shared" si="11"/>
        <v>0 - 0</v>
      </c>
      <c r="H122" s="257" t="str">
        <f t="shared" si="11"/>
        <v>95 - 150</v>
      </c>
      <c r="I122" s="257" t="str">
        <f t="shared" si="11"/>
        <v>160 - 495</v>
      </c>
      <c r="J122" s="257" t="str">
        <f t="shared" si="11"/>
        <v>47 - 108</v>
      </c>
      <c r="K122" s="257" t="str">
        <f t="shared" si="11"/>
        <v>0 - 6</v>
      </c>
      <c r="L122" s="257" t="str">
        <f t="shared" si="11"/>
        <v>32 - 93</v>
      </c>
      <c r="M122" s="257" t="str">
        <f t="shared" si="11"/>
        <v>22 - 83</v>
      </c>
      <c r="N122" s="257" t="str">
        <f t="shared" si="11"/>
        <v>6 - 22</v>
      </c>
      <c r="O122" s="257" t="str">
        <f t="shared" si="11"/>
        <v>0 - 0</v>
      </c>
      <c r="P122" s="257" t="str">
        <f t="shared" si="11"/>
        <v>0 - 0</v>
      </c>
      <c r="Q122" s="257" t="str">
        <f t="shared" si="11"/>
        <v>206 - 342.214</v>
      </c>
      <c r="R122" s="257" t="str">
        <f t="shared" si="11"/>
        <v>15 - 33</v>
      </c>
      <c r="S122" s="257" t="str">
        <f t="shared" si="11"/>
        <v>0 - 7</v>
      </c>
      <c r="T122" s="257" t="str">
        <f t="shared" si="11"/>
        <v>0 - 36</v>
      </c>
      <c r="U122" s="257" t="str">
        <f t="shared" si="11"/>
        <v>280 - 806</v>
      </c>
      <c r="V122" s="257" t="str">
        <f t="shared" si="11"/>
        <v>6 - 20</v>
      </c>
    </row>
    <row r="123" spans="2:22" hidden="1"/>
    <row r="124" spans="2:22" hidden="1"/>
    <row r="125" spans="2:22" ht="31.75" hidden="1">
      <c r="B125" s="234" t="s">
        <v>761</v>
      </c>
      <c r="C125" s="509" t="str">
        <f t="shared" ref="C125:V125" si="12">(MIN(C24:C43)+MIN(C71:C92)+MIN(C71:C92)+C96) &amp;" - "&amp; ((MAX(C24:C43)+MAX(C71:C92)+MAX(C71:C92))+SUM(C93:C94)+C96)</f>
        <v>560 - 1130</v>
      </c>
      <c r="D125" s="509" t="str">
        <f t="shared" si="12"/>
        <v>210 - 600</v>
      </c>
      <c r="E125" s="509" t="str">
        <f t="shared" si="12"/>
        <v>24 - 67</v>
      </c>
      <c r="F125" s="509" t="str">
        <f t="shared" si="12"/>
        <v>12 - 26.5</v>
      </c>
      <c r="G125" s="509" t="str">
        <f t="shared" si="12"/>
        <v>0 - 0</v>
      </c>
      <c r="H125" s="509" t="str">
        <f t="shared" si="12"/>
        <v>92.5 - 142.5</v>
      </c>
      <c r="I125" s="509" t="str">
        <f t="shared" si="12"/>
        <v>265 - 595</v>
      </c>
      <c r="J125" s="509" t="str">
        <f t="shared" si="12"/>
        <v>74 - 133</v>
      </c>
      <c r="K125" s="509" t="str">
        <f t="shared" si="12"/>
        <v>2 - 8</v>
      </c>
      <c r="L125" s="509" t="str">
        <f t="shared" si="12"/>
        <v>50 - 109</v>
      </c>
      <c r="M125" s="509" t="str">
        <f t="shared" si="12"/>
        <v>17 - 77</v>
      </c>
      <c r="N125" s="509" t="str">
        <f t="shared" si="12"/>
        <v>8 - 23</v>
      </c>
      <c r="O125" s="509" t="e">
        <f t="shared" si="12"/>
        <v>#VALUE!</v>
      </c>
      <c r="P125" s="509" t="e">
        <f t="shared" si="12"/>
        <v>#VALUE!</v>
      </c>
      <c r="Q125" s="509" t="str">
        <f t="shared" si="12"/>
        <v>172 - 302.602</v>
      </c>
      <c r="R125" s="509" t="str">
        <f t="shared" si="12"/>
        <v>11 - 29</v>
      </c>
      <c r="S125" s="509" t="str">
        <f t="shared" si="12"/>
        <v>2 - 8.37779</v>
      </c>
      <c r="T125" s="509" t="str">
        <f t="shared" si="12"/>
        <v>10 - 44</v>
      </c>
      <c r="U125" s="509" t="e">
        <f t="shared" si="12"/>
        <v>#VALUE!</v>
      </c>
      <c r="V125" s="509" t="e">
        <f t="shared" si="12"/>
        <v>#VALUE!</v>
      </c>
    </row>
    <row r="126" spans="2:22" ht="32.15" hidden="1" thickBot="1">
      <c r="B126" s="235" t="s">
        <v>762</v>
      </c>
      <c r="C126" s="510" t="str">
        <f t="shared" ref="C126:V126" si="13">(MIN(C44:C65)+MIN(C71:C92)+MIN(C71:C92)+C96) &amp;" - "&amp; ((MAX(C44:C65)+MAX(C71:C92)+MAX(C71:C92))+SUM(C93:C94)+C96)</f>
        <v>630 - 1210</v>
      </c>
      <c r="D126" s="510" t="str">
        <f t="shared" si="13"/>
        <v>240 - 630</v>
      </c>
      <c r="E126" s="510" t="str">
        <f t="shared" si="13"/>
        <v>27 - 71</v>
      </c>
      <c r="F126" s="510" t="str">
        <f t="shared" si="13"/>
        <v>14 - 28.5</v>
      </c>
      <c r="G126" s="510" t="str">
        <f t="shared" si="13"/>
        <v>0 - 0</v>
      </c>
      <c r="H126" s="510" t="str">
        <f t="shared" si="13"/>
        <v>112.5 - 167.5</v>
      </c>
      <c r="I126" s="510" t="str">
        <f t="shared" si="13"/>
        <v>300 - 635</v>
      </c>
      <c r="J126" s="510" t="str">
        <f t="shared" si="13"/>
        <v>81 - 142</v>
      </c>
      <c r="K126" s="510" t="str">
        <f t="shared" si="13"/>
        <v>2 - 8</v>
      </c>
      <c r="L126" s="510" t="str">
        <f t="shared" si="13"/>
        <v>56 - 117</v>
      </c>
      <c r="M126" s="510" t="str">
        <f t="shared" si="13"/>
        <v>22 - 83</v>
      </c>
      <c r="N126" s="510" t="str">
        <f t="shared" si="13"/>
        <v>9 - 25</v>
      </c>
      <c r="O126" s="510" t="e">
        <f t="shared" si="13"/>
        <v>#VALUE!</v>
      </c>
      <c r="P126" s="510" t="e">
        <f t="shared" si="13"/>
        <v>#VALUE!</v>
      </c>
      <c r="Q126" s="510" t="str">
        <f t="shared" si="13"/>
        <v>216 - 352.214</v>
      </c>
      <c r="R126" s="510" t="str">
        <f t="shared" si="13"/>
        <v>16 - 34</v>
      </c>
      <c r="S126" s="510" t="str">
        <f t="shared" si="13"/>
        <v>2 - 9</v>
      </c>
      <c r="T126" s="510" t="str">
        <f t="shared" si="13"/>
        <v>10 - 46</v>
      </c>
      <c r="U126" s="510" t="e">
        <f t="shared" si="13"/>
        <v>#VALUE!</v>
      </c>
      <c r="V126" s="510" t="e">
        <f t="shared" si="13"/>
        <v>#VALUE!</v>
      </c>
    </row>
    <row r="127" spans="2:22">
      <c r="V127" s="179" t="s">
        <v>763</v>
      </c>
    </row>
  </sheetData>
  <mergeCells count="12">
    <mergeCell ref="A70:A94"/>
    <mergeCell ref="A100:A104"/>
    <mergeCell ref="B106:V108"/>
    <mergeCell ref="A2:V2"/>
    <mergeCell ref="A1:V1"/>
    <mergeCell ref="A67:V67"/>
    <mergeCell ref="A68:V68"/>
    <mergeCell ref="A44:A65"/>
    <mergeCell ref="A97:V97"/>
    <mergeCell ref="A98:V98"/>
    <mergeCell ref="A4:A23"/>
    <mergeCell ref="A24:A43"/>
  </mergeCells>
  <pageMargins left="0.7" right="0.7" top="0.75" bottom="0.75" header="0.3" footer="0.3"/>
  <pageSetup scale="43" fitToHeight="0" orientation="landscape" r:id="rId1"/>
  <headerFooter>
    <oddHeader xml:space="preserve">&amp;R&amp;14 2020 Nutrition Information </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88525-8911-4806-A9F0-F31DA6D52ECD}">
  <dimension ref="A1"/>
  <sheetViews>
    <sheetView workbookViewId="0">
      <selection activeCell="A4" sqref="A4:V58"/>
    </sheetView>
    <sheetView workbookViewId="1"/>
    <sheetView workbookViewId="2"/>
  </sheetViews>
  <sheetFormatPr defaultRowHeight="12.45"/>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96D4B-8A58-4B1E-8899-AA032F3A5B19}">
  <dimension ref="A1"/>
  <sheetViews>
    <sheetView workbookViewId="0"/>
    <sheetView workbookViewId="1"/>
    <sheetView workbookViewId="2"/>
  </sheetViews>
  <sheetFormatPr defaultRowHeight="12.4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244AD-5380-49FF-BD74-1A3A4065B0BA}">
  <dimension ref="A1"/>
  <sheetViews>
    <sheetView workbookViewId="0">
      <selection activeCell="A4" sqref="A4:V58"/>
    </sheetView>
    <sheetView workbookViewId="1"/>
    <sheetView workbookViewId="2"/>
  </sheetViews>
  <sheetFormatPr defaultRowHeight="12.45"/>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V123"/>
  <sheetViews>
    <sheetView zoomScaleNormal="100" workbookViewId="0">
      <selection activeCell="B30" sqref="B30"/>
    </sheetView>
    <sheetView workbookViewId="1"/>
    <sheetView workbookViewId="2"/>
  </sheetViews>
  <sheetFormatPr defaultColWidth="8.84375" defaultRowHeight="15.9"/>
  <cols>
    <col min="1" max="1" width="6.53515625" style="179" customWidth="1"/>
    <col min="2" max="2" width="57" style="179" customWidth="1"/>
    <col min="3" max="4" width="10.53515625" style="179" customWidth="1"/>
    <col min="5" max="5" width="8.53515625" style="179" customWidth="1"/>
    <col min="6" max="6" width="11.53515625" style="179" customWidth="1"/>
    <col min="7" max="7" width="8.53515625" style="179" customWidth="1"/>
    <col min="8" max="8" width="13" style="179" customWidth="1"/>
    <col min="9" max="9" width="9" style="179" customWidth="1"/>
    <col min="10" max="10" width="16.53515625" style="179" customWidth="1"/>
    <col min="11" max="11" width="9" style="179" customWidth="1"/>
    <col min="12" max="12" width="7.84375" style="179" customWidth="1"/>
    <col min="13" max="13" width="9" style="179" customWidth="1"/>
    <col min="14" max="16" width="11.53515625" style="179" customWidth="1"/>
    <col min="17" max="17" width="9" style="179" customWidth="1"/>
    <col min="18" max="18" width="10.53515625" style="179" customWidth="1"/>
    <col min="19" max="19" width="38.15234375" style="179" customWidth="1"/>
    <col min="20" max="20" width="14" style="179" customWidth="1"/>
    <col min="21" max="16384" width="8.84375" style="179"/>
  </cols>
  <sheetData>
    <row r="1" spans="1:22" ht="22.5" customHeight="1">
      <c r="A1" s="178"/>
      <c r="B1" s="1215" t="s">
        <v>764</v>
      </c>
      <c r="C1" s="1390"/>
      <c r="D1" s="1390"/>
      <c r="E1" s="1390"/>
      <c r="F1" s="1390"/>
      <c r="G1" s="1390"/>
      <c r="H1" s="1390"/>
      <c r="I1" s="1390"/>
      <c r="J1" s="1390"/>
      <c r="K1" s="1390"/>
      <c r="L1" s="1390"/>
      <c r="M1" s="1390"/>
      <c r="N1" s="1390"/>
      <c r="O1" s="1390"/>
      <c r="P1" s="1390"/>
      <c r="Q1" s="1390"/>
    </row>
    <row r="2" spans="1:22" ht="18" customHeight="1" thickBot="1">
      <c r="A2" s="178"/>
      <c r="B2" s="1419" t="s">
        <v>765</v>
      </c>
      <c r="C2" s="1419"/>
      <c r="D2" s="1419"/>
      <c r="E2" s="1419"/>
      <c r="F2" s="1419"/>
      <c r="G2" s="1419"/>
      <c r="H2" s="1419"/>
      <c r="I2" s="1419"/>
      <c r="J2" s="1419"/>
      <c r="K2" s="1419"/>
      <c r="L2" s="1419"/>
      <c r="M2" s="1419"/>
      <c r="N2" s="1419"/>
      <c r="O2" s="1419"/>
      <c r="P2" s="1419"/>
      <c r="Q2" s="1419"/>
    </row>
    <row r="3" spans="1:22" ht="37.5" customHeight="1" thickBot="1">
      <c r="A3" s="180"/>
      <c r="B3" s="181" t="s">
        <v>3</v>
      </c>
      <c r="C3" s="181" t="s">
        <v>4</v>
      </c>
      <c r="D3" s="181" t="s">
        <v>5</v>
      </c>
      <c r="E3" s="181" t="s">
        <v>6</v>
      </c>
      <c r="F3" s="181" t="s">
        <v>7</v>
      </c>
      <c r="G3" s="181" t="s">
        <v>8</v>
      </c>
      <c r="H3" s="181" t="s">
        <v>9</v>
      </c>
      <c r="I3" s="181" t="s">
        <v>10</v>
      </c>
      <c r="J3" s="181" t="s">
        <v>11</v>
      </c>
      <c r="K3" s="181" t="s">
        <v>12</v>
      </c>
      <c r="L3" s="181" t="s">
        <v>502</v>
      </c>
      <c r="M3" s="181" t="s">
        <v>15</v>
      </c>
      <c r="N3" s="182" t="s">
        <v>503</v>
      </c>
      <c r="O3" s="182" t="s">
        <v>504</v>
      </c>
      <c r="P3" s="182" t="s">
        <v>19</v>
      </c>
      <c r="Q3" s="183" t="s">
        <v>21</v>
      </c>
      <c r="R3" s="184"/>
    </row>
    <row r="4" spans="1:22" ht="14.25" customHeight="1">
      <c r="A4" s="185"/>
      <c r="B4" s="186" t="s">
        <v>766</v>
      </c>
      <c r="C4" s="187">
        <v>150</v>
      </c>
      <c r="D4" s="187">
        <v>40</v>
      </c>
      <c r="E4" s="187">
        <v>4.5</v>
      </c>
      <c r="F4" s="187">
        <v>4</v>
      </c>
      <c r="G4" s="187">
        <v>0</v>
      </c>
      <c r="H4" s="187">
        <v>0</v>
      </c>
      <c r="I4" s="187">
        <v>45</v>
      </c>
      <c r="J4" s="187">
        <v>25</v>
      </c>
      <c r="K4" s="187">
        <v>1</v>
      </c>
      <c r="L4" s="187">
        <v>9</v>
      </c>
      <c r="M4" s="187">
        <v>2</v>
      </c>
      <c r="N4" s="187">
        <v>0</v>
      </c>
      <c r="O4" s="187">
        <v>0</v>
      </c>
      <c r="P4" s="187">
        <v>2</v>
      </c>
      <c r="Q4" s="187">
        <v>8</v>
      </c>
      <c r="R4" s="188"/>
      <c r="S4" s="188"/>
      <c r="T4" s="188"/>
      <c r="U4" s="188"/>
      <c r="V4" s="188"/>
    </row>
    <row r="5" spans="1:22" ht="14.25" customHeight="1">
      <c r="A5" s="189"/>
      <c r="B5" s="186" t="s">
        <v>767</v>
      </c>
      <c r="C5" s="187">
        <v>220</v>
      </c>
      <c r="D5" s="187">
        <v>70</v>
      </c>
      <c r="E5" s="187">
        <v>7</v>
      </c>
      <c r="F5" s="187">
        <v>6</v>
      </c>
      <c r="G5" s="187">
        <v>0</v>
      </c>
      <c r="H5" s="187">
        <v>0</v>
      </c>
      <c r="I5" s="187">
        <v>45</v>
      </c>
      <c r="J5" s="187">
        <v>36</v>
      </c>
      <c r="K5" s="187">
        <v>1</v>
      </c>
      <c r="L5" s="187">
        <v>16</v>
      </c>
      <c r="M5" s="187">
        <v>2</v>
      </c>
      <c r="N5" s="187">
        <v>0</v>
      </c>
      <c r="O5" s="187">
        <v>0</v>
      </c>
      <c r="P5" s="187">
        <v>2</v>
      </c>
      <c r="Q5" s="187">
        <v>8</v>
      </c>
      <c r="R5" s="188"/>
      <c r="S5" s="188"/>
      <c r="T5" s="188"/>
      <c r="U5" s="188"/>
      <c r="V5" s="188"/>
    </row>
    <row r="6" spans="1:22" ht="14.25" customHeight="1">
      <c r="A6" s="189"/>
      <c r="B6" s="186" t="s">
        <v>768</v>
      </c>
      <c r="C6" s="187">
        <v>220</v>
      </c>
      <c r="D6" s="187">
        <v>70</v>
      </c>
      <c r="E6" s="187">
        <v>8</v>
      </c>
      <c r="F6" s="187">
        <v>7</v>
      </c>
      <c r="G6" s="187">
        <v>0</v>
      </c>
      <c r="H6" s="187">
        <v>0</v>
      </c>
      <c r="I6" s="187">
        <v>60</v>
      </c>
      <c r="J6" s="187">
        <v>35</v>
      </c>
      <c r="K6" s="187">
        <v>2</v>
      </c>
      <c r="L6" s="187">
        <v>14</v>
      </c>
      <c r="M6" s="187">
        <v>2</v>
      </c>
      <c r="N6" s="187">
        <v>0</v>
      </c>
      <c r="O6" s="187">
        <v>0</v>
      </c>
      <c r="P6" s="187">
        <v>2</v>
      </c>
      <c r="Q6" s="187">
        <v>10</v>
      </c>
      <c r="R6" s="188"/>
      <c r="S6" s="188"/>
      <c r="T6" s="188"/>
      <c r="U6" s="188"/>
      <c r="V6" s="188"/>
    </row>
    <row r="7" spans="1:22" ht="14.25" customHeight="1">
      <c r="A7" s="189"/>
      <c r="B7" s="186" t="s">
        <v>769</v>
      </c>
      <c r="C7" s="187">
        <v>210</v>
      </c>
      <c r="D7" s="187">
        <v>60</v>
      </c>
      <c r="E7" s="187">
        <v>7</v>
      </c>
      <c r="F7" s="187">
        <v>4.5</v>
      </c>
      <c r="G7" s="187">
        <v>0</v>
      </c>
      <c r="H7" s="187">
        <v>0</v>
      </c>
      <c r="I7" s="187">
        <v>105</v>
      </c>
      <c r="J7" s="187">
        <v>33</v>
      </c>
      <c r="K7" s="187">
        <v>1</v>
      </c>
      <c r="L7" s="187">
        <v>14</v>
      </c>
      <c r="M7" s="187">
        <v>2</v>
      </c>
      <c r="N7" s="187">
        <v>0</v>
      </c>
      <c r="O7" s="187">
        <v>0</v>
      </c>
      <c r="P7" s="187">
        <v>2</v>
      </c>
      <c r="Q7" s="187">
        <v>10</v>
      </c>
      <c r="R7" s="188"/>
      <c r="S7" s="188"/>
      <c r="T7" s="188"/>
      <c r="U7" s="188"/>
      <c r="V7" s="188"/>
    </row>
    <row r="8" spans="1:22" ht="14.25" customHeight="1">
      <c r="A8" s="189"/>
      <c r="B8" s="186" t="s">
        <v>770</v>
      </c>
      <c r="C8" s="187">
        <v>180</v>
      </c>
      <c r="D8" s="187">
        <v>50</v>
      </c>
      <c r="E8" s="187">
        <v>5</v>
      </c>
      <c r="F8" s="187">
        <v>4.5</v>
      </c>
      <c r="G8" s="187">
        <v>0</v>
      </c>
      <c r="H8" s="187">
        <v>0</v>
      </c>
      <c r="I8" s="187">
        <v>75</v>
      </c>
      <c r="J8" s="187">
        <v>29</v>
      </c>
      <c r="K8" s="187">
        <v>1</v>
      </c>
      <c r="L8" s="187">
        <v>11</v>
      </c>
      <c r="M8" s="187">
        <v>2</v>
      </c>
      <c r="N8" s="187">
        <v>0</v>
      </c>
      <c r="O8" s="187">
        <v>0</v>
      </c>
      <c r="P8" s="187">
        <v>2</v>
      </c>
      <c r="Q8" s="187">
        <v>10</v>
      </c>
      <c r="R8" s="188"/>
      <c r="S8" s="188"/>
      <c r="T8" s="188"/>
      <c r="U8" s="188"/>
      <c r="V8" s="188"/>
    </row>
    <row r="9" spans="1:22" ht="14.25" customHeight="1">
      <c r="A9" s="189"/>
      <c r="B9" s="186" t="s">
        <v>771</v>
      </c>
      <c r="C9" s="187">
        <v>190</v>
      </c>
      <c r="D9" s="187">
        <v>60</v>
      </c>
      <c r="E9" s="187">
        <v>7</v>
      </c>
      <c r="F9" s="187">
        <v>5</v>
      </c>
      <c r="G9" s="187">
        <v>0</v>
      </c>
      <c r="H9" s="187">
        <v>0</v>
      </c>
      <c r="I9" s="187">
        <v>45</v>
      </c>
      <c r="J9" s="187">
        <v>30</v>
      </c>
      <c r="K9" s="187">
        <v>2</v>
      </c>
      <c r="L9" s="187">
        <v>14</v>
      </c>
      <c r="M9" s="187">
        <v>2</v>
      </c>
      <c r="N9" s="187">
        <v>0</v>
      </c>
      <c r="O9" s="187">
        <v>0</v>
      </c>
      <c r="P9" s="187">
        <v>2</v>
      </c>
      <c r="Q9" s="187">
        <v>8</v>
      </c>
      <c r="R9" s="188"/>
      <c r="S9" s="188"/>
      <c r="T9" s="188"/>
      <c r="U9" s="188"/>
      <c r="V9" s="188"/>
    </row>
    <row r="10" spans="1:22" ht="14.25" customHeight="1">
      <c r="A10" s="189"/>
      <c r="B10" s="186" t="s">
        <v>772</v>
      </c>
      <c r="C10" s="187">
        <v>210</v>
      </c>
      <c r="D10" s="187">
        <v>90</v>
      </c>
      <c r="E10" s="187">
        <v>10</v>
      </c>
      <c r="F10" s="187">
        <v>4.5</v>
      </c>
      <c r="G10" s="187">
        <v>0</v>
      </c>
      <c r="H10" s="187">
        <v>0</v>
      </c>
      <c r="I10" s="187">
        <v>60</v>
      </c>
      <c r="J10" s="187">
        <v>27</v>
      </c>
      <c r="K10" s="187">
        <v>2</v>
      </c>
      <c r="L10" s="187">
        <v>9</v>
      </c>
      <c r="M10" s="187">
        <v>4</v>
      </c>
      <c r="N10" s="187">
        <v>0</v>
      </c>
      <c r="O10" s="187">
        <v>0</v>
      </c>
      <c r="P10" s="187">
        <v>8</v>
      </c>
      <c r="Q10" s="187">
        <v>8</v>
      </c>
      <c r="R10" s="188"/>
      <c r="S10" s="188"/>
      <c r="T10" s="188"/>
      <c r="U10" s="188"/>
      <c r="V10" s="188"/>
    </row>
    <row r="11" spans="1:22" ht="14.25" customHeight="1">
      <c r="A11" s="189"/>
      <c r="B11" s="186" t="s">
        <v>773</v>
      </c>
      <c r="C11" s="187">
        <v>200</v>
      </c>
      <c r="D11" s="187">
        <v>70</v>
      </c>
      <c r="E11" s="187">
        <v>7</v>
      </c>
      <c r="F11" s="187">
        <v>5</v>
      </c>
      <c r="G11" s="187">
        <v>0</v>
      </c>
      <c r="H11" s="187">
        <v>0</v>
      </c>
      <c r="I11" s="187">
        <v>75</v>
      </c>
      <c r="J11" s="187">
        <v>30</v>
      </c>
      <c r="K11" s="187">
        <v>1</v>
      </c>
      <c r="L11" s="187">
        <v>14</v>
      </c>
      <c r="M11" s="187">
        <v>2</v>
      </c>
      <c r="N11" s="187">
        <v>0</v>
      </c>
      <c r="O11" s="187">
        <v>0</v>
      </c>
      <c r="P11" s="187">
        <v>4</v>
      </c>
      <c r="Q11" s="187">
        <v>8</v>
      </c>
      <c r="R11" s="188"/>
      <c r="S11" s="188"/>
      <c r="T11" s="188"/>
      <c r="U11" s="188"/>
      <c r="V11" s="188"/>
    </row>
    <row r="12" spans="1:22" ht="14.25" customHeight="1">
      <c r="A12" s="189"/>
      <c r="B12" s="186" t="s">
        <v>774</v>
      </c>
      <c r="C12" s="187">
        <v>170</v>
      </c>
      <c r="D12" s="187">
        <v>45</v>
      </c>
      <c r="E12" s="187">
        <v>5</v>
      </c>
      <c r="F12" s="187">
        <v>4</v>
      </c>
      <c r="G12" s="187">
        <v>0</v>
      </c>
      <c r="H12" s="187">
        <v>0</v>
      </c>
      <c r="I12" s="187">
        <v>80</v>
      </c>
      <c r="J12" s="187">
        <v>30</v>
      </c>
      <c r="K12" s="187">
        <v>1</v>
      </c>
      <c r="L12" s="187">
        <v>11</v>
      </c>
      <c r="M12" s="187">
        <v>2</v>
      </c>
      <c r="N12" s="187">
        <v>4</v>
      </c>
      <c r="O12" s="187">
        <v>2</v>
      </c>
      <c r="P12" s="187">
        <v>2</v>
      </c>
      <c r="Q12" s="187">
        <v>10</v>
      </c>
      <c r="R12" s="188"/>
      <c r="S12" s="188"/>
      <c r="T12" s="188"/>
      <c r="U12" s="188"/>
      <c r="V12" s="188"/>
    </row>
    <row r="13" spans="1:22" ht="14.25" customHeight="1">
      <c r="A13" s="189"/>
      <c r="B13" s="186" t="s">
        <v>775</v>
      </c>
      <c r="C13" s="187">
        <v>110</v>
      </c>
      <c r="D13" s="187">
        <v>20</v>
      </c>
      <c r="E13" s="187">
        <v>2</v>
      </c>
      <c r="F13" s="187">
        <v>2</v>
      </c>
      <c r="G13" s="187">
        <v>0</v>
      </c>
      <c r="H13" s="187">
        <v>0</v>
      </c>
      <c r="I13" s="187">
        <v>45</v>
      </c>
      <c r="J13" s="187">
        <v>21</v>
      </c>
      <c r="K13" s="187">
        <v>2</v>
      </c>
      <c r="L13" s="187">
        <v>8</v>
      </c>
      <c r="M13" s="187">
        <v>1</v>
      </c>
      <c r="N13" s="187">
        <v>0</v>
      </c>
      <c r="O13" s="187">
        <v>0</v>
      </c>
      <c r="P13" s="187">
        <v>2</v>
      </c>
      <c r="Q13" s="187">
        <v>6</v>
      </c>
      <c r="R13" s="188"/>
      <c r="S13" s="188"/>
      <c r="T13" s="188"/>
      <c r="U13" s="188"/>
      <c r="V13" s="188"/>
    </row>
    <row r="14" spans="1:22" ht="14.25" customHeight="1">
      <c r="A14" s="189"/>
      <c r="B14" s="186" t="s">
        <v>776</v>
      </c>
      <c r="C14" s="187">
        <v>160</v>
      </c>
      <c r="D14" s="187">
        <v>40</v>
      </c>
      <c r="E14" s="187">
        <v>4</v>
      </c>
      <c r="F14" s="187">
        <v>4</v>
      </c>
      <c r="G14" s="187">
        <v>0</v>
      </c>
      <c r="H14" s="187">
        <v>0</v>
      </c>
      <c r="I14" s="187">
        <v>45</v>
      </c>
      <c r="J14" s="187">
        <v>30</v>
      </c>
      <c r="K14" s="187">
        <v>2</v>
      </c>
      <c r="L14" s="187">
        <v>13</v>
      </c>
      <c r="M14" s="187">
        <v>1</v>
      </c>
      <c r="N14" s="187">
        <v>0</v>
      </c>
      <c r="O14" s="187">
        <v>0</v>
      </c>
      <c r="P14" s="187">
        <v>2</v>
      </c>
      <c r="Q14" s="187">
        <v>6</v>
      </c>
      <c r="R14" s="188"/>
      <c r="S14" s="188"/>
      <c r="T14" s="188"/>
      <c r="U14" s="188"/>
      <c r="V14" s="188"/>
    </row>
    <row r="15" spans="1:22" ht="14.25" customHeight="1">
      <c r="A15" s="189"/>
      <c r="B15" s="186" t="s">
        <v>777</v>
      </c>
      <c r="C15" s="187">
        <v>170</v>
      </c>
      <c r="D15" s="187">
        <v>40</v>
      </c>
      <c r="E15" s="187">
        <v>4.5</v>
      </c>
      <c r="F15" s="187">
        <v>4</v>
      </c>
      <c r="G15" s="187">
        <v>0</v>
      </c>
      <c r="H15" s="187">
        <v>0</v>
      </c>
      <c r="I15" s="187">
        <v>55</v>
      </c>
      <c r="J15" s="187">
        <v>29</v>
      </c>
      <c r="K15" s="187">
        <v>2</v>
      </c>
      <c r="L15" s="187">
        <v>12</v>
      </c>
      <c r="M15" s="187">
        <v>2</v>
      </c>
      <c r="N15" s="187">
        <v>0</v>
      </c>
      <c r="O15" s="187">
        <v>0</v>
      </c>
      <c r="P15" s="187">
        <v>2</v>
      </c>
      <c r="Q15" s="187">
        <v>8</v>
      </c>
      <c r="R15" s="188"/>
      <c r="S15" s="188"/>
      <c r="T15" s="188"/>
      <c r="U15" s="188"/>
      <c r="V15" s="188"/>
    </row>
    <row r="16" spans="1:22" ht="14.25" customHeight="1">
      <c r="A16" s="189"/>
      <c r="B16" s="186" t="s">
        <v>778</v>
      </c>
      <c r="C16" s="187">
        <v>120</v>
      </c>
      <c r="D16" s="187">
        <v>25</v>
      </c>
      <c r="E16" s="187">
        <v>2.5</v>
      </c>
      <c r="F16" s="187">
        <v>2</v>
      </c>
      <c r="G16" s="187">
        <v>0</v>
      </c>
      <c r="H16" s="187">
        <v>0</v>
      </c>
      <c r="I16" s="187">
        <v>60</v>
      </c>
      <c r="J16" s="187">
        <v>23</v>
      </c>
      <c r="K16" s="187">
        <v>2</v>
      </c>
      <c r="L16" s="187">
        <v>9</v>
      </c>
      <c r="M16" s="187">
        <v>1</v>
      </c>
      <c r="N16" s="187">
        <v>0</v>
      </c>
      <c r="O16" s="187">
        <v>0</v>
      </c>
      <c r="P16" s="187">
        <v>2</v>
      </c>
      <c r="Q16" s="187">
        <v>8</v>
      </c>
      <c r="R16" s="188"/>
      <c r="S16" s="188"/>
      <c r="T16" s="188"/>
      <c r="U16" s="188"/>
      <c r="V16" s="188"/>
    </row>
    <row r="17" spans="1:22" ht="14.25" customHeight="1">
      <c r="A17" s="189"/>
      <c r="B17" s="186" t="s">
        <v>779</v>
      </c>
      <c r="C17" s="187">
        <v>140</v>
      </c>
      <c r="D17" s="187">
        <v>25</v>
      </c>
      <c r="E17" s="187">
        <v>2.5</v>
      </c>
      <c r="F17" s="187">
        <v>2.5</v>
      </c>
      <c r="G17" s="187">
        <v>0</v>
      </c>
      <c r="H17" s="187">
        <v>0</v>
      </c>
      <c r="I17" s="187">
        <v>75</v>
      </c>
      <c r="J17" s="187">
        <v>25</v>
      </c>
      <c r="K17" s="187">
        <v>2</v>
      </c>
      <c r="L17" s="187">
        <v>10</v>
      </c>
      <c r="M17" s="187">
        <v>2</v>
      </c>
      <c r="N17" s="187">
        <v>0</v>
      </c>
      <c r="O17" s="187">
        <v>0</v>
      </c>
      <c r="P17" s="187">
        <v>2</v>
      </c>
      <c r="Q17" s="187">
        <v>8</v>
      </c>
      <c r="R17" s="188"/>
      <c r="S17" s="188"/>
      <c r="T17" s="188"/>
      <c r="U17" s="188"/>
      <c r="V17" s="188"/>
    </row>
    <row r="18" spans="1:22" ht="14.25" customHeight="1">
      <c r="A18" s="189"/>
      <c r="B18" s="186" t="s">
        <v>780</v>
      </c>
      <c r="C18" s="187">
        <v>140</v>
      </c>
      <c r="D18" s="187">
        <v>35</v>
      </c>
      <c r="E18" s="187">
        <v>4</v>
      </c>
      <c r="F18" s="187">
        <v>3</v>
      </c>
      <c r="G18" s="187">
        <v>0</v>
      </c>
      <c r="H18" s="187">
        <v>0</v>
      </c>
      <c r="I18" s="187">
        <v>45</v>
      </c>
      <c r="J18" s="187">
        <v>25</v>
      </c>
      <c r="K18" s="187">
        <v>2</v>
      </c>
      <c r="L18" s="187">
        <v>11</v>
      </c>
      <c r="M18" s="187">
        <v>2</v>
      </c>
      <c r="N18" s="187">
        <v>0</v>
      </c>
      <c r="O18" s="187">
        <v>0</v>
      </c>
      <c r="P18" s="187">
        <v>2</v>
      </c>
      <c r="Q18" s="187">
        <v>6</v>
      </c>
      <c r="R18" s="188"/>
      <c r="S18" s="188"/>
      <c r="T18" s="188"/>
      <c r="U18" s="188"/>
      <c r="V18" s="188"/>
    </row>
    <row r="19" spans="1:22" ht="14.25" customHeight="1">
      <c r="A19" s="189"/>
      <c r="B19" s="186" t="s">
        <v>781</v>
      </c>
      <c r="C19" s="187">
        <v>140</v>
      </c>
      <c r="D19" s="187">
        <v>45</v>
      </c>
      <c r="E19" s="187">
        <v>5</v>
      </c>
      <c r="F19" s="187">
        <v>2.5</v>
      </c>
      <c r="G19" s="187">
        <v>0</v>
      </c>
      <c r="H19" s="187">
        <v>0</v>
      </c>
      <c r="I19" s="187">
        <v>55</v>
      </c>
      <c r="J19" s="187">
        <v>22</v>
      </c>
      <c r="K19" s="187">
        <v>2</v>
      </c>
      <c r="L19" s="187">
        <v>8</v>
      </c>
      <c r="M19" s="187">
        <v>3</v>
      </c>
      <c r="N19" s="187">
        <v>0</v>
      </c>
      <c r="O19" s="187">
        <v>0</v>
      </c>
      <c r="P19" s="187">
        <v>6</v>
      </c>
      <c r="Q19" s="187">
        <v>6</v>
      </c>
      <c r="R19" s="188"/>
      <c r="S19" s="188"/>
      <c r="T19" s="188"/>
      <c r="U19" s="188"/>
      <c r="V19" s="188"/>
    </row>
    <row r="20" spans="1:22" ht="14.25" customHeight="1">
      <c r="A20" s="189"/>
      <c r="B20" s="186" t="s">
        <v>782</v>
      </c>
      <c r="C20" s="187">
        <v>140</v>
      </c>
      <c r="D20" s="187">
        <v>35</v>
      </c>
      <c r="E20" s="187">
        <v>4</v>
      </c>
      <c r="F20" s="187">
        <v>3</v>
      </c>
      <c r="G20" s="187">
        <v>0</v>
      </c>
      <c r="H20" s="187">
        <v>0</v>
      </c>
      <c r="I20" s="187">
        <v>65</v>
      </c>
      <c r="J20" s="187">
        <v>24</v>
      </c>
      <c r="K20" s="187">
        <v>2</v>
      </c>
      <c r="L20" s="187">
        <v>11</v>
      </c>
      <c r="M20" s="187">
        <v>2</v>
      </c>
      <c r="N20" s="187">
        <v>0</v>
      </c>
      <c r="O20" s="187">
        <v>0</v>
      </c>
      <c r="P20" s="187">
        <v>2</v>
      </c>
      <c r="Q20" s="187">
        <v>6</v>
      </c>
      <c r="R20" s="188"/>
      <c r="S20" s="188"/>
      <c r="T20" s="188"/>
      <c r="U20" s="188"/>
      <c r="V20" s="188"/>
    </row>
    <row r="21" spans="1:22" ht="14.25" customHeight="1">
      <c r="A21" s="189"/>
      <c r="B21" s="186" t="s">
        <v>783</v>
      </c>
      <c r="C21" s="187">
        <v>130</v>
      </c>
      <c r="D21" s="187">
        <v>20</v>
      </c>
      <c r="E21" s="187">
        <v>2.5</v>
      </c>
      <c r="F21" s="187">
        <v>2</v>
      </c>
      <c r="G21" s="187">
        <v>0</v>
      </c>
      <c r="H21" s="187">
        <v>0</v>
      </c>
      <c r="I21" s="187">
        <v>80</v>
      </c>
      <c r="J21" s="187">
        <v>26</v>
      </c>
      <c r="K21" s="187">
        <v>2</v>
      </c>
      <c r="L21" s="187">
        <v>10</v>
      </c>
      <c r="M21" s="187">
        <v>2</v>
      </c>
      <c r="N21" s="187">
        <v>4</v>
      </c>
      <c r="O21" s="187">
        <v>2</v>
      </c>
      <c r="P21" s="187">
        <v>2</v>
      </c>
      <c r="Q21" s="187">
        <v>8</v>
      </c>
      <c r="R21" s="188"/>
      <c r="S21" s="188"/>
      <c r="T21" s="188"/>
      <c r="U21" s="188"/>
      <c r="V21" s="188"/>
    </row>
    <row r="22" spans="1:22" ht="14.25" customHeight="1">
      <c r="A22" s="189"/>
      <c r="B22" s="186" t="s">
        <v>784</v>
      </c>
      <c r="C22" s="187">
        <v>70</v>
      </c>
      <c r="D22" s="187">
        <v>30</v>
      </c>
      <c r="E22" s="187">
        <v>3</v>
      </c>
      <c r="F22" s="187">
        <v>3</v>
      </c>
      <c r="G22" s="187">
        <v>0</v>
      </c>
      <c r="H22" s="187">
        <v>0</v>
      </c>
      <c r="I22" s="187">
        <v>15</v>
      </c>
      <c r="J22" s="187">
        <v>9</v>
      </c>
      <c r="K22" s="187">
        <v>1</v>
      </c>
      <c r="L22" s="187">
        <v>3</v>
      </c>
      <c r="M22" s="187">
        <v>1</v>
      </c>
      <c r="N22" s="187">
        <v>0</v>
      </c>
      <c r="O22" s="187">
        <v>0</v>
      </c>
      <c r="P22" s="187">
        <v>0</v>
      </c>
      <c r="Q22" s="187">
        <v>6</v>
      </c>
      <c r="R22" s="188"/>
      <c r="S22" s="188"/>
      <c r="T22" s="188"/>
      <c r="U22" s="188"/>
      <c r="V22" s="188"/>
    </row>
    <row r="23" spans="1:22" ht="14.25" customHeight="1">
      <c r="A23" s="189"/>
      <c r="B23" s="186" t="s">
        <v>785</v>
      </c>
      <c r="C23" s="187">
        <v>130</v>
      </c>
      <c r="D23" s="187">
        <v>50</v>
      </c>
      <c r="E23" s="187">
        <v>5</v>
      </c>
      <c r="F23" s="187">
        <v>5</v>
      </c>
      <c r="G23" s="187">
        <v>0</v>
      </c>
      <c r="H23" s="187">
        <v>0</v>
      </c>
      <c r="I23" s="187">
        <v>20</v>
      </c>
      <c r="J23" s="187">
        <v>18</v>
      </c>
      <c r="K23" s="187">
        <v>1</v>
      </c>
      <c r="L23" s="187">
        <v>8</v>
      </c>
      <c r="M23" s="187">
        <v>1</v>
      </c>
      <c r="N23" s="187">
        <v>0</v>
      </c>
      <c r="O23" s="187">
        <v>0</v>
      </c>
      <c r="P23" s="187">
        <v>0</v>
      </c>
      <c r="Q23" s="187">
        <v>6</v>
      </c>
      <c r="R23" s="188"/>
      <c r="S23" s="188"/>
      <c r="T23" s="188"/>
      <c r="U23" s="188"/>
      <c r="V23" s="188"/>
    </row>
    <row r="24" spans="1:22" ht="14.25" customHeight="1">
      <c r="A24" s="189"/>
      <c r="B24" s="186" t="s">
        <v>786</v>
      </c>
      <c r="C24" s="187">
        <v>130</v>
      </c>
      <c r="D24" s="187">
        <v>50</v>
      </c>
      <c r="E24" s="187">
        <v>6</v>
      </c>
      <c r="F24" s="187">
        <v>5</v>
      </c>
      <c r="G24" s="187">
        <v>0</v>
      </c>
      <c r="H24" s="187">
        <v>0</v>
      </c>
      <c r="I24" s="187">
        <v>30</v>
      </c>
      <c r="J24" s="187">
        <v>17</v>
      </c>
      <c r="K24" s="187">
        <v>1</v>
      </c>
      <c r="L24" s="187">
        <v>7</v>
      </c>
      <c r="M24" s="187">
        <v>1</v>
      </c>
      <c r="N24" s="187">
        <v>0</v>
      </c>
      <c r="O24" s="187">
        <v>0</v>
      </c>
      <c r="P24" s="187">
        <v>0</v>
      </c>
      <c r="Q24" s="187">
        <v>6</v>
      </c>
      <c r="R24" s="188"/>
      <c r="S24" s="188"/>
      <c r="T24" s="188"/>
      <c r="U24" s="188"/>
      <c r="V24" s="188"/>
    </row>
    <row r="25" spans="1:22" ht="14.25" customHeight="1">
      <c r="A25" s="189"/>
      <c r="B25" s="186" t="s">
        <v>787</v>
      </c>
      <c r="C25" s="187">
        <v>100</v>
      </c>
      <c r="D25" s="187">
        <v>40</v>
      </c>
      <c r="E25" s="187">
        <v>4</v>
      </c>
      <c r="F25" s="187">
        <v>3.5</v>
      </c>
      <c r="G25" s="187">
        <v>0</v>
      </c>
      <c r="H25" s="187">
        <v>0</v>
      </c>
      <c r="I25" s="187">
        <v>50</v>
      </c>
      <c r="J25" s="187">
        <v>13</v>
      </c>
      <c r="K25" s="187">
        <v>1</v>
      </c>
      <c r="L25" s="187">
        <v>5</v>
      </c>
      <c r="M25" s="187">
        <v>1</v>
      </c>
      <c r="N25" s="187">
        <v>0</v>
      </c>
      <c r="O25" s="187">
        <v>0</v>
      </c>
      <c r="P25" s="187">
        <v>0</v>
      </c>
      <c r="Q25" s="187">
        <v>6</v>
      </c>
      <c r="R25" s="188"/>
      <c r="S25" s="188"/>
      <c r="T25" s="188"/>
      <c r="U25" s="188"/>
      <c r="V25" s="188"/>
    </row>
    <row r="26" spans="1:22" ht="14.25" customHeight="1">
      <c r="A26" s="189"/>
      <c r="B26" s="186" t="s">
        <v>788</v>
      </c>
      <c r="C26" s="187">
        <v>100</v>
      </c>
      <c r="D26" s="187">
        <v>35</v>
      </c>
      <c r="E26" s="187">
        <v>4</v>
      </c>
      <c r="F26" s="187">
        <v>3.5</v>
      </c>
      <c r="G26" s="187">
        <v>0</v>
      </c>
      <c r="H26" s="187">
        <v>0</v>
      </c>
      <c r="I26" s="187">
        <v>45</v>
      </c>
      <c r="J26" s="187">
        <v>14</v>
      </c>
      <c r="K26" s="187">
        <v>1</v>
      </c>
      <c r="L26" s="187">
        <v>5</v>
      </c>
      <c r="M26" s="187">
        <v>1</v>
      </c>
      <c r="N26" s="187">
        <v>0</v>
      </c>
      <c r="O26" s="187">
        <v>0</v>
      </c>
      <c r="P26" s="187">
        <v>0</v>
      </c>
      <c r="Q26" s="187">
        <v>6</v>
      </c>
      <c r="R26" s="188"/>
      <c r="S26" s="188"/>
      <c r="T26" s="188"/>
      <c r="U26" s="188"/>
      <c r="V26" s="188"/>
    </row>
    <row r="27" spans="1:22" ht="14.25" customHeight="1">
      <c r="A27" s="189"/>
      <c r="B27" s="186" t="s">
        <v>789</v>
      </c>
      <c r="C27" s="187">
        <v>110</v>
      </c>
      <c r="D27" s="187">
        <v>50</v>
      </c>
      <c r="E27" s="187">
        <v>6</v>
      </c>
      <c r="F27" s="187">
        <v>4.5</v>
      </c>
      <c r="G27" s="187">
        <v>0</v>
      </c>
      <c r="H27" s="187">
        <v>0</v>
      </c>
      <c r="I27" s="187">
        <v>15</v>
      </c>
      <c r="J27" s="187">
        <v>15</v>
      </c>
      <c r="K27" s="187">
        <v>1</v>
      </c>
      <c r="L27" s="187">
        <v>8</v>
      </c>
      <c r="M27" s="187">
        <v>1</v>
      </c>
      <c r="N27" s="187">
        <v>0</v>
      </c>
      <c r="O27" s="187">
        <v>0</v>
      </c>
      <c r="P27" s="187">
        <v>0</v>
      </c>
      <c r="Q27" s="187">
        <v>6</v>
      </c>
      <c r="R27" s="188"/>
      <c r="S27" s="188"/>
      <c r="T27" s="188"/>
      <c r="U27" s="188"/>
      <c r="V27" s="188"/>
    </row>
    <row r="28" spans="1:22" ht="14.25" customHeight="1">
      <c r="A28" s="189"/>
      <c r="B28" s="186" t="s">
        <v>790</v>
      </c>
      <c r="C28" s="187">
        <v>120</v>
      </c>
      <c r="D28" s="187">
        <v>70</v>
      </c>
      <c r="E28" s="187">
        <v>7</v>
      </c>
      <c r="F28" s="187">
        <v>3.5</v>
      </c>
      <c r="G28" s="187">
        <v>0</v>
      </c>
      <c r="H28" s="187">
        <v>0</v>
      </c>
      <c r="I28" s="187">
        <v>30</v>
      </c>
      <c r="J28" s="187">
        <v>11</v>
      </c>
      <c r="K28" s="187">
        <v>2</v>
      </c>
      <c r="L28" s="187">
        <v>3</v>
      </c>
      <c r="M28" s="187">
        <v>3</v>
      </c>
      <c r="N28" s="187">
        <v>0</v>
      </c>
      <c r="O28" s="187">
        <v>0</v>
      </c>
      <c r="P28" s="187">
        <v>0</v>
      </c>
      <c r="Q28" s="187">
        <v>6</v>
      </c>
      <c r="R28" s="188"/>
      <c r="S28" s="188"/>
      <c r="T28" s="188"/>
      <c r="U28" s="188"/>
      <c r="V28" s="188"/>
    </row>
    <row r="29" spans="1:22" ht="14.25" customHeight="1">
      <c r="A29" s="189"/>
      <c r="B29" s="186" t="s">
        <v>791</v>
      </c>
      <c r="C29" s="187">
        <v>110</v>
      </c>
      <c r="D29" s="187">
        <v>50</v>
      </c>
      <c r="E29" s="187">
        <v>5</v>
      </c>
      <c r="F29" s="187">
        <v>4</v>
      </c>
      <c r="G29" s="187">
        <v>0</v>
      </c>
      <c r="H29" s="187">
        <v>0</v>
      </c>
      <c r="I29" s="187">
        <v>40</v>
      </c>
      <c r="J29" s="187">
        <v>14</v>
      </c>
      <c r="K29" s="187">
        <v>1</v>
      </c>
      <c r="L29" s="187">
        <v>7</v>
      </c>
      <c r="M29" s="187">
        <v>1</v>
      </c>
      <c r="N29" s="187">
        <v>0</v>
      </c>
      <c r="O29" s="187">
        <v>0</v>
      </c>
      <c r="P29" s="187">
        <v>0</v>
      </c>
      <c r="Q29" s="187">
        <v>6</v>
      </c>
      <c r="R29" s="188"/>
      <c r="S29" s="188"/>
      <c r="T29" s="188"/>
      <c r="U29" s="188"/>
      <c r="V29" s="188"/>
    </row>
    <row r="30" spans="1:22" ht="14.25" customHeight="1" thickBot="1">
      <c r="A30" s="190"/>
      <c r="B30" s="186" t="s">
        <v>792</v>
      </c>
      <c r="C30" s="187">
        <v>90</v>
      </c>
      <c r="D30" s="187">
        <v>30</v>
      </c>
      <c r="E30" s="187">
        <v>3.5</v>
      </c>
      <c r="F30" s="187">
        <v>3</v>
      </c>
      <c r="G30" s="187">
        <v>0</v>
      </c>
      <c r="H30" s="187">
        <v>0</v>
      </c>
      <c r="I30" s="187">
        <v>55</v>
      </c>
      <c r="J30" s="187">
        <v>14</v>
      </c>
      <c r="K30" s="187">
        <v>1</v>
      </c>
      <c r="L30" s="187">
        <v>5</v>
      </c>
      <c r="M30" s="187">
        <v>1</v>
      </c>
      <c r="N30" s="187">
        <v>4</v>
      </c>
      <c r="O30" s="187">
        <v>2</v>
      </c>
      <c r="P30" s="187">
        <v>0</v>
      </c>
      <c r="Q30" s="187">
        <v>8</v>
      </c>
      <c r="R30" s="188"/>
      <c r="S30" s="188"/>
      <c r="T30" s="188"/>
      <c r="U30" s="188"/>
      <c r="V30" s="188"/>
    </row>
    <row r="31" spans="1:22">
      <c r="B31" s="188"/>
      <c r="C31" s="188"/>
      <c r="D31" s="188"/>
      <c r="E31" s="188"/>
      <c r="F31" s="188"/>
      <c r="G31" s="188"/>
      <c r="H31" s="188"/>
      <c r="I31" s="188"/>
      <c r="J31" s="188"/>
      <c r="K31" s="188"/>
      <c r="L31" s="188"/>
      <c r="M31" s="188"/>
      <c r="N31" s="188"/>
      <c r="O31" s="188"/>
      <c r="P31" s="188"/>
      <c r="Q31" s="188"/>
      <c r="R31" s="188"/>
      <c r="S31" s="188"/>
      <c r="T31" s="188"/>
      <c r="U31" s="188"/>
      <c r="V31" s="188"/>
    </row>
    <row r="32" spans="1:22">
      <c r="B32" s="191" t="s">
        <v>793</v>
      </c>
      <c r="C32" s="191">
        <f>MIN(C4,C13,C22)</f>
        <v>70</v>
      </c>
      <c r="D32" s="191">
        <f t="shared" ref="D32:Q32" si="0">MIN(D4,D13,D22)</f>
        <v>20</v>
      </c>
      <c r="E32" s="191">
        <f t="shared" si="0"/>
        <v>2</v>
      </c>
      <c r="F32" s="191">
        <f t="shared" si="0"/>
        <v>2</v>
      </c>
      <c r="G32" s="191">
        <f t="shared" si="0"/>
        <v>0</v>
      </c>
      <c r="H32" s="191">
        <f t="shared" si="0"/>
        <v>0</v>
      </c>
      <c r="I32" s="191">
        <f t="shared" si="0"/>
        <v>15</v>
      </c>
      <c r="J32" s="191">
        <f t="shared" si="0"/>
        <v>9</v>
      </c>
      <c r="K32" s="191">
        <f t="shared" si="0"/>
        <v>1</v>
      </c>
      <c r="L32" s="191">
        <f t="shared" si="0"/>
        <v>3</v>
      </c>
      <c r="M32" s="191">
        <f t="shared" si="0"/>
        <v>1</v>
      </c>
      <c r="N32" s="191">
        <f t="shared" si="0"/>
        <v>0</v>
      </c>
      <c r="O32" s="191">
        <f t="shared" si="0"/>
        <v>0</v>
      </c>
      <c r="P32" s="191">
        <f t="shared" si="0"/>
        <v>0</v>
      </c>
      <c r="Q32" s="191">
        <f t="shared" si="0"/>
        <v>6</v>
      </c>
      <c r="R32" s="188"/>
      <c r="S32" s="188"/>
      <c r="T32" s="188"/>
      <c r="U32" s="188"/>
      <c r="V32" s="188"/>
    </row>
    <row r="33" spans="1:22">
      <c r="B33" s="191" t="s">
        <v>794</v>
      </c>
      <c r="C33" s="191">
        <f>MAX(C4,C13,C22)</f>
        <v>150</v>
      </c>
      <c r="D33" s="191">
        <f t="shared" ref="D33:Q33" si="1">MAX(D4,D13,D22)</f>
        <v>40</v>
      </c>
      <c r="E33" s="191">
        <f t="shared" si="1"/>
        <v>4.5</v>
      </c>
      <c r="F33" s="191">
        <f t="shared" si="1"/>
        <v>4</v>
      </c>
      <c r="G33" s="191">
        <f t="shared" si="1"/>
        <v>0</v>
      </c>
      <c r="H33" s="191">
        <f t="shared" si="1"/>
        <v>0</v>
      </c>
      <c r="I33" s="191">
        <f t="shared" si="1"/>
        <v>45</v>
      </c>
      <c r="J33" s="191">
        <f t="shared" si="1"/>
        <v>25</v>
      </c>
      <c r="K33" s="191">
        <f t="shared" si="1"/>
        <v>2</v>
      </c>
      <c r="L33" s="191">
        <f t="shared" si="1"/>
        <v>9</v>
      </c>
      <c r="M33" s="191">
        <f t="shared" si="1"/>
        <v>2</v>
      </c>
      <c r="N33" s="191">
        <f t="shared" si="1"/>
        <v>0</v>
      </c>
      <c r="O33" s="191">
        <f t="shared" si="1"/>
        <v>0</v>
      </c>
      <c r="P33" s="191">
        <f t="shared" si="1"/>
        <v>2</v>
      </c>
      <c r="Q33" s="191">
        <f t="shared" si="1"/>
        <v>8</v>
      </c>
      <c r="R33" s="188"/>
      <c r="S33" s="188"/>
      <c r="T33" s="188"/>
      <c r="U33" s="188"/>
      <c r="V33" s="188"/>
    </row>
    <row r="34" spans="1:22">
      <c r="B34" s="191" t="s">
        <v>795</v>
      </c>
      <c r="C34" s="191" t="str">
        <f xml:space="preserve"> MIN(C4,C13,C22) &amp; " - " &amp; MAX(C4,C13,C22)</f>
        <v>70 - 150</v>
      </c>
      <c r="D34" s="191" t="str">
        <f t="shared" ref="D34:Q34" si="2" xml:space="preserve"> MIN(D4,D13,D22) &amp; " - " &amp; MAX(D4,D13,D22)</f>
        <v>20 - 40</v>
      </c>
      <c r="E34" s="191" t="str">
        <f t="shared" si="2"/>
        <v>2 - 4.5</v>
      </c>
      <c r="F34" s="191" t="str">
        <f t="shared" si="2"/>
        <v>2 - 4</v>
      </c>
      <c r="G34" s="191" t="str">
        <f t="shared" si="2"/>
        <v>0 - 0</v>
      </c>
      <c r="H34" s="191" t="str">
        <f t="shared" si="2"/>
        <v>0 - 0</v>
      </c>
      <c r="I34" s="191" t="str">
        <f t="shared" si="2"/>
        <v>15 - 45</v>
      </c>
      <c r="J34" s="191" t="str">
        <f t="shared" si="2"/>
        <v>9 - 25</v>
      </c>
      <c r="K34" s="191" t="str">
        <f t="shared" si="2"/>
        <v>1 - 2</v>
      </c>
      <c r="L34" s="191" t="str">
        <f t="shared" si="2"/>
        <v>3 - 9</v>
      </c>
      <c r="M34" s="191" t="str">
        <f t="shared" si="2"/>
        <v>1 - 2</v>
      </c>
      <c r="N34" s="191" t="str">
        <f t="shared" si="2"/>
        <v>0 - 0</v>
      </c>
      <c r="O34" s="191" t="str">
        <f t="shared" si="2"/>
        <v>0 - 0</v>
      </c>
      <c r="P34" s="191" t="str">
        <f t="shared" si="2"/>
        <v>0 - 2</v>
      </c>
      <c r="Q34" s="191" t="str">
        <f t="shared" si="2"/>
        <v>6 - 8</v>
      </c>
      <c r="R34" s="188"/>
      <c r="S34" s="188"/>
      <c r="T34" s="188"/>
      <c r="U34" s="188"/>
      <c r="V34" s="188"/>
    </row>
    <row r="35" spans="1:22">
      <c r="B35" s="191" t="s">
        <v>796</v>
      </c>
      <c r="C35" s="191">
        <f>MIN(C5:C12,C14:C21,C23:C30)</f>
        <v>90</v>
      </c>
      <c r="D35" s="191">
        <f t="shared" ref="D35:Q35" si="3">MIN(D5:D12,D14:D21,D23:D30)</f>
        <v>20</v>
      </c>
      <c r="E35" s="191">
        <f t="shared" si="3"/>
        <v>2.5</v>
      </c>
      <c r="F35" s="191">
        <f t="shared" si="3"/>
        <v>2</v>
      </c>
      <c r="G35" s="191">
        <f t="shared" si="3"/>
        <v>0</v>
      </c>
      <c r="H35" s="191">
        <f t="shared" si="3"/>
        <v>0</v>
      </c>
      <c r="I35" s="191">
        <f t="shared" si="3"/>
        <v>15</v>
      </c>
      <c r="J35" s="191">
        <f t="shared" si="3"/>
        <v>11</v>
      </c>
      <c r="K35" s="191">
        <f t="shared" si="3"/>
        <v>1</v>
      </c>
      <c r="L35" s="191">
        <f t="shared" si="3"/>
        <v>3</v>
      </c>
      <c r="M35" s="191">
        <f t="shared" si="3"/>
        <v>1</v>
      </c>
      <c r="N35" s="191">
        <f t="shared" si="3"/>
        <v>0</v>
      </c>
      <c r="O35" s="191">
        <f t="shared" si="3"/>
        <v>0</v>
      </c>
      <c r="P35" s="191">
        <f t="shared" si="3"/>
        <v>0</v>
      </c>
      <c r="Q35" s="191">
        <f t="shared" si="3"/>
        <v>6</v>
      </c>
      <c r="R35" s="188"/>
      <c r="S35" s="188"/>
      <c r="T35" s="188"/>
      <c r="U35" s="188"/>
      <c r="V35" s="188"/>
    </row>
    <row r="36" spans="1:22">
      <c r="B36" s="191" t="s">
        <v>797</v>
      </c>
      <c r="C36" s="191">
        <f>MAX(C5:C12,C14:C21,C23:C30)</f>
        <v>220</v>
      </c>
      <c r="D36" s="191">
        <f t="shared" ref="D36:Q36" si="4">MAX(D5:D12,D14:D21,D23:D30)</f>
        <v>90</v>
      </c>
      <c r="E36" s="191">
        <f t="shared" si="4"/>
        <v>10</v>
      </c>
      <c r="F36" s="191">
        <f t="shared" si="4"/>
        <v>7</v>
      </c>
      <c r="G36" s="191">
        <f t="shared" si="4"/>
        <v>0</v>
      </c>
      <c r="H36" s="191">
        <f t="shared" si="4"/>
        <v>0</v>
      </c>
      <c r="I36" s="191">
        <f t="shared" si="4"/>
        <v>105</v>
      </c>
      <c r="J36" s="191">
        <f t="shared" si="4"/>
        <v>36</v>
      </c>
      <c r="K36" s="191">
        <f t="shared" si="4"/>
        <v>2</v>
      </c>
      <c r="L36" s="191">
        <f t="shared" si="4"/>
        <v>16</v>
      </c>
      <c r="M36" s="191">
        <f t="shared" si="4"/>
        <v>4</v>
      </c>
      <c r="N36" s="191">
        <f t="shared" si="4"/>
        <v>4</v>
      </c>
      <c r="O36" s="191">
        <f t="shared" si="4"/>
        <v>2</v>
      </c>
      <c r="P36" s="191">
        <f t="shared" si="4"/>
        <v>8</v>
      </c>
      <c r="Q36" s="191">
        <f t="shared" si="4"/>
        <v>10</v>
      </c>
      <c r="R36" s="188"/>
      <c r="S36" s="188"/>
      <c r="T36" s="188"/>
      <c r="U36" s="188"/>
      <c r="V36" s="188"/>
    </row>
    <row r="37" spans="1:22">
      <c r="B37" s="191" t="s">
        <v>798</v>
      </c>
      <c r="C37" s="191" t="str">
        <f xml:space="preserve"> MIN(C5:C12,C14:C21,C23:C30) &amp; " - " &amp; MAX(C5:C12,C14:C21,C23:C30)</f>
        <v>90 - 220</v>
      </c>
      <c r="D37" s="191" t="str">
        <f t="shared" ref="D37:Q37" si="5" xml:space="preserve"> MIN(D5:D12,D14:D21,D23:D30) &amp; " - " &amp; MAX(D5:D12,D14:D21,D23:D30)</f>
        <v>20 - 90</v>
      </c>
      <c r="E37" s="191" t="str">
        <f t="shared" si="5"/>
        <v>2.5 - 10</v>
      </c>
      <c r="F37" s="191" t="str">
        <f t="shared" si="5"/>
        <v>2 - 7</v>
      </c>
      <c r="G37" s="191" t="str">
        <f t="shared" si="5"/>
        <v>0 - 0</v>
      </c>
      <c r="H37" s="191" t="str">
        <f t="shared" si="5"/>
        <v>0 - 0</v>
      </c>
      <c r="I37" s="191" t="str">
        <f t="shared" si="5"/>
        <v>15 - 105</v>
      </c>
      <c r="J37" s="191" t="str">
        <f t="shared" si="5"/>
        <v>11 - 36</v>
      </c>
      <c r="K37" s="191" t="str">
        <f t="shared" si="5"/>
        <v>1 - 2</v>
      </c>
      <c r="L37" s="191" t="str">
        <f t="shared" si="5"/>
        <v>3 - 16</v>
      </c>
      <c r="M37" s="191" t="str">
        <f t="shared" si="5"/>
        <v>1 - 4</v>
      </c>
      <c r="N37" s="191" t="str">
        <f t="shared" si="5"/>
        <v>0 - 4</v>
      </c>
      <c r="O37" s="191" t="str">
        <f t="shared" si="5"/>
        <v>0 - 2</v>
      </c>
      <c r="P37" s="191" t="str">
        <f t="shared" si="5"/>
        <v>0 - 8</v>
      </c>
      <c r="Q37" s="191" t="str">
        <f t="shared" si="5"/>
        <v>6 - 10</v>
      </c>
      <c r="R37" s="188"/>
      <c r="S37" s="188"/>
      <c r="T37" s="188"/>
      <c r="U37" s="188"/>
      <c r="V37" s="188"/>
    </row>
    <row r="38" spans="1:22">
      <c r="B38" s="188"/>
      <c r="C38" s="188"/>
      <c r="D38" s="188"/>
      <c r="E38" s="188"/>
      <c r="F38" s="188"/>
      <c r="G38" s="188"/>
      <c r="H38" s="188"/>
      <c r="I38" s="188"/>
      <c r="J38" s="188"/>
      <c r="K38" s="188"/>
      <c r="L38" s="188"/>
      <c r="M38" s="188"/>
      <c r="N38" s="188"/>
      <c r="O38" s="188"/>
      <c r="P38" s="188"/>
      <c r="Q38" s="188"/>
      <c r="R38" s="188"/>
      <c r="S38" s="188"/>
      <c r="T38" s="188"/>
      <c r="U38" s="188"/>
      <c r="V38" s="188"/>
    </row>
    <row r="39" spans="1:22" ht="18" customHeight="1">
      <c r="A39" s="178"/>
      <c r="B39" s="1420" t="s">
        <v>799</v>
      </c>
      <c r="C39" s="1420"/>
      <c r="D39" s="1420"/>
      <c r="E39" s="1420"/>
      <c r="F39" s="1420"/>
      <c r="G39" s="1420"/>
      <c r="H39" s="1420"/>
      <c r="I39" s="1420"/>
      <c r="J39" s="1420"/>
      <c r="K39" s="1420"/>
      <c r="L39" s="1420"/>
      <c r="M39" s="1420"/>
      <c r="N39" s="1420"/>
      <c r="O39" s="1420"/>
      <c r="P39" s="1420"/>
      <c r="Q39" s="1420"/>
      <c r="R39" s="188"/>
      <c r="S39" s="188"/>
      <c r="T39" s="188"/>
      <c r="U39" s="188"/>
      <c r="V39" s="188"/>
    </row>
    <row r="40" spans="1:22" ht="37.5" customHeight="1">
      <c r="A40" s="192"/>
      <c r="B40" s="193" t="s">
        <v>3</v>
      </c>
      <c r="C40" s="193" t="s">
        <v>4</v>
      </c>
      <c r="D40" s="193" t="s">
        <v>5</v>
      </c>
      <c r="E40" s="193" t="s">
        <v>6</v>
      </c>
      <c r="F40" s="193" t="s">
        <v>7</v>
      </c>
      <c r="G40" s="193" t="s">
        <v>8</v>
      </c>
      <c r="H40" s="193" t="s">
        <v>9</v>
      </c>
      <c r="I40" s="193" t="s">
        <v>10</v>
      </c>
      <c r="J40" s="193" t="s">
        <v>11</v>
      </c>
      <c r="K40" s="193" t="s">
        <v>12</v>
      </c>
      <c r="L40" s="193" t="s">
        <v>502</v>
      </c>
      <c r="M40" s="193" t="s">
        <v>15</v>
      </c>
      <c r="N40" s="194" t="s">
        <v>503</v>
      </c>
      <c r="O40" s="194" t="s">
        <v>504</v>
      </c>
      <c r="P40" s="194" t="s">
        <v>19</v>
      </c>
      <c r="Q40" s="194" t="s">
        <v>21</v>
      </c>
      <c r="R40" s="188"/>
      <c r="S40" s="188"/>
      <c r="T40" s="188"/>
      <c r="U40" s="188"/>
      <c r="V40" s="188"/>
    </row>
    <row r="41" spans="1:22">
      <c r="A41" s="178"/>
      <c r="B41" s="186" t="s">
        <v>800</v>
      </c>
      <c r="C41" s="188">
        <v>140</v>
      </c>
      <c r="D41" s="188">
        <v>110</v>
      </c>
      <c r="E41" s="188">
        <v>13</v>
      </c>
      <c r="F41" s="188">
        <v>12</v>
      </c>
      <c r="G41" s="188">
        <v>0</v>
      </c>
      <c r="H41" s="188">
        <v>0</v>
      </c>
      <c r="I41" s="188">
        <v>10</v>
      </c>
      <c r="J41" s="188">
        <v>7</v>
      </c>
      <c r="K41" s="188">
        <v>0</v>
      </c>
      <c r="L41" s="188">
        <v>7</v>
      </c>
      <c r="M41" s="188">
        <v>0</v>
      </c>
      <c r="N41" s="188">
        <v>0</v>
      </c>
      <c r="O41" s="188">
        <v>0</v>
      </c>
      <c r="P41" s="188">
        <v>0</v>
      </c>
      <c r="Q41" s="188">
        <v>0</v>
      </c>
      <c r="R41" s="188"/>
      <c r="S41" s="188"/>
      <c r="T41" s="188"/>
      <c r="U41" s="188"/>
      <c r="V41" s="188"/>
    </row>
    <row r="42" spans="1:22">
      <c r="A42" s="178"/>
      <c r="B42" s="186" t="s">
        <v>801</v>
      </c>
      <c r="C42" s="188">
        <v>140</v>
      </c>
      <c r="D42" s="188">
        <v>110</v>
      </c>
      <c r="E42" s="188">
        <v>13</v>
      </c>
      <c r="F42" s="188">
        <v>12</v>
      </c>
      <c r="G42" s="188">
        <v>0</v>
      </c>
      <c r="H42" s="188">
        <v>0</v>
      </c>
      <c r="I42" s="188">
        <v>10</v>
      </c>
      <c r="J42" s="188">
        <v>6</v>
      </c>
      <c r="K42" s="188">
        <v>0</v>
      </c>
      <c r="L42" s="188">
        <v>5</v>
      </c>
      <c r="M42" s="188">
        <v>0</v>
      </c>
      <c r="N42" s="188">
        <v>0</v>
      </c>
      <c r="O42" s="188">
        <v>0</v>
      </c>
      <c r="P42" s="188">
        <v>2</v>
      </c>
      <c r="Q42" s="188">
        <v>2</v>
      </c>
      <c r="R42" s="188"/>
      <c r="S42" s="188"/>
      <c r="T42" s="188"/>
      <c r="U42" s="188"/>
      <c r="V42" s="188"/>
    </row>
    <row r="43" spans="1:22">
      <c r="A43" s="178"/>
      <c r="B43" s="186" t="s">
        <v>802</v>
      </c>
      <c r="C43" s="188">
        <v>140</v>
      </c>
      <c r="D43" s="188">
        <v>110</v>
      </c>
      <c r="E43" s="188">
        <v>13</v>
      </c>
      <c r="F43" s="188">
        <v>12</v>
      </c>
      <c r="G43" s="188">
        <v>0</v>
      </c>
      <c r="H43" s="188">
        <v>0</v>
      </c>
      <c r="I43" s="188">
        <v>25</v>
      </c>
      <c r="J43" s="188">
        <v>7</v>
      </c>
      <c r="K43" s="188">
        <v>0</v>
      </c>
      <c r="L43" s="188">
        <v>7</v>
      </c>
      <c r="M43" s="188">
        <v>0</v>
      </c>
      <c r="N43" s="188">
        <v>0</v>
      </c>
      <c r="O43" s="188">
        <v>0</v>
      </c>
      <c r="P43" s="188">
        <v>0</v>
      </c>
      <c r="Q43" s="188">
        <v>0</v>
      </c>
      <c r="R43" s="188"/>
      <c r="S43" s="188"/>
      <c r="T43" s="188"/>
      <c r="U43" s="188"/>
      <c r="V43" s="188"/>
    </row>
    <row r="44" spans="1:22">
      <c r="A44" s="178"/>
      <c r="B44" s="186" t="s">
        <v>803</v>
      </c>
      <c r="C44" s="188">
        <v>190</v>
      </c>
      <c r="D44" s="188">
        <v>150</v>
      </c>
      <c r="E44" s="188">
        <v>17</v>
      </c>
      <c r="F44" s="188">
        <v>16</v>
      </c>
      <c r="G44" s="188">
        <v>0</v>
      </c>
      <c r="H44" s="188">
        <v>0</v>
      </c>
      <c r="I44" s="188">
        <v>10</v>
      </c>
      <c r="J44" s="188">
        <v>9</v>
      </c>
      <c r="K44" s="188">
        <v>0</v>
      </c>
      <c r="L44" s="188">
        <v>9</v>
      </c>
      <c r="M44" s="188">
        <v>0</v>
      </c>
      <c r="N44" s="188">
        <v>0</v>
      </c>
      <c r="O44" s="188">
        <v>0</v>
      </c>
      <c r="P44" s="188">
        <v>2</v>
      </c>
      <c r="Q44" s="188">
        <v>0</v>
      </c>
      <c r="R44" s="188"/>
      <c r="S44" s="188"/>
      <c r="T44" s="188"/>
      <c r="U44" s="188"/>
      <c r="V44" s="188"/>
    </row>
    <row r="45" spans="1:22">
      <c r="A45" s="178"/>
      <c r="B45" s="186" t="s">
        <v>804</v>
      </c>
      <c r="C45" s="188">
        <v>190</v>
      </c>
      <c r="D45" s="188">
        <v>160</v>
      </c>
      <c r="E45" s="188">
        <v>17</v>
      </c>
      <c r="F45" s="188">
        <v>17</v>
      </c>
      <c r="G45" s="188">
        <v>0</v>
      </c>
      <c r="H45" s="188">
        <v>0</v>
      </c>
      <c r="I45" s="188">
        <v>10</v>
      </c>
      <c r="J45" s="188">
        <v>8</v>
      </c>
      <c r="K45" s="188">
        <v>1</v>
      </c>
      <c r="L45" s="188">
        <v>7</v>
      </c>
      <c r="M45" s="188">
        <v>1</v>
      </c>
      <c r="N45" s="188">
        <v>0</v>
      </c>
      <c r="O45" s="188">
        <v>0</v>
      </c>
      <c r="P45" s="188">
        <v>2</v>
      </c>
      <c r="Q45" s="188">
        <v>2</v>
      </c>
      <c r="R45" s="188"/>
      <c r="S45" s="188"/>
      <c r="T45" s="188"/>
      <c r="U45" s="188"/>
      <c r="V45" s="188"/>
    </row>
    <row r="46" spans="1:22">
      <c r="A46" s="178"/>
      <c r="B46" s="186" t="s">
        <v>805</v>
      </c>
      <c r="C46" s="188">
        <v>190</v>
      </c>
      <c r="D46" s="188">
        <v>150</v>
      </c>
      <c r="E46" s="188">
        <v>17</v>
      </c>
      <c r="F46" s="188">
        <v>16</v>
      </c>
      <c r="G46" s="188">
        <v>0</v>
      </c>
      <c r="H46" s="188">
        <v>0</v>
      </c>
      <c r="I46" s="188">
        <v>30</v>
      </c>
      <c r="J46" s="188">
        <v>9</v>
      </c>
      <c r="K46" s="188">
        <v>0</v>
      </c>
      <c r="L46" s="188">
        <v>9</v>
      </c>
      <c r="M46" s="188">
        <v>0</v>
      </c>
      <c r="N46" s="188">
        <v>0</v>
      </c>
      <c r="O46" s="188">
        <v>0</v>
      </c>
      <c r="P46" s="188">
        <v>2</v>
      </c>
      <c r="Q46" s="188">
        <v>0</v>
      </c>
      <c r="R46" s="188"/>
      <c r="S46" s="188"/>
      <c r="T46" s="188"/>
      <c r="U46" s="188"/>
      <c r="V46" s="188"/>
    </row>
    <row r="47" spans="1:22">
      <c r="A47" s="178"/>
      <c r="B47" s="186" t="s">
        <v>806</v>
      </c>
      <c r="C47" s="188">
        <v>270</v>
      </c>
      <c r="D47" s="188">
        <v>220</v>
      </c>
      <c r="E47" s="188">
        <v>24</v>
      </c>
      <c r="F47" s="188">
        <v>23</v>
      </c>
      <c r="G47" s="188">
        <v>0</v>
      </c>
      <c r="H47" s="188">
        <v>0</v>
      </c>
      <c r="I47" s="188">
        <v>20</v>
      </c>
      <c r="J47" s="188">
        <v>13</v>
      </c>
      <c r="K47" s="188">
        <v>0</v>
      </c>
      <c r="L47" s="188">
        <v>13</v>
      </c>
      <c r="M47" s="188">
        <v>0</v>
      </c>
      <c r="N47" s="188">
        <v>0</v>
      </c>
      <c r="O47" s="188">
        <v>0</v>
      </c>
      <c r="P47" s="188">
        <v>2</v>
      </c>
      <c r="Q47" s="188">
        <v>0</v>
      </c>
      <c r="R47" s="188"/>
      <c r="S47" s="188"/>
      <c r="T47" s="188"/>
      <c r="U47" s="188"/>
      <c r="V47" s="188"/>
    </row>
    <row r="48" spans="1:22">
      <c r="A48" s="178"/>
      <c r="B48" s="186" t="s">
        <v>807</v>
      </c>
      <c r="C48" s="188">
        <v>270</v>
      </c>
      <c r="D48" s="188">
        <v>220</v>
      </c>
      <c r="E48" s="188">
        <v>24</v>
      </c>
      <c r="F48" s="188">
        <v>24</v>
      </c>
      <c r="G48" s="188">
        <v>0</v>
      </c>
      <c r="H48" s="188">
        <v>0</v>
      </c>
      <c r="I48" s="188">
        <v>20</v>
      </c>
      <c r="J48" s="188">
        <v>12</v>
      </c>
      <c r="K48" s="188">
        <v>1</v>
      </c>
      <c r="L48" s="188">
        <v>10</v>
      </c>
      <c r="M48" s="188">
        <v>1</v>
      </c>
      <c r="N48" s="188">
        <v>0</v>
      </c>
      <c r="O48" s="188">
        <v>0</v>
      </c>
      <c r="P48" s="188">
        <v>2</v>
      </c>
      <c r="Q48" s="188">
        <v>4</v>
      </c>
      <c r="R48" s="188"/>
      <c r="S48" s="188"/>
      <c r="T48" s="188"/>
      <c r="U48" s="188"/>
      <c r="V48" s="188"/>
    </row>
    <row r="49" spans="1:22">
      <c r="A49" s="178"/>
      <c r="B49" s="186" t="s">
        <v>808</v>
      </c>
      <c r="C49" s="188">
        <v>270</v>
      </c>
      <c r="D49" s="188">
        <v>220</v>
      </c>
      <c r="E49" s="188">
        <v>24</v>
      </c>
      <c r="F49" s="188">
        <v>23</v>
      </c>
      <c r="G49" s="188">
        <v>0</v>
      </c>
      <c r="H49" s="188">
        <v>0</v>
      </c>
      <c r="I49" s="188">
        <v>45</v>
      </c>
      <c r="J49" s="188">
        <v>13</v>
      </c>
      <c r="K49" s="188">
        <v>0</v>
      </c>
      <c r="L49" s="188">
        <v>13</v>
      </c>
      <c r="M49" s="188">
        <v>0</v>
      </c>
      <c r="N49" s="188">
        <v>0</v>
      </c>
      <c r="O49" s="188">
        <v>0</v>
      </c>
      <c r="P49" s="188">
        <v>2</v>
      </c>
      <c r="Q49" s="188">
        <v>0</v>
      </c>
      <c r="R49" s="188"/>
      <c r="S49" s="188"/>
      <c r="T49" s="188"/>
      <c r="U49" s="188"/>
      <c r="V49" s="188"/>
    </row>
    <row r="50" spans="1:22">
      <c r="B50" s="188"/>
      <c r="C50" s="188"/>
      <c r="D50" s="188"/>
      <c r="E50" s="188"/>
      <c r="F50" s="188"/>
      <c r="G50" s="188"/>
      <c r="H50" s="188"/>
      <c r="I50" s="188"/>
      <c r="J50" s="188"/>
      <c r="K50" s="188"/>
      <c r="L50" s="188"/>
      <c r="M50" s="188"/>
      <c r="N50" s="188"/>
      <c r="O50" s="188"/>
      <c r="P50" s="188"/>
      <c r="Q50" s="188"/>
      <c r="R50" s="188"/>
      <c r="S50" s="188"/>
      <c r="T50" s="188"/>
      <c r="U50" s="188"/>
      <c r="V50" s="188"/>
    </row>
    <row r="51" spans="1:22">
      <c r="B51" s="191" t="s">
        <v>809</v>
      </c>
      <c r="C51" s="191">
        <f>MIN(C41:C49)</f>
        <v>140</v>
      </c>
      <c r="D51" s="191">
        <f t="shared" ref="D51:Q51" si="6">MIN(D41:D49)</f>
        <v>110</v>
      </c>
      <c r="E51" s="191">
        <f t="shared" si="6"/>
        <v>13</v>
      </c>
      <c r="F51" s="191">
        <f t="shared" si="6"/>
        <v>12</v>
      </c>
      <c r="G51" s="191">
        <f t="shared" si="6"/>
        <v>0</v>
      </c>
      <c r="H51" s="191">
        <f t="shared" si="6"/>
        <v>0</v>
      </c>
      <c r="I51" s="191">
        <f t="shared" si="6"/>
        <v>10</v>
      </c>
      <c r="J51" s="191">
        <f t="shared" si="6"/>
        <v>6</v>
      </c>
      <c r="K51" s="191">
        <f t="shared" si="6"/>
        <v>0</v>
      </c>
      <c r="L51" s="191">
        <f t="shared" si="6"/>
        <v>5</v>
      </c>
      <c r="M51" s="191">
        <f t="shared" si="6"/>
        <v>0</v>
      </c>
      <c r="N51" s="191">
        <f t="shared" si="6"/>
        <v>0</v>
      </c>
      <c r="O51" s="191">
        <f t="shared" si="6"/>
        <v>0</v>
      </c>
      <c r="P51" s="191">
        <f t="shared" si="6"/>
        <v>0</v>
      </c>
      <c r="Q51" s="191">
        <f t="shared" si="6"/>
        <v>0</v>
      </c>
      <c r="R51" s="188"/>
      <c r="S51" s="188"/>
      <c r="T51" s="188"/>
      <c r="U51" s="188"/>
      <c r="V51" s="188"/>
    </row>
    <row r="52" spans="1:22">
      <c r="B52" s="191" t="s">
        <v>810</v>
      </c>
      <c r="C52" s="191">
        <f>MAX(C41:C51)</f>
        <v>270</v>
      </c>
      <c r="D52" s="191">
        <f t="shared" ref="D52:Q52" si="7">MAX(D41:D51)</f>
        <v>220</v>
      </c>
      <c r="E52" s="191">
        <f t="shared" si="7"/>
        <v>24</v>
      </c>
      <c r="F52" s="191">
        <f t="shared" si="7"/>
        <v>24</v>
      </c>
      <c r="G52" s="191">
        <f t="shared" si="7"/>
        <v>0</v>
      </c>
      <c r="H52" s="191">
        <f t="shared" si="7"/>
        <v>0</v>
      </c>
      <c r="I52" s="191">
        <f t="shared" si="7"/>
        <v>45</v>
      </c>
      <c r="J52" s="191">
        <f t="shared" si="7"/>
        <v>13</v>
      </c>
      <c r="K52" s="191">
        <f t="shared" si="7"/>
        <v>1</v>
      </c>
      <c r="L52" s="191">
        <f t="shared" si="7"/>
        <v>13</v>
      </c>
      <c r="M52" s="191">
        <f t="shared" si="7"/>
        <v>1</v>
      </c>
      <c r="N52" s="191">
        <f t="shared" si="7"/>
        <v>0</v>
      </c>
      <c r="O52" s="191">
        <f t="shared" si="7"/>
        <v>0</v>
      </c>
      <c r="P52" s="191">
        <f t="shared" si="7"/>
        <v>2</v>
      </c>
      <c r="Q52" s="191">
        <f t="shared" si="7"/>
        <v>4</v>
      </c>
      <c r="R52" s="188"/>
      <c r="S52" s="188"/>
      <c r="T52" s="188"/>
      <c r="U52" s="188"/>
      <c r="V52" s="188"/>
    </row>
    <row r="53" spans="1:22">
      <c r="B53" s="191" t="s">
        <v>811</v>
      </c>
      <c r="C53" s="191" t="str">
        <f xml:space="preserve"> MIN(C41:C49) &amp; " - " &amp; MAX(C41:C49)</f>
        <v>140 - 270</v>
      </c>
      <c r="D53" s="191" t="str">
        <f t="shared" ref="D53:Q53" si="8" xml:space="preserve"> MIN(D41:D49) &amp; " - " &amp; MAX(D41:D49)</f>
        <v>110 - 220</v>
      </c>
      <c r="E53" s="191" t="str">
        <f t="shared" si="8"/>
        <v>13 - 24</v>
      </c>
      <c r="F53" s="191" t="str">
        <f t="shared" si="8"/>
        <v>12 - 24</v>
      </c>
      <c r="G53" s="191" t="str">
        <f t="shared" si="8"/>
        <v>0 - 0</v>
      </c>
      <c r="H53" s="191" t="str">
        <f t="shared" si="8"/>
        <v>0 - 0</v>
      </c>
      <c r="I53" s="191" t="str">
        <f t="shared" si="8"/>
        <v>10 - 45</v>
      </c>
      <c r="J53" s="191" t="str">
        <f t="shared" si="8"/>
        <v>6 - 13</v>
      </c>
      <c r="K53" s="191" t="str">
        <f t="shared" si="8"/>
        <v>0 - 1</v>
      </c>
      <c r="L53" s="191" t="str">
        <f t="shared" si="8"/>
        <v>5 - 13</v>
      </c>
      <c r="M53" s="191" t="str">
        <f t="shared" si="8"/>
        <v>0 - 1</v>
      </c>
      <c r="N53" s="191" t="str">
        <f t="shared" si="8"/>
        <v>0 - 0</v>
      </c>
      <c r="O53" s="191" t="str">
        <f t="shared" si="8"/>
        <v>0 - 0</v>
      </c>
      <c r="P53" s="191" t="str">
        <f t="shared" si="8"/>
        <v>0 - 2</v>
      </c>
      <c r="Q53" s="191" t="str">
        <f t="shared" si="8"/>
        <v>0 - 4</v>
      </c>
      <c r="R53" s="188"/>
      <c r="S53" s="188"/>
      <c r="T53" s="188"/>
      <c r="U53" s="188"/>
      <c r="V53" s="188"/>
    </row>
    <row r="54" spans="1:22">
      <c r="B54" s="188"/>
      <c r="C54" s="188"/>
      <c r="D54" s="188"/>
      <c r="E54" s="188"/>
      <c r="F54" s="188"/>
      <c r="G54" s="188"/>
      <c r="H54" s="188"/>
      <c r="I54" s="188"/>
      <c r="J54" s="188"/>
      <c r="K54" s="188"/>
      <c r="L54" s="188"/>
      <c r="M54" s="188"/>
      <c r="N54" s="188"/>
      <c r="O54" s="188"/>
      <c r="P54" s="188"/>
      <c r="Q54" s="188"/>
      <c r="R54" s="188"/>
      <c r="S54" s="188"/>
      <c r="T54" s="188"/>
      <c r="U54" s="188"/>
      <c r="V54" s="188"/>
    </row>
    <row r="55" spans="1:22">
      <c r="A55" s="178"/>
      <c r="B55" s="186" t="s">
        <v>812</v>
      </c>
      <c r="C55" s="188">
        <f t="shared" ref="C55:D63" si="9">+IF((C41*1.66)&lt;5,0,IF((C41*1.66)&gt;50,MROUND((C41*1.66),10),MROUND((C41*1.66),5)))</f>
        <v>230</v>
      </c>
      <c r="D55" s="188">
        <f t="shared" si="9"/>
        <v>180</v>
      </c>
      <c r="E55" s="188">
        <f t="shared" ref="E55:G63" si="10">+IF((E41*1.66)&gt;5,MROUND((E41*1.66),1),IF(AND((E41*1.66)&gt;0,(E41*1.66)&lt;0.5),0,ROUND((E41*1.66)/0.05,0)*0.05))</f>
        <v>22</v>
      </c>
      <c r="F55" s="188">
        <f t="shared" si="10"/>
        <v>20</v>
      </c>
      <c r="G55" s="188">
        <f t="shared" si="10"/>
        <v>0</v>
      </c>
      <c r="H55" s="195">
        <f t="shared" ref="H55:H63" si="11">+IF((H41*1.66)&lt;2,0,IF((H41*1.66)&gt;5,MROUND((H41*1.66),5),IF(OR((H41*1.66)&gt;2,(H41*1.66)&lt;5,(H41*1.66)=2,(H41*1.66)=5),"Less than 5 milligrams",)))</f>
        <v>0</v>
      </c>
      <c r="I55" s="188">
        <f t="shared" ref="I55:I63" si="12">+IF((I41*1.66)&lt;5,0,IF((I41*1.66)&gt;140,MROUND((I41*1.66),10),MROUND((I41*1.66),5)))</f>
        <v>15</v>
      </c>
      <c r="J55" s="188">
        <f t="shared" ref="J55:M63" si="13">+IF((J41*1.66)&lt;0.5,0,IF(OR((J41*1.66)&gt;1,(J41*1.66)=1),MROUND((J41*1.66),1),"Less than 1 gram"))</f>
        <v>12</v>
      </c>
      <c r="K55" s="188">
        <f t="shared" si="13"/>
        <v>0</v>
      </c>
      <c r="L55" s="188">
        <f t="shared" si="13"/>
        <v>12</v>
      </c>
      <c r="M55" s="188">
        <f t="shared" si="13"/>
        <v>0</v>
      </c>
      <c r="N55" s="188">
        <f>+IF((N41/1.66)&lt;2,0, IF(OR((N41/1.66)=50,(N41/1.66)&gt;50), MROUND((N41/1.66),10),IF(OR((N41/1.66)=50,AND((N41/1.66)&gt;10,(N41/1.66)&lt;50)), MROUND((N41/1.66), 5), IF(OR((N41/1.66)=2,(N41/1.66)=10,AND((N41/1.66)&lt;10,(N41/1.66)&gt;2)), MROUND((N41/1.66), 2), "Check"))))</f>
        <v>0</v>
      </c>
      <c r="O55" s="188">
        <f>+IF((O41/1.66)&lt;2,0, IF(OR((O41/1.66)=50,(O41/1.66)&gt;50), MROUND((O41/1.66),10),IF(OR((O41/1.66)=50,AND((O41/1.66)&gt;10,(O41/1.66)&lt;50)), MROUND((O41/1.66), 5), IF(OR((O41/1.66)=2,(O41/1.66)=10,AND((O41/1.66)&lt;10,(O41/1.66)&gt;2)), MROUND((O41/1.66), 2), "Check"))))</f>
        <v>0</v>
      </c>
      <c r="P55" s="188">
        <f>+IF((P41/1.66)&lt;2,0, IF(OR((P41/1.66)=50,(P41/1.66)&gt;50), MROUND((P41/1.66),10),IF(OR((P41/1.66)=50,AND((P41/1.66)&gt;10,(P41/1.66)&lt;50)), MROUND((P41/1.66), 5), IF(OR((P41/1.66)=2,(P41/1.66)=10,AND((P41/1.66)&lt;10,(P41/1.66)&gt;2)), MROUND((P41/1.66), 2), "Check"))))</f>
        <v>0</v>
      </c>
      <c r="Q55" s="188">
        <f>+IF((Q41/1.66)&lt;2,0, IF(OR((Q41/1.66)=50,(Q41/1.66)&gt;50), MROUND((Q41/1.66),10),IF(OR((Q41/1.66)=50,AND((Q41/1.66)&gt;10,(Q41/1.66)&lt;50)), MROUND((Q41/1.66), 5), IF(OR((Q41/1.66)=2,(Q41/1.66)=10,AND((Q41/1.66)&lt;10,(Q41/1.66)&gt;2)), MROUND((Q41/1.66), 2), "Check"))))</f>
        <v>0</v>
      </c>
      <c r="R55" s="188"/>
      <c r="S55" s="188"/>
      <c r="T55" s="188"/>
      <c r="U55" s="188"/>
      <c r="V55" s="188"/>
    </row>
    <row r="56" spans="1:22">
      <c r="A56" s="178"/>
      <c r="B56" s="186" t="s">
        <v>813</v>
      </c>
      <c r="C56" s="188">
        <f t="shared" si="9"/>
        <v>230</v>
      </c>
      <c r="D56" s="188">
        <f t="shared" si="9"/>
        <v>180</v>
      </c>
      <c r="E56" s="188">
        <f t="shared" si="10"/>
        <v>22</v>
      </c>
      <c r="F56" s="188">
        <f t="shared" si="10"/>
        <v>20</v>
      </c>
      <c r="G56" s="188">
        <f t="shared" si="10"/>
        <v>0</v>
      </c>
      <c r="H56" s="195">
        <f t="shared" si="11"/>
        <v>0</v>
      </c>
      <c r="I56" s="188">
        <f t="shared" si="12"/>
        <v>15</v>
      </c>
      <c r="J56" s="188">
        <f t="shared" si="13"/>
        <v>10</v>
      </c>
      <c r="K56" s="188">
        <f t="shared" si="13"/>
        <v>0</v>
      </c>
      <c r="L56" s="188">
        <f t="shared" si="13"/>
        <v>8</v>
      </c>
      <c r="M56" s="188">
        <f t="shared" si="13"/>
        <v>0</v>
      </c>
      <c r="N56" s="188">
        <f t="shared" ref="N56:O63" si="14">N42*1.66</f>
        <v>0</v>
      </c>
      <c r="O56" s="188">
        <f t="shared" si="14"/>
        <v>0</v>
      </c>
      <c r="P56" s="188">
        <v>3</v>
      </c>
      <c r="Q56" s="188">
        <v>3</v>
      </c>
      <c r="R56" s="188"/>
      <c r="S56" s="188"/>
      <c r="T56" s="188"/>
      <c r="U56" s="188"/>
      <c r="V56" s="188"/>
    </row>
    <row r="57" spans="1:22">
      <c r="A57" s="178"/>
      <c r="B57" s="186" t="s">
        <v>814</v>
      </c>
      <c r="C57" s="188">
        <f t="shared" si="9"/>
        <v>230</v>
      </c>
      <c r="D57" s="188">
        <f t="shared" si="9"/>
        <v>180</v>
      </c>
      <c r="E57" s="188">
        <f t="shared" si="10"/>
        <v>22</v>
      </c>
      <c r="F57" s="188">
        <f t="shared" si="10"/>
        <v>20</v>
      </c>
      <c r="G57" s="188">
        <f t="shared" si="10"/>
        <v>0</v>
      </c>
      <c r="H57" s="195">
        <f t="shared" si="11"/>
        <v>0</v>
      </c>
      <c r="I57" s="188">
        <f t="shared" si="12"/>
        <v>40</v>
      </c>
      <c r="J57" s="188">
        <f t="shared" si="13"/>
        <v>12</v>
      </c>
      <c r="K57" s="188">
        <f t="shared" si="13"/>
        <v>0</v>
      </c>
      <c r="L57" s="188">
        <f t="shared" si="13"/>
        <v>12</v>
      </c>
      <c r="M57" s="188">
        <f t="shared" si="13"/>
        <v>0</v>
      </c>
      <c r="N57" s="188">
        <f t="shared" si="14"/>
        <v>0</v>
      </c>
      <c r="O57" s="188">
        <f t="shared" si="14"/>
        <v>0</v>
      </c>
      <c r="P57" s="188">
        <f>P43*1.66</f>
        <v>0</v>
      </c>
      <c r="Q57" s="188">
        <f>Q43*1.66</f>
        <v>0</v>
      </c>
      <c r="R57" s="188"/>
      <c r="S57" s="188"/>
      <c r="T57" s="188"/>
      <c r="U57" s="188"/>
      <c r="V57" s="188"/>
    </row>
    <row r="58" spans="1:22">
      <c r="A58" s="178"/>
      <c r="B58" s="186" t="s">
        <v>815</v>
      </c>
      <c r="C58" s="188">
        <f t="shared" si="9"/>
        <v>320</v>
      </c>
      <c r="D58" s="188">
        <f t="shared" si="9"/>
        <v>250</v>
      </c>
      <c r="E58" s="188">
        <f t="shared" si="10"/>
        <v>28</v>
      </c>
      <c r="F58" s="188">
        <f t="shared" si="10"/>
        <v>27</v>
      </c>
      <c r="G58" s="188">
        <f t="shared" si="10"/>
        <v>0</v>
      </c>
      <c r="H58" s="195">
        <f t="shared" si="11"/>
        <v>0</v>
      </c>
      <c r="I58" s="188">
        <f t="shared" si="12"/>
        <v>15</v>
      </c>
      <c r="J58" s="188">
        <f t="shared" si="13"/>
        <v>15</v>
      </c>
      <c r="K58" s="188">
        <f t="shared" si="13"/>
        <v>0</v>
      </c>
      <c r="L58" s="188">
        <f t="shared" si="13"/>
        <v>15</v>
      </c>
      <c r="M58" s="188">
        <f t="shared" si="13"/>
        <v>0</v>
      </c>
      <c r="N58" s="188">
        <f t="shared" si="14"/>
        <v>0</v>
      </c>
      <c r="O58" s="188">
        <f t="shared" si="14"/>
        <v>0</v>
      </c>
      <c r="P58" s="188">
        <v>3</v>
      </c>
      <c r="Q58" s="188">
        <f>Q44*1.66</f>
        <v>0</v>
      </c>
      <c r="R58" s="188"/>
      <c r="S58" s="188"/>
      <c r="T58" s="188"/>
      <c r="U58" s="188"/>
      <c r="V58" s="188"/>
    </row>
    <row r="59" spans="1:22">
      <c r="A59" s="178"/>
      <c r="B59" s="186" t="s">
        <v>816</v>
      </c>
      <c r="C59" s="188">
        <f t="shared" si="9"/>
        <v>320</v>
      </c>
      <c r="D59" s="188">
        <f t="shared" si="9"/>
        <v>270</v>
      </c>
      <c r="E59" s="188">
        <f t="shared" si="10"/>
        <v>28</v>
      </c>
      <c r="F59" s="188">
        <f t="shared" si="10"/>
        <v>28</v>
      </c>
      <c r="G59" s="188">
        <f t="shared" si="10"/>
        <v>0</v>
      </c>
      <c r="H59" s="195">
        <f t="shared" si="11"/>
        <v>0</v>
      </c>
      <c r="I59" s="188">
        <f t="shared" si="12"/>
        <v>15</v>
      </c>
      <c r="J59" s="188">
        <f t="shared" si="13"/>
        <v>13</v>
      </c>
      <c r="K59" s="188">
        <f t="shared" si="13"/>
        <v>2</v>
      </c>
      <c r="L59" s="188">
        <f t="shared" si="13"/>
        <v>12</v>
      </c>
      <c r="M59" s="188">
        <f t="shared" si="13"/>
        <v>2</v>
      </c>
      <c r="N59" s="188">
        <f t="shared" si="14"/>
        <v>0</v>
      </c>
      <c r="O59" s="188">
        <f t="shared" si="14"/>
        <v>0</v>
      </c>
      <c r="P59" s="188">
        <v>3</v>
      </c>
      <c r="Q59" s="188">
        <v>3</v>
      </c>
      <c r="R59" s="188"/>
      <c r="S59" s="188"/>
      <c r="T59" s="188"/>
      <c r="U59" s="188"/>
      <c r="V59" s="188"/>
    </row>
    <row r="60" spans="1:22">
      <c r="A60" s="178"/>
      <c r="B60" s="186" t="s">
        <v>817</v>
      </c>
      <c r="C60" s="188">
        <f t="shared" si="9"/>
        <v>320</v>
      </c>
      <c r="D60" s="188">
        <f t="shared" si="9"/>
        <v>250</v>
      </c>
      <c r="E60" s="188">
        <f t="shared" si="10"/>
        <v>28</v>
      </c>
      <c r="F60" s="188">
        <f t="shared" si="10"/>
        <v>27</v>
      </c>
      <c r="G60" s="188">
        <f t="shared" si="10"/>
        <v>0</v>
      </c>
      <c r="H60" s="195">
        <f t="shared" si="11"/>
        <v>0</v>
      </c>
      <c r="I60" s="188">
        <f t="shared" si="12"/>
        <v>50</v>
      </c>
      <c r="J60" s="188">
        <f t="shared" si="13"/>
        <v>15</v>
      </c>
      <c r="K60" s="188">
        <f t="shared" si="13"/>
        <v>0</v>
      </c>
      <c r="L60" s="188">
        <f t="shared" si="13"/>
        <v>15</v>
      </c>
      <c r="M60" s="188">
        <f t="shared" si="13"/>
        <v>0</v>
      </c>
      <c r="N60" s="188">
        <f t="shared" si="14"/>
        <v>0</v>
      </c>
      <c r="O60" s="188">
        <f t="shared" si="14"/>
        <v>0</v>
      </c>
      <c r="P60" s="188">
        <v>3</v>
      </c>
      <c r="Q60" s="188">
        <f>Q46*1.66</f>
        <v>0</v>
      </c>
      <c r="R60" s="188"/>
      <c r="S60" s="188"/>
      <c r="T60" s="188"/>
      <c r="U60" s="188"/>
      <c r="V60" s="188"/>
    </row>
    <row r="61" spans="1:22">
      <c r="A61" s="178"/>
      <c r="B61" s="186" t="s">
        <v>818</v>
      </c>
      <c r="C61" s="188">
        <f t="shared" si="9"/>
        <v>450</v>
      </c>
      <c r="D61" s="188">
        <f t="shared" si="9"/>
        <v>370</v>
      </c>
      <c r="E61" s="188">
        <f t="shared" si="10"/>
        <v>40</v>
      </c>
      <c r="F61" s="188">
        <f t="shared" si="10"/>
        <v>38</v>
      </c>
      <c r="G61" s="188">
        <f t="shared" si="10"/>
        <v>0</v>
      </c>
      <c r="H61" s="195">
        <f t="shared" si="11"/>
        <v>0</v>
      </c>
      <c r="I61" s="188">
        <f t="shared" si="12"/>
        <v>35</v>
      </c>
      <c r="J61" s="188">
        <f t="shared" si="13"/>
        <v>22</v>
      </c>
      <c r="K61" s="188">
        <f t="shared" si="13"/>
        <v>0</v>
      </c>
      <c r="L61" s="188">
        <f t="shared" si="13"/>
        <v>22</v>
      </c>
      <c r="M61" s="188">
        <f t="shared" si="13"/>
        <v>0</v>
      </c>
      <c r="N61" s="188">
        <f t="shared" si="14"/>
        <v>0</v>
      </c>
      <c r="O61" s="188">
        <f t="shared" si="14"/>
        <v>0</v>
      </c>
      <c r="P61" s="188">
        <v>3</v>
      </c>
      <c r="Q61" s="188">
        <f>Q47*1.66</f>
        <v>0</v>
      </c>
      <c r="R61" s="188"/>
      <c r="S61" s="188"/>
      <c r="T61" s="188"/>
      <c r="U61" s="188"/>
      <c r="V61" s="188"/>
    </row>
    <row r="62" spans="1:22">
      <c r="A62" s="178"/>
      <c r="B62" s="186" t="s">
        <v>819</v>
      </c>
      <c r="C62" s="188">
        <f t="shared" si="9"/>
        <v>450</v>
      </c>
      <c r="D62" s="188">
        <f t="shared" si="9"/>
        <v>370</v>
      </c>
      <c r="E62" s="188">
        <f t="shared" si="10"/>
        <v>40</v>
      </c>
      <c r="F62" s="188">
        <f t="shared" si="10"/>
        <v>40</v>
      </c>
      <c r="G62" s="188">
        <f t="shared" si="10"/>
        <v>0</v>
      </c>
      <c r="H62" s="195">
        <f t="shared" si="11"/>
        <v>0</v>
      </c>
      <c r="I62" s="188">
        <f t="shared" si="12"/>
        <v>35</v>
      </c>
      <c r="J62" s="188">
        <f t="shared" si="13"/>
        <v>20</v>
      </c>
      <c r="K62" s="188">
        <f t="shared" si="13"/>
        <v>2</v>
      </c>
      <c r="L62" s="188">
        <f t="shared" si="13"/>
        <v>17</v>
      </c>
      <c r="M62" s="188">
        <f t="shared" si="13"/>
        <v>2</v>
      </c>
      <c r="N62" s="188">
        <f t="shared" si="14"/>
        <v>0</v>
      </c>
      <c r="O62" s="188">
        <f t="shared" si="14"/>
        <v>0</v>
      </c>
      <c r="P62" s="188">
        <v>3</v>
      </c>
      <c r="Q62" s="188">
        <v>7</v>
      </c>
      <c r="R62" s="188"/>
      <c r="S62" s="188"/>
      <c r="T62" s="188"/>
      <c r="U62" s="188"/>
      <c r="V62" s="188"/>
    </row>
    <row r="63" spans="1:22">
      <c r="A63" s="178"/>
      <c r="B63" s="186" t="s">
        <v>820</v>
      </c>
      <c r="C63" s="188">
        <f t="shared" si="9"/>
        <v>450</v>
      </c>
      <c r="D63" s="188">
        <f t="shared" si="9"/>
        <v>370</v>
      </c>
      <c r="E63" s="188">
        <f t="shared" si="10"/>
        <v>40</v>
      </c>
      <c r="F63" s="188">
        <f t="shared" si="10"/>
        <v>38</v>
      </c>
      <c r="G63" s="188">
        <f t="shared" si="10"/>
        <v>0</v>
      </c>
      <c r="H63" s="195">
        <f t="shared" si="11"/>
        <v>0</v>
      </c>
      <c r="I63" s="188">
        <f t="shared" si="12"/>
        <v>75</v>
      </c>
      <c r="J63" s="188">
        <f t="shared" si="13"/>
        <v>22</v>
      </c>
      <c r="K63" s="188">
        <f t="shared" si="13"/>
        <v>0</v>
      </c>
      <c r="L63" s="188">
        <f t="shared" si="13"/>
        <v>22</v>
      </c>
      <c r="M63" s="188">
        <f t="shared" si="13"/>
        <v>0</v>
      </c>
      <c r="N63" s="188">
        <f t="shared" si="14"/>
        <v>0</v>
      </c>
      <c r="O63" s="188">
        <f t="shared" si="14"/>
        <v>0</v>
      </c>
      <c r="P63" s="188">
        <v>3</v>
      </c>
      <c r="Q63" s="188">
        <f>Q49*1.66</f>
        <v>0</v>
      </c>
      <c r="R63" s="188"/>
      <c r="S63" s="188"/>
      <c r="T63" s="188"/>
      <c r="U63" s="188"/>
      <c r="V63" s="188"/>
    </row>
    <row r="64" spans="1:22">
      <c r="B64" s="188"/>
      <c r="C64" s="188"/>
      <c r="D64" s="188"/>
      <c r="E64" s="188"/>
      <c r="F64" s="188"/>
      <c r="G64" s="188"/>
      <c r="H64" s="188"/>
      <c r="I64" s="188"/>
      <c r="J64" s="188"/>
      <c r="K64" s="188"/>
      <c r="L64" s="188"/>
      <c r="M64" s="188"/>
      <c r="N64" s="188"/>
      <c r="O64" s="188"/>
      <c r="P64" s="188"/>
      <c r="Q64" s="188"/>
      <c r="R64" s="188"/>
      <c r="S64" s="188"/>
      <c r="T64" s="188"/>
      <c r="U64" s="188"/>
      <c r="V64" s="188"/>
    </row>
    <row r="65" spans="1:22">
      <c r="B65" s="191" t="s">
        <v>821</v>
      </c>
      <c r="C65" s="191">
        <f>MAX(C55:C64)</f>
        <v>450</v>
      </c>
      <c r="D65" s="191">
        <f t="shared" ref="D65:Q65" si="15">MAX(D55:D64)</f>
        <v>370</v>
      </c>
      <c r="E65" s="191">
        <f t="shared" si="15"/>
        <v>40</v>
      </c>
      <c r="F65" s="191">
        <f t="shared" si="15"/>
        <v>40</v>
      </c>
      <c r="G65" s="191">
        <f t="shared" si="15"/>
        <v>0</v>
      </c>
      <c r="H65" s="191">
        <f t="shared" si="15"/>
        <v>0</v>
      </c>
      <c r="I65" s="191">
        <f t="shared" si="15"/>
        <v>75</v>
      </c>
      <c r="J65" s="191">
        <f t="shared" si="15"/>
        <v>22</v>
      </c>
      <c r="K65" s="191">
        <f t="shared" si="15"/>
        <v>2</v>
      </c>
      <c r="L65" s="191">
        <f t="shared" si="15"/>
        <v>22</v>
      </c>
      <c r="M65" s="191">
        <f t="shared" si="15"/>
        <v>2</v>
      </c>
      <c r="N65" s="191">
        <f t="shared" si="15"/>
        <v>0</v>
      </c>
      <c r="O65" s="191">
        <f t="shared" si="15"/>
        <v>0</v>
      </c>
      <c r="P65" s="191">
        <f t="shared" si="15"/>
        <v>3</v>
      </c>
      <c r="Q65" s="191">
        <f t="shared" si="15"/>
        <v>7</v>
      </c>
      <c r="R65" s="188"/>
      <c r="S65" s="188"/>
      <c r="T65" s="188"/>
      <c r="U65" s="188"/>
      <c r="V65" s="188"/>
    </row>
    <row r="66" spans="1:22">
      <c r="B66" s="191" t="s">
        <v>822</v>
      </c>
      <c r="C66" s="191" t="str">
        <f xml:space="preserve"> MIN(C55:C63) &amp; " - " &amp; MAX(C55:C63)</f>
        <v>230 - 450</v>
      </c>
      <c r="D66" s="191" t="str">
        <f t="shared" ref="D66:Q66" si="16" xml:space="preserve"> MIN(D55:D63) &amp; " - " &amp; MAX(D55:D63)</f>
        <v>180 - 370</v>
      </c>
      <c r="E66" s="191" t="str">
        <f t="shared" si="16"/>
        <v>22 - 40</v>
      </c>
      <c r="F66" s="191" t="str">
        <f t="shared" si="16"/>
        <v>20 - 40</v>
      </c>
      <c r="G66" s="191" t="str">
        <f t="shared" si="16"/>
        <v>0 - 0</v>
      </c>
      <c r="H66" s="191" t="str">
        <f t="shared" si="16"/>
        <v>0 - 0</v>
      </c>
      <c r="I66" s="191" t="str">
        <f t="shared" si="16"/>
        <v>15 - 75</v>
      </c>
      <c r="J66" s="191" t="str">
        <f t="shared" si="16"/>
        <v>10 - 22</v>
      </c>
      <c r="K66" s="191" t="str">
        <f t="shared" si="16"/>
        <v>0 - 2</v>
      </c>
      <c r="L66" s="191" t="str">
        <f t="shared" si="16"/>
        <v>8 - 22</v>
      </c>
      <c r="M66" s="191" t="str">
        <f t="shared" si="16"/>
        <v>0 - 2</v>
      </c>
      <c r="N66" s="191" t="str">
        <f t="shared" si="16"/>
        <v>0 - 0</v>
      </c>
      <c r="O66" s="191" t="str">
        <f t="shared" si="16"/>
        <v>0 - 0</v>
      </c>
      <c r="P66" s="191" t="str">
        <f t="shared" si="16"/>
        <v>0 - 3</v>
      </c>
      <c r="Q66" s="191" t="str">
        <f t="shared" si="16"/>
        <v>0 - 7</v>
      </c>
      <c r="R66" s="188"/>
      <c r="S66" s="188"/>
      <c r="T66" s="188"/>
      <c r="U66" s="188"/>
      <c r="V66" s="188"/>
    </row>
    <row r="67" spans="1:22">
      <c r="B67" s="188"/>
      <c r="C67" s="188"/>
      <c r="D67" s="188"/>
      <c r="E67" s="188"/>
      <c r="F67" s="188"/>
      <c r="G67" s="188"/>
      <c r="H67" s="188"/>
      <c r="I67" s="188"/>
      <c r="J67" s="188"/>
      <c r="K67" s="188"/>
      <c r="L67" s="188"/>
      <c r="M67" s="188"/>
      <c r="N67" s="188"/>
      <c r="O67" s="188"/>
      <c r="P67" s="188"/>
      <c r="Q67" s="188"/>
      <c r="R67" s="188"/>
      <c r="S67" s="188"/>
      <c r="T67" s="188"/>
      <c r="U67" s="188"/>
      <c r="V67" s="188"/>
    </row>
    <row r="68" spans="1:22">
      <c r="A68" s="178"/>
      <c r="B68" s="186" t="s">
        <v>823</v>
      </c>
      <c r="C68" s="188">
        <f t="shared" ref="C68:C76" si="17">C41*2</f>
        <v>280</v>
      </c>
      <c r="D68" s="188">
        <f t="shared" ref="D68:Q68" si="18">D41*2</f>
        <v>220</v>
      </c>
      <c r="E68" s="188">
        <f t="shared" si="18"/>
        <v>26</v>
      </c>
      <c r="F68" s="188">
        <f t="shared" si="18"/>
        <v>24</v>
      </c>
      <c r="G68" s="188">
        <f t="shared" si="18"/>
        <v>0</v>
      </c>
      <c r="H68" s="188">
        <f t="shared" si="18"/>
        <v>0</v>
      </c>
      <c r="I68" s="188">
        <f t="shared" si="18"/>
        <v>20</v>
      </c>
      <c r="J68" s="188">
        <f t="shared" si="18"/>
        <v>14</v>
      </c>
      <c r="K68" s="188">
        <f t="shared" si="18"/>
        <v>0</v>
      </c>
      <c r="L68" s="188">
        <f t="shared" si="18"/>
        <v>14</v>
      </c>
      <c r="M68" s="188">
        <f t="shared" si="18"/>
        <v>0</v>
      </c>
      <c r="N68" s="188">
        <f t="shared" si="18"/>
        <v>0</v>
      </c>
      <c r="O68" s="188">
        <f t="shared" si="18"/>
        <v>0</v>
      </c>
      <c r="P68" s="188">
        <f t="shared" si="18"/>
        <v>0</v>
      </c>
      <c r="Q68" s="188">
        <f t="shared" si="18"/>
        <v>0</v>
      </c>
      <c r="R68" s="188"/>
      <c r="S68" s="188"/>
      <c r="T68" s="188"/>
      <c r="U68" s="188"/>
      <c r="V68" s="188"/>
    </row>
    <row r="69" spans="1:22">
      <c r="A69" s="178"/>
      <c r="B69" s="186" t="s">
        <v>824</v>
      </c>
      <c r="C69" s="188">
        <f t="shared" si="17"/>
        <v>280</v>
      </c>
      <c r="D69" s="188">
        <f t="shared" ref="D69:Q69" si="19">D42*2</f>
        <v>220</v>
      </c>
      <c r="E69" s="188">
        <f t="shared" si="19"/>
        <v>26</v>
      </c>
      <c r="F69" s="188">
        <f t="shared" si="19"/>
        <v>24</v>
      </c>
      <c r="G69" s="188">
        <f t="shared" si="19"/>
        <v>0</v>
      </c>
      <c r="H69" s="188">
        <f t="shared" si="19"/>
        <v>0</v>
      </c>
      <c r="I69" s="188">
        <f t="shared" si="19"/>
        <v>20</v>
      </c>
      <c r="J69" s="188">
        <f t="shared" si="19"/>
        <v>12</v>
      </c>
      <c r="K69" s="188">
        <f t="shared" si="19"/>
        <v>0</v>
      </c>
      <c r="L69" s="188">
        <f t="shared" si="19"/>
        <v>10</v>
      </c>
      <c r="M69" s="188">
        <f t="shared" si="19"/>
        <v>0</v>
      </c>
      <c r="N69" s="188">
        <f t="shared" si="19"/>
        <v>0</v>
      </c>
      <c r="O69" s="188">
        <f t="shared" si="19"/>
        <v>0</v>
      </c>
      <c r="P69" s="188">
        <f t="shared" si="19"/>
        <v>4</v>
      </c>
      <c r="Q69" s="188">
        <f t="shared" si="19"/>
        <v>4</v>
      </c>
      <c r="R69" s="188"/>
      <c r="S69" s="188"/>
      <c r="T69" s="188"/>
      <c r="U69" s="188"/>
      <c r="V69" s="188"/>
    </row>
    <row r="70" spans="1:22">
      <c r="A70" s="178"/>
      <c r="B70" s="186" t="s">
        <v>825</v>
      </c>
      <c r="C70" s="188">
        <f t="shared" si="17"/>
        <v>280</v>
      </c>
      <c r="D70" s="188">
        <f t="shared" ref="D70:Q70" si="20">D43*2</f>
        <v>220</v>
      </c>
      <c r="E70" s="188">
        <f t="shared" si="20"/>
        <v>26</v>
      </c>
      <c r="F70" s="188">
        <f t="shared" si="20"/>
        <v>24</v>
      </c>
      <c r="G70" s="188">
        <f t="shared" si="20"/>
        <v>0</v>
      </c>
      <c r="H70" s="188">
        <f t="shared" si="20"/>
        <v>0</v>
      </c>
      <c r="I70" s="188">
        <f t="shared" si="20"/>
        <v>50</v>
      </c>
      <c r="J70" s="188">
        <f t="shared" si="20"/>
        <v>14</v>
      </c>
      <c r="K70" s="188">
        <f t="shared" si="20"/>
        <v>0</v>
      </c>
      <c r="L70" s="188">
        <f t="shared" si="20"/>
        <v>14</v>
      </c>
      <c r="M70" s="188">
        <f t="shared" si="20"/>
        <v>0</v>
      </c>
      <c r="N70" s="188">
        <f t="shared" si="20"/>
        <v>0</v>
      </c>
      <c r="O70" s="188">
        <f t="shared" si="20"/>
        <v>0</v>
      </c>
      <c r="P70" s="188">
        <f t="shared" si="20"/>
        <v>0</v>
      </c>
      <c r="Q70" s="188">
        <f t="shared" si="20"/>
        <v>0</v>
      </c>
      <c r="R70" s="188"/>
      <c r="S70" s="188"/>
      <c r="T70" s="188"/>
      <c r="U70" s="188"/>
      <c r="V70" s="188"/>
    </row>
    <row r="71" spans="1:22">
      <c r="A71" s="178"/>
      <c r="B71" s="186" t="s">
        <v>826</v>
      </c>
      <c r="C71" s="188">
        <f t="shared" si="17"/>
        <v>380</v>
      </c>
      <c r="D71" s="188">
        <f t="shared" ref="D71:Q71" si="21">D44*2</f>
        <v>300</v>
      </c>
      <c r="E71" s="188">
        <f t="shared" si="21"/>
        <v>34</v>
      </c>
      <c r="F71" s="188">
        <f t="shared" si="21"/>
        <v>32</v>
      </c>
      <c r="G71" s="188">
        <f t="shared" si="21"/>
        <v>0</v>
      </c>
      <c r="H71" s="188">
        <f t="shared" si="21"/>
        <v>0</v>
      </c>
      <c r="I71" s="188">
        <f t="shared" si="21"/>
        <v>20</v>
      </c>
      <c r="J71" s="188">
        <f t="shared" si="21"/>
        <v>18</v>
      </c>
      <c r="K71" s="188">
        <f t="shared" si="21"/>
        <v>0</v>
      </c>
      <c r="L71" s="188">
        <f t="shared" si="21"/>
        <v>18</v>
      </c>
      <c r="M71" s="188">
        <f t="shared" si="21"/>
        <v>0</v>
      </c>
      <c r="N71" s="188">
        <f t="shared" si="21"/>
        <v>0</v>
      </c>
      <c r="O71" s="188">
        <f t="shared" si="21"/>
        <v>0</v>
      </c>
      <c r="P71" s="188">
        <f t="shared" si="21"/>
        <v>4</v>
      </c>
      <c r="Q71" s="188">
        <f t="shared" si="21"/>
        <v>0</v>
      </c>
      <c r="R71" s="188"/>
      <c r="S71" s="188"/>
      <c r="T71" s="188"/>
      <c r="U71" s="188"/>
      <c r="V71" s="188"/>
    </row>
    <row r="72" spans="1:22">
      <c r="A72" s="178"/>
      <c r="B72" s="186" t="s">
        <v>827</v>
      </c>
      <c r="C72" s="188">
        <f t="shared" si="17"/>
        <v>380</v>
      </c>
      <c r="D72" s="188">
        <f t="shared" ref="D72:Q72" si="22">D45*2</f>
        <v>320</v>
      </c>
      <c r="E72" s="188">
        <f t="shared" si="22"/>
        <v>34</v>
      </c>
      <c r="F72" s="188">
        <f t="shared" si="22"/>
        <v>34</v>
      </c>
      <c r="G72" s="188">
        <f t="shared" si="22"/>
        <v>0</v>
      </c>
      <c r="H72" s="188">
        <f t="shared" si="22"/>
        <v>0</v>
      </c>
      <c r="I72" s="188">
        <f t="shared" si="22"/>
        <v>20</v>
      </c>
      <c r="J72" s="188">
        <f t="shared" si="22"/>
        <v>16</v>
      </c>
      <c r="K72" s="188">
        <f t="shared" si="22"/>
        <v>2</v>
      </c>
      <c r="L72" s="188">
        <f t="shared" si="22"/>
        <v>14</v>
      </c>
      <c r="M72" s="188">
        <f t="shared" si="22"/>
        <v>2</v>
      </c>
      <c r="N72" s="188">
        <f t="shared" si="22"/>
        <v>0</v>
      </c>
      <c r="O72" s="188">
        <f t="shared" si="22"/>
        <v>0</v>
      </c>
      <c r="P72" s="188">
        <f t="shared" si="22"/>
        <v>4</v>
      </c>
      <c r="Q72" s="188">
        <f t="shared" si="22"/>
        <v>4</v>
      </c>
      <c r="R72" s="188"/>
      <c r="S72" s="188"/>
      <c r="T72" s="188"/>
      <c r="U72" s="188"/>
      <c r="V72" s="188"/>
    </row>
    <row r="73" spans="1:22">
      <c r="A73" s="178"/>
      <c r="B73" s="186" t="s">
        <v>828</v>
      </c>
      <c r="C73" s="188">
        <f t="shared" si="17"/>
        <v>380</v>
      </c>
      <c r="D73" s="188">
        <f t="shared" ref="D73:Q73" si="23">D46*2</f>
        <v>300</v>
      </c>
      <c r="E73" s="188">
        <f t="shared" si="23"/>
        <v>34</v>
      </c>
      <c r="F73" s="188">
        <f t="shared" si="23"/>
        <v>32</v>
      </c>
      <c r="G73" s="188">
        <f t="shared" si="23"/>
        <v>0</v>
      </c>
      <c r="H73" s="188">
        <f t="shared" si="23"/>
        <v>0</v>
      </c>
      <c r="I73" s="188">
        <f t="shared" si="23"/>
        <v>60</v>
      </c>
      <c r="J73" s="188">
        <f t="shared" si="23"/>
        <v>18</v>
      </c>
      <c r="K73" s="188">
        <f t="shared" si="23"/>
        <v>0</v>
      </c>
      <c r="L73" s="188">
        <f t="shared" si="23"/>
        <v>18</v>
      </c>
      <c r="M73" s="188">
        <f t="shared" si="23"/>
        <v>0</v>
      </c>
      <c r="N73" s="188">
        <f t="shared" si="23"/>
        <v>0</v>
      </c>
      <c r="O73" s="188">
        <f t="shared" si="23"/>
        <v>0</v>
      </c>
      <c r="P73" s="188">
        <f t="shared" si="23"/>
        <v>4</v>
      </c>
      <c r="Q73" s="188">
        <f t="shared" si="23"/>
        <v>0</v>
      </c>
      <c r="R73" s="188"/>
      <c r="S73" s="188"/>
      <c r="T73" s="188"/>
      <c r="U73" s="188"/>
      <c r="V73" s="188"/>
    </row>
    <row r="74" spans="1:22">
      <c r="A74" s="178"/>
      <c r="B74" s="186" t="s">
        <v>829</v>
      </c>
      <c r="C74" s="188">
        <f t="shared" si="17"/>
        <v>540</v>
      </c>
      <c r="D74" s="188">
        <f t="shared" ref="D74:Q74" si="24">D47*2</f>
        <v>440</v>
      </c>
      <c r="E74" s="188">
        <f t="shared" si="24"/>
        <v>48</v>
      </c>
      <c r="F74" s="188">
        <f t="shared" si="24"/>
        <v>46</v>
      </c>
      <c r="G74" s="188">
        <f t="shared" si="24"/>
        <v>0</v>
      </c>
      <c r="H74" s="188">
        <f t="shared" si="24"/>
        <v>0</v>
      </c>
      <c r="I74" s="188">
        <f t="shared" si="24"/>
        <v>40</v>
      </c>
      <c r="J74" s="188">
        <f t="shared" si="24"/>
        <v>26</v>
      </c>
      <c r="K74" s="188">
        <f t="shared" si="24"/>
        <v>0</v>
      </c>
      <c r="L74" s="188">
        <f t="shared" si="24"/>
        <v>26</v>
      </c>
      <c r="M74" s="188">
        <f t="shared" si="24"/>
        <v>0</v>
      </c>
      <c r="N74" s="188">
        <f t="shared" si="24"/>
        <v>0</v>
      </c>
      <c r="O74" s="188">
        <f t="shared" si="24"/>
        <v>0</v>
      </c>
      <c r="P74" s="188">
        <f t="shared" si="24"/>
        <v>4</v>
      </c>
      <c r="Q74" s="188">
        <f t="shared" si="24"/>
        <v>0</v>
      </c>
      <c r="R74" s="188"/>
      <c r="S74" s="188"/>
      <c r="T74" s="188"/>
      <c r="U74" s="188"/>
      <c r="V74" s="188"/>
    </row>
    <row r="75" spans="1:22">
      <c r="A75" s="178"/>
      <c r="B75" s="186" t="s">
        <v>830</v>
      </c>
      <c r="C75" s="188">
        <f t="shared" si="17"/>
        <v>540</v>
      </c>
      <c r="D75" s="188">
        <f t="shared" ref="D75:Q75" si="25">D48*2</f>
        <v>440</v>
      </c>
      <c r="E75" s="188">
        <f t="shared" si="25"/>
        <v>48</v>
      </c>
      <c r="F75" s="188">
        <f t="shared" si="25"/>
        <v>48</v>
      </c>
      <c r="G75" s="188">
        <f t="shared" si="25"/>
        <v>0</v>
      </c>
      <c r="H75" s="188">
        <f t="shared" si="25"/>
        <v>0</v>
      </c>
      <c r="I75" s="188">
        <f t="shared" si="25"/>
        <v>40</v>
      </c>
      <c r="J75" s="188">
        <f t="shared" si="25"/>
        <v>24</v>
      </c>
      <c r="K75" s="188">
        <f t="shared" si="25"/>
        <v>2</v>
      </c>
      <c r="L75" s="188">
        <f t="shared" si="25"/>
        <v>20</v>
      </c>
      <c r="M75" s="188">
        <f t="shared" si="25"/>
        <v>2</v>
      </c>
      <c r="N75" s="188">
        <f t="shared" si="25"/>
        <v>0</v>
      </c>
      <c r="O75" s="188">
        <f t="shared" si="25"/>
        <v>0</v>
      </c>
      <c r="P75" s="188">
        <f t="shared" si="25"/>
        <v>4</v>
      </c>
      <c r="Q75" s="188">
        <f t="shared" si="25"/>
        <v>8</v>
      </c>
      <c r="R75" s="188"/>
      <c r="S75" s="188"/>
      <c r="T75" s="188"/>
      <c r="U75" s="188"/>
      <c r="V75" s="188"/>
    </row>
    <row r="76" spans="1:22">
      <c r="A76" s="178"/>
      <c r="B76" s="186" t="s">
        <v>831</v>
      </c>
      <c r="C76" s="188">
        <f t="shared" si="17"/>
        <v>540</v>
      </c>
      <c r="D76" s="188">
        <f t="shared" ref="D76:Q76" si="26">D49*2</f>
        <v>440</v>
      </c>
      <c r="E76" s="188">
        <f t="shared" si="26"/>
        <v>48</v>
      </c>
      <c r="F76" s="188">
        <f t="shared" si="26"/>
        <v>46</v>
      </c>
      <c r="G76" s="188">
        <f t="shared" si="26"/>
        <v>0</v>
      </c>
      <c r="H76" s="188">
        <f t="shared" si="26"/>
        <v>0</v>
      </c>
      <c r="I76" s="188">
        <f t="shared" si="26"/>
        <v>90</v>
      </c>
      <c r="J76" s="188">
        <f t="shared" si="26"/>
        <v>26</v>
      </c>
      <c r="K76" s="188">
        <f t="shared" si="26"/>
        <v>0</v>
      </c>
      <c r="L76" s="188">
        <f t="shared" si="26"/>
        <v>26</v>
      </c>
      <c r="M76" s="188">
        <f t="shared" si="26"/>
        <v>0</v>
      </c>
      <c r="N76" s="188">
        <f t="shared" si="26"/>
        <v>0</v>
      </c>
      <c r="O76" s="188">
        <f t="shared" si="26"/>
        <v>0</v>
      </c>
      <c r="P76" s="188">
        <f t="shared" si="26"/>
        <v>4</v>
      </c>
      <c r="Q76" s="188">
        <f t="shared" si="26"/>
        <v>0</v>
      </c>
      <c r="R76" s="188"/>
      <c r="S76" s="188"/>
      <c r="T76" s="188"/>
      <c r="U76" s="188"/>
      <c r="V76" s="188"/>
    </row>
    <row r="77" spans="1:22">
      <c r="B77" s="196"/>
      <c r="C77" s="188"/>
      <c r="D77" s="188"/>
      <c r="E77" s="188"/>
      <c r="F77" s="188"/>
      <c r="G77" s="188"/>
      <c r="H77" s="188"/>
      <c r="I77" s="188"/>
      <c r="J77" s="188"/>
      <c r="K77" s="188"/>
      <c r="L77" s="188"/>
      <c r="M77" s="188"/>
      <c r="N77" s="188"/>
      <c r="O77" s="188"/>
      <c r="P77" s="188"/>
      <c r="Q77" s="188"/>
      <c r="R77" s="188"/>
      <c r="S77" s="188"/>
      <c r="T77" s="188"/>
      <c r="U77" s="188"/>
      <c r="V77" s="188"/>
    </row>
    <row r="78" spans="1:22">
      <c r="B78" s="191" t="s">
        <v>832</v>
      </c>
      <c r="C78" s="191">
        <f>MIN(C68:C76)</f>
        <v>280</v>
      </c>
      <c r="D78" s="191">
        <f t="shared" ref="D78:Q78" si="27">MIN(D68:D76)</f>
        <v>220</v>
      </c>
      <c r="E78" s="191">
        <f t="shared" si="27"/>
        <v>26</v>
      </c>
      <c r="F78" s="191">
        <f t="shared" si="27"/>
        <v>24</v>
      </c>
      <c r="G78" s="191">
        <f t="shared" si="27"/>
        <v>0</v>
      </c>
      <c r="H78" s="191">
        <f t="shared" si="27"/>
        <v>0</v>
      </c>
      <c r="I78" s="191">
        <f t="shared" si="27"/>
        <v>20</v>
      </c>
      <c r="J78" s="191">
        <f t="shared" si="27"/>
        <v>12</v>
      </c>
      <c r="K78" s="191">
        <f t="shared" si="27"/>
        <v>0</v>
      </c>
      <c r="L78" s="191">
        <f t="shared" si="27"/>
        <v>10</v>
      </c>
      <c r="M78" s="191">
        <f t="shared" si="27"/>
        <v>0</v>
      </c>
      <c r="N78" s="191">
        <f t="shared" si="27"/>
        <v>0</v>
      </c>
      <c r="O78" s="191">
        <f t="shared" si="27"/>
        <v>0</v>
      </c>
      <c r="P78" s="191">
        <f t="shared" si="27"/>
        <v>0</v>
      </c>
      <c r="Q78" s="191">
        <f t="shared" si="27"/>
        <v>0</v>
      </c>
      <c r="R78" s="188"/>
      <c r="S78" s="188"/>
      <c r="T78" s="188"/>
      <c r="U78" s="188"/>
      <c r="V78" s="188"/>
    </row>
    <row r="79" spans="1:22">
      <c r="B79" s="191" t="s">
        <v>833</v>
      </c>
      <c r="C79" s="191">
        <f>MAX(C68:C78)</f>
        <v>540</v>
      </c>
      <c r="D79" s="191">
        <f t="shared" ref="D79:Q79" si="28">MAX(D68:D78)</f>
        <v>440</v>
      </c>
      <c r="E79" s="191">
        <f t="shared" si="28"/>
        <v>48</v>
      </c>
      <c r="F79" s="191">
        <f t="shared" si="28"/>
        <v>48</v>
      </c>
      <c r="G79" s="191">
        <f t="shared" si="28"/>
        <v>0</v>
      </c>
      <c r="H79" s="191">
        <f t="shared" si="28"/>
        <v>0</v>
      </c>
      <c r="I79" s="191">
        <f t="shared" si="28"/>
        <v>90</v>
      </c>
      <c r="J79" s="191">
        <f t="shared" si="28"/>
        <v>26</v>
      </c>
      <c r="K79" s="191">
        <f t="shared" si="28"/>
        <v>2</v>
      </c>
      <c r="L79" s="191">
        <f t="shared" si="28"/>
        <v>26</v>
      </c>
      <c r="M79" s="191">
        <f t="shared" si="28"/>
        <v>2</v>
      </c>
      <c r="N79" s="191">
        <f t="shared" si="28"/>
        <v>0</v>
      </c>
      <c r="O79" s="191">
        <f t="shared" si="28"/>
        <v>0</v>
      </c>
      <c r="P79" s="191">
        <f t="shared" si="28"/>
        <v>4</v>
      </c>
      <c r="Q79" s="191">
        <f t="shared" si="28"/>
        <v>8</v>
      </c>
      <c r="R79" s="188"/>
      <c r="S79" s="188"/>
      <c r="T79" s="188"/>
      <c r="U79" s="188"/>
      <c r="V79" s="188"/>
    </row>
    <row r="80" spans="1:22">
      <c r="B80" s="191" t="s">
        <v>834</v>
      </c>
      <c r="C80" s="191" t="str">
        <f xml:space="preserve"> MIN(C68:C76) &amp; " - " &amp; MAX(C68:C76)</f>
        <v>280 - 540</v>
      </c>
      <c r="D80" s="191" t="str">
        <f t="shared" ref="D80:Q80" si="29" xml:space="preserve"> MIN(D68:D76) &amp; " - " &amp; MAX(D68:D76)</f>
        <v>220 - 440</v>
      </c>
      <c r="E80" s="191" t="str">
        <f t="shared" si="29"/>
        <v>26 - 48</v>
      </c>
      <c r="F80" s="191" t="str">
        <f t="shared" si="29"/>
        <v>24 - 48</v>
      </c>
      <c r="G80" s="191" t="str">
        <f t="shared" si="29"/>
        <v>0 - 0</v>
      </c>
      <c r="H80" s="191" t="str">
        <f t="shared" si="29"/>
        <v>0 - 0</v>
      </c>
      <c r="I80" s="191" t="str">
        <f t="shared" si="29"/>
        <v>20 - 90</v>
      </c>
      <c r="J80" s="191" t="str">
        <f t="shared" si="29"/>
        <v>12 - 26</v>
      </c>
      <c r="K80" s="191" t="str">
        <f t="shared" si="29"/>
        <v>0 - 2</v>
      </c>
      <c r="L80" s="191" t="str">
        <f t="shared" si="29"/>
        <v>10 - 26</v>
      </c>
      <c r="M80" s="191" t="str">
        <f t="shared" si="29"/>
        <v>0 - 2</v>
      </c>
      <c r="N80" s="191" t="str">
        <f t="shared" si="29"/>
        <v>0 - 0</v>
      </c>
      <c r="O80" s="191" t="str">
        <f t="shared" si="29"/>
        <v>0 - 0</v>
      </c>
      <c r="P80" s="191" t="str">
        <f t="shared" si="29"/>
        <v>0 - 4</v>
      </c>
      <c r="Q80" s="191" t="str">
        <f t="shared" si="29"/>
        <v>0 - 8</v>
      </c>
      <c r="R80" s="188"/>
      <c r="S80" s="188"/>
      <c r="T80" s="188"/>
      <c r="U80" s="188"/>
      <c r="V80" s="188"/>
    </row>
    <row r="81" spans="1:22">
      <c r="B81" s="188"/>
      <c r="C81" s="188"/>
      <c r="D81" s="188"/>
      <c r="E81" s="188"/>
      <c r="F81" s="188"/>
      <c r="G81" s="188"/>
      <c r="H81" s="188"/>
      <c r="I81" s="188"/>
      <c r="J81" s="188"/>
      <c r="K81" s="188"/>
      <c r="L81" s="188"/>
      <c r="M81" s="188"/>
      <c r="N81" s="188"/>
      <c r="O81" s="188"/>
      <c r="P81" s="188"/>
      <c r="Q81" s="188"/>
      <c r="R81" s="188"/>
      <c r="S81" s="188"/>
      <c r="T81" s="188"/>
      <c r="U81" s="188"/>
      <c r="V81" s="188"/>
    </row>
    <row r="82" spans="1:22">
      <c r="A82" s="178"/>
      <c r="B82" s="1196" t="s">
        <v>835</v>
      </c>
      <c r="C82" s="1196"/>
      <c r="D82" s="1196"/>
      <c r="E82" s="1196"/>
      <c r="F82" s="1196"/>
      <c r="G82" s="1196"/>
      <c r="H82" s="1196"/>
      <c r="I82" s="1196"/>
      <c r="J82" s="1196"/>
      <c r="K82" s="1196"/>
      <c r="L82" s="1196"/>
      <c r="M82" s="1196"/>
      <c r="N82" s="1196"/>
      <c r="O82" s="1196"/>
      <c r="P82" s="1196"/>
      <c r="Q82" s="1196"/>
      <c r="R82" s="188"/>
      <c r="S82" s="188"/>
      <c r="T82" s="188"/>
      <c r="U82" s="188"/>
      <c r="V82" s="188"/>
    </row>
    <row r="83" spans="1:22" ht="31.75">
      <c r="A83" s="192"/>
      <c r="B83" s="193" t="s">
        <v>3</v>
      </c>
      <c r="C83" s="193" t="s">
        <v>4</v>
      </c>
      <c r="D83" s="193" t="s">
        <v>5</v>
      </c>
      <c r="E83" s="193" t="s">
        <v>6</v>
      </c>
      <c r="F83" s="193" t="s">
        <v>7</v>
      </c>
      <c r="G83" s="193" t="s">
        <v>8</v>
      </c>
      <c r="H83" s="193" t="s">
        <v>9</v>
      </c>
      <c r="I83" s="193" t="s">
        <v>10</v>
      </c>
      <c r="J83" s="193" t="s">
        <v>11</v>
      </c>
      <c r="K83" s="193" t="s">
        <v>12</v>
      </c>
      <c r="L83" s="193" t="s">
        <v>502</v>
      </c>
      <c r="M83" s="193" t="s">
        <v>15</v>
      </c>
      <c r="N83" s="194" t="s">
        <v>503</v>
      </c>
      <c r="O83" s="194" t="s">
        <v>504</v>
      </c>
      <c r="P83" s="194" t="s">
        <v>19</v>
      </c>
      <c r="Q83" s="194" t="s">
        <v>21</v>
      </c>
      <c r="R83" s="188"/>
      <c r="S83" s="188"/>
      <c r="T83" s="188"/>
      <c r="U83" s="188"/>
      <c r="V83" s="188"/>
    </row>
    <row r="84" spans="1:22">
      <c r="A84" s="178"/>
      <c r="B84" s="186" t="s">
        <v>574</v>
      </c>
      <c r="C84" s="188">
        <v>60</v>
      </c>
      <c r="D84" s="188">
        <v>30</v>
      </c>
      <c r="E84" s="188">
        <v>3</v>
      </c>
      <c r="F84" s="188">
        <v>2</v>
      </c>
      <c r="G84" s="188">
        <v>0</v>
      </c>
      <c r="H84" s="188">
        <v>20</v>
      </c>
      <c r="I84" s="188">
        <v>40</v>
      </c>
      <c r="J84" s="188">
        <v>7</v>
      </c>
      <c r="K84" s="188">
        <v>0</v>
      </c>
      <c r="L84" s="188">
        <v>5</v>
      </c>
      <c r="M84" s="188">
        <v>1</v>
      </c>
      <c r="N84" s="188">
        <v>2</v>
      </c>
      <c r="O84" s="188">
        <v>0</v>
      </c>
      <c r="P84" s="188">
        <v>4</v>
      </c>
      <c r="Q84" s="188">
        <v>0</v>
      </c>
      <c r="R84" s="188"/>
      <c r="S84" s="188"/>
      <c r="T84" s="188"/>
      <c r="U84" s="188"/>
      <c r="V84" s="188"/>
    </row>
    <row r="85" spans="1:22">
      <c r="A85" s="178"/>
      <c r="B85" s="186" t="s">
        <v>573</v>
      </c>
      <c r="C85" s="188">
        <v>60</v>
      </c>
      <c r="D85" s="188">
        <v>25</v>
      </c>
      <c r="E85" s="188">
        <v>3</v>
      </c>
      <c r="F85" s="188">
        <v>1.5</v>
      </c>
      <c r="G85" s="188">
        <v>0</v>
      </c>
      <c r="H85" s="188">
        <v>15</v>
      </c>
      <c r="I85" s="188">
        <v>35</v>
      </c>
      <c r="J85" s="188">
        <v>8</v>
      </c>
      <c r="K85" s="188">
        <v>0</v>
      </c>
      <c r="L85" s="188">
        <v>6</v>
      </c>
      <c r="M85" s="188">
        <v>1</v>
      </c>
      <c r="N85" s="188">
        <v>2</v>
      </c>
      <c r="O85" s="188">
        <v>0</v>
      </c>
      <c r="P85" s="188">
        <v>2</v>
      </c>
      <c r="Q85" s="188">
        <v>2</v>
      </c>
      <c r="R85" s="188"/>
      <c r="S85" s="188"/>
      <c r="T85" s="188"/>
      <c r="U85" s="188"/>
      <c r="V85" s="188"/>
    </row>
    <row r="86" spans="1:22">
      <c r="A86" s="178"/>
      <c r="B86" s="186" t="s">
        <v>836</v>
      </c>
      <c r="C86" s="188">
        <v>60</v>
      </c>
      <c r="D86" s="188">
        <v>25</v>
      </c>
      <c r="E86" s="188">
        <v>3</v>
      </c>
      <c r="F86" s="188">
        <v>2</v>
      </c>
      <c r="G86" s="188">
        <v>0</v>
      </c>
      <c r="H86" s="188">
        <v>15</v>
      </c>
      <c r="I86" s="188">
        <v>35</v>
      </c>
      <c r="J86" s="188">
        <v>7</v>
      </c>
      <c r="K86" s="188">
        <v>0</v>
      </c>
      <c r="L86" s="188">
        <v>6</v>
      </c>
      <c r="M86" s="188">
        <v>1</v>
      </c>
      <c r="N86" s="188">
        <v>2</v>
      </c>
      <c r="O86" s="188">
        <v>0</v>
      </c>
      <c r="P86" s="188">
        <v>4</v>
      </c>
      <c r="Q86" s="188">
        <v>0</v>
      </c>
      <c r="R86" s="188"/>
      <c r="S86" s="188"/>
      <c r="T86" s="188"/>
      <c r="U86" s="188"/>
      <c r="V86" s="188"/>
    </row>
    <row r="87" spans="1:22">
      <c r="A87" s="178"/>
      <c r="B87" s="186" t="s">
        <v>837</v>
      </c>
      <c r="C87" s="188">
        <v>60</v>
      </c>
      <c r="D87" s="188">
        <v>25</v>
      </c>
      <c r="E87" s="188">
        <v>3</v>
      </c>
      <c r="F87" s="188">
        <v>2</v>
      </c>
      <c r="G87" s="188">
        <v>0</v>
      </c>
      <c r="H87" s="188">
        <v>20</v>
      </c>
      <c r="I87" s="188">
        <v>40</v>
      </c>
      <c r="J87" s="188">
        <v>7</v>
      </c>
      <c r="K87" s="188">
        <v>0</v>
      </c>
      <c r="L87" s="188">
        <v>5</v>
      </c>
      <c r="M87" s="188">
        <v>1</v>
      </c>
      <c r="N87" s="188">
        <v>2</v>
      </c>
      <c r="O87" s="188">
        <v>0</v>
      </c>
      <c r="P87" s="188">
        <v>4</v>
      </c>
      <c r="Q87" s="188">
        <v>0</v>
      </c>
      <c r="R87" s="188"/>
      <c r="S87" s="188"/>
      <c r="T87" s="188"/>
      <c r="U87" s="188"/>
      <c r="V87" s="188"/>
    </row>
    <row r="88" spans="1:22">
      <c r="A88" s="178"/>
      <c r="B88" s="186" t="s">
        <v>838</v>
      </c>
      <c r="C88" s="188">
        <v>60</v>
      </c>
      <c r="D88" s="188">
        <v>25</v>
      </c>
      <c r="E88" s="188">
        <v>3</v>
      </c>
      <c r="F88" s="188">
        <v>2</v>
      </c>
      <c r="G88" s="188">
        <v>0</v>
      </c>
      <c r="H88" s="188">
        <v>20</v>
      </c>
      <c r="I88" s="188">
        <v>40</v>
      </c>
      <c r="J88" s="188">
        <v>7</v>
      </c>
      <c r="K88" s="188">
        <v>0</v>
      </c>
      <c r="L88" s="188">
        <v>5</v>
      </c>
      <c r="M88" s="188">
        <v>1</v>
      </c>
      <c r="N88" s="188">
        <v>2</v>
      </c>
      <c r="O88" s="188">
        <v>0</v>
      </c>
      <c r="P88" s="188">
        <v>4</v>
      </c>
      <c r="Q88" s="188">
        <v>0</v>
      </c>
      <c r="R88" s="188"/>
      <c r="S88" s="188"/>
      <c r="T88" s="188"/>
      <c r="U88" s="188"/>
      <c r="V88" s="188"/>
    </row>
    <row r="89" spans="1:22">
      <c r="B89" s="197"/>
      <c r="C89" s="197"/>
      <c r="D89" s="197"/>
      <c r="E89" s="197"/>
      <c r="F89" s="197"/>
      <c r="G89" s="197"/>
      <c r="H89" s="197"/>
      <c r="I89" s="197"/>
      <c r="J89" s="197"/>
      <c r="K89" s="197"/>
      <c r="L89" s="197"/>
      <c r="M89" s="197"/>
      <c r="N89" s="197"/>
      <c r="O89" s="197"/>
      <c r="P89" s="197"/>
      <c r="Q89" s="197"/>
      <c r="R89" s="188"/>
      <c r="S89" s="188"/>
      <c r="T89" s="188"/>
      <c r="U89" s="188"/>
      <c r="V89" s="188"/>
    </row>
    <row r="90" spans="1:22">
      <c r="B90" s="191" t="s">
        <v>839</v>
      </c>
      <c r="C90" s="198">
        <f>AVERAGE(C84:C88)</f>
        <v>60</v>
      </c>
      <c r="D90" s="198">
        <f t="shared" ref="D90:Q90" si="30">AVERAGE(D84:D88)</f>
        <v>26</v>
      </c>
      <c r="E90" s="198">
        <f t="shared" si="30"/>
        <v>3</v>
      </c>
      <c r="F90" s="198">
        <f t="shared" si="30"/>
        <v>1.9</v>
      </c>
      <c r="G90" s="198">
        <f t="shared" si="30"/>
        <v>0</v>
      </c>
      <c r="H90" s="198">
        <f t="shared" si="30"/>
        <v>18</v>
      </c>
      <c r="I90" s="198">
        <f t="shared" si="30"/>
        <v>38</v>
      </c>
      <c r="J90" s="198">
        <f t="shared" si="30"/>
        <v>7.2</v>
      </c>
      <c r="K90" s="198">
        <f t="shared" si="30"/>
        <v>0</v>
      </c>
      <c r="L90" s="198">
        <f t="shared" si="30"/>
        <v>5.4</v>
      </c>
      <c r="M90" s="198">
        <f t="shared" si="30"/>
        <v>1</v>
      </c>
      <c r="N90" s="198">
        <f t="shared" si="30"/>
        <v>2</v>
      </c>
      <c r="O90" s="198">
        <f t="shared" si="30"/>
        <v>0</v>
      </c>
      <c r="P90" s="198">
        <f t="shared" si="30"/>
        <v>3.6</v>
      </c>
      <c r="Q90" s="198">
        <f t="shared" si="30"/>
        <v>0.4</v>
      </c>
      <c r="R90" s="188"/>
      <c r="S90" s="188"/>
      <c r="T90" s="188"/>
      <c r="U90" s="188"/>
      <c r="V90" s="188"/>
    </row>
    <row r="91" spans="1:22">
      <c r="B91" s="191" t="s">
        <v>840</v>
      </c>
      <c r="C91" s="191" t="str">
        <f t="shared" ref="C91:Q91" si="31" xml:space="preserve"> MIN(C84:C88) &amp; " - " &amp; MAX(C84:C88)</f>
        <v>60 - 60</v>
      </c>
      <c r="D91" s="191" t="str">
        <f t="shared" si="31"/>
        <v>25 - 30</v>
      </c>
      <c r="E91" s="191" t="str">
        <f t="shared" si="31"/>
        <v>3 - 3</v>
      </c>
      <c r="F91" s="191" t="str">
        <f t="shared" si="31"/>
        <v>1.5 - 2</v>
      </c>
      <c r="G91" s="191" t="str">
        <f t="shared" si="31"/>
        <v>0 - 0</v>
      </c>
      <c r="H91" s="191" t="str">
        <f t="shared" si="31"/>
        <v>15 - 20</v>
      </c>
      <c r="I91" s="191" t="str">
        <f t="shared" si="31"/>
        <v>35 - 40</v>
      </c>
      <c r="J91" s="191" t="str">
        <f t="shared" si="31"/>
        <v>7 - 8</v>
      </c>
      <c r="K91" s="191" t="str">
        <f t="shared" si="31"/>
        <v>0 - 0</v>
      </c>
      <c r="L91" s="191" t="str">
        <f t="shared" si="31"/>
        <v>5 - 6</v>
      </c>
      <c r="M91" s="191" t="str">
        <f t="shared" si="31"/>
        <v>1 - 1</v>
      </c>
      <c r="N91" s="191" t="str">
        <f t="shared" si="31"/>
        <v>2 - 2</v>
      </c>
      <c r="O91" s="191" t="str">
        <f t="shared" si="31"/>
        <v>0 - 0</v>
      </c>
      <c r="P91" s="191" t="str">
        <f t="shared" si="31"/>
        <v>2 - 4</v>
      </c>
      <c r="Q91" s="191" t="str">
        <f t="shared" si="31"/>
        <v>0 - 2</v>
      </c>
      <c r="R91" s="188"/>
      <c r="S91" s="188"/>
      <c r="T91" s="188"/>
      <c r="U91" s="188"/>
      <c r="V91" s="188"/>
    </row>
    <row r="92" spans="1:22">
      <c r="B92" s="188"/>
      <c r="C92" s="188"/>
      <c r="D92" s="188"/>
      <c r="E92" s="188"/>
      <c r="F92" s="188"/>
      <c r="G92" s="188"/>
      <c r="H92" s="188"/>
      <c r="I92" s="188"/>
      <c r="J92" s="188"/>
      <c r="K92" s="188"/>
      <c r="L92" s="188"/>
      <c r="M92" s="188"/>
      <c r="N92" s="188"/>
      <c r="O92" s="188"/>
      <c r="P92" s="188"/>
      <c r="Q92" s="188"/>
      <c r="R92" s="188"/>
      <c r="S92" s="188"/>
      <c r="T92" s="188"/>
      <c r="U92" s="188"/>
      <c r="V92" s="188"/>
    </row>
    <row r="93" spans="1:22">
      <c r="A93" s="178"/>
      <c r="B93" s="1196" t="s">
        <v>841</v>
      </c>
      <c r="C93" s="1196"/>
      <c r="D93" s="1196"/>
      <c r="E93" s="1196"/>
      <c r="F93" s="1196"/>
      <c r="G93" s="1196"/>
      <c r="H93" s="1196"/>
      <c r="I93" s="1196"/>
      <c r="J93" s="1196"/>
      <c r="K93" s="1196"/>
      <c r="L93" s="1196"/>
      <c r="M93" s="1196"/>
      <c r="N93" s="1196"/>
      <c r="O93" s="1196"/>
      <c r="P93" s="1196"/>
      <c r="Q93" s="1196"/>
      <c r="R93" s="188"/>
      <c r="S93" s="188"/>
      <c r="T93" s="188"/>
      <c r="U93" s="188"/>
      <c r="V93" s="188"/>
    </row>
    <row r="94" spans="1:22" ht="31.75">
      <c r="A94" s="192"/>
      <c r="B94" s="193" t="s">
        <v>3</v>
      </c>
      <c r="C94" s="193" t="s">
        <v>4</v>
      </c>
      <c r="D94" s="193" t="s">
        <v>5</v>
      </c>
      <c r="E94" s="193" t="s">
        <v>6</v>
      </c>
      <c r="F94" s="193" t="s">
        <v>7</v>
      </c>
      <c r="G94" s="193" t="s">
        <v>8</v>
      </c>
      <c r="H94" s="193" t="s">
        <v>9</v>
      </c>
      <c r="I94" s="193" t="s">
        <v>10</v>
      </c>
      <c r="J94" s="193" t="s">
        <v>11</v>
      </c>
      <c r="K94" s="193" t="s">
        <v>12</v>
      </c>
      <c r="L94" s="193" t="s">
        <v>502</v>
      </c>
      <c r="M94" s="193" t="s">
        <v>15</v>
      </c>
      <c r="N94" s="194" t="s">
        <v>503</v>
      </c>
      <c r="O94" s="194" t="s">
        <v>504</v>
      </c>
      <c r="P94" s="194" t="s">
        <v>19</v>
      </c>
      <c r="Q94" s="194" t="s">
        <v>21</v>
      </c>
      <c r="R94" s="188"/>
      <c r="S94" s="188"/>
      <c r="T94" s="188"/>
      <c r="U94" s="188"/>
      <c r="V94" s="188"/>
    </row>
    <row r="95" spans="1:22">
      <c r="A95" s="178"/>
      <c r="B95" s="186" t="s">
        <v>574</v>
      </c>
      <c r="C95" s="188">
        <v>160</v>
      </c>
      <c r="D95" s="188">
        <v>80</v>
      </c>
      <c r="E95" s="188">
        <v>9</v>
      </c>
      <c r="F95" s="188">
        <v>5</v>
      </c>
      <c r="G95" s="188">
        <v>0</v>
      </c>
      <c r="H95" s="188">
        <v>50</v>
      </c>
      <c r="I95" s="188">
        <v>110</v>
      </c>
      <c r="J95" s="188">
        <v>18</v>
      </c>
      <c r="K95" s="188">
        <v>0</v>
      </c>
      <c r="L95" s="188">
        <v>14</v>
      </c>
      <c r="M95" s="188">
        <v>6</v>
      </c>
      <c r="N95" s="188">
        <v>8</v>
      </c>
      <c r="O95" s="188">
        <v>0</v>
      </c>
      <c r="P95" s="188">
        <v>10</v>
      </c>
      <c r="Q95" s="188">
        <v>0</v>
      </c>
      <c r="R95" s="188"/>
      <c r="S95" s="188"/>
      <c r="T95" s="188"/>
      <c r="U95" s="188"/>
      <c r="V95" s="188"/>
    </row>
    <row r="96" spans="1:22">
      <c r="A96" s="178"/>
      <c r="B96" s="186" t="s">
        <v>573</v>
      </c>
      <c r="C96" s="188">
        <v>160</v>
      </c>
      <c r="D96" s="188">
        <v>70</v>
      </c>
      <c r="E96" s="188">
        <v>8</v>
      </c>
      <c r="F96" s="188">
        <v>4.5</v>
      </c>
      <c r="G96" s="188">
        <v>0</v>
      </c>
      <c r="H96" s="188">
        <v>45</v>
      </c>
      <c r="I96" s="188">
        <v>90</v>
      </c>
      <c r="J96" s="188">
        <v>21</v>
      </c>
      <c r="K96" s="188">
        <v>0</v>
      </c>
      <c r="L96" s="188">
        <v>16</v>
      </c>
      <c r="M96" s="188">
        <v>3</v>
      </c>
      <c r="N96" s="188">
        <v>6</v>
      </c>
      <c r="O96" s="188">
        <v>0</v>
      </c>
      <c r="P96" s="188">
        <v>8</v>
      </c>
      <c r="Q96" s="188">
        <v>4</v>
      </c>
      <c r="R96" s="188"/>
      <c r="S96" s="188"/>
      <c r="T96" s="188"/>
      <c r="U96" s="188"/>
      <c r="V96" s="188"/>
    </row>
    <row r="97" spans="1:22">
      <c r="A97" s="178"/>
      <c r="B97" s="186" t="s">
        <v>838</v>
      </c>
      <c r="C97" s="188">
        <v>160</v>
      </c>
      <c r="D97" s="188">
        <v>80</v>
      </c>
      <c r="E97" s="188">
        <v>8</v>
      </c>
      <c r="F97" s="188">
        <v>5</v>
      </c>
      <c r="G97" s="188">
        <v>0</v>
      </c>
      <c r="H97" s="188">
        <v>50</v>
      </c>
      <c r="I97" s="188">
        <v>110</v>
      </c>
      <c r="J97" s="188">
        <v>19</v>
      </c>
      <c r="K97" s="188">
        <v>0</v>
      </c>
      <c r="L97" s="188">
        <v>14</v>
      </c>
      <c r="M97" s="188">
        <v>3</v>
      </c>
      <c r="N97" s="188">
        <v>8</v>
      </c>
      <c r="O97" s="188">
        <v>0</v>
      </c>
      <c r="P97" s="188">
        <v>10</v>
      </c>
      <c r="Q97" s="188">
        <v>0</v>
      </c>
      <c r="R97" s="188"/>
      <c r="S97" s="188"/>
      <c r="T97" s="188"/>
      <c r="U97" s="188"/>
      <c r="V97" s="188"/>
    </row>
    <row r="98" spans="1:22">
      <c r="A98" s="178"/>
      <c r="B98" s="186" t="s">
        <v>836</v>
      </c>
      <c r="C98" s="188">
        <v>160</v>
      </c>
      <c r="D98" s="188">
        <v>70</v>
      </c>
      <c r="E98" s="188">
        <v>8</v>
      </c>
      <c r="F98" s="188">
        <v>5</v>
      </c>
      <c r="G98" s="188">
        <v>0</v>
      </c>
      <c r="H98" s="188">
        <v>45</v>
      </c>
      <c r="I98" s="188">
        <v>100</v>
      </c>
      <c r="J98" s="188">
        <v>20</v>
      </c>
      <c r="K98" s="188">
        <v>0</v>
      </c>
      <c r="L98" s="188">
        <v>16</v>
      </c>
      <c r="M98" s="188">
        <v>3</v>
      </c>
      <c r="N98" s="188">
        <v>8</v>
      </c>
      <c r="O98" s="188">
        <v>0</v>
      </c>
      <c r="P98" s="188">
        <v>10</v>
      </c>
      <c r="Q98" s="188">
        <v>0</v>
      </c>
      <c r="R98" s="188"/>
      <c r="S98" s="188"/>
      <c r="T98" s="188"/>
      <c r="U98" s="188"/>
      <c r="V98" s="188"/>
    </row>
    <row r="99" spans="1:22">
      <c r="A99" s="178"/>
      <c r="B99" s="186" t="s">
        <v>837</v>
      </c>
      <c r="C99" s="188">
        <v>160</v>
      </c>
      <c r="D99" s="188">
        <v>80</v>
      </c>
      <c r="E99" s="188">
        <v>8</v>
      </c>
      <c r="F99" s="188">
        <v>5</v>
      </c>
      <c r="G99" s="188">
        <v>0</v>
      </c>
      <c r="H99" s="188">
        <v>50</v>
      </c>
      <c r="I99" s="188">
        <v>105</v>
      </c>
      <c r="J99" s="188">
        <v>18</v>
      </c>
      <c r="K99" s="188">
        <v>0</v>
      </c>
      <c r="L99" s="188">
        <v>14</v>
      </c>
      <c r="M99" s="188">
        <v>6</v>
      </c>
      <c r="N99" s="188">
        <v>8</v>
      </c>
      <c r="O99" s="188">
        <v>0</v>
      </c>
      <c r="P99" s="188">
        <v>10</v>
      </c>
      <c r="Q99" s="188">
        <v>0</v>
      </c>
      <c r="R99" s="188"/>
      <c r="S99" s="188"/>
      <c r="T99" s="188"/>
      <c r="U99" s="188"/>
      <c r="V99" s="188"/>
    </row>
    <row r="100" spans="1:22">
      <c r="B100" s="197"/>
      <c r="C100" s="197"/>
      <c r="D100" s="197"/>
      <c r="E100" s="197"/>
      <c r="F100" s="197"/>
      <c r="G100" s="197"/>
      <c r="H100" s="197"/>
      <c r="I100" s="197"/>
      <c r="J100" s="197"/>
      <c r="K100" s="197"/>
      <c r="L100" s="197"/>
      <c r="M100" s="197"/>
      <c r="N100" s="197"/>
      <c r="O100" s="197"/>
      <c r="P100" s="197"/>
      <c r="Q100" s="197"/>
      <c r="R100" s="188"/>
      <c r="S100" s="188"/>
      <c r="T100" s="188"/>
      <c r="U100" s="188"/>
      <c r="V100" s="188"/>
    </row>
    <row r="101" spans="1:22">
      <c r="B101" s="191" t="s">
        <v>839</v>
      </c>
      <c r="C101" s="198">
        <f>AVERAGE(C95:C99)</f>
        <v>160</v>
      </c>
      <c r="D101" s="198">
        <f t="shared" ref="D101:Q101" si="32">AVERAGE(D95:D99)</f>
        <v>76</v>
      </c>
      <c r="E101" s="198">
        <f t="shared" si="32"/>
        <v>8.1999999999999993</v>
      </c>
      <c r="F101" s="198">
        <f t="shared" si="32"/>
        <v>4.9000000000000004</v>
      </c>
      <c r="G101" s="198">
        <f t="shared" si="32"/>
        <v>0</v>
      </c>
      <c r="H101" s="198">
        <f>AVERAGE(H95:H99)</f>
        <v>48</v>
      </c>
      <c r="I101" s="198">
        <f t="shared" si="32"/>
        <v>103</v>
      </c>
      <c r="J101" s="198">
        <f t="shared" si="32"/>
        <v>19.2</v>
      </c>
      <c r="K101" s="198">
        <f t="shared" si="32"/>
        <v>0</v>
      </c>
      <c r="L101" s="198">
        <f t="shared" si="32"/>
        <v>14.8</v>
      </c>
      <c r="M101" s="198">
        <f t="shared" si="32"/>
        <v>4.2</v>
      </c>
      <c r="N101" s="198">
        <f t="shared" si="32"/>
        <v>7.6</v>
      </c>
      <c r="O101" s="198">
        <f t="shared" si="32"/>
        <v>0</v>
      </c>
      <c r="P101" s="198">
        <f t="shared" si="32"/>
        <v>9.6</v>
      </c>
      <c r="Q101" s="198">
        <f t="shared" si="32"/>
        <v>0.8</v>
      </c>
    </row>
    <row r="102" spans="1:22">
      <c r="B102" s="191" t="s">
        <v>842</v>
      </c>
      <c r="C102" s="191">
        <f>MEDIAN(C95:C99)</f>
        <v>160</v>
      </c>
      <c r="D102" s="191">
        <f>MEDIAN(D95:D99)</f>
        <v>80</v>
      </c>
      <c r="E102" s="191">
        <f>MEDIAN(E95:E99)</f>
        <v>8</v>
      </c>
      <c r="F102" s="191">
        <f>MEDIAN(F95:F99)</f>
        <v>5</v>
      </c>
      <c r="G102" s="191">
        <v>0</v>
      </c>
      <c r="H102" s="191">
        <f>MEDIAN(H95:H99)</f>
        <v>50</v>
      </c>
      <c r="I102" s="191">
        <f>MEDIAN(I95:I99)</f>
        <v>105</v>
      </c>
      <c r="J102" s="191">
        <f>MEDIAN(J95:J99)</f>
        <v>19</v>
      </c>
      <c r="K102" s="191">
        <v>0</v>
      </c>
      <c r="L102" s="191">
        <f>MEDIAN(L95:L99)</f>
        <v>14</v>
      </c>
      <c r="M102" s="191">
        <f>MEDIAN(M95:M99)</f>
        <v>3</v>
      </c>
      <c r="N102" s="191">
        <v>10</v>
      </c>
      <c r="O102" s="191">
        <v>0</v>
      </c>
      <c r="P102" s="191">
        <f>MEDIAN(P95:P99)</f>
        <v>10</v>
      </c>
      <c r="Q102" s="191">
        <v>0</v>
      </c>
    </row>
    <row r="103" spans="1:22">
      <c r="B103" s="191" t="s">
        <v>840</v>
      </c>
      <c r="C103" s="191" t="str">
        <f t="shared" ref="C103:Q103" si="33" xml:space="preserve"> MIN(C95:C99) &amp; " - " &amp; MAX(C95:C99)</f>
        <v>160 - 160</v>
      </c>
      <c r="D103" s="191" t="str">
        <f t="shared" si="33"/>
        <v>70 - 80</v>
      </c>
      <c r="E103" s="191" t="str">
        <f t="shared" si="33"/>
        <v>8 - 9</v>
      </c>
      <c r="F103" s="191" t="str">
        <f t="shared" si="33"/>
        <v>4.5 - 5</v>
      </c>
      <c r="G103" s="191" t="str">
        <f t="shared" si="33"/>
        <v>0 - 0</v>
      </c>
      <c r="H103" s="191" t="str">
        <f t="shared" si="33"/>
        <v>45 - 50</v>
      </c>
      <c r="I103" s="191" t="str">
        <f t="shared" si="33"/>
        <v>90 - 110</v>
      </c>
      <c r="J103" s="191" t="str">
        <f t="shared" si="33"/>
        <v>18 - 21</v>
      </c>
      <c r="K103" s="191" t="str">
        <f t="shared" si="33"/>
        <v>0 - 0</v>
      </c>
      <c r="L103" s="191" t="str">
        <f t="shared" si="33"/>
        <v>14 - 16</v>
      </c>
      <c r="M103" s="191" t="str">
        <f t="shared" si="33"/>
        <v>3 - 6</v>
      </c>
      <c r="N103" s="191" t="str">
        <f t="shared" si="33"/>
        <v>6 - 8</v>
      </c>
      <c r="O103" s="191" t="str">
        <f t="shared" si="33"/>
        <v>0 - 0</v>
      </c>
      <c r="P103" s="191" t="str">
        <f t="shared" si="33"/>
        <v>8 - 10</v>
      </c>
      <c r="Q103" s="191" t="str">
        <f t="shared" si="33"/>
        <v>0 - 4</v>
      </c>
    </row>
    <row r="104" spans="1:22">
      <c r="B104" s="191" t="s">
        <v>843</v>
      </c>
      <c r="C104" s="191">
        <f t="shared" ref="C104:Q104" si="34">MIN(C95:C99)</f>
        <v>160</v>
      </c>
      <c r="D104" s="191">
        <f t="shared" si="34"/>
        <v>70</v>
      </c>
      <c r="E104" s="191">
        <f t="shared" si="34"/>
        <v>8</v>
      </c>
      <c r="F104" s="191">
        <f t="shared" si="34"/>
        <v>4.5</v>
      </c>
      <c r="G104" s="191">
        <f t="shared" si="34"/>
        <v>0</v>
      </c>
      <c r="H104" s="191">
        <f t="shared" si="34"/>
        <v>45</v>
      </c>
      <c r="I104" s="191">
        <f t="shared" si="34"/>
        <v>90</v>
      </c>
      <c r="J104" s="191">
        <f t="shared" si="34"/>
        <v>18</v>
      </c>
      <c r="K104" s="191">
        <f t="shared" si="34"/>
        <v>0</v>
      </c>
      <c r="L104" s="191">
        <f t="shared" si="34"/>
        <v>14</v>
      </c>
      <c r="M104" s="191">
        <f t="shared" si="34"/>
        <v>3</v>
      </c>
      <c r="N104" s="191">
        <f t="shared" si="34"/>
        <v>6</v>
      </c>
      <c r="O104" s="191">
        <f t="shared" si="34"/>
        <v>0</v>
      </c>
      <c r="P104" s="191">
        <f t="shared" si="34"/>
        <v>8</v>
      </c>
      <c r="Q104" s="191">
        <f t="shared" si="34"/>
        <v>0</v>
      </c>
    </row>
    <row r="105" spans="1:22">
      <c r="B105" s="191" t="s">
        <v>844</v>
      </c>
      <c r="C105" s="191">
        <f t="shared" ref="C105:Q105" si="35">MAX(C95:C99)</f>
        <v>160</v>
      </c>
      <c r="D105" s="191">
        <f t="shared" si="35"/>
        <v>80</v>
      </c>
      <c r="E105" s="191">
        <f t="shared" si="35"/>
        <v>9</v>
      </c>
      <c r="F105" s="191">
        <f t="shared" si="35"/>
        <v>5</v>
      </c>
      <c r="G105" s="191">
        <f t="shared" si="35"/>
        <v>0</v>
      </c>
      <c r="H105" s="191">
        <f t="shared" si="35"/>
        <v>50</v>
      </c>
      <c r="I105" s="191">
        <f t="shared" si="35"/>
        <v>110</v>
      </c>
      <c r="J105" s="191">
        <f t="shared" si="35"/>
        <v>21</v>
      </c>
      <c r="K105" s="191">
        <f t="shared" si="35"/>
        <v>0</v>
      </c>
      <c r="L105" s="191">
        <f t="shared" si="35"/>
        <v>16</v>
      </c>
      <c r="M105" s="191">
        <f t="shared" si="35"/>
        <v>6</v>
      </c>
      <c r="N105" s="191">
        <f t="shared" si="35"/>
        <v>8</v>
      </c>
      <c r="O105" s="191">
        <f t="shared" si="35"/>
        <v>0</v>
      </c>
      <c r="P105" s="191">
        <f t="shared" si="35"/>
        <v>10</v>
      </c>
      <c r="Q105" s="191">
        <f t="shared" si="35"/>
        <v>4</v>
      </c>
    </row>
    <row r="107" spans="1:22">
      <c r="A107" s="178"/>
      <c r="B107" s="1421" t="s">
        <v>841</v>
      </c>
      <c r="C107" s="1421"/>
      <c r="D107" s="1421"/>
      <c r="E107" s="1421"/>
      <c r="F107" s="1421"/>
      <c r="G107" s="1421"/>
      <c r="H107" s="1421"/>
      <c r="I107" s="1421"/>
      <c r="J107" s="1421"/>
      <c r="K107" s="1421"/>
      <c r="L107" s="1421"/>
      <c r="M107" s="1421"/>
      <c r="N107" s="1421"/>
      <c r="O107" s="1421"/>
      <c r="P107" s="1421"/>
      <c r="Q107" s="1421"/>
    </row>
    <row r="108" spans="1:22" ht="32.15" thickBot="1">
      <c r="A108" s="192"/>
      <c r="B108" s="199" t="s">
        <v>3</v>
      </c>
      <c r="C108" s="199" t="s">
        <v>4</v>
      </c>
      <c r="D108" s="199" t="s">
        <v>5</v>
      </c>
      <c r="E108" s="199" t="s">
        <v>6</v>
      </c>
      <c r="F108" s="199" t="s">
        <v>7</v>
      </c>
      <c r="G108" s="199" t="s">
        <v>8</v>
      </c>
      <c r="H108" s="199" t="s">
        <v>9</v>
      </c>
      <c r="I108" s="199" t="s">
        <v>10</v>
      </c>
      <c r="J108" s="199" t="s">
        <v>11</v>
      </c>
      <c r="K108" s="199" t="s">
        <v>12</v>
      </c>
      <c r="L108" s="199" t="s">
        <v>502</v>
      </c>
      <c r="M108" s="199" t="s">
        <v>15</v>
      </c>
      <c r="N108" s="200" t="s">
        <v>503</v>
      </c>
      <c r="O108" s="200" t="s">
        <v>504</v>
      </c>
      <c r="P108" s="200" t="s">
        <v>19</v>
      </c>
      <c r="Q108" s="200" t="s">
        <v>21</v>
      </c>
    </row>
    <row r="109" spans="1:22">
      <c r="A109" s="178"/>
      <c r="B109" s="201" t="s">
        <v>574</v>
      </c>
      <c r="C109" s="202">
        <v>160</v>
      </c>
      <c r="D109" s="203">
        <v>80</v>
      </c>
      <c r="E109" s="203">
        <v>9</v>
      </c>
      <c r="F109" s="203">
        <v>5</v>
      </c>
      <c r="G109" s="203">
        <v>0</v>
      </c>
      <c r="H109" s="203">
        <v>50</v>
      </c>
      <c r="I109" s="203">
        <v>110</v>
      </c>
      <c r="J109" s="203">
        <v>18</v>
      </c>
      <c r="K109" s="203">
        <v>0</v>
      </c>
      <c r="L109" s="203">
        <v>14</v>
      </c>
      <c r="M109" s="203">
        <v>3</v>
      </c>
      <c r="N109" s="203">
        <v>8</v>
      </c>
      <c r="O109" s="203">
        <v>0</v>
      </c>
      <c r="P109" s="203">
        <v>10</v>
      </c>
      <c r="Q109" s="204">
        <v>0</v>
      </c>
    </row>
    <row r="110" spans="1:22">
      <c r="A110" s="178"/>
      <c r="B110" s="205" t="s">
        <v>573</v>
      </c>
      <c r="C110" s="206">
        <v>160</v>
      </c>
      <c r="D110" s="188">
        <v>70</v>
      </c>
      <c r="E110" s="188">
        <v>8</v>
      </c>
      <c r="F110" s="188">
        <v>4.5</v>
      </c>
      <c r="G110" s="188">
        <v>0</v>
      </c>
      <c r="H110" s="188">
        <v>45</v>
      </c>
      <c r="I110" s="188">
        <v>90</v>
      </c>
      <c r="J110" s="188">
        <v>21</v>
      </c>
      <c r="K110" s="188">
        <v>0</v>
      </c>
      <c r="L110" s="188">
        <v>16</v>
      </c>
      <c r="M110" s="188">
        <v>3</v>
      </c>
      <c r="N110" s="188">
        <v>6</v>
      </c>
      <c r="O110" s="188">
        <v>0</v>
      </c>
      <c r="P110" s="188">
        <v>8</v>
      </c>
      <c r="Q110" s="207">
        <v>4</v>
      </c>
    </row>
    <row r="111" spans="1:22">
      <c r="A111" s="178"/>
      <c r="B111" s="205" t="s">
        <v>838</v>
      </c>
      <c r="C111" s="206">
        <v>160</v>
      </c>
      <c r="D111" s="188">
        <v>80</v>
      </c>
      <c r="E111" s="188">
        <v>8</v>
      </c>
      <c r="F111" s="188">
        <v>5</v>
      </c>
      <c r="G111" s="188">
        <v>0</v>
      </c>
      <c r="H111" s="188">
        <v>50</v>
      </c>
      <c r="I111" s="188">
        <v>115</v>
      </c>
      <c r="J111" s="188">
        <v>18</v>
      </c>
      <c r="K111" s="188">
        <v>0</v>
      </c>
      <c r="L111" s="188">
        <v>14</v>
      </c>
      <c r="M111" s="188">
        <v>3</v>
      </c>
      <c r="N111" s="188">
        <v>8</v>
      </c>
      <c r="O111" s="188">
        <v>0</v>
      </c>
      <c r="P111" s="188">
        <v>10</v>
      </c>
      <c r="Q111" s="207">
        <v>0</v>
      </c>
    </row>
    <row r="112" spans="1:22">
      <c r="A112" s="178"/>
      <c r="B112" s="205" t="s">
        <v>836</v>
      </c>
      <c r="C112" s="206">
        <v>160</v>
      </c>
      <c r="D112" s="188">
        <v>80</v>
      </c>
      <c r="E112" s="188">
        <v>8</v>
      </c>
      <c r="F112" s="188">
        <v>5</v>
      </c>
      <c r="G112" s="188">
        <v>0</v>
      </c>
      <c r="H112" s="188">
        <v>50</v>
      </c>
      <c r="I112" s="188">
        <v>105</v>
      </c>
      <c r="J112" s="188">
        <v>19</v>
      </c>
      <c r="K112" s="188">
        <v>0</v>
      </c>
      <c r="L112" s="188">
        <v>15</v>
      </c>
      <c r="M112" s="188">
        <v>3</v>
      </c>
      <c r="N112" s="188">
        <v>8</v>
      </c>
      <c r="O112" s="188">
        <v>0</v>
      </c>
      <c r="P112" s="188">
        <v>10</v>
      </c>
      <c r="Q112" s="207">
        <v>0</v>
      </c>
    </row>
    <row r="113" spans="1:17">
      <c r="A113" s="178"/>
      <c r="B113" s="205" t="s">
        <v>837</v>
      </c>
      <c r="C113" s="206">
        <v>160</v>
      </c>
      <c r="D113" s="188">
        <v>80</v>
      </c>
      <c r="E113" s="188">
        <v>8</v>
      </c>
      <c r="F113" s="188">
        <v>5</v>
      </c>
      <c r="G113" s="188">
        <v>0</v>
      </c>
      <c r="H113" s="188">
        <v>50</v>
      </c>
      <c r="I113" s="188">
        <v>105</v>
      </c>
      <c r="J113" s="188">
        <v>18</v>
      </c>
      <c r="K113" s="188">
        <v>0</v>
      </c>
      <c r="L113" s="188">
        <v>15</v>
      </c>
      <c r="M113" s="188">
        <v>3</v>
      </c>
      <c r="N113" s="188">
        <v>8</v>
      </c>
      <c r="O113" s="188">
        <v>0</v>
      </c>
      <c r="P113" s="188">
        <v>10</v>
      </c>
      <c r="Q113" s="207">
        <v>0</v>
      </c>
    </row>
    <row r="114" spans="1:17">
      <c r="A114" s="178"/>
      <c r="B114" s="205" t="s">
        <v>845</v>
      </c>
      <c r="C114" s="206">
        <v>160</v>
      </c>
      <c r="D114" s="188">
        <v>80</v>
      </c>
      <c r="E114" s="188">
        <v>8</v>
      </c>
      <c r="F114" s="188">
        <v>5</v>
      </c>
      <c r="G114" s="188">
        <v>0</v>
      </c>
      <c r="H114" s="188">
        <v>50</v>
      </c>
      <c r="I114" s="188">
        <v>110</v>
      </c>
      <c r="J114" s="188">
        <v>18</v>
      </c>
      <c r="K114" s="188">
        <v>0</v>
      </c>
      <c r="L114" s="188">
        <v>14</v>
      </c>
      <c r="M114" s="188">
        <v>3</v>
      </c>
      <c r="N114" s="188">
        <v>8</v>
      </c>
      <c r="O114" s="188">
        <v>0</v>
      </c>
      <c r="P114" s="188">
        <v>10</v>
      </c>
      <c r="Q114" s="207">
        <v>0</v>
      </c>
    </row>
    <row r="115" spans="1:17">
      <c r="A115" s="178"/>
      <c r="B115" s="205" t="s">
        <v>846</v>
      </c>
      <c r="C115" s="206">
        <v>150</v>
      </c>
      <c r="D115" s="188">
        <v>80</v>
      </c>
      <c r="E115" s="188">
        <v>8</v>
      </c>
      <c r="F115" s="188">
        <v>5</v>
      </c>
      <c r="G115" s="188">
        <v>0</v>
      </c>
      <c r="H115" s="188">
        <v>50</v>
      </c>
      <c r="I115" s="188">
        <v>110</v>
      </c>
      <c r="J115" s="188">
        <v>18</v>
      </c>
      <c r="K115" s="188">
        <v>0</v>
      </c>
      <c r="L115" s="188">
        <v>14</v>
      </c>
      <c r="M115" s="188">
        <v>3</v>
      </c>
      <c r="N115" s="188">
        <v>8</v>
      </c>
      <c r="O115" s="188">
        <v>0</v>
      </c>
      <c r="P115" s="188">
        <v>10</v>
      </c>
      <c r="Q115" s="207">
        <v>0</v>
      </c>
    </row>
    <row r="116" spans="1:17">
      <c r="A116" s="178"/>
      <c r="B116" s="205" t="s">
        <v>847</v>
      </c>
      <c r="C116" s="206">
        <v>160</v>
      </c>
      <c r="D116" s="188">
        <v>80</v>
      </c>
      <c r="E116" s="188">
        <v>8</v>
      </c>
      <c r="F116" s="188">
        <v>5</v>
      </c>
      <c r="G116" s="188">
        <v>0</v>
      </c>
      <c r="H116" s="188">
        <v>50</v>
      </c>
      <c r="I116" s="188">
        <v>105</v>
      </c>
      <c r="J116" s="188">
        <v>19</v>
      </c>
      <c r="K116" s="188">
        <v>0</v>
      </c>
      <c r="L116" s="188">
        <v>15</v>
      </c>
      <c r="M116" s="188">
        <v>3</v>
      </c>
      <c r="N116" s="188">
        <v>8</v>
      </c>
      <c r="O116" s="188">
        <v>0</v>
      </c>
      <c r="P116" s="188">
        <v>10</v>
      </c>
      <c r="Q116" s="207">
        <v>0</v>
      </c>
    </row>
    <row r="117" spans="1:17" ht="16.3" thickBot="1">
      <c r="A117" s="178"/>
      <c r="B117" s="208" t="s">
        <v>848</v>
      </c>
      <c r="C117" s="209">
        <v>160</v>
      </c>
      <c r="D117" s="210">
        <v>70</v>
      </c>
      <c r="E117" s="210">
        <v>8</v>
      </c>
      <c r="F117" s="210">
        <v>5</v>
      </c>
      <c r="G117" s="210">
        <v>0</v>
      </c>
      <c r="H117" s="210">
        <v>50</v>
      </c>
      <c r="I117" s="210">
        <v>105</v>
      </c>
      <c r="J117" s="210">
        <v>19</v>
      </c>
      <c r="K117" s="210">
        <v>0</v>
      </c>
      <c r="L117" s="210">
        <v>15</v>
      </c>
      <c r="M117" s="210">
        <v>3</v>
      </c>
      <c r="N117" s="210">
        <v>8</v>
      </c>
      <c r="O117" s="210">
        <v>0</v>
      </c>
      <c r="P117" s="210">
        <v>10</v>
      </c>
      <c r="Q117" s="211">
        <v>0</v>
      </c>
    </row>
    <row r="119" spans="1:17">
      <c r="B119" s="191" t="s">
        <v>840</v>
      </c>
      <c r="C119" s="191" t="str">
        <f xml:space="preserve"> MIN(C109:C117) &amp; " - " &amp; MAX(C109:C117)</f>
        <v>150 - 160</v>
      </c>
      <c r="D119" s="191" t="str">
        <f t="shared" ref="D119:Q119" si="36" xml:space="preserve"> MIN(D109:D117) &amp; " - " &amp; MAX(D109:D117)</f>
        <v>70 - 80</v>
      </c>
      <c r="E119" s="191" t="str">
        <f t="shared" si="36"/>
        <v>8 - 9</v>
      </c>
      <c r="F119" s="191" t="str">
        <f t="shared" si="36"/>
        <v>4.5 - 5</v>
      </c>
      <c r="G119" s="191" t="str">
        <f t="shared" si="36"/>
        <v>0 - 0</v>
      </c>
      <c r="H119" s="191" t="str">
        <f t="shared" si="36"/>
        <v>45 - 50</v>
      </c>
      <c r="I119" s="191" t="str">
        <f t="shared" si="36"/>
        <v>90 - 115</v>
      </c>
      <c r="J119" s="191" t="str">
        <f t="shared" si="36"/>
        <v>18 - 21</v>
      </c>
      <c r="K119" s="191" t="str">
        <f t="shared" si="36"/>
        <v>0 - 0</v>
      </c>
      <c r="L119" s="191" t="str">
        <f t="shared" si="36"/>
        <v>14 - 16</v>
      </c>
      <c r="M119" s="191" t="str">
        <f t="shared" si="36"/>
        <v>3 - 3</v>
      </c>
      <c r="N119" s="191" t="str">
        <f t="shared" si="36"/>
        <v>6 - 8</v>
      </c>
      <c r="O119" s="191" t="str">
        <f t="shared" si="36"/>
        <v>0 - 0</v>
      </c>
      <c r="P119" s="191" t="str">
        <f t="shared" si="36"/>
        <v>8 - 10</v>
      </c>
      <c r="Q119" s="191" t="str">
        <f t="shared" si="36"/>
        <v>0 - 4</v>
      </c>
    </row>
    <row r="121" spans="1:17">
      <c r="B121" s="1197" t="s">
        <v>168</v>
      </c>
      <c r="C121" s="1197"/>
      <c r="D121" s="1197"/>
      <c r="E121" s="1197"/>
      <c r="F121" s="1197"/>
      <c r="G121" s="1197"/>
      <c r="H121" s="1197"/>
      <c r="I121" s="1197"/>
      <c r="J121" s="1197"/>
      <c r="K121" s="1197"/>
      <c r="L121" s="1197"/>
      <c r="M121" s="1197"/>
      <c r="N121" s="1197"/>
      <c r="O121" s="1197"/>
      <c r="P121" s="1197"/>
      <c r="Q121" s="1197"/>
    </row>
    <row r="122" spans="1:17">
      <c r="B122" s="1197"/>
      <c r="C122" s="1197"/>
      <c r="D122" s="1197"/>
      <c r="E122" s="1197"/>
      <c r="F122" s="1197"/>
      <c r="G122" s="1197"/>
      <c r="H122" s="1197"/>
      <c r="I122" s="1197"/>
      <c r="J122" s="1197"/>
      <c r="K122" s="1197"/>
      <c r="L122" s="1197"/>
      <c r="M122" s="1197"/>
      <c r="N122" s="1197"/>
      <c r="O122" s="1197"/>
      <c r="P122" s="1197"/>
      <c r="Q122" s="1197"/>
    </row>
    <row r="123" spans="1:17">
      <c r="B123" s="1197"/>
      <c r="C123" s="1197"/>
      <c r="D123" s="1197"/>
      <c r="E123" s="1197"/>
      <c r="F123" s="1197"/>
      <c r="G123" s="1197"/>
      <c r="H123" s="1197"/>
      <c r="I123" s="1197"/>
      <c r="J123" s="1197"/>
      <c r="K123" s="1197"/>
      <c r="L123" s="1197"/>
      <c r="M123" s="1197"/>
      <c r="N123" s="1197"/>
      <c r="O123" s="1197"/>
      <c r="P123" s="1197"/>
      <c r="Q123" s="1197"/>
    </row>
  </sheetData>
  <mergeCells count="7">
    <mergeCell ref="B121:Q123"/>
    <mergeCell ref="B1:Q1"/>
    <mergeCell ref="B2:Q2"/>
    <mergeCell ref="B39:Q39"/>
    <mergeCell ref="B82:Q82"/>
    <mergeCell ref="B93:Q93"/>
    <mergeCell ref="B107:Q107"/>
  </mergeCells>
  <pageMargins left="0.7" right="0.7" top="0.75" bottom="0.75" header="0.3" footer="0.3"/>
  <pageSetup scale="41" fitToHeight="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V26"/>
  <sheetViews>
    <sheetView workbookViewId="0">
      <selection activeCell="G32" sqref="G32"/>
    </sheetView>
    <sheetView workbookViewId="1">
      <selection sqref="A1:V1"/>
    </sheetView>
    <sheetView workbookViewId="2">
      <selection sqref="A1:V1"/>
    </sheetView>
  </sheetViews>
  <sheetFormatPr defaultRowHeight="12.45"/>
  <cols>
    <col min="1" max="1" width="6.53515625" customWidth="1"/>
    <col min="2" max="2" width="42.84375" customWidth="1"/>
    <col min="3" max="4" width="10.53515625" customWidth="1"/>
    <col min="5" max="5" width="8.53515625" customWidth="1"/>
    <col min="6" max="6" width="11.53515625" customWidth="1"/>
    <col min="7" max="7" width="8.53515625" customWidth="1"/>
    <col min="8" max="8" width="13" customWidth="1"/>
    <col min="9" max="9" width="9" customWidth="1"/>
    <col min="10" max="10" width="16.84375" customWidth="1"/>
    <col min="11" max="11" width="9" customWidth="1"/>
    <col min="12" max="12" width="7.84375" customWidth="1"/>
    <col min="13" max="13" width="9" customWidth="1"/>
    <col min="14" max="16" width="11.53515625" customWidth="1"/>
    <col min="17" max="20" width="9" customWidth="1"/>
    <col min="21" max="22" width="11.53515625" customWidth="1"/>
  </cols>
  <sheetData>
    <row r="1" spans="1:22" ht="22.5" customHeight="1">
      <c r="A1" s="1424" t="s">
        <v>849</v>
      </c>
      <c r="B1" s="1425"/>
      <c r="C1" s="1425"/>
      <c r="D1" s="1425"/>
      <c r="E1" s="1425"/>
      <c r="F1" s="1425"/>
      <c r="G1" s="1425"/>
      <c r="H1" s="1425"/>
      <c r="I1" s="1425"/>
      <c r="J1" s="1425"/>
      <c r="K1" s="1425"/>
      <c r="L1" s="1425"/>
      <c r="M1" s="1425"/>
      <c r="N1" s="1425"/>
      <c r="O1" s="1425"/>
      <c r="P1" s="1425"/>
      <c r="Q1" s="1425"/>
      <c r="R1" s="1425"/>
      <c r="S1" s="1425"/>
      <c r="T1" s="1425"/>
      <c r="U1" s="1425"/>
      <c r="V1" s="1426"/>
    </row>
    <row r="2" spans="1:22" ht="18" customHeight="1">
      <c r="A2" s="1427" t="s">
        <v>850</v>
      </c>
      <c r="B2" s="1428"/>
      <c r="C2" s="1428"/>
      <c r="D2" s="1428"/>
      <c r="E2" s="1428"/>
      <c r="F2" s="1428"/>
      <c r="G2" s="1428"/>
      <c r="H2" s="1428"/>
      <c r="I2" s="1428"/>
      <c r="J2" s="1428"/>
      <c r="K2" s="1428"/>
      <c r="L2" s="1428"/>
      <c r="M2" s="1428"/>
      <c r="N2" s="1428"/>
      <c r="O2" s="1428"/>
      <c r="P2" s="1428"/>
      <c r="Q2" s="1428"/>
      <c r="R2" s="1428"/>
      <c r="S2" s="1428"/>
      <c r="T2" s="1428"/>
      <c r="U2" s="1428"/>
      <c r="V2" s="1429"/>
    </row>
    <row r="3" spans="1:22" ht="37.5" customHeight="1" thickBot="1">
      <c r="A3" s="284"/>
      <c r="B3" s="285" t="s">
        <v>3</v>
      </c>
      <c r="C3" s="301" t="s">
        <v>4</v>
      </c>
      <c r="D3" s="301" t="s">
        <v>5</v>
      </c>
      <c r="E3" s="301" t="s">
        <v>6</v>
      </c>
      <c r="F3" s="301" t="s">
        <v>7</v>
      </c>
      <c r="G3" s="301" t="s">
        <v>8</v>
      </c>
      <c r="H3" s="301" t="s">
        <v>9</v>
      </c>
      <c r="I3" s="301" t="s">
        <v>10</v>
      </c>
      <c r="J3" s="301" t="s">
        <v>11</v>
      </c>
      <c r="K3" s="301" t="s">
        <v>12</v>
      </c>
      <c r="L3" s="301" t="s">
        <v>13</v>
      </c>
      <c r="M3" s="301" t="s">
        <v>14</v>
      </c>
      <c r="N3" s="301" t="s">
        <v>15</v>
      </c>
      <c r="O3" s="302" t="s">
        <v>16</v>
      </c>
      <c r="P3" s="302" t="s">
        <v>17</v>
      </c>
      <c r="Q3" s="302" t="s">
        <v>18</v>
      </c>
      <c r="R3" s="302" t="s">
        <v>19</v>
      </c>
      <c r="S3" s="302" t="s">
        <v>20</v>
      </c>
      <c r="T3" s="302" t="s">
        <v>21</v>
      </c>
      <c r="U3" s="302" t="s">
        <v>22</v>
      </c>
      <c r="V3" s="303" t="s">
        <v>23</v>
      </c>
    </row>
    <row r="4" spans="1:22" ht="14.25" customHeight="1">
      <c r="A4" s="1422" t="s">
        <v>850</v>
      </c>
      <c r="B4" s="293" t="s">
        <v>573</v>
      </c>
      <c r="C4" s="295">
        <v>50</v>
      </c>
      <c r="D4" s="296">
        <v>25</v>
      </c>
      <c r="E4" s="296">
        <v>3</v>
      </c>
      <c r="F4" s="296">
        <v>1.5</v>
      </c>
      <c r="G4" s="296">
        <v>0</v>
      </c>
      <c r="H4" s="296">
        <v>15</v>
      </c>
      <c r="I4" s="296">
        <v>30</v>
      </c>
      <c r="J4" s="296">
        <v>6</v>
      </c>
      <c r="K4" s="296">
        <v>0</v>
      </c>
      <c r="L4" s="296">
        <v>6</v>
      </c>
      <c r="M4" s="296">
        <v>4</v>
      </c>
      <c r="N4" s="296">
        <v>1</v>
      </c>
      <c r="O4" s="296">
        <v>0</v>
      </c>
      <c r="P4" s="296">
        <v>0</v>
      </c>
      <c r="Q4" s="296">
        <v>36.854399999999998</v>
      </c>
      <c r="R4" s="296">
        <v>4</v>
      </c>
      <c r="S4" s="296">
        <v>0.30617499999999997</v>
      </c>
      <c r="T4" s="296">
        <v>2</v>
      </c>
      <c r="U4" s="296">
        <v>75</v>
      </c>
      <c r="V4" s="297">
        <v>2</v>
      </c>
    </row>
    <row r="5" spans="1:22" ht="14.25" customHeight="1">
      <c r="A5" s="1422"/>
      <c r="B5" s="293" t="s">
        <v>574</v>
      </c>
      <c r="C5" s="298">
        <v>60</v>
      </c>
      <c r="D5" s="286">
        <v>30</v>
      </c>
      <c r="E5" s="286">
        <v>3</v>
      </c>
      <c r="F5" s="286">
        <v>2</v>
      </c>
      <c r="G5" s="286">
        <v>0</v>
      </c>
      <c r="H5" s="286">
        <v>20</v>
      </c>
      <c r="I5" s="286">
        <v>35</v>
      </c>
      <c r="J5" s="286">
        <v>6</v>
      </c>
      <c r="K5" s="286">
        <v>0</v>
      </c>
      <c r="L5" s="286">
        <v>5</v>
      </c>
      <c r="M5" s="286">
        <v>4</v>
      </c>
      <c r="N5" s="286">
        <v>1</v>
      </c>
      <c r="O5" s="286">
        <v>0</v>
      </c>
      <c r="P5" s="286">
        <v>0</v>
      </c>
      <c r="Q5" s="286">
        <v>39.689300000000003</v>
      </c>
      <c r="R5" s="286">
        <v>4</v>
      </c>
      <c r="S5" s="286">
        <v>0</v>
      </c>
      <c r="T5" s="286">
        <v>0</v>
      </c>
      <c r="U5" s="286">
        <v>55</v>
      </c>
      <c r="V5" s="287">
        <v>2</v>
      </c>
    </row>
    <row r="6" spans="1:22" ht="14.25" customHeight="1">
      <c r="A6" s="1422"/>
      <c r="B6" s="293" t="s">
        <v>131</v>
      </c>
      <c r="C6" s="298">
        <v>60</v>
      </c>
      <c r="D6" s="286">
        <v>25</v>
      </c>
      <c r="E6" s="286">
        <v>3</v>
      </c>
      <c r="F6" s="286">
        <v>2</v>
      </c>
      <c r="G6" s="286">
        <v>0</v>
      </c>
      <c r="H6" s="286">
        <v>20</v>
      </c>
      <c r="I6" s="286">
        <v>35</v>
      </c>
      <c r="J6" s="286">
        <v>7</v>
      </c>
      <c r="K6" s="286">
        <v>0</v>
      </c>
      <c r="L6" s="286">
        <v>6</v>
      </c>
      <c r="M6" s="286">
        <v>4</v>
      </c>
      <c r="N6" s="286">
        <v>1</v>
      </c>
      <c r="O6" s="286">
        <v>0</v>
      </c>
      <c r="P6" s="286">
        <v>0</v>
      </c>
      <c r="Q6" s="286">
        <v>38</v>
      </c>
      <c r="R6" s="286">
        <v>2</v>
      </c>
      <c r="S6" s="286">
        <v>0</v>
      </c>
      <c r="T6" s="286">
        <v>0</v>
      </c>
      <c r="U6" s="286">
        <v>52</v>
      </c>
      <c r="V6" s="287">
        <v>2</v>
      </c>
    </row>
    <row r="7" spans="1:22" ht="14.25" customHeight="1">
      <c r="A7" s="1422"/>
      <c r="B7" s="293" t="s">
        <v>356</v>
      </c>
      <c r="C7" s="298">
        <v>60</v>
      </c>
      <c r="D7" s="286">
        <v>25</v>
      </c>
      <c r="E7" s="286">
        <v>3</v>
      </c>
      <c r="F7" s="286">
        <v>2</v>
      </c>
      <c r="G7" s="286">
        <v>0</v>
      </c>
      <c r="H7" s="286">
        <v>20</v>
      </c>
      <c r="I7" s="286">
        <v>35</v>
      </c>
      <c r="J7" s="286">
        <v>6</v>
      </c>
      <c r="K7" s="286">
        <v>0</v>
      </c>
      <c r="L7" s="286">
        <v>5</v>
      </c>
      <c r="M7" s="286">
        <v>4</v>
      </c>
      <c r="N7" s="286">
        <v>1</v>
      </c>
      <c r="O7" s="286">
        <v>0</v>
      </c>
      <c r="P7" s="286">
        <v>0</v>
      </c>
      <c r="Q7" s="286">
        <v>39</v>
      </c>
      <c r="R7" s="286">
        <v>4</v>
      </c>
      <c r="S7" s="286">
        <v>0</v>
      </c>
      <c r="T7" s="286">
        <v>0</v>
      </c>
      <c r="U7" s="286">
        <v>53</v>
      </c>
      <c r="V7" s="287">
        <v>2</v>
      </c>
    </row>
    <row r="8" spans="1:22" ht="14.25" customHeight="1">
      <c r="A8" s="1422"/>
      <c r="B8" s="293" t="s">
        <v>404</v>
      </c>
      <c r="C8" s="298">
        <v>60</v>
      </c>
      <c r="D8" s="286">
        <v>30</v>
      </c>
      <c r="E8" s="286">
        <v>3</v>
      </c>
      <c r="F8" s="286">
        <v>2</v>
      </c>
      <c r="G8" s="286">
        <v>0</v>
      </c>
      <c r="H8" s="286">
        <v>20</v>
      </c>
      <c r="I8" s="286">
        <v>35</v>
      </c>
      <c r="J8" s="286">
        <v>6</v>
      </c>
      <c r="K8" s="286">
        <v>0</v>
      </c>
      <c r="L8" s="286">
        <v>5</v>
      </c>
      <c r="M8" s="286">
        <v>4</v>
      </c>
      <c r="N8" s="286">
        <v>1</v>
      </c>
      <c r="O8" s="286">
        <v>0</v>
      </c>
      <c r="P8" s="286">
        <v>0</v>
      </c>
      <c r="Q8" s="286">
        <v>39</v>
      </c>
      <c r="R8" s="286">
        <v>4</v>
      </c>
      <c r="S8" s="286">
        <v>0</v>
      </c>
      <c r="T8" s="286">
        <v>0</v>
      </c>
      <c r="U8" s="286">
        <v>53</v>
      </c>
      <c r="V8" s="287">
        <v>2</v>
      </c>
    </row>
    <row r="9" spans="1:22" ht="14.25" customHeight="1">
      <c r="A9" s="1422"/>
      <c r="B9" s="293" t="s">
        <v>134</v>
      </c>
      <c r="C9" s="298">
        <v>60</v>
      </c>
      <c r="D9" s="286">
        <v>25</v>
      </c>
      <c r="E9" s="286">
        <v>3</v>
      </c>
      <c r="F9" s="286">
        <v>2</v>
      </c>
      <c r="G9" s="286">
        <v>0</v>
      </c>
      <c r="H9" s="286">
        <v>20</v>
      </c>
      <c r="I9" s="286">
        <v>35</v>
      </c>
      <c r="J9" s="286">
        <v>7</v>
      </c>
      <c r="K9" s="286">
        <v>0</v>
      </c>
      <c r="L9" s="286">
        <v>6</v>
      </c>
      <c r="M9" s="286">
        <v>5</v>
      </c>
      <c r="N9" s="286">
        <v>1</v>
      </c>
      <c r="O9" s="286">
        <v>0</v>
      </c>
      <c r="P9" s="286">
        <v>0</v>
      </c>
      <c r="Q9" s="286">
        <v>36</v>
      </c>
      <c r="R9" s="286">
        <v>2</v>
      </c>
      <c r="S9" s="286">
        <v>0</v>
      </c>
      <c r="T9" s="286">
        <v>0</v>
      </c>
      <c r="U9" s="286">
        <v>49</v>
      </c>
      <c r="V9" s="287">
        <v>2</v>
      </c>
    </row>
    <row r="10" spans="1:22" ht="14.25" customHeight="1">
      <c r="A10" s="1422"/>
      <c r="B10" s="293" t="s">
        <v>98</v>
      </c>
      <c r="C10" s="298">
        <v>60</v>
      </c>
      <c r="D10" s="286">
        <v>25</v>
      </c>
      <c r="E10" s="286">
        <v>3</v>
      </c>
      <c r="F10" s="286">
        <v>2</v>
      </c>
      <c r="G10" s="286">
        <v>0</v>
      </c>
      <c r="H10" s="286">
        <v>20</v>
      </c>
      <c r="I10" s="286">
        <v>35</v>
      </c>
      <c r="J10" s="286">
        <v>7</v>
      </c>
      <c r="K10" s="286">
        <v>0</v>
      </c>
      <c r="L10" s="286">
        <v>6</v>
      </c>
      <c r="M10" s="286">
        <v>5</v>
      </c>
      <c r="N10" s="286">
        <v>1</v>
      </c>
      <c r="O10" s="286">
        <v>0</v>
      </c>
      <c r="P10" s="286">
        <v>0</v>
      </c>
      <c r="Q10" s="286">
        <v>37</v>
      </c>
      <c r="R10" s="286">
        <v>2</v>
      </c>
      <c r="S10" s="286">
        <v>0</v>
      </c>
      <c r="T10" s="286">
        <v>0</v>
      </c>
      <c r="U10" s="286">
        <v>51</v>
      </c>
      <c r="V10" s="287">
        <v>2</v>
      </c>
    </row>
    <row r="11" spans="1:22" ht="14.25" customHeight="1">
      <c r="A11" s="1422"/>
      <c r="B11" s="293" t="s">
        <v>136</v>
      </c>
      <c r="C11" s="298">
        <v>60</v>
      </c>
      <c r="D11" s="286">
        <v>25</v>
      </c>
      <c r="E11" s="286">
        <v>3</v>
      </c>
      <c r="F11" s="286">
        <v>2</v>
      </c>
      <c r="G11" s="286">
        <v>0</v>
      </c>
      <c r="H11" s="286">
        <v>20</v>
      </c>
      <c r="I11" s="286">
        <v>35</v>
      </c>
      <c r="J11" s="286">
        <v>7</v>
      </c>
      <c r="K11" s="286">
        <v>0</v>
      </c>
      <c r="L11" s="286">
        <v>5</v>
      </c>
      <c r="M11" s="286">
        <v>4</v>
      </c>
      <c r="N11" s="286">
        <v>1</v>
      </c>
      <c r="O11" s="286">
        <v>0</v>
      </c>
      <c r="P11" s="286">
        <v>0</v>
      </c>
      <c r="Q11" s="286">
        <v>38.849400000000003</v>
      </c>
      <c r="R11" s="286">
        <v>4</v>
      </c>
      <c r="S11" s="286">
        <v>0</v>
      </c>
      <c r="T11" s="286">
        <v>0</v>
      </c>
      <c r="U11" s="286">
        <v>55</v>
      </c>
      <c r="V11" s="287">
        <v>2</v>
      </c>
    </row>
    <row r="12" spans="1:22" ht="14.25" customHeight="1">
      <c r="A12" s="1422"/>
      <c r="B12" s="293" t="s">
        <v>36</v>
      </c>
      <c r="C12" s="298">
        <v>60</v>
      </c>
      <c r="D12" s="286">
        <v>25</v>
      </c>
      <c r="E12" s="286">
        <v>3</v>
      </c>
      <c r="F12" s="286">
        <v>2</v>
      </c>
      <c r="G12" s="286">
        <v>0</v>
      </c>
      <c r="H12" s="286">
        <v>20</v>
      </c>
      <c r="I12" s="286">
        <v>35</v>
      </c>
      <c r="J12" s="286">
        <v>7</v>
      </c>
      <c r="K12" s="286">
        <v>0</v>
      </c>
      <c r="L12" s="286">
        <v>6</v>
      </c>
      <c r="M12" s="286">
        <v>4</v>
      </c>
      <c r="N12" s="286">
        <v>1</v>
      </c>
      <c r="O12" s="286">
        <v>0</v>
      </c>
      <c r="P12" s="286">
        <v>0</v>
      </c>
      <c r="Q12" s="286">
        <v>38</v>
      </c>
      <c r="R12" s="286">
        <v>2</v>
      </c>
      <c r="S12" s="286">
        <v>0</v>
      </c>
      <c r="T12" s="286">
        <v>0</v>
      </c>
      <c r="U12" s="286">
        <v>52</v>
      </c>
      <c r="V12" s="287">
        <v>2</v>
      </c>
    </row>
    <row r="13" spans="1:22" ht="14.25" customHeight="1">
      <c r="A13" s="1422"/>
      <c r="B13" s="293" t="s">
        <v>374</v>
      </c>
      <c r="C13" s="299">
        <v>60</v>
      </c>
      <c r="D13" s="288">
        <v>25</v>
      </c>
      <c r="E13" s="288">
        <v>3</v>
      </c>
      <c r="F13" s="288">
        <v>2</v>
      </c>
      <c r="G13" s="288">
        <v>0</v>
      </c>
      <c r="H13" s="288">
        <v>20</v>
      </c>
      <c r="I13" s="288">
        <v>35</v>
      </c>
      <c r="J13" s="288">
        <v>6</v>
      </c>
      <c r="K13" s="286">
        <v>0</v>
      </c>
      <c r="L13" s="288">
        <v>6</v>
      </c>
      <c r="M13" s="288">
        <v>4</v>
      </c>
      <c r="N13" s="288">
        <v>1</v>
      </c>
      <c r="O13" s="286">
        <v>0</v>
      </c>
      <c r="P13" s="286">
        <v>0</v>
      </c>
      <c r="Q13" s="288">
        <v>39</v>
      </c>
      <c r="R13" s="288">
        <v>4</v>
      </c>
      <c r="S13" s="288">
        <v>0</v>
      </c>
      <c r="T13" s="288">
        <v>0</v>
      </c>
      <c r="U13" s="288">
        <v>53</v>
      </c>
      <c r="V13" s="289">
        <v>2</v>
      </c>
    </row>
    <row r="14" spans="1:22" ht="14.25" customHeight="1">
      <c r="A14" s="1422"/>
      <c r="B14" s="293" t="s">
        <v>137</v>
      </c>
      <c r="C14" s="298">
        <v>60</v>
      </c>
      <c r="D14" s="286">
        <v>30</v>
      </c>
      <c r="E14" s="286">
        <v>3</v>
      </c>
      <c r="F14" s="286">
        <v>2</v>
      </c>
      <c r="G14" s="286">
        <v>0</v>
      </c>
      <c r="H14" s="286">
        <v>20</v>
      </c>
      <c r="I14" s="286">
        <v>35</v>
      </c>
      <c r="J14" s="286">
        <v>6</v>
      </c>
      <c r="K14" s="286">
        <v>0</v>
      </c>
      <c r="L14" s="286">
        <v>5</v>
      </c>
      <c r="M14" s="286">
        <v>4</v>
      </c>
      <c r="N14" s="286">
        <v>1</v>
      </c>
      <c r="O14" s="286">
        <v>0</v>
      </c>
      <c r="P14" s="286">
        <v>0</v>
      </c>
      <c r="Q14" s="286">
        <v>39</v>
      </c>
      <c r="R14" s="286">
        <v>4</v>
      </c>
      <c r="S14" s="286">
        <v>0</v>
      </c>
      <c r="T14" s="286">
        <v>0</v>
      </c>
      <c r="U14" s="286">
        <v>53</v>
      </c>
      <c r="V14" s="287">
        <v>2</v>
      </c>
    </row>
    <row r="15" spans="1:22" ht="14.25" customHeight="1">
      <c r="A15" s="1422"/>
      <c r="B15" s="293" t="s">
        <v>416</v>
      </c>
      <c r="C15" s="298">
        <v>60</v>
      </c>
      <c r="D15" s="286">
        <v>25</v>
      </c>
      <c r="E15" s="286">
        <v>3</v>
      </c>
      <c r="F15" s="286">
        <v>2</v>
      </c>
      <c r="G15" s="286">
        <v>0</v>
      </c>
      <c r="H15" s="286">
        <v>20</v>
      </c>
      <c r="I15" s="286">
        <v>35</v>
      </c>
      <c r="J15" s="286">
        <v>6</v>
      </c>
      <c r="K15" s="286">
        <v>0</v>
      </c>
      <c r="L15" s="286">
        <v>6</v>
      </c>
      <c r="M15" s="286">
        <v>4</v>
      </c>
      <c r="N15" s="286">
        <v>1</v>
      </c>
      <c r="O15" s="286">
        <v>0</v>
      </c>
      <c r="P15" s="286">
        <v>0</v>
      </c>
      <c r="Q15" s="286">
        <v>38.8551</v>
      </c>
      <c r="R15" s="286">
        <v>4</v>
      </c>
      <c r="S15" s="286">
        <v>3.48E-4</v>
      </c>
      <c r="T15" s="286">
        <v>0</v>
      </c>
      <c r="U15" s="286">
        <v>55</v>
      </c>
      <c r="V15" s="287">
        <v>2</v>
      </c>
    </row>
    <row r="16" spans="1:22" ht="15">
      <c r="A16" s="1422"/>
      <c r="B16" s="293" t="s">
        <v>417</v>
      </c>
      <c r="C16" s="298">
        <v>60</v>
      </c>
      <c r="D16" s="286">
        <v>30</v>
      </c>
      <c r="E16" s="286">
        <v>3</v>
      </c>
      <c r="F16" s="286">
        <v>2</v>
      </c>
      <c r="G16" s="286">
        <v>0</v>
      </c>
      <c r="H16" s="286">
        <v>20</v>
      </c>
      <c r="I16" s="286">
        <v>35</v>
      </c>
      <c r="J16" s="286">
        <v>6</v>
      </c>
      <c r="K16" s="286">
        <v>0</v>
      </c>
      <c r="L16" s="286">
        <v>5</v>
      </c>
      <c r="M16" s="286">
        <v>4</v>
      </c>
      <c r="N16" s="286">
        <v>1</v>
      </c>
      <c r="O16" s="286">
        <v>0</v>
      </c>
      <c r="P16" s="286">
        <v>0</v>
      </c>
      <c r="Q16" s="286">
        <v>39</v>
      </c>
      <c r="R16" s="286">
        <v>4</v>
      </c>
      <c r="S16" s="286">
        <v>0</v>
      </c>
      <c r="T16" s="286">
        <v>0</v>
      </c>
      <c r="U16" s="286">
        <v>53</v>
      </c>
      <c r="V16" s="287">
        <v>2</v>
      </c>
    </row>
    <row r="17" spans="1:22" ht="15">
      <c r="A17" s="1422"/>
      <c r="B17" s="293" t="s">
        <v>418</v>
      </c>
      <c r="C17" s="298">
        <v>60</v>
      </c>
      <c r="D17" s="286">
        <v>25</v>
      </c>
      <c r="E17" s="286">
        <v>3</v>
      </c>
      <c r="F17" s="286">
        <v>2</v>
      </c>
      <c r="G17" s="286">
        <v>0</v>
      </c>
      <c r="H17" s="286">
        <v>20</v>
      </c>
      <c r="I17" s="286">
        <v>35</v>
      </c>
      <c r="J17" s="286">
        <v>7</v>
      </c>
      <c r="K17" s="286">
        <v>0</v>
      </c>
      <c r="L17" s="286">
        <v>6</v>
      </c>
      <c r="M17" s="286">
        <v>4</v>
      </c>
      <c r="N17" s="286">
        <v>1</v>
      </c>
      <c r="O17" s="286">
        <v>0</v>
      </c>
      <c r="P17" s="286">
        <v>0</v>
      </c>
      <c r="Q17" s="286">
        <v>38</v>
      </c>
      <c r="R17" s="286">
        <v>2</v>
      </c>
      <c r="S17" s="286">
        <v>0</v>
      </c>
      <c r="T17" s="286">
        <v>0</v>
      </c>
      <c r="U17" s="286">
        <v>52</v>
      </c>
      <c r="V17" s="287">
        <v>2</v>
      </c>
    </row>
    <row r="18" spans="1:22" ht="15">
      <c r="A18" s="1422"/>
      <c r="B18" s="293" t="s">
        <v>360</v>
      </c>
      <c r="C18" s="298">
        <v>60</v>
      </c>
      <c r="D18" s="286">
        <v>30</v>
      </c>
      <c r="E18" s="286">
        <v>3</v>
      </c>
      <c r="F18" s="286">
        <v>2</v>
      </c>
      <c r="G18" s="286">
        <v>0</v>
      </c>
      <c r="H18" s="286">
        <v>20</v>
      </c>
      <c r="I18" s="286">
        <v>35</v>
      </c>
      <c r="J18" s="286">
        <v>6</v>
      </c>
      <c r="K18" s="286">
        <v>0</v>
      </c>
      <c r="L18" s="286">
        <v>5</v>
      </c>
      <c r="M18" s="286">
        <v>4</v>
      </c>
      <c r="N18" s="286">
        <v>1</v>
      </c>
      <c r="O18" s="286">
        <v>0</v>
      </c>
      <c r="P18" s="286">
        <v>0</v>
      </c>
      <c r="Q18" s="286">
        <v>39</v>
      </c>
      <c r="R18" s="286">
        <v>4</v>
      </c>
      <c r="S18" s="286">
        <v>0</v>
      </c>
      <c r="T18" s="286">
        <v>0</v>
      </c>
      <c r="U18" s="286">
        <v>53</v>
      </c>
      <c r="V18" s="287">
        <v>2</v>
      </c>
    </row>
    <row r="19" spans="1:22" ht="12.75" customHeight="1" thickBot="1">
      <c r="A19" s="1423"/>
      <c r="B19" s="294" t="s">
        <v>66</v>
      </c>
      <c r="C19" s="300">
        <v>60</v>
      </c>
      <c r="D19" s="290">
        <v>25</v>
      </c>
      <c r="E19" s="290">
        <v>3</v>
      </c>
      <c r="F19" s="290">
        <v>2</v>
      </c>
      <c r="G19" s="290">
        <v>0</v>
      </c>
      <c r="H19" s="290">
        <v>20</v>
      </c>
      <c r="I19" s="290">
        <v>35</v>
      </c>
      <c r="J19" s="290">
        <v>7</v>
      </c>
      <c r="K19" s="290">
        <v>0</v>
      </c>
      <c r="L19" s="290">
        <v>6</v>
      </c>
      <c r="M19" s="290">
        <v>4</v>
      </c>
      <c r="N19" s="290">
        <v>1</v>
      </c>
      <c r="O19" s="290">
        <v>0</v>
      </c>
      <c r="P19" s="290">
        <v>0</v>
      </c>
      <c r="Q19" s="290">
        <v>38.712400000000002</v>
      </c>
      <c r="R19" s="290">
        <v>4</v>
      </c>
      <c r="S19" s="290">
        <v>2.0999999999999999E-5</v>
      </c>
      <c r="T19" s="290">
        <v>0</v>
      </c>
      <c r="U19" s="290">
        <v>55</v>
      </c>
      <c r="V19" s="291">
        <v>2</v>
      </c>
    </row>
    <row r="20" spans="1:22" ht="14.25" customHeight="1" thickBot="1">
      <c r="C20" s="40"/>
      <c r="D20" s="40"/>
      <c r="E20" s="40"/>
      <c r="F20" s="40"/>
      <c r="G20" s="40"/>
      <c r="H20" s="40"/>
      <c r="I20" s="40"/>
      <c r="J20" s="40"/>
      <c r="K20" s="40"/>
      <c r="L20" s="40"/>
      <c r="M20" s="40"/>
      <c r="N20" s="40"/>
      <c r="O20" s="40"/>
      <c r="P20" s="40"/>
      <c r="Q20" s="40"/>
      <c r="R20" s="40"/>
      <c r="S20" s="40"/>
      <c r="T20" s="40"/>
      <c r="U20" s="40"/>
      <c r="V20" s="40"/>
    </row>
    <row r="21" spans="1:22" ht="33" customHeight="1">
      <c r="B21" s="1430" t="s">
        <v>168</v>
      </c>
      <c r="C21" s="1431"/>
      <c r="D21" s="1431"/>
      <c r="E21" s="1431"/>
      <c r="F21" s="1431"/>
      <c r="G21" s="1431"/>
      <c r="H21" s="1431"/>
      <c r="I21" s="1431"/>
      <c r="J21" s="1431"/>
      <c r="K21" s="1431"/>
      <c r="L21" s="1431"/>
      <c r="M21" s="1431"/>
      <c r="N21" s="1431"/>
      <c r="O21" s="1431"/>
      <c r="P21" s="1431"/>
      <c r="Q21" s="1431"/>
      <c r="R21" s="1431"/>
      <c r="S21" s="1431"/>
      <c r="T21" s="1431"/>
      <c r="U21" s="1431"/>
      <c r="V21" s="1432"/>
    </row>
    <row r="22" spans="1:22" ht="14.25" customHeight="1">
      <c r="A22" s="10"/>
      <c r="B22" s="1433"/>
      <c r="C22" s="1434"/>
      <c r="D22" s="1434"/>
      <c r="E22" s="1434"/>
      <c r="F22" s="1434"/>
      <c r="G22" s="1434"/>
      <c r="H22" s="1434"/>
      <c r="I22" s="1434"/>
      <c r="J22" s="1434"/>
      <c r="K22" s="1434"/>
      <c r="L22" s="1434"/>
      <c r="M22" s="1434"/>
      <c r="N22" s="1434"/>
      <c r="O22" s="1434"/>
      <c r="P22" s="1434"/>
      <c r="Q22" s="1434"/>
      <c r="R22" s="1434"/>
      <c r="S22" s="1434"/>
      <c r="T22" s="1434"/>
      <c r="U22" s="1434"/>
      <c r="V22" s="1435"/>
    </row>
    <row r="23" spans="1:22" ht="15" thickBot="1">
      <c r="A23" s="10"/>
      <c r="B23" s="1436"/>
      <c r="C23" s="1437"/>
      <c r="D23" s="1437"/>
      <c r="E23" s="1437"/>
      <c r="F23" s="1437"/>
      <c r="G23" s="1437"/>
      <c r="H23" s="1437"/>
      <c r="I23" s="1437"/>
      <c r="J23" s="1437"/>
      <c r="K23" s="1437"/>
      <c r="L23" s="1437"/>
      <c r="M23" s="1437"/>
      <c r="N23" s="1437"/>
      <c r="O23" s="1437"/>
      <c r="P23" s="1437"/>
      <c r="Q23" s="1437"/>
      <c r="R23" s="1437"/>
      <c r="S23" s="1437"/>
      <c r="T23" s="1437"/>
      <c r="U23" s="1437"/>
      <c r="V23" s="1438"/>
    </row>
    <row r="25" spans="1:22" ht="15">
      <c r="B25" s="69" t="s">
        <v>851</v>
      </c>
      <c r="C25" s="292">
        <f>ROUND(AVERAGE(C4:C19),0)</f>
        <v>59</v>
      </c>
      <c r="D25" s="292">
        <f t="shared" ref="D25:V25" si="0">ROUND(AVERAGE(D4:D19),0)</f>
        <v>27</v>
      </c>
      <c r="E25" s="292">
        <f t="shared" si="0"/>
        <v>3</v>
      </c>
      <c r="F25" s="292">
        <f t="shared" si="0"/>
        <v>2</v>
      </c>
      <c r="G25" s="292">
        <f t="shared" si="0"/>
        <v>0</v>
      </c>
      <c r="H25" s="292">
        <f t="shared" si="0"/>
        <v>20</v>
      </c>
      <c r="I25" s="292">
        <f t="shared" si="0"/>
        <v>35</v>
      </c>
      <c r="J25" s="292">
        <f t="shared" si="0"/>
        <v>6</v>
      </c>
      <c r="K25" s="292">
        <f t="shared" si="0"/>
        <v>0</v>
      </c>
      <c r="L25" s="292">
        <f t="shared" si="0"/>
        <v>6</v>
      </c>
      <c r="M25" s="292">
        <f t="shared" si="0"/>
        <v>4</v>
      </c>
      <c r="N25" s="292">
        <f t="shared" si="0"/>
        <v>1</v>
      </c>
      <c r="O25" s="292">
        <f t="shared" si="0"/>
        <v>0</v>
      </c>
      <c r="P25" s="292">
        <f t="shared" si="0"/>
        <v>0</v>
      </c>
      <c r="Q25" s="292">
        <f t="shared" si="0"/>
        <v>38</v>
      </c>
      <c r="R25" s="292">
        <f t="shared" si="0"/>
        <v>3</v>
      </c>
      <c r="S25" s="292">
        <f t="shared" si="0"/>
        <v>0</v>
      </c>
      <c r="T25" s="292">
        <f t="shared" si="0"/>
        <v>0</v>
      </c>
      <c r="U25" s="292">
        <f t="shared" si="0"/>
        <v>54</v>
      </c>
      <c r="V25" s="292">
        <f t="shared" si="0"/>
        <v>2</v>
      </c>
    </row>
    <row r="26" spans="1:22" ht="15">
      <c r="B26" s="69" t="s">
        <v>852</v>
      </c>
      <c r="C26" s="47" t="str">
        <f xml:space="preserve"> MIN(C4:C19) &amp; " - " &amp; MAX(C4:C19)</f>
        <v>50 - 60</v>
      </c>
      <c r="D26" s="47" t="str">
        <f t="shared" ref="D26:V26" si="1" xml:space="preserve"> MIN(D4:D19) &amp; " - " &amp; MAX(D4:D19)</f>
        <v>25 - 30</v>
      </c>
      <c r="E26" s="47" t="str">
        <f t="shared" si="1"/>
        <v>3 - 3</v>
      </c>
      <c r="F26" s="47" t="str">
        <f t="shared" si="1"/>
        <v>1.5 - 2</v>
      </c>
      <c r="G26" s="47" t="str">
        <f t="shared" si="1"/>
        <v>0 - 0</v>
      </c>
      <c r="H26" s="47" t="str">
        <f t="shared" si="1"/>
        <v>15 - 20</v>
      </c>
      <c r="I26" s="47" t="str">
        <f t="shared" si="1"/>
        <v>30 - 35</v>
      </c>
      <c r="J26" s="47" t="str">
        <f t="shared" si="1"/>
        <v>6 - 7</v>
      </c>
      <c r="K26" s="47" t="str">
        <f t="shared" si="1"/>
        <v>0 - 0</v>
      </c>
      <c r="L26" s="47" t="str">
        <f t="shared" si="1"/>
        <v>5 - 6</v>
      </c>
      <c r="M26" s="47" t="str">
        <f t="shared" si="1"/>
        <v>4 - 5</v>
      </c>
      <c r="N26" s="47" t="str">
        <f t="shared" si="1"/>
        <v>1 - 1</v>
      </c>
      <c r="O26" s="47" t="str">
        <f t="shared" si="1"/>
        <v>0 - 0</v>
      </c>
      <c r="P26" s="47" t="str">
        <f t="shared" si="1"/>
        <v>0 - 0</v>
      </c>
      <c r="Q26" s="47" t="str">
        <f t="shared" si="1"/>
        <v>36 - 39.6893</v>
      </c>
      <c r="R26" s="47" t="str">
        <f t="shared" si="1"/>
        <v>2 - 4</v>
      </c>
      <c r="S26" s="47" t="str">
        <f t="shared" si="1"/>
        <v>0 - 0.306175</v>
      </c>
      <c r="T26" s="47" t="str">
        <f t="shared" si="1"/>
        <v>0 - 2</v>
      </c>
      <c r="U26" s="47" t="str">
        <f t="shared" si="1"/>
        <v>49 - 75</v>
      </c>
      <c r="V26" s="47" t="str">
        <f t="shared" si="1"/>
        <v>2 - 2</v>
      </c>
    </row>
  </sheetData>
  <mergeCells count="4">
    <mergeCell ref="A4:A19"/>
    <mergeCell ref="A1:V1"/>
    <mergeCell ref="A2:V2"/>
    <mergeCell ref="B21:V23"/>
  </mergeCells>
  <pageMargins left="0.7" right="0.7" top="0.75" bottom="0.75" header="0.3" footer="0.3"/>
  <pageSetup scale="48" fitToHeight="0"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Q8"/>
  <sheetViews>
    <sheetView workbookViewId="0">
      <selection activeCell="Q18" sqref="B4:Q18"/>
    </sheetView>
    <sheetView workbookViewId="1">
      <selection sqref="A1:Q1"/>
    </sheetView>
    <sheetView workbookViewId="2">
      <selection sqref="A1:Q1"/>
    </sheetView>
  </sheetViews>
  <sheetFormatPr defaultRowHeight="12.45"/>
  <cols>
    <col min="1" max="1" width="13.15234375" customWidth="1"/>
    <col min="2" max="2" width="11.53515625" customWidth="1"/>
    <col min="3" max="3" width="11" customWidth="1"/>
    <col min="4" max="4" width="10.84375" customWidth="1"/>
  </cols>
  <sheetData>
    <row r="1" spans="1:17" ht="23.15" thickBot="1">
      <c r="A1" s="1225" t="s">
        <v>853</v>
      </c>
      <c r="B1" s="1225"/>
      <c r="C1" s="1225"/>
      <c r="D1" s="1225"/>
      <c r="E1" s="1225"/>
      <c r="F1" s="1225"/>
      <c r="G1" s="1225"/>
      <c r="H1" s="1225"/>
      <c r="I1" s="1225"/>
      <c r="J1" s="1225"/>
      <c r="K1" s="1225"/>
      <c r="L1" s="1225"/>
      <c r="M1" s="1225"/>
      <c r="N1" s="1225"/>
      <c r="O1" s="1225"/>
      <c r="P1" s="1225"/>
      <c r="Q1" s="1439"/>
    </row>
    <row r="2" spans="1:17" ht="37.75" thickBot="1">
      <c r="A2" s="48" t="s">
        <v>854</v>
      </c>
      <c r="B2" s="38" t="s">
        <v>3</v>
      </c>
      <c r="C2" s="44" t="s">
        <v>4</v>
      </c>
      <c r="D2" s="44" t="s">
        <v>5</v>
      </c>
      <c r="E2" s="44" t="s">
        <v>6</v>
      </c>
      <c r="F2" s="44" t="s">
        <v>7</v>
      </c>
      <c r="G2" s="44" t="s">
        <v>8</v>
      </c>
      <c r="H2" s="44" t="s">
        <v>9</v>
      </c>
      <c r="I2" s="44" t="s">
        <v>10</v>
      </c>
      <c r="J2" s="44" t="s">
        <v>11</v>
      </c>
      <c r="K2" s="44" t="s">
        <v>12</v>
      </c>
      <c r="L2" s="44" t="s">
        <v>502</v>
      </c>
      <c r="M2" s="44" t="s">
        <v>15</v>
      </c>
      <c r="N2" s="45" t="s">
        <v>503</v>
      </c>
      <c r="O2" s="45" t="s">
        <v>504</v>
      </c>
      <c r="P2" s="45" t="s">
        <v>19</v>
      </c>
      <c r="Q2" s="46" t="s">
        <v>21</v>
      </c>
    </row>
    <row r="3" spans="1:17" ht="14.6">
      <c r="A3" s="75" t="s">
        <v>855</v>
      </c>
      <c r="B3" s="73" t="s">
        <v>856</v>
      </c>
      <c r="C3" s="154">
        <v>510</v>
      </c>
      <c r="D3" s="78">
        <v>0</v>
      </c>
      <c r="E3" s="78">
        <v>0</v>
      </c>
      <c r="F3" s="78">
        <v>0</v>
      </c>
      <c r="G3" s="78">
        <v>0</v>
      </c>
      <c r="H3" s="78">
        <v>0</v>
      </c>
      <c r="I3" s="78">
        <v>65</v>
      </c>
      <c r="J3" s="78">
        <v>129</v>
      </c>
      <c r="K3" s="78">
        <v>0</v>
      </c>
      <c r="L3" s="78">
        <v>125</v>
      </c>
      <c r="M3" s="78">
        <v>0</v>
      </c>
      <c r="N3" s="78">
        <v>0</v>
      </c>
      <c r="O3" s="78">
        <v>0</v>
      </c>
      <c r="P3" s="78">
        <v>2</v>
      </c>
      <c r="Q3" s="80">
        <v>0</v>
      </c>
    </row>
    <row r="4" spans="1:17" ht="14.6">
      <c r="A4" s="75" t="s">
        <v>857</v>
      </c>
      <c r="B4" s="74" t="s">
        <v>856</v>
      </c>
      <c r="C4" s="128">
        <v>700</v>
      </c>
      <c r="D4" s="81">
        <v>0</v>
      </c>
      <c r="E4" s="81">
        <v>0</v>
      </c>
      <c r="F4" s="81">
        <v>0</v>
      </c>
      <c r="G4" s="81">
        <v>0</v>
      </c>
      <c r="H4" s="81">
        <v>0</v>
      </c>
      <c r="I4" s="81">
        <v>85</v>
      </c>
      <c r="J4" s="81">
        <v>175</v>
      </c>
      <c r="K4" s="81">
        <v>0</v>
      </c>
      <c r="L4" s="81">
        <v>170</v>
      </c>
      <c r="M4" s="81">
        <v>0</v>
      </c>
      <c r="N4" s="81">
        <v>0</v>
      </c>
      <c r="O4" s="81">
        <v>0</v>
      </c>
      <c r="P4" s="81">
        <v>2</v>
      </c>
      <c r="Q4" s="82">
        <v>0</v>
      </c>
    </row>
    <row r="6" spans="1:17">
      <c r="B6" s="1227" t="s">
        <v>168</v>
      </c>
      <c r="C6" s="1227"/>
      <c r="D6" s="1227"/>
      <c r="E6" s="1227"/>
      <c r="F6" s="1227"/>
      <c r="G6" s="1227"/>
      <c r="H6" s="1227"/>
      <c r="I6" s="1227"/>
      <c r="J6" s="1227"/>
      <c r="K6" s="1227"/>
      <c r="L6" s="1227"/>
      <c r="M6" s="1227"/>
      <c r="N6" s="1227"/>
      <c r="O6" s="1227"/>
      <c r="P6" s="1227"/>
      <c r="Q6" s="1227"/>
    </row>
    <row r="7" spans="1:17">
      <c r="B7" s="1227"/>
      <c r="C7" s="1227"/>
      <c r="D7" s="1227"/>
      <c r="E7" s="1227"/>
      <c r="F7" s="1227"/>
      <c r="G7" s="1227"/>
      <c r="H7" s="1227"/>
      <c r="I7" s="1227"/>
      <c r="J7" s="1227"/>
      <c r="K7" s="1227"/>
      <c r="L7" s="1227"/>
      <c r="M7" s="1227"/>
      <c r="N7" s="1227"/>
      <c r="O7" s="1227"/>
      <c r="P7" s="1227"/>
      <c r="Q7" s="1227"/>
    </row>
    <row r="8" spans="1:17" ht="30" customHeight="1">
      <c r="B8" s="1227"/>
      <c r="C8" s="1227"/>
      <c r="D8" s="1227"/>
      <c r="E8" s="1227"/>
      <c r="F8" s="1227"/>
      <c r="G8" s="1227"/>
      <c r="H8" s="1227"/>
      <c r="I8" s="1227"/>
      <c r="J8" s="1227"/>
      <c r="K8" s="1227"/>
      <c r="L8" s="1227"/>
      <c r="M8" s="1227"/>
      <c r="N8" s="1227"/>
      <c r="O8" s="1227"/>
      <c r="P8" s="1227"/>
      <c r="Q8" s="1227"/>
    </row>
  </sheetData>
  <mergeCells count="2">
    <mergeCell ref="A1:Q1"/>
    <mergeCell ref="B6:Q8"/>
  </mergeCells>
  <pageMargins left="0.7" right="0.7" top="0.75" bottom="0.75" header="0.3" footer="0.3"/>
  <pageSetup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54</vt:i4>
      </vt:variant>
      <vt:variant>
        <vt:lpstr>Named Ranges</vt:lpstr>
      </vt:variant>
      <vt:variant>
        <vt:i4>27</vt:i4>
      </vt:variant>
    </vt:vector>
  </HeadingPairs>
  <TitlesOfParts>
    <vt:vector size="81" baseType="lpstr">
      <vt:lpstr>Template</vt:lpstr>
      <vt:lpstr>Kids (8.2 oz)</vt:lpstr>
      <vt:lpstr>Kids (7 oz)</vt:lpstr>
      <vt:lpstr>Kids </vt:lpstr>
      <vt:lpstr>Small</vt:lpstr>
      <vt:lpstr>Large</vt:lpstr>
      <vt:lpstr>Ice Quart</vt:lpstr>
      <vt:lpstr>Ice Flight</vt:lpstr>
      <vt:lpstr>Gelati Small</vt:lpstr>
      <vt:lpstr>Gelati Large</vt:lpstr>
      <vt:lpstr>Take Home Gelati</vt:lpstr>
      <vt:lpstr>Blendini Regular</vt:lpstr>
      <vt:lpstr>Large Gelati</vt:lpstr>
      <vt:lpstr>5 Layer Gelati</vt:lpstr>
      <vt:lpstr>Milkshake Standarized</vt:lpstr>
      <vt:lpstr>Small Ice Blender</vt:lpstr>
      <vt:lpstr>Small Gelati</vt:lpstr>
      <vt:lpstr>Large Ice Blender</vt:lpstr>
      <vt:lpstr>Small Ice Blender </vt:lpstr>
      <vt:lpstr>Small Misto</vt:lpstr>
      <vt:lpstr>LG Misto</vt:lpstr>
      <vt:lpstr> Concrete</vt:lpstr>
      <vt:lpstr>Blendini </vt:lpstr>
      <vt:lpstr>Pints</vt:lpstr>
      <vt:lpstr>Small Milkshake</vt:lpstr>
      <vt:lpstr>Large Milkshake</vt:lpstr>
      <vt:lpstr>Mini Milkshake</vt:lpstr>
      <vt:lpstr>Frozen Drink Small</vt:lpstr>
      <vt:lpstr>All Custard Custom Cake - Slice</vt:lpstr>
      <vt:lpstr>All Custard Custom Cake</vt:lpstr>
      <vt:lpstr>Gelati Custom Cake - Slice</vt:lpstr>
      <vt:lpstr>Gelati Custom Cake</vt:lpstr>
      <vt:lpstr>Blendini Custom Cake - Slice</vt:lpstr>
      <vt:lpstr>Blendini Custom Cake </vt:lpstr>
      <vt:lpstr>Sheet4</vt:lpstr>
      <vt:lpstr>Banana Split Sundae</vt:lpstr>
      <vt:lpstr>Frozen Coffees</vt:lpstr>
      <vt:lpstr>LG Frozen Coffee</vt:lpstr>
      <vt:lpstr>Small Ice</vt:lpstr>
      <vt:lpstr>Frozen Matchas</vt:lpstr>
      <vt:lpstr>LG Frozen Matcha</vt:lpstr>
      <vt:lpstr>Custard Cookie Sandwiches</vt:lpstr>
      <vt:lpstr>Jumbo Cookie</vt:lpstr>
      <vt:lpstr>Sidekick Sundae </vt:lpstr>
      <vt:lpstr>Pup Cup</vt:lpstr>
      <vt:lpstr>Soft Serve Custard</vt:lpstr>
      <vt:lpstr>Large Concrete</vt:lpstr>
      <vt:lpstr>Custard_Topping_Sundae</vt:lpstr>
      <vt:lpstr>Sheet1</vt:lpstr>
      <vt:lpstr>Sheet3</vt:lpstr>
      <vt:lpstr>Sheet2</vt:lpstr>
      <vt:lpstr>OTHER</vt:lpstr>
      <vt:lpstr>Custard per Ounce </vt:lpstr>
      <vt:lpstr>Boost Frozen Drink</vt:lpstr>
      <vt:lpstr>'5 Layer Gelati'!Print_Titles</vt:lpstr>
      <vt:lpstr>'Blendini '!Print_Titles</vt:lpstr>
      <vt:lpstr>'Blendini Regular'!Print_Titles</vt:lpstr>
      <vt:lpstr>'Frozen Coffees'!Print_Titles</vt:lpstr>
      <vt:lpstr>'Frozen Drink Small'!Print_Titles</vt:lpstr>
      <vt:lpstr>'Frozen Matchas'!Print_Titles</vt:lpstr>
      <vt:lpstr>'Gelati Large'!Print_Titles</vt:lpstr>
      <vt:lpstr>'Gelati Small'!Print_Titles</vt:lpstr>
      <vt:lpstr>'Ice Flight'!Print_Titles</vt:lpstr>
      <vt:lpstr>'Ice Quart'!Print_Titles</vt:lpstr>
      <vt:lpstr>'Kids '!Print_Titles</vt:lpstr>
      <vt:lpstr>'Kids (8.2 oz)'!Print_Titles</vt:lpstr>
      <vt:lpstr>Large!Print_Titles</vt:lpstr>
      <vt:lpstr>'Large Gelati'!Print_Titles</vt:lpstr>
      <vt:lpstr>'Large Ice Blender'!Print_Titles</vt:lpstr>
      <vt:lpstr>'LG Frozen Coffee'!Print_Titles</vt:lpstr>
      <vt:lpstr>'LG Frozen Matcha'!Print_Titles</vt:lpstr>
      <vt:lpstr>'LG Misto'!Print_Titles</vt:lpstr>
      <vt:lpstr>'Sidekick Sundae '!Print_Titles</vt:lpstr>
      <vt:lpstr>Small!Print_Titles</vt:lpstr>
      <vt:lpstr>'Small Gelati'!Print_Titles</vt:lpstr>
      <vt:lpstr>'Small Ice'!Print_Titles</vt:lpstr>
      <vt:lpstr>'Small Ice Blender'!Print_Titles</vt:lpstr>
      <vt:lpstr>'Small Ice Blender '!Print_Titles</vt:lpstr>
      <vt:lpstr>'Small Misto'!Print_Titles</vt:lpstr>
      <vt:lpstr>'Soft Serve Custard'!Print_Titles</vt:lpstr>
      <vt:lpstr>Template!Print_Titles</vt:lpstr>
    </vt:vector>
  </TitlesOfParts>
  <Manager/>
  <Company>RWIFC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Samantha Strong</dc:creator>
  <cp:keywords/>
  <dc:description/>
  <cp:lastModifiedBy>Jay Myers</cp:lastModifiedBy>
  <cp:revision/>
  <dcterms:created xsi:type="dcterms:W3CDTF">2008-11-07T22:33:53Z</dcterms:created>
  <dcterms:modified xsi:type="dcterms:W3CDTF">2026-01-27T21:08:30Z</dcterms:modified>
  <cp:category/>
  <cp:contentStatus/>
</cp:coreProperties>
</file>